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katerina.derbina\Desktop\65\"/>
    </mc:Choice>
  </mc:AlternateContent>
  <workbookProtection workbookAlgorithmName="SHA-512" workbookHashValue="bTZMy46VdA7fbcRInKyvJq4JuuejW0h4Drw742mY8FFSw7+t0nDiqFKNPK7TU0MYcozmnoSitJ2DCdnmKi2m8g==" workbookSaltValue="4uD9+DccmKEt8HoYfWP/zQ==" workbookSpinCount="100000" lockStructure="1"/>
  <bookViews>
    <workbookView xWindow="0" yWindow="0" windowWidth="28800" windowHeight="11775" firstSheet="3" activeTab="3"/>
  </bookViews>
  <sheets>
    <sheet name="5.Ведомость_списания" sheetId="17" state="hidden" r:id="rId1"/>
    <sheet name="4.Ресурсный_расчет" sheetId="15" state="hidden" r:id="rId2"/>
    <sheet name="3.Материалы" sheetId="13" state="hidden" r:id="rId3"/>
    <sheet name="2.Лок.смета.и.Акт" sheetId="11" r:id="rId4"/>
    <sheet name="SourceOb.2" sheetId="10" state="hidden" r:id="rId5"/>
    <sheet name="1.Лок.смета.и.Акт" sheetId="8" state="hidden" r:id="rId6"/>
    <sheet name="SourceOb.1" sheetId="7" state="hidden" r:id="rId7"/>
    <sheet name="Source" sheetId="1" state="hidden" r:id="rId8"/>
    <sheet name="SourceObSm" sheetId="2" state="hidden" r:id="rId9"/>
    <sheet name="SmtRes" sheetId="3" state="hidden" r:id="rId10"/>
    <sheet name="EtalonRes" sheetId="4" state="hidden" r:id="rId11"/>
    <sheet name="SrcKA" sheetId="5" state="hidden" r:id="rId12"/>
  </sheets>
  <definedNames>
    <definedName name="_xlnm.Print_Titles" localSheetId="5">'1.Лок.смета.и.Акт'!$46:$46</definedName>
    <definedName name="_xlnm.Print_Titles" localSheetId="3">'2.Лок.смета.и.Акт'!$20:$20</definedName>
    <definedName name="_xlnm.Print_Titles" localSheetId="2">'3.Материалы'!$17:$17</definedName>
    <definedName name="_xlnm.Print_Titles" localSheetId="1">'4.Ресурсный_расчет'!$17:$17</definedName>
    <definedName name="_xlnm.Print_Titles" localSheetId="0">'5.Ведомость_списания'!$23:$23</definedName>
    <definedName name="_xlnm.Print_Area" localSheetId="5">'1.Лок.смета.и.Акт'!$A$1:$K$911</definedName>
    <definedName name="_xlnm.Print_Area" localSheetId="3">'2.Лок.смета.и.Акт'!$A$1:$G$150</definedName>
    <definedName name="_xlnm.Print_Area" localSheetId="2">'3.Материалы'!$A$1:$G$86</definedName>
    <definedName name="_xlnm.Print_Area" localSheetId="1">'4.Ресурсный_расчет'!$A$1:$G$128</definedName>
    <definedName name="_xlnm.Print_Area" localSheetId="0">'5.Ведомость_списания'!$A$1:$K$191</definedName>
  </definedNames>
  <calcPr calcId="162913"/>
</workbook>
</file>

<file path=xl/calcChain.xml><?xml version="1.0" encoding="utf-8"?>
<calcChain xmlns="http://schemas.openxmlformats.org/spreadsheetml/2006/main">
  <c r="E74" i="11" l="1"/>
  <c r="E75" i="11"/>
  <c r="E76" i="11"/>
  <c r="E77" i="11"/>
  <c r="E78" i="11"/>
  <c r="E82" i="11"/>
  <c r="E83" i="11"/>
  <c r="E84" i="11"/>
  <c r="E85" i="11"/>
  <c r="E86" i="11"/>
  <c r="E87" i="11"/>
  <c r="E88" i="11"/>
  <c r="E89" i="11"/>
  <c r="E90" i="11"/>
  <c r="E91" i="11"/>
  <c r="E92" i="11"/>
  <c r="E93" i="11"/>
  <c r="E94" i="11"/>
  <c r="E98" i="11"/>
  <c r="E99" i="11"/>
  <c r="E100" i="11"/>
  <c r="E101" i="11"/>
  <c r="E102" i="11"/>
  <c r="E103" i="11"/>
  <c r="E104" i="11"/>
  <c r="E105" i="11"/>
  <c r="E106" i="11"/>
  <c r="E55" i="11" l="1"/>
  <c r="E54" i="11"/>
  <c r="E53" i="11"/>
  <c r="E51" i="11"/>
  <c r="E50" i="11"/>
  <c r="E49" i="11"/>
  <c r="E48" i="11"/>
  <c r="E44" i="11"/>
  <c r="E43" i="11"/>
  <c r="E42" i="11"/>
  <c r="E41" i="11"/>
  <c r="E40" i="11"/>
  <c r="E39" i="11"/>
  <c r="E38" i="11"/>
  <c r="E37" i="11"/>
  <c r="E36" i="11"/>
  <c r="E35" i="11"/>
  <c r="E34" i="11"/>
  <c r="E33" i="11"/>
  <c r="E32" i="11"/>
  <c r="E28" i="11"/>
  <c r="E27" i="11"/>
  <c r="E26" i="11"/>
  <c r="E25" i="11"/>
  <c r="E24" i="11"/>
  <c r="BZ187" i="17" l="1"/>
  <c r="BY187" i="17"/>
  <c r="BZ184" i="17"/>
  <c r="BY184" i="17"/>
  <c r="BZ181" i="17"/>
  <c r="BY181" i="17"/>
  <c r="J402" i="1"/>
  <c r="J400" i="1"/>
  <c r="J396" i="1"/>
  <c r="J394" i="1"/>
  <c r="J392" i="1"/>
  <c r="J390" i="1"/>
  <c r="J388" i="1"/>
  <c r="J386" i="1"/>
  <c r="J382" i="1"/>
  <c r="J378" i="1"/>
  <c r="J376" i="1"/>
  <c r="J372" i="1"/>
  <c r="J370" i="1"/>
  <c r="J366" i="1"/>
  <c r="J364" i="1"/>
  <c r="J362" i="1"/>
  <c r="J358" i="1"/>
  <c r="J356" i="1"/>
  <c r="J350" i="1"/>
  <c r="J348" i="1"/>
  <c r="J346" i="1"/>
  <c r="J344" i="1"/>
  <c r="J342" i="1"/>
  <c r="J338" i="1"/>
  <c r="J336" i="1"/>
  <c r="J334" i="1"/>
  <c r="J332" i="1"/>
  <c r="J328" i="1"/>
  <c r="J326" i="1"/>
  <c r="J322" i="1"/>
  <c r="J320" i="1"/>
  <c r="J318" i="1"/>
  <c r="BU134" i="17"/>
  <c r="J277" i="1"/>
  <c r="J275" i="1"/>
  <c r="J269" i="1"/>
  <c r="J267" i="1"/>
  <c r="J263" i="1"/>
  <c r="J261" i="1"/>
  <c r="J257" i="1"/>
  <c r="J255" i="1"/>
  <c r="J253" i="1"/>
  <c r="J249" i="1"/>
  <c r="J247" i="1"/>
  <c r="J245" i="1"/>
  <c r="J243" i="1"/>
  <c r="J241" i="1"/>
  <c r="J237" i="1"/>
  <c r="J235" i="1"/>
  <c r="J233" i="1"/>
  <c r="J231" i="1"/>
  <c r="J229" i="1"/>
  <c r="J225" i="1"/>
  <c r="J221" i="1"/>
  <c r="J219" i="1"/>
  <c r="J217" i="1"/>
  <c r="J215" i="1"/>
  <c r="J213" i="1"/>
  <c r="J211" i="1"/>
  <c r="J209" i="1"/>
  <c r="J207" i="1"/>
  <c r="J205" i="1"/>
  <c r="J201" i="1"/>
  <c r="J199" i="1"/>
  <c r="J197" i="1"/>
  <c r="J195" i="1"/>
  <c r="J193" i="1"/>
  <c r="J191" i="1"/>
  <c r="J189" i="1"/>
  <c r="J187" i="1"/>
  <c r="J185" i="1"/>
  <c r="J181" i="1"/>
  <c r="J179" i="1"/>
  <c r="J177" i="1"/>
  <c r="J175" i="1"/>
  <c r="J173" i="1"/>
  <c r="J171" i="1"/>
  <c r="J169" i="1"/>
  <c r="J167" i="1"/>
  <c r="J165" i="1"/>
  <c r="J161" i="1"/>
  <c r="J159" i="1"/>
  <c r="J157" i="1"/>
  <c r="J155" i="1"/>
  <c r="J153" i="1"/>
  <c r="J151" i="1"/>
  <c r="J149" i="1"/>
  <c r="J147" i="1"/>
  <c r="J145" i="1"/>
  <c r="J141" i="1"/>
  <c r="J139" i="1"/>
  <c r="J135" i="1"/>
  <c r="J131" i="1"/>
  <c r="J129" i="1"/>
  <c r="J127" i="1"/>
  <c r="J123" i="1"/>
  <c r="J121" i="1"/>
  <c r="BU53" i="17"/>
  <c r="J80" i="1"/>
  <c r="J78" i="1"/>
  <c r="J76" i="1"/>
  <c r="J74" i="1"/>
  <c r="J72" i="1"/>
  <c r="J70" i="1"/>
  <c r="J68" i="1"/>
  <c r="J66" i="1"/>
  <c r="J64" i="1"/>
  <c r="J60" i="1"/>
  <c r="J58" i="1"/>
  <c r="J56" i="1"/>
  <c r="J54" i="1"/>
  <c r="J52" i="1"/>
  <c r="J50" i="1"/>
  <c r="J48" i="1"/>
  <c r="J46" i="1"/>
  <c r="J44" i="1"/>
  <c r="J40" i="1"/>
  <c r="J36" i="1"/>
  <c r="J32" i="1"/>
  <c r="J30" i="1"/>
  <c r="BU25" i="17"/>
  <c r="BU24" i="17"/>
  <c r="DK530" i="3"/>
  <c r="DI530" i="3"/>
  <c r="DK529" i="3"/>
  <c r="DI529" i="3"/>
  <c r="DK525" i="3"/>
  <c r="DI525" i="3"/>
  <c r="DK524" i="3"/>
  <c r="DI524" i="3"/>
  <c r="DK520" i="3"/>
  <c r="DI520" i="3"/>
  <c r="DK519" i="3"/>
  <c r="DI519" i="3"/>
  <c r="DK518" i="3"/>
  <c r="DI518" i="3"/>
  <c r="DK517" i="3"/>
  <c r="DI517" i="3"/>
  <c r="DK516" i="3"/>
  <c r="DI516" i="3"/>
  <c r="DK515" i="3"/>
  <c r="DI515" i="3"/>
  <c r="DK509" i="3"/>
  <c r="DI509" i="3"/>
  <c r="DK508" i="3"/>
  <c r="DI508" i="3"/>
  <c r="DK507" i="3"/>
  <c r="DI507" i="3"/>
  <c r="DK506" i="3"/>
  <c r="DI506" i="3"/>
  <c r="DK505" i="3"/>
  <c r="DI505" i="3"/>
  <c r="DK504" i="3"/>
  <c r="DI504" i="3"/>
  <c r="DK498" i="3"/>
  <c r="DI498" i="3"/>
  <c r="DK494" i="3"/>
  <c r="DI494" i="3"/>
  <c r="DK490" i="3"/>
  <c r="DJ490" i="3"/>
  <c r="DI490" i="3"/>
  <c r="DK489" i="3"/>
  <c r="DJ489" i="3"/>
  <c r="DI489" i="3"/>
  <c r="DK482" i="3"/>
  <c r="DJ482" i="3"/>
  <c r="DI482" i="3"/>
  <c r="DK481" i="3"/>
  <c r="DJ481" i="3"/>
  <c r="DI481" i="3"/>
  <c r="DK474" i="3"/>
  <c r="DI474" i="3"/>
  <c r="DK473" i="3"/>
  <c r="DI473" i="3"/>
  <c r="DK469" i="3"/>
  <c r="DI469" i="3"/>
  <c r="DK468" i="3"/>
  <c r="DI468" i="3"/>
  <c r="DK464" i="3"/>
  <c r="DI464" i="3"/>
  <c r="DK463" i="3"/>
  <c r="DI463" i="3"/>
  <c r="DK462" i="3"/>
  <c r="DJ462" i="3"/>
  <c r="DI462" i="3"/>
  <c r="DK456" i="3"/>
  <c r="DI456" i="3"/>
  <c r="DK455" i="3"/>
  <c r="DI455" i="3"/>
  <c r="DK454" i="3"/>
  <c r="DJ454" i="3"/>
  <c r="DI454" i="3"/>
  <c r="DK448" i="3"/>
  <c r="DI448" i="3"/>
  <c r="DK447" i="3"/>
  <c r="DJ447" i="3"/>
  <c r="DI447" i="3"/>
  <c r="DK441" i="3"/>
  <c r="DI441" i="3"/>
  <c r="DK440" i="3"/>
  <c r="DJ440" i="3"/>
  <c r="DI440" i="3"/>
  <c r="DK434" i="3"/>
  <c r="DI434" i="3"/>
  <c r="DK433" i="3"/>
  <c r="DI433" i="3"/>
  <c r="DK432" i="3"/>
  <c r="DI432" i="3"/>
  <c r="DK431" i="3"/>
  <c r="DI431" i="3"/>
  <c r="DK430" i="3"/>
  <c r="DJ430" i="3"/>
  <c r="DI430" i="3"/>
  <c r="DK425" i="3"/>
  <c r="DI425" i="3"/>
  <c r="DK424" i="3"/>
  <c r="DI424" i="3"/>
  <c r="DK423" i="3"/>
  <c r="DI423" i="3"/>
  <c r="DK422" i="3"/>
  <c r="DI422" i="3"/>
  <c r="DK421" i="3"/>
  <c r="DJ421" i="3"/>
  <c r="DI421" i="3"/>
  <c r="DK416" i="3"/>
  <c r="DI416" i="3"/>
  <c r="DK415" i="3"/>
  <c r="DI415" i="3"/>
  <c r="DK414" i="3"/>
  <c r="DI414" i="3"/>
  <c r="DK413" i="3"/>
  <c r="DI413" i="3"/>
  <c r="DK407" i="3"/>
  <c r="DI407" i="3"/>
  <c r="DK406" i="3"/>
  <c r="DI406" i="3"/>
  <c r="DK405" i="3"/>
  <c r="DI405" i="3"/>
  <c r="DK404" i="3"/>
  <c r="DI404" i="3"/>
  <c r="DK398" i="3"/>
  <c r="DI398" i="3"/>
  <c r="DK397" i="3"/>
  <c r="DI397" i="3"/>
  <c r="DK391" i="3"/>
  <c r="DI391" i="3"/>
  <c r="DK390" i="3"/>
  <c r="DI390" i="3"/>
  <c r="DK384" i="3"/>
  <c r="DJ384" i="3"/>
  <c r="DI384" i="3"/>
  <c r="DK383" i="3"/>
  <c r="DI383" i="3"/>
  <c r="DK382" i="3"/>
  <c r="DI382" i="3"/>
  <c r="DK375" i="3"/>
  <c r="DJ375" i="3"/>
  <c r="DI375" i="3"/>
  <c r="DK374" i="3"/>
  <c r="DI374" i="3"/>
  <c r="DK373" i="3"/>
  <c r="DI373" i="3"/>
  <c r="DK360" i="3"/>
  <c r="DI360" i="3"/>
  <c r="DK359" i="3"/>
  <c r="DI359" i="3"/>
  <c r="DK355" i="3"/>
  <c r="DI355" i="3"/>
  <c r="DK354" i="3"/>
  <c r="DI354" i="3"/>
  <c r="DK350" i="3"/>
  <c r="DJ350" i="3"/>
  <c r="DI350" i="3"/>
  <c r="DK349" i="3"/>
  <c r="DJ349" i="3"/>
  <c r="DI349" i="3"/>
  <c r="DK342" i="3"/>
  <c r="DJ342" i="3"/>
  <c r="DI342" i="3"/>
  <c r="DK341" i="3"/>
  <c r="DJ341" i="3"/>
  <c r="DI341" i="3"/>
  <c r="DK334" i="3"/>
  <c r="DI334" i="3"/>
  <c r="DK333" i="3"/>
  <c r="DJ333" i="3"/>
  <c r="DI333" i="3"/>
  <c r="DK327" i="3"/>
  <c r="DI327" i="3"/>
  <c r="DK326" i="3"/>
  <c r="DJ326" i="3"/>
  <c r="DI326" i="3"/>
  <c r="DK320" i="3"/>
  <c r="DI320" i="3"/>
  <c r="DK319" i="3"/>
  <c r="DI319" i="3"/>
  <c r="DK318" i="3"/>
  <c r="DJ318" i="3"/>
  <c r="DI318" i="3"/>
  <c r="DK312" i="3"/>
  <c r="DI312" i="3"/>
  <c r="DK311" i="3"/>
  <c r="DI311" i="3"/>
  <c r="DK310" i="3"/>
  <c r="DJ310" i="3"/>
  <c r="DI310" i="3"/>
  <c r="DK304" i="3"/>
  <c r="DI304" i="3"/>
  <c r="DK303" i="3"/>
  <c r="DI303" i="3"/>
  <c r="DK302" i="3"/>
  <c r="DI302" i="3"/>
  <c r="DK301" i="3"/>
  <c r="DI301" i="3"/>
  <c r="DK300" i="3"/>
  <c r="DI300" i="3"/>
  <c r="DK294" i="3"/>
  <c r="DI294" i="3"/>
  <c r="DK293" i="3"/>
  <c r="DI293" i="3"/>
  <c r="DK292" i="3"/>
  <c r="DI292" i="3"/>
  <c r="DK291" i="3"/>
  <c r="DI291" i="3"/>
  <c r="DK290" i="3"/>
  <c r="DI290" i="3"/>
  <c r="DK284" i="3"/>
  <c r="DI284" i="3"/>
  <c r="DK283" i="3"/>
  <c r="DI283" i="3"/>
  <c r="DK282" i="3"/>
  <c r="DI282" i="3"/>
  <c r="DK281" i="3"/>
  <c r="DI281" i="3"/>
  <c r="DK280" i="3"/>
  <c r="DI280" i="3"/>
  <c r="DK274" i="3"/>
  <c r="DI274" i="3"/>
  <c r="DK273" i="3"/>
  <c r="DI273" i="3"/>
  <c r="DK272" i="3"/>
  <c r="DI272" i="3"/>
  <c r="DK271" i="3"/>
  <c r="DI271" i="3"/>
  <c r="DK270" i="3"/>
  <c r="DI270" i="3"/>
  <c r="DK264" i="3"/>
  <c r="DI264" i="3"/>
  <c r="DK260" i="3"/>
  <c r="DI260" i="3"/>
  <c r="DK256" i="3"/>
  <c r="DI256" i="3"/>
  <c r="DK255" i="3"/>
  <c r="DI255" i="3"/>
  <c r="DK254" i="3"/>
  <c r="DI254" i="3"/>
  <c r="DK253" i="3"/>
  <c r="DI253" i="3"/>
  <c r="DK252" i="3"/>
  <c r="DI252" i="3"/>
  <c r="DK251" i="3"/>
  <c r="DI251" i="3"/>
  <c r="DK250" i="3"/>
  <c r="DI250" i="3"/>
  <c r="DK249" i="3"/>
  <c r="DI249" i="3"/>
  <c r="DK248" i="3"/>
  <c r="DJ248" i="3"/>
  <c r="DI248" i="3"/>
  <c r="DK243" i="3"/>
  <c r="DI243" i="3"/>
  <c r="DK242" i="3"/>
  <c r="DI242" i="3"/>
  <c r="DK241" i="3"/>
  <c r="DI241" i="3"/>
  <c r="DK240" i="3"/>
  <c r="DI240" i="3"/>
  <c r="DK239" i="3"/>
  <c r="DI239" i="3"/>
  <c r="DK238" i="3"/>
  <c r="DI238" i="3"/>
  <c r="DK237" i="3"/>
  <c r="DI237" i="3"/>
  <c r="DK236" i="3"/>
  <c r="DI236" i="3"/>
  <c r="DK235" i="3"/>
  <c r="DJ235" i="3"/>
  <c r="DI235" i="3"/>
  <c r="DK230" i="3"/>
  <c r="DI230" i="3"/>
  <c r="DK229" i="3"/>
  <c r="DI229" i="3"/>
  <c r="DK228" i="3"/>
  <c r="DI228" i="3"/>
  <c r="DK227" i="3"/>
  <c r="DI227" i="3"/>
  <c r="DK226" i="3"/>
  <c r="DI226" i="3"/>
  <c r="DK225" i="3"/>
  <c r="DI225" i="3"/>
  <c r="DK224" i="3"/>
  <c r="DI224" i="3"/>
  <c r="DK223" i="3"/>
  <c r="DI223" i="3"/>
  <c r="DK222" i="3"/>
  <c r="DJ222" i="3"/>
  <c r="DI222" i="3"/>
  <c r="DK217" i="3"/>
  <c r="DI217" i="3"/>
  <c r="DK216" i="3"/>
  <c r="DI216" i="3"/>
  <c r="DK215" i="3"/>
  <c r="DI215" i="3"/>
  <c r="DK214" i="3"/>
  <c r="DI214" i="3"/>
  <c r="DK213" i="3"/>
  <c r="DI213" i="3"/>
  <c r="DK212" i="3"/>
  <c r="DI212" i="3"/>
  <c r="DK211" i="3"/>
  <c r="DI211" i="3"/>
  <c r="DK210" i="3"/>
  <c r="DI210" i="3"/>
  <c r="DK209" i="3"/>
  <c r="DJ209" i="3"/>
  <c r="DI209" i="3"/>
  <c r="DK204" i="3"/>
  <c r="DI204" i="3"/>
  <c r="DK203" i="3"/>
  <c r="DI203" i="3"/>
  <c r="DK202" i="3"/>
  <c r="DI202" i="3"/>
  <c r="DK201" i="3"/>
  <c r="DI201" i="3"/>
  <c r="DK200" i="3"/>
  <c r="DI200" i="3"/>
  <c r="DK199" i="3"/>
  <c r="DI199" i="3"/>
  <c r="DK198" i="3"/>
  <c r="DI198" i="3"/>
  <c r="DK197" i="3"/>
  <c r="DI197" i="3"/>
  <c r="DK196" i="3"/>
  <c r="DJ196" i="3"/>
  <c r="DI196" i="3"/>
  <c r="DK191" i="3"/>
  <c r="DI191" i="3"/>
  <c r="DK190" i="3"/>
  <c r="DI190" i="3"/>
  <c r="DK189" i="3"/>
  <c r="DI189" i="3"/>
  <c r="DK188" i="3"/>
  <c r="DI188" i="3"/>
  <c r="DK187" i="3"/>
  <c r="DI187" i="3"/>
  <c r="DK186" i="3"/>
  <c r="DI186" i="3"/>
  <c r="DK185" i="3"/>
  <c r="DI185" i="3"/>
  <c r="DK184" i="3"/>
  <c r="DI184" i="3"/>
  <c r="DK183" i="3"/>
  <c r="DJ183" i="3"/>
  <c r="DI183" i="3"/>
  <c r="DK178" i="3"/>
  <c r="DI178" i="3"/>
  <c r="DK177" i="3"/>
  <c r="DI177" i="3"/>
  <c r="DK176" i="3"/>
  <c r="DI176" i="3"/>
  <c r="DK175" i="3"/>
  <c r="DI175" i="3"/>
  <c r="DK174" i="3"/>
  <c r="DI174" i="3"/>
  <c r="DK173" i="3"/>
  <c r="DI173" i="3"/>
  <c r="DK172" i="3"/>
  <c r="DI172" i="3"/>
  <c r="DK171" i="3"/>
  <c r="DI171" i="3"/>
  <c r="DK170" i="3"/>
  <c r="DJ170" i="3"/>
  <c r="DI170" i="3"/>
  <c r="DK165" i="3"/>
  <c r="DI165" i="3"/>
  <c r="DK164" i="3"/>
  <c r="DI164" i="3"/>
  <c r="DK163" i="3"/>
  <c r="DI163" i="3"/>
  <c r="DK162" i="3"/>
  <c r="DI162" i="3"/>
  <c r="DK161" i="3"/>
  <c r="DI161" i="3"/>
  <c r="DK160" i="3"/>
  <c r="DI160" i="3"/>
  <c r="DK159" i="3"/>
  <c r="DI159" i="3"/>
  <c r="DK158" i="3"/>
  <c r="DI158" i="3"/>
  <c r="DK157" i="3"/>
  <c r="DJ157" i="3"/>
  <c r="DI157" i="3"/>
  <c r="DK152" i="3"/>
  <c r="DI152" i="3"/>
  <c r="DK151" i="3"/>
  <c r="DI151" i="3"/>
  <c r="DK145" i="3"/>
  <c r="DI145" i="3"/>
  <c r="DK144" i="3"/>
  <c r="DI144" i="3"/>
  <c r="DK138" i="3"/>
  <c r="DI138" i="3"/>
  <c r="DK132" i="3"/>
  <c r="DI132" i="3"/>
  <c r="DK126" i="3"/>
  <c r="DI126" i="3"/>
  <c r="DK125" i="3"/>
  <c r="DI125" i="3"/>
  <c r="DK124" i="3"/>
  <c r="DI124" i="3"/>
  <c r="DK117" i="3"/>
  <c r="DI117" i="3"/>
  <c r="DK116" i="3"/>
  <c r="DI116" i="3"/>
  <c r="DK115" i="3"/>
  <c r="DI115" i="3"/>
  <c r="DK108" i="3"/>
  <c r="DJ108" i="3"/>
  <c r="DI108" i="3"/>
  <c r="DK107" i="3"/>
  <c r="DI107" i="3"/>
  <c r="DK100" i="3"/>
  <c r="DJ100" i="3"/>
  <c r="DI100" i="3"/>
  <c r="DK99" i="3"/>
  <c r="DI99" i="3"/>
  <c r="DK92" i="3"/>
  <c r="DI92" i="3"/>
  <c r="DK91" i="3"/>
  <c r="DI91" i="3"/>
  <c r="DK90" i="3"/>
  <c r="DI90" i="3"/>
  <c r="DK89" i="3"/>
  <c r="DI89" i="3"/>
  <c r="DK88" i="3"/>
  <c r="DI88" i="3"/>
  <c r="DK87" i="3"/>
  <c r="DI87" i="3"/>
  <c r="DK86" i="3"/>
  <c r="DI86" i="3"/>
  <c r="DK85" i="3"/>
  <c r="DI85" i="3"/>
  <c r="DK84" i="3"/>
  <c r="DJ84" i="3"/>
  <c r="DI84" i="3"/>
  <c r="DK79" i="3"/>
  <c r="DI79" i="3"/>
  <c r="DK78" i="3"/>
  <c r="DI78" i="3"/>
  <c r="DK77" i="3"/>
  <c r="DI77" i="3"/>
  <c r="DK76" i="3"/>
  <c r="DI76" i="3"/>
  <c r="DK75" i="3"/>
  <c r="DI75" i="3"/>
  <c r="DK74" i="3"/>
  <c r="DI74" i="3"/>
  <c r="DK73" i="3"/>
  <c r="DI73" i="3"/>
  <c r="DK72" i="3"/>
  <c r="DI72" i="3"/>
  <c r="DK71" i="3"/>
  <c r="DJ71" i="3"/>
  <c r="DI71" i="3"/>
  <c r="DK66" i="3"/>
  <c r="DI66" i="3"/>
  <c r="DK65" i="3"/>
  <c r="DI65" i="3"/>
  <c r="DK64" i="3"/>
  <c r="DI64" i="3"/>
  <c r="DK63" i="3"/>
  <c r="DI63" i="3"/>
  <c r="DK62" i="3"/>
  <c r="DI62" i="3"/>
  <c r="DK61" i="3"/>
  <c r="DI61" i="3"/>
  <c r="DK60" i="3"/>
  <c r="DI60" i="3"/>
  <c r="DK59" i="3"/>
  <c r="DI59" i="3"/>
  <c r="DK58" i="3"/>
  <c r="DJ58" i="3"/>
  <c r="DI58" i="3"/>
  <c r="DK53" i="3"/>
  <c r="DI53" i="3"/>
  <c r="DK52" i="3"/>
  <c r="DI52" i="3"/>
  <c r="DK51" i="3"/>
  <c r="DI51" i="3"/>
  <c r="DK50" i="3"/>
  <c r="DI50" i="3"/>
  <c r="DK49" i="3"/>
  <c r="DI49" i="3"/>
  <c r="DK48" i="3"/>
  <c r="DI48" i="3"/>
  <c r="DK47" i="3"/>
  <c r="DI47" i="3"/>
  <c r="DK46" i="3"/>
  <c r="DI46" i="3"/>
  <c r="DK45" i="3"/>
  <c r="DJ45" i="3"/>
  <c r="DI45" i="3"/>
  <c r="DK40" i="3"/>
  <c r="DI40" i="3"/>
  <c r="DK34" i="3"/>
  <c r="DI34" i="3"/>
  <c r="DK28" i="3"/>
  <c r="DI28" i="3"/>
  <c r="DK22" i="3"/>
  <c r="DI22" i="3"/>
  <c r="DK16" i="3"/>
  <c r="DJ16" i="3"/>
  <c r="DI16" i="3"/>
  <c r="DK15" i="3"/>
  <c r="DI15" i="3"/>
  <c r="DK8" i="3"/>
  <c r="DJ8" i="3"/>
  <c r="DI8" i="3"/>
  <c r="DK7" i="3"/>
  <c r="DI7" i="3"/>
  <c r="BS18" i="17"/>
  <c r="BR13" i="17"/>
  <c r="BR12" i="17"/>
  <c r="BR11" i="17"/>
  <c r="CA7" i="17"/>
  <c r="CA4" i="17"/>
  <c r="CA3" i="17"/>
  <c r="BZ124" i="15"/>
  <c r="BY124" i="15"/>
  <c r="BZ121" i="15"/>
  <c r="BY121" i="15"/>
  <c r="BZ118" i="15"/>
  <c r="BY118" i="15"/>
  <c r="F91" i="15"/>
  <c r="F80" i="15"/>
  <c r="F99" i="15"/>
  <c r="F105" i="15"/>
  <c r="F60" i="15"/>
  <c r="F92" i="15"/>
  <c r="F90" i="15"/>
  <c r="F93" i="15"/>
  <c r="F63" i="15"/>
  <c r="F76" i="15"/>
  <c r="F75" i="15"/>
  <c r="F104" i="15"/>
  <c r="F101" i="15"/>
  <c r="F103" i="15"/>
  <c r="F86" i="15"/>
  <c r="F62" i="15"/>
  <c r="F85" i="15"/>
  <c r="F107" i="15"/>
  <c r="F109" i="15"/>
  <c r="F108" i="15"/>
  <c r="F95" i="15"/>
  <c r="F94" i="15"/>
  <c r="F83" i="15"/>
  <c r="F106" i="15"/>
  <c r="F82" i="15"/>
  <c r="F79" i="15"/>
  <c r="F81" i="15"/>
  <c r="F102" i="15"/>
  <c r="F59" i="15"/>
  <c r="F73" i="15"/>
  <c r="F69" i="15"/>
  <c r="F74" i="15"/>
  <c r="F70" i="15"/>
  <c r="F72" i="15"/>
  <c r="F68" i="15"/>
  <c r="F98" i="15"/>
  <c r="F88" i="15"/>
  <c r="F100" i="15"/>
  <c r="F78" i="15"/>
  <c r="F61" i="15"/>
  <c r="F97" i="15"/>
  <c r="F65" i="15"/>
  <c r="F64" i="15"/>
  <c r="F66" i="15"/>
  <c r="F84" i="15"/>
  <c r="F89" i="15"/>
  <c r="F71" i="15"/>
  <c r="F67" i="15"/>
  <c r="F96" i="15"/>
  <c r="F87" i="15"/>
  <c r="F77" i="15"/>
  <c r="F58" i="15"/>
  <c r="F54" i="15"/>
  <c r="F40" i="15"/>
  <c r="F43" i="15"/>
  <c r="F46" i="15"/>
  <c r="F44" i="15"/>
  <c r="F48" i="15"/>
  <c r="F39" i="15"/>
  <c r="F38" i="15"/>
  <c r="F47" i="15"/>
  <c r="F35" i="15"/>
  <c r="F49" i="15"/>
  <c r="F42" i="15"/>
  <c r="F33" i="15"/>
  <c r="F45" i="15"/>
  <c r="F36" i="15"/>
  <c r="F34" i="15"/>
  <c r="F50" i="15"/>
  <c r="F41" i="15"/>
  <c r="F37" i="15"/>
  <c r="F51" i="15"/>
  <c r="DK536" i="3"/>
  <c r="DJ536" i="3"/>
  <c r="DI536" i="3"/>
  <c r="DK535" i="3"/>
  <c r="DJ535" i="3"/>
  <c r="DI535" i="3"/>
  <c r="DK533" i="3"/>
  <c r="DJ533" i="3"/>
  <c r="DI533" i="3"/>
  <c r="DK532" i="3"/>
  <c r="DJ532" i="3"/>
  <c r="DI532" i="3"/>
  <c r="DK528" i="3"/>
  <c r="DJ528" i="3"/>
  <c r="DI528" i="3"/>
  <c r="DK527" i="3"/>
  <c r="DJ527" i="3"/>
  <c r="DI527" i="3"/>
  <c r="DK523" i="3"/>
  <c r="DJ523" i="3"/>
  <c r="DI523" i="3"/>
  <c r="DK522" i="3"/>
  <c r="DJ522" i="3"/>
  <c r="DI522" i="3"/>
  <c r="DK514" i="3"/>
  <c r="DJ514" i="3"/>
  <c r="DI514" i="3"/>
  <c r="DK513" i="3"/>
  <c r="DJ513" i="3"/>
  <c r="DI513" i="3"/>
  <c r="DK512" i="3"/>
  <c r="DJ512" i="3"/>
  <c r="DI512" i="3"/>
  <c r="DK503" i="3"/>
  <c r="DJ503" i="3"/>
  <c r="DI503" i="3"/>
  <c r="DK502" i="3"/>
  <c r="DJ502" i="3"/>
  <c r="DI502" i="3"/>
  <c r="DK501" i="3"/>
  <c r="DJ501" i="3"/>
  <c r="DI501" i="3"/>
  <c r="DK497" i="3"/>
  <c r="DJ497" i="3"/>
  <c r="DI497" i="3"/>
  <c r="DK496" i="3"/>
  <c r="DJ496" i="3"/>
  <c r="DI496" i="3"/>
  <c r="DK493" i="3"/>
  <c r="DJ493" i="3"/>
  <c r="DI493" i="3"/>
  <c r="DK492" i="3"/>
  <c r="DJ492" i="3"/>
  <c r="DI492" i="3"/>
  <c r="DK488" i="3"/>
  <c r="DJ488" i="3"/>
  <c r="DI488" i="3"/>
  <c r="DK487" i="3"/>
  <c r="DJ487" i="3"/>
  <c r="DI487" i="3"/>
  <c r="DK486" i="3"/>
  <c r="DJ486" i="3"/>
  <c r="DI486" i="3"/>
  <c r="DK485" i="3"/>
  <c r="DJ485" i="3"/>
  <c r="DI485" i="3"/>
  <c r="DK480" i="3"/>
  <c r="DJ480" i="3"/>
  <c r="DI480" i="3"/>
  <c r="DK479" i="3"/>
  <c r="DJ479" i="3"/>
  <c r="DI479" i="3"/>
  <c r="DK478" i="3"/>
  <c r="DJ478" i="3"/>
  <c r="DI478" i="3"/>
  <c r="DK477" i="3"/>
  <c r="DJ477" i="3"/>
  <c r="DI477" i="3"/>
  <c r="DK472" i="3"/>
  <c r="DJ472" i="3"/>
  <c r="DI472" i="3"/>
  <c r="DK471" i="3"/>
  <c r="DJ471" i="3"/>
  <c r="DI471" i="3"/>
  <c r="DK467" i="3"/>
  <c r="DJ467" i="3"/>
  <c r="DI467" i="3"/>
  <c r="DK466" i="3"/>
  <c r="DJ466" i="3"/>
  <c r="DI466" i="3"/>
  <c r="DK461" i="3"/>
  <c r="DJ461" i="3"/>
  <c r="DI461" i="3"/>
  <c r="DK460" i="3"/>
  <c r="DJ460" i="3"/>
  <c r="DI460" i="3"/>
  <c r="DK459" i="3"/>
  <c r="DI459" i="3"/>
  <c r="DK453" i="3"/>
  <c r="DJ453" i="3"/>
  <c r="DI453" i="3"/>
  <c r="DK452" i="3"/>
  <c r="DJ452" i="3"/>
  <c r="DI452" i="3"/>
  <c r="DK451" i="3"/>
  <c r="DI451" i="3"/>
  <c r="DK446" i="3"/>
  <c r="DJ446" i="3"/>
  <c r="DI446" i="3"/>
  <c r="DK445" i="3"/>
  <c r="DJ445" i="3"/>
  <c r="DI445" i="3"/>
  <c r="DK444" i="3"/>
  <c r="DI444" i="3"/>
  <c r="DK439" i="3"/>
  <c r="DJ439" i="3"/>
  <c r="DI439" i="3"/>
  <c r="DK438" i="3"/>
  <c r="DJ438" i="3"/>
  <c r="DI438" i="3"/>
  <c r="DK437" i="3"/>
  <c r="DI437" i="3"/>
  <c r="DK429" i="3"/>
  <c r="DJ429" i="3"/>
  <c r="DI429" i="3"/>
  <c r="DK428" i="3"/>
  <c r="DI428" i="3"/>
  <c r="DK420" i="3"/>
  <c r="DJ420" i="3"/>
  <c r="DI420" i="3"/>
  <c r="DK419" i="3"/>
  <c r="DI419" i="3"/>
  <c r="DK412" i="3"/>
  <c r="DJ412" i="3"/>
  <c r="DI412" i="3"/>
  <c r="DK411" i="3"/>
  <c r="DJ411" i="3"/>
  <c r="DI411" i="3"/>
  <c r="DK410" i="3"/>
  <c r="DJ410" i="3"/>
  <c r="DI410" i="3"/>
  <c r="DK403" i="3"/>
  <c r="DJ403" i="3"/>
  <c r="DI403" i="3"/>
  <c r="DK402" i="3"/>
  <c r="DJ402" i="3"/>
  <c r="DI402" i="3"/>
  <c r="DK401" i="3"/>
  <c r="DJ401" i="3"/>
  <c r="DI401" i="3"/>
  <c r="DK396" i="3"/>
  <c r="DJ396" i="3"/>
  <c r="DI396" i="3"/>
  <c r="DK395" i="3"/>
  <c r="DJ395" i="3"/>
  <c r="DI395" i="3"/>
  <c r="DK394" i="3"/>
  <c r="DJ394" i="3"/>
  <c r="DI394" i="3"/>
  <c r="DK389" i="3"/>
  <c r="DJ389" i="3"/>
  <c r="DI389" i="3"/>
  <c r="DK388" i="3"/>
  <c r="DJ388" i="3"/>
  <c r="DI388" i="3"/>
  <c r="DK387" i="3"/>
  <c r="DJ387" i="3"/>
  <c r="DI387" i="3"/>
  <c r="DK381" i="3"/>
  <c r="DJ381" i="3"/>
  <c r="DI381" i="3"/>
  <c r="DK380" i="3"/>
  <c r="DJ380" i="3"/>
  <c r="DI380" i="3"/>
  <c r="DK379" i="3"/>
  <c r="DJ379" i="3"/>
  <c r="DI379" i="3"/>
  <c r="DK378" i="3"/>
  <c r="DI378" i="3"/>
  <c r="DK372" i="3"/>
  <c r="DJ372" i="3"/>
  <c r="DI372" i="3"/>
  <c r="DK371" i="3"/>
  <c r="DJ371" i="3"/>
  <c r="DI371" i="3"/>
  <c r="DK370" i="3"/>
  <c r="DJ370" i="3"/>
  <c r="DI370" i="3"/>
  <c r="DK369" i="3"/>
  <c r="DI369" i="3"/>
  <c r="DK366" i="3"/>
  <c r="DJ366" i="3"/>
  <c r="DI366" i="3"/>
  <c r="DK365" i="3"/>
  <c r="DJ365" i="3"/>
  <c r="DI365" i="3"/>
  <c r="DK363" i="3"/>
  <c r="DJ363" i="3"/>
  <c r="DI363" i="3"/>
  <c r="DK362" i="3"/>
  <c r="DJ362" i="3"/>
  <c r="DI362" i="3"/>
  <c r="DK358" i="3"/>
  <c r="DJ358" i="3"/>
  <c r="DI358" i="3"/>
  <c r="DK357" i="3"/>
  <c r="DJ357" i="3"/>
  <c r="DI357" i="3"/>
  <c r="DK353" i="3"/>
  <c r="DJ353" i="3"/>
  <c r="DI353" i="3"/>
  <c r="DK352" i="3"/>
  <c r="DJ352" i="3"/>
  <c r="DI352" i="3"/>
  <c r="DK348" i="3"/>
  <c r="DJ348" i="3"/>
  <c r="DI348" i="3"/>
  <c r="DK347" i="3"/>
  <c r="DJ347" i="3"/>
  <c r="DI347" i="3"/>
  <c r="DK346" i="3"/>
  <c r="DJ346" i="3"/>
  <c r="DI346" i="3"/>
  <c r="DK345" i="3"/>
  <c r="DJ345" i="3"/>
  <c r="DI345" i="3"/>
  <c r="DK340" i="3"/>
  <c r="DJ340" i="3"/>
  <c r="DI340" i="3"/>
  <c r="DK339" i="3"/>
  <c r="DJ339" i="3"/>
  <c r="DI339" i="3"/>
  <c r="DK338" i="3"/>
  <c r="DJ338" i="3"/>
  <c r="DI338" i="3"/>
  <c r="DK337" i="3"/>
  <c r="DJ337" i="3"/>
  <c r="DI337" i="3"/>
  <c r="DK332" i="3"/>
  <c r="DJ332" i="3"/>
  <c r="DI332" i="3"/>
  <c r="DK331" i="3"/>
  <c r="DJ331" i="3"/>
  <c r="DI331" i="3"/>
  <c r="DK330" i="3"/>
  <c r="DI330" i="3"/>
  <c r="DK325" i="3"/>
  <c r="DJ325" i="3"/>
  <c r="DI325" i="3"/>
  <c r="DK324" i="3"/>
  <c r="DJ324" i="3"/>
  <c r="DI324" i="3"/>
  <c r="DK323" i="3"/>
  <c r="DI323" i="3"/>
  <c r="DK317" i="3"/>
  <c r="DJ317" i="3"/>
  <c r="DI317" i="3"/>
  <c r="DK316" i="3"/>
  <c r="DJ316" i="3"/>
  <c r="DI316" i="3"/>
  <c r="DK315" i="3"/>
  <c r="DI315" i="3"/>
  <c r="DK309" i="3"/>
  <c r="DJ309" i="3"/>
  <c r="DI309" i="3"/>
  <c r="DK308" i="3"/>
  <c r="DJ308" i="3"/>
  <c r="DI308" i="3"/>
  <c r="DK307" i="3"/>
  <c r="DI307" i="3"/>
  <c r="DK299" i="3"/>
  <c r="DJ299" i="3"/>
  <c r="DI299" i="3"/>
  <c r="DK298" i="3"/>
  <c r="DJ298" i="3"/>
  <c r="DI298" i="3"/>
  <c r="DK297" i="3"/>
  <c r="DJ297" i="3"/>
  <c r="DI297" i="3"/>
  <c r="DK289" i="3"/>
  <c r="DJ289" i="3"/>
  <c r="DI289" i="3"/>
  <c r="DK288" i="3"/>
  <c r="DJ288" i="3"/>
  <c r="DI288" i="3"/>
  <c r="DK287" i="3"/>
  <c r="DJ287" i="3"/>
  <c r="DI287" i="3"/>
  <c r="DK279" i="3"/>
  <c r="DJ279" i="3"/>
  <c r="DI279" i="3"/>
  <c r="DK278" i="3"/>
  <c r="DJ278" i="3"/>
  <c r="DI278" i="3"/>
  <c r="DK277" i="3"/>
  <c r="DJ277" i="3"/>
  <c r="DI277" i="3"/>
  <c r="DK269" i="3"/>
  <c r="DJ269" i="3"/>
  <c r="DI269" i="3"/>
  <c r="DK268" i="3"/>
  <c r="DJ268" i="3"/>
  <c r="DI268" i="3"/>
  <c r="DK267" i="3"/>
  <c r="DJ267" i="3"/>
  <c r="DI267" i="3"/>
  <c r="DK263" i="3"/>
  <c r="DJ263" i="3"/>
  <c r="DI263" i="3"/>
  <c r="DK262" i="3"/>
  <c r="DJ262" i="3"/>
  <c r="DI262" i="3"/>
  <c r="DK259" i="3"/>
  <c r="DJ259" i="3"/>
  <c r="DI259" i="3"/>
  <c r="DK258" i="3"/>
  <c r="DJ258" i="3"/>
  <c r="DI258" i="3"/>
  <c r="DK247" i="3"/>
  <c r="DJ247" i="3"/>
  <c r="DI247" i="3"/>
  <c r="DK246" i="3"/>
  <c r="DJ246" i="3"/>
  <c r="DI246" i="3"/>
  <c r="DK234" i="3"/>
  <c r="DJ234" i="3"/>
  <c r="DI234" i="3"/>
  <c r="DK233" i="3"/>
  <c r="DJ233" i="3"/>
  <c r="DI233" i="3"/>
  <c r="DK221" i="3"/>
  <c r="DJ221" i="3"/>
  <c r="DI221" i="3"/>
  <c r="DK220" i="3"/>
  <c r="DI220" i="3"/>
  <c r="DK208" i="3"/>
  <c r="DJ208" i="3"/>
  <c r="DI208" i="3"/>
  <c r="DK207" i="3"/>
  <c r="DI207" i="3"/>
  <c r="DK195" i="3"/>
  <c r="DJ195" i="3"/>
  <c r="DI195" i="3"/>
  <c r="DK194" i="3"/>
  <c r="DJ194" i="3"/>
  <c r="DI194" i="3"/>
  <c r="DK182" i="3"/>
  <c r="DJ182" i="3"/>
  <c r="DI182" i="3"/>
  <c r="DK181" i="3"/>
  <c r="DJ181" i="3"/>
  <c r="DI181" i="3"/>
  <c r="DK169" i="3"/>
  <c r="DJ169" i="3"/>
  <c r="DI169" i="3"/>
  <c r="DK168" i="3"/>
  <c r="DJ168" i="3"/>
  <c r="DI168" i="3"/>
  <c r="DK156" i="3"/>
  <c r="DJ156" i="3"/>
  <c r="DI156" i="3"/>
  <c r="DK155" i="3"/>
  <c r="DJ155" i="3"/>
  <c r="DI155" i="3"/>
  <c r="DK150" i="3"/>
  <c r="DJ150" i="3"/>
  <c r="DI150" i="3"/>
  <c r="DK149" i="3"/>
  <c r="DJ149" i="3"/>
  <c r="DI149" i="3"/>
  <c r="DK148" i="3"/>
  <c r="DJ148" i="3"/>
  <c r="DI148" i="3"/>
  <c r="DK143" i="3"/>
  <c r="DJ143" i="3"/>
  <c r="DI143" i="3"/>
  <c r="DK142" i="3"/>
  <c r="DJ142" i="3"/>
  <c r="DI142" i="3"/>
  <c r="DK141" i="3"/>
  <c r="DJ141" i="3"/>
  <c r="DI141" i="3"/>
  <c r="DK137" i="3"/>
  <c r="DJ137" i="3"/>
  <c r="DI137" i="3"/>
  <c r="DK136" i="3"/>
  <c r="DJ136" i="3"/>
  <c r="DI136" i="3"/>
  <c r="DK135" i="3"/>
  <c r="DJ135" i="3"/>
  <c r="DI135" i="3"/>
  <c r="DK131" i="3"/>
  <c r="DJ131" i="3"/>
  <c r="DI131" i="3"/>
  <c r="DK130" i="3"/>
  <c r="DJ130" i="3"/>
  <c r="DI130" i="3"/>
  <c r="DK129" i="3"/>
  <c r="DJ129" i="3"/>
  <c r="DI129" i="3"/>
  <c r="DK123" i="3"/>
  <c r="DJ123" i="3"/>
  <c r="DI123" i="3"/>
  <c r="DK122" i="3"/>
  <c r="DJ122" i="3"/>
  <c r="DI122" i="3"/>
  <c r="DK121" i="3"/>
  <c r="DJ121" i="3"/>
  <c r="DI121" i="3"/>
  <c r="DK120" i="3"/>
  <c r="DI120" i="3"/>
  <c r="DK114" i="3"/>
  <c r="DJ114" i="3"/>
  <c r="DI114" i="3"/>
  <c r="DK113" i="3"/>
  <c r="DJ113" i="3"/>
  <c r="DI113" i="3"/>
  <c r="DK112" i="3"/>
  <c r="DJ112" i="3"/>
  <c r="DI112" i="3"/>
  <c r="DK111" i="3"/>
  <c r="DI111" i="3"/>
  <c r="DK106" i="3"/>
  <c r="DJ106" i="3"/>
  <c r="DI106" i="3"/>
  <c r="DK105" i="3"/>
  <c r="DJ105" i="3"/>
  <c r="DI105" i="3"/>
  <c r="DK104" i="3"/>
  <c r="DJ104" i="3"/>
  <c r="DI104" i="3"/>
  <c r="DK103" i="3"/>
  <c r="DI103" i="3"/>
  <c r="DK98" i="3"/>
  <c r="DJ98" i="3"/>
  <c r="DI98" i="3"/>
  <c r="DK97" i="3"/>
  <c r="DJ97" i="3"/>
  <c r="DI97" i="3"/>
  <c r="DK96" i="3"/>
  <c r="DJ96" i="3"/>
  <c r="DI96" i="3"/>
  <c r="DK95" i="3"/>
  <c r="DI95" i="3"/>
  <c r="DK83" i="3"/>
  <c r="DJ83" i="3"/>
  <c r="DI83" i="3"/>
  <c r="DK82" i="3"/>
  <c r="DI82" i="3"/>
  <c r="DK70" i="3"/>
  <c r="DJ70" i="3"/>
  <c r="DI70" i="3"/>
  <c r="DK69" i="3"/>
  <c r="DI69" i="3"/>
  <c r="DK57" i="3"/>
  <c r="DJ57" i="3"/>
  <c r="DI57" i="3"/>
  <c r="DK56" i="3"/>
  <c r="DI56" i="3"/>
  <c r="DK44" i="3"/>
  <c r="DJ44" i="3"/>
  <c r="DI44" i="3"/>
  <c r="DK43" i="3"/>
  <c r="DI43" i="3"/>
  <c r="DK39" i="3"/>
  <c r="DJ39" i="3"/>
  <c r="DI39" i="3"/>
  <c r="DK38" i="3"/>
  <c r="DJ38" i="3"/>
  <c r="DI38" i="3"/>
  <c r="DK37" i="3"/>
  <c r="DJ37" i="3"/>
  <c r="DI37" i="3"/>
  <c r="DK33" i="3"/>
  <c r="DJ33" i="3"/>
  <c r="DI33" i="3"/>
  <c r="DK32" i="3"/>
  <c r="DJ32" i="3"/>
  <c r="DI32" i="3"/>
  <c r="DK31" i="3"/>
  <c r="DJ31" i="3"/>
  <c r="DI31" i="3"/>
  <c r="DK27" i="3"/>
  <c r="DJ27" i="3"/>
  <c r="DI27" i="3"/>
  <c r="DK26" i="3"/>
  <c r="DJ26" i="3"/>
  <c r="DI26" i="3"/>
  <c r="DK25" i="3"/>
  <c r="DJ25" i="3"/>
  <c r="DI25" i="3"/>
  <c r="DK21" i="3"/>
  <c r="DJ21" i="3"/>
  <c r="DI21" i="3"/>
  <c r="DK20" i="3"/>
  <c r="DJ20" i="3"/>
  <c r="DI20" i="3"/>
  <c r="DK19" i="3"/>
  <c r="DJ19" i="3"/>
  <c r="DI19" i="3"/>
  <c r="DK14" i="3"/>
  <c r="DJ14" i="3"/>
  <c r="DI14" i="3"/>
  <c r="DK13" i="3"/>
  <c r="DJ13" i="3"/>
  <c r="DI13" i="3"/>
  <c r="DK12" i="3"/>
  <c r="DJ12" i="3"/>
  <c r="DI12" i="3"/>
  <c r="DK11" i="3"/>
  <c r="DI11" i="3"/>
  <c r="DK6" i="3"/>
  <c r="DJ6" i="3"/>
  <c r="DI6" i="3"/>
  <c r="DK5" i="3"/>
  <c r="DJ5" i="3"/>
  <c r="DI5" i="3"/>
  <c r="DK4" i="3"/>
  <c r="DJ4" i="3"/>
  <c r="DI4" i="3"/>
  <c r="DK3" i="3"/>
  <c r="DI3" i="3"/>
  <c r="F24" i="15"/>
  <c r="F25" i="15"/>
  <c r="F21" i="15"/>
  <c r="F23" i="15"/>
  <c r="F20" i="15"/>
  <c r="F26" i="15"/>
  <c r="F27" i="15"/>
  <c r="F22" i="15"/>
  <c r="F28" i="15"/>
  <c r="F29" i="15"/>
  <c r="F19" i="15"/>
  <c r="DK534" i="3"/>
  <c r="DJ534" i="3"/>
  <c r="DI534" i="3"/>
  <c r="DK531" i="3"/>
  <c r="DJ531" i="3"/>
  <c r="DI531" i="3"/>
  <c r="DK526" i="3"/>
  <c r="DJ526" i="3"/>
  <c r="DI526" i="3"/>
  <c r="DK521" i="3"/>
  <c r="DJ521" i="3"/>
  <c r="DI521" i="3"/>
  <c r="DK511" i="3"/>
  <c r="DJ511" i="3"/>
  <c r="DI511" i="3"/>
  <c r="DK510" i="3"/>
  <c r="DJ510" i="3"/>
  <c r="DI510" i="3"/>
  <c r="DK500" i="3"/>
  <c r="DJ500" i="3"/>
  <c r="DI500" i="3"/>
  <c r="DK499" i="3"/>
  <c r="DJ499" i="3"/>
  <c r="DI499" i="3"/>
  <c r="DK495" i="3"/>
  <c r="DJ495" i="3"/>
  <c r="DI495" i="3"/>
  <c r="DK491" i="3"/>
  <c r="DJ491" i="3"/>
  <c r="DI491" i="3"/>
  <c r="DK484" i="3"/>
  <c r="DJ484" i="3"/>
  <c r="DI484" i="3"/>
  <c r="DK483" i="3"/>
  <c r="DJ483" i="3"/>
  <c r="DI483" i="3"/>
  <c r="DK476" i="3"/>
  <c r="DJ476" i="3"/>
  <c r="DI476" i="3"/>
  <c r="DK475" i="3"/>
  <c r="DJ475" i="3"/>
  <c r="DI475" i="3"/>
  <c r="DK470" i="3"/>
  <c r="DJ470" i="3"/>
  <c r="DI470" i="3"/>
  <c r="DK465" i="3"/>
  <c r="DJ465" i="3"/>
  <c r="DI465" i="3"/>
  <c r="DK458" i="3"/>
  <c r="DJ458" i="3"/>
  <c r="DI458" i="3"/>
  <c r="DK457" i="3"/>
  <c r="DJ457" i="3"/>
  <c r="DI457" i="3"/>
  <c r="DK450" i="3"/>
  <c r="DJ450" i="3"/>
  <c r="DI450" i="3"/>
  <c r="DK449" i="3"/>
  <c r="DJ449" i="3"/>
  <c r="DI449" i="3"/>
  <c r="DK443" i="3"/>
  <c r="DJ443" i="3"/>
  <c r="DI443" i="3"/>
  <c r="DK442" i="3"/>
  <c r="DJ442" i="3"/>
  <c r="DI442" i="3"/>
  <c r="DK436" i="3"/>
  <c r="DJ436" i="3"/>
  <c r="DI436" i="3"/>
  <c r="DK435" i="3"/>
  <c r="DJ435" i="3"/>
  <c r="DI435" i="3"/>
  <c r="DK427" i="3"/>
  <c r="DJ427" i="3"/>
  <c r="DI427" i="3"/>
  <c r="DK426" i="3"/>
  <c r="DJ426" i="3"/>
  <c r="DI426" i="3"/>
  <c r="DK418" i="3"/>
  <c r="DJ418" i="3"/>
  <c r="DI418" i="3"/>
  <c r="DK417" i="3"/>
  <c r="DJ417" i="3"/>
  <c r="DI417" i="3"/>
  <c r="DK409" i="3"/>
  <c r="DJ409" i="3"/>
  <c r="DI409" i="3"/>
  <c r="DK408" i="3"/>
  <c r="DJ408" i="3"/>
  <c r="DI408" i="3"/>
  <c r="DK400" i="3"/>
  <c r="DJ400" i="3"/>
  <c r="DI400" i="3"/>
  <c r="DK399" i="3"/>
  <c r="DJ399" i="3"/>
  <c r="DI399" i="3"/>
  <c r="DK393" i="3"/>
  <c r="DJ393" i="3"/>
  <c r="DI393" i="3"/>
  <c r="DK392" i="3"/>
  <c r="DJ392" i="3"/>
  <c r="DI392" i="3"/>
  <c r="DK386" i="3"/>
  <c r="DJ386" i="3"/>
  <c r="DI386" i="3"/>
  <c r="DK385" i="3"/>
  <c r="DJ385" i="3"/>
  <c r="DI385" i="3"/>
  <c r="DK377" i="3"/>
  <c r="DJ377" i="3"/>
  <c r="DI377" i="3"/>
  <c r="DK376" i="3"/>
  <c r="DJ376" i="3"/>
  <c r="DI376" i="3"/>
  <c r="DK368" i="3"/>
  <c r="DJ368" i="3"/>
  <c r="DI368" i="3"/>
  <c r="DK367" i="3"/>
  <c r="DJ367" i="3"/>
  <c r="DI367" i="3"/>
  <c r="DK364" i="3"/>
  <c r="DJ364" i="3"/>
  <c r="DI364" i="3"/>
  <c r="DK361" i="3"/>
  <c r="DJ361" i="3"/>
  <c r="DI361" i="3"/>
  <c r="DK356" i="3"/>
  <c r="DJ356" i="3"/>
  <c r="DI356" i="3"/>
  <c r="DK351" i="3"/>
  <c r="DJ351" i="3"/>
  <c r="DI351" i="3"/>
  <c r="DK344" i="3"/>
  <c r="DJ344" i="3"/>
  <c r="DI344" i="3"/>
  <c r="DK343" i="3"/>
  <c r="DJ343" i="3"/>
  <c r="DI343" i="3"/>
  <c r="DK336" i="3"/>
  <c r="DJ336" i="3"/>
  <c r="DI336" i="3"/>
  <c r="DK335" i="3"/>
  <c r="DJ335" i="3"/>
  <c r="DI335" i="3"/>
  <c r="DK329" i="3"/>
  <c r="DJ329" i="3"/>
  <c r="DI329" i="3"/>
  <c r="DK328" i="3"/>
  <c r="DJ328" i="3"/>
  <c r="DI328" i="3"/>
  <c r="DK322" i="3"/>
  <c r="DJ322" i="3"/>
  <c r="DI322" i="3"/>
  <c r="DK321" i="3"/>
  <c r="DJ321" i="3"/>
  <c r="DI321" i="3"/>
  <c r="DK314" i="3"/>
  <c r="DJ314" i="3"/>
  <c r="DI314" i="3"/>
  <c r="DK313" i="3"/>
  <c r="DJ313" i="3"/>
  <c r="DI313" i="3"/>
  <c r="DK306" i="3"/>
  <c r="DJ306" i="3"/>
  <c r="DI306" i="3"/>
  <c r="DK305" i="3"/>
  <c r="DJ305" i="3"/>
  <c r="DI305" i="3"/>
  <c r="DK296" i="3"/>
  <c r="DJ296" i="3"/>
  <c r="DI296" i="3"/>
  <c r="DK295" i="3"/>
  <c r="DJ295" i="3"/>
  <c r="DI295" i="3"/>
  <c r="DK286" i="3"/>
  <c r="DJ286" i="3"/>
  <c r="DI286" i="3"/>
  <c r="DK285" i="3"/>
  <c r="DJ285" i="3"/>
  <c r="DI285" i="3"/>
  <c r="DK276" i="3"/>
  <c r="DJ276" i="3"/>
  <c r="DI276" i="3"/>
  <c r="DK275" i="3"/>
  <c r="DJ275" i="3"/>
  <c r="DI275" i="3"/>
  <c r="DK266" i="3"/>
  <c r="DJ266" i="3"/>
  <c r="DI266" i="3"/>
  <c r="DK265" i="3"/>
  <c r="DJ265" i="3"/>
  <c r="DI265" i="3"/>
  <c r="DK261" i="3"/>
  <c r="DJ261" i="3"/>
  <c r="DI261" i="3"/>
  <c r="DK257" i="3"/>
  <c r="DJ257" i="3"/>
  <c r="DI257" i="3"/>
  <c r="DK245" i="3"/>
  <c r="DJ245" i="3"/>
  <c r="DI245" i="3"/>
  <c r="DK244" i="3"/>
  <c r="DJ244" i="3"/>
  <c r="DI244" i="3"/>
  <c r="DK232" i="3"/>
  <c r="DJ232" i="3"/>
  <c r="DI232" i="3"/>
  <c r="DK231" i="3"/>
  <c r="DJ231" i="3"/>
  <c r="DI231" i="3"/>
  <c r="DK219" i="3"/>
  <c r="DJ219" i="3"/>
  <c r="DI219" i="3"/>
  <c r="DK218" i="3"/>
  <c r="DJ218" i="3"/>
  <c r="DI218" i="3"/>
  <c r="DK206" i="3"/>
  <c r="DJ206" i="3"/>
  <c r="DI206" i="3"/>
  <c r="DK205" i="3"/>
  <c r="DJ205" i="3"/>
  <c r="DI205" i="3"/>
  <c r="DK193" i="3"/>
  <c r="DJ193" i="3"/>
  <c r="DI193" i="3"/>
  <c r="DK192" i="3"/>
  <c r="DJ192" i="3"/>
  <c r="DI192" i="3"/>
  <c r="DK180" i="3"/>
  <c r="DJ180" i="3"/>
  <c r="DI180" i="3"/>
  <c r="DK179" i="3"/>
  <c r="DJ179" i="3"/>
  <c r="DI179" i="3"/>
  <c r="DK167" i="3"/>
  <c r="DJ167" i="3"/>
  <c r="DI167" i="3"/>
  <c r="DK166" i="3"/>
  <c r="DJ166" i="3"/>
  <c r="DI166" i="3"/>
  <c r="DK154" i="3"/>
  <c r="DJ154" i="3"/>
  <c r="DI154" i="3"/>
  <c r="DK153" i="3"/>
  <c r="DJ153" i="3"/>
  <c r="DI153" i="3"/>
  <c r="DK147" i="3"/>
  <c r="DJ147" i="3"/>
  <c r="DI147" i="3"/>
  <c r="DK146" i="3"/>
  <c r="DJ146" i="3"/>
  <c r="DI146" i="3"/>
  <c r="DK140" i="3"/>
  <c r="DJ140" i="3"/>
  <c r="DI140" i="3"/>
  <c r="DK139" i="3"/>
  <c r="DJ139" i="3"/>
  <c r="DI139" i="3"/>
  <c r="DK134" i="3"/>
  <c r="DJ134" i="3"/>
  <c r="DI134" i="3"/>
  <c r="DK133" i="3"/>
  <c r="DJ133" i="3"/>
  <c r="DI133" i="3"/>
  <c r="DK128" i="3"/>
  <c r="DJ128" i="3"/>
  <c r="DI128" i="3"/>
  <c r="DK127" i="3"/>
  <c r="DJ127" i="3"/>
  <c r="DI127" i="3"/>
  <c r="DK119" i="3"/>
  <c r="DJ119" i="3"/>
  <c r="DI119" i="3"/>
  <c r="DK118" i="3"/>
  <c r="DJ118" i="3"/>
  <c r="DI118" i="3"/>
  <c r="DK110" i="3"/>
  <c r="DJ110" i="3"/>
  <c r="DI110" i="3"/>
  <c r="DK109" i="3"/>
  <c r="DJ109" i="3"/>
  <c r="DI109" i="3"/>
  <c r="DK102" i="3"/>
  <c r="DJ102" i="3"/>
  <c r="DI102" i="3"/>
  <c r="DK101" i="3"/>
  <c r="DJ101" i="3"/>
  <c r="DI101" i="3"/>
  <c r="DK94" i="3"/>
  <c r="DJ94" i="3"/>
  <c r="DI94" i="3"/>
  <c r="DK93" i="3"/>
  <c r="DJ93" i="3"/>
  <c r="DI93" i="3"/>
  <c r="DK81" i="3"/>
  <c r="DJ81" i="3"/>
  <c r="DI81" i="3"/>
  <c r="DK80" i="3"/>
  <c r="DJ80" i="3"/>
  <c r="DI80" i="3"/>
  <c r="DK68" i="3"/>
  <c r="DJ68" i="3"/>
  <c r="DI68" i="3"/>
  <c r="DK67" i="3"/>
  <c r="DJ67" i="3"/>
  <c r="DI67" i="3"/>
  <c r="DK55" i="3"/>
  <c r="DJ55" i="3"/>
  <c r="DI55" i="3"/>
  <c r="DK54" i="3"/>
  <c r="DJ54" i="3"/>
  <c r="DI54" i="3"/>
  <c r="DK42" i="3"/>
  <c r="DJ42" i="3"/>
  <c r="DI42" i="3"/>
  <c r="DK41" i="3"/>
  <c r="DJ41" i="3"/>
  <c r="DI41" i="3"/>
  <c r="DK36" i="3"/>
  <c r="DJ36" i="3"/>
  <c r="DI36" i="3"/>
  <c r="DK35" i="3"/>
  <c r="DJ35" i="3"/>
  <c r="DI35" i="3"/>
  <c r="DK30" i="3"/>
  <c r="DJ30" i="3"/>
  <c r="DI30" i="3"/>
  <c r="DK29" i="3"/>
  <c r="DJ29" i="3"/>
  <c r="DI29" i="3"/>
  <c r="DK24" i="3"/>
  <c r="DJ24" i="3"/>
  <c r="DI24" i="3"/>
  <c r="DK23" i="3"/>
  <c r="DJ23" i="3"/>
  <c r="DI23" i="3"/>
  <c r="DK18" i="3"/>
  <c r="DJ18" i="3"/>
  <c r="DI18" i="3"/>
  <c r="DK17" i="3"/>
  <c r="DJ17" i="3"/>
  <c r="DI17" i="3"/>
  <c r="DK10" i="3"/>
  <c r="DJ10" i="3"/>
  <c r="DI10" i="3"/>
  <c r="DK9" i="3"/>
  <c r="DJ9" i="3"/>
  <c r="DI9" i="3"/>
  <c r="DK2" i="3"/>
  <c r="DJ2" i="3"/>
  <c r="DI2" i="3"/>
  <c r="DK1" i="3"/>
  <c r="DJ1" i="3"/>
  <c r="DI1" i="3"/>
  <c r="BS10" i="15"/>
  <c r="BR5" i="15"/>
  <c r="BR4" i="15"/>
  <c r="BR3" i="15"/>
  <c r="BZ82" i="13"/>
  <c r="BY82" i="13"/>
  <c r="BZ79" i="13"/>
  <c r="BY79" i="13"/>
  <c r="BZ76" i="13"/>
  <c r="BY76" i="13"/>
  <c r="F23" i="13"/>
  <c r="F56" i="13"/>
  <c r="F47" i="13"/>
  <c r="F58" i="13"/>
  <c r="F69" i="13"/>
  <c r="F26" i="13"/>
  <c r="F21" i="13"/>
  <c r="F27" i="13"/>
  <c r="F68" i="13"/>
  <c r="F36" i="13"/>
  <c r="F35" i="13"/>
  <c r="F54" i="13"/>
  <c r="F50" i="13"/>
  <c r="F53" i="13"/>
  <c r="F29" i="13"/>
  <c r="F65" i="13"/>
  <c r="F19" i="13"/>
  <c r="F60" i="13"/>
  <c r="F70" i="13"/>
  <c r="F64" i="13"/>
  <c r="F32" i="13"/>
  <c r="F31" i="13"/>
  <c r="F63" i="13"/>
  <c r="F59" i="13"/>
  <c r="F62" i="13"/>
  <c r="F55" i="13"/>
  <c r="F57" i="13"/>
  <c r="F52" i="13"/>
  <c r="F34" i="13"/>
  <c r="F43" i="13"/>
  <c r="F40" i="13"/>
  <c r="F44" i="13"/>
  <c r="F41" i="13"/>
  <c r="F42" i="13"/>
  <c r="F39" i="13"/>
  <c r="F46" i="13"/>
  <c r="F30" i="13"/>
  <c r="F48" i="13"/>
  <c r="F49" i="13"/>
  <c r="F25" i="13"/>
  <c r="F45" i="13"/>
  <c r="F66" i="13"/>
  <c r="F67" i="13"/>
  <c r="F51" i="13"/>
  <c r="F61" i="13"/>
  <c r="F20" i="13"/>
  <c r="F38" i="13"/>
  <c r="F37" i="13"/>
  <c r="F33" i="13"/>
  <c r="F28" i="13"/>
  <c r="F24" i="13"/>
  <c r="F22" i="13"/>
  <c r="BS10" i="13"/>
  <c r="BR5" i="13"/>
  <c r="BR4" i="13"/>
  <c r="BR3" i="13"/>
  <c r="IU20" i="10"/>
  <c r="IT20" i="10"/>
  <c r="IS20" i="10"/>
  <c r="IR20" i="10"/>
  <c r="IQ20" i="10"/>
  <c r="IP20" i="10"/>
  <c r="IO20" i="10"/>
  <c r="IN20" i="10"/>
  <c r="GG20" i="10"/>
  <c r="GF20" i="10"/>
  <c r="GE20" i="10"/>
  <c r="GD20" i="10"/>
  <c r="GC20" i="10"/>
  <c r="GB20" i="10"/>
  <c r="GA20" i="10"/>
  <c r="FZ20" i="10"/>
  <c r="FY20" i="10"/>
  <c r="FX20" i="10"/>
  <c r="IM20" i="10"/>
  <c r="IL20" i="10"/>
  <c r="IK20" i="10"/>
  <c r="IJ20" i="10"/>
  <c r="II20" i="10"/>
  <c r="IH20" i="10"/>
  <c r="IG20" i="10"/>
  <c r="IF20" i="10"/>
  <c r="IE20" i="10"/>
  <c r="ID20" i="10"/>
  <c r="IC20" i="10"/>
  <c r="IB20" i="10"/>
  <c r="FW20" i="10"/>
  <c r="FV20" i="10"/>
  <c r="FU20" i="10"/>
  <c r="FT20" i="10"/>
  <c r="FS20" i="10"/>
  <c r="FR20" i="10"/>
  <c r="FQ20" i="10"/>
  <c r="FP20" i="10"/>
  <c r="FO20" i="10"/>
  <c r="FN20" i="10"/>
  <c r="FM20" i="10"/>
  <c r="FL20" i="10"/>
  <c r="FK20" i="10"/>
  <c r="FJ20" i="10"/>
  <c r="FI20" i="10"/>
  <c r="FH20" i="10"/>
  <c r="FG20" i="10"/>
  <c r="FF20" i="10"/>
  <c r="FE20" i="10"/>
  <c r="FD20" i="10"/>
  <c r="FC20" i="10"/>
  <c r="FB20" i="10"/>
  <c r="FA20" i="10"/>
  <c r="EZ20" i="10"/>
  <c r="EY20" i="10"/>
  <c r="EX20" i="10"/>
  <c r="EW20" i="10"/>
  <c r="EV20" i="10"/>
  <c r="BP858" i="10"/>
  <c r="BO858" i="10"/>
  <c r="BN858" i="10"/>
  <c r="BM858" i="10"/>
  <c r="BL858" i="10"/>
  <c r="BK858" i="10"/>
  <c r="BJ858" i="10"/>
  <c r="BI858" i="10"/>
  <c r="BH858" i="10"/>
  <c r="BG858" i="10"/>
  <c r="BF858" i="10"/>
  <c r="BE858" i="10"/>
  <c r="BD20" i="10"/>
  <c r="BC20" i="10"/>
  <c r="BB20" i="10"/>
  <c r="BA20" i="10"/>
  <c r="AZ20" i="10"/>
  <c r="AY20" i="10"/>
  <c r="DZ20" i="10"/>
  <c r="DY20" i="10"/>
  <c r="DX20" i="10"/>
  <c r="DD20" i="10"/>
  <c r="IU19" i="10"/>
  <c r="IT19" i="10"/>
  <c r="IS19" i="10"/>
  <c r="IR19" i="10"/>
  <c r="IQ19" i="10"/>
  <c r="IP19" i="10"/>
  <c r="IO19" i="10"/>
  <c r="IN19" i="10"/>
  <c r="GG19" i="10"/>
  <c r="GF19" i="10"/>
  <c r="GE19" i="10"/>
  <c r="GD19" i="10"/>
  <c r="GC19" i="10"/>
  <c r="GB19" i="10"/>
  <c r="GA19" i="10"/>
  <c r="FZ19" i="10"/>
  <c r="FY19" i="10"/>
  <c r="FX19" i="10"/>
  <c r="IM19" i="10"/>
  <c r="IL19" i="10"/>
  <c r="IK19" i="10"/>
  <c r="IJ19" i="10"/>
  <c r="II19" i="10"/>
  <c r="IH19" i="10"/>
  <c r="IG19" i="10"/>
  <c r="IF19" i="10"/>
  <c r="IE19" i="10"/>
  <c r="ID19" i="10"/>
  <c r="IC19" i="10"/>
  <c r="IB19" i="10"/>
  <c r="FW19" i="10"/>
  <c r="FV19" i="10"/>
  <c r="FU19" i="10"/>
  <c r="FT19" i="10"/>
  <c r="FS19" i="10"/>
  <c r="FR19" i="10"/>
  <c r="FQ19" i="10"/>
  <c r="FP19" i="10"/>
  <c r="FO19" i="10"/>
  <c r="FN19" i="10"/>
  <c r="FM19" i="10"/>
  <c r="FL19" i="10"/>
  <c r="FK19" i="10"/>
  <c r="FJ19" i="10"/>
  <c r="FI19" i="10"/>
  <c r="FH19" i="10"/>
  <c r="FG19" i="10"/>
  <c r="FF19" i="10"/>
  <c r="FE19" i="10"/>
  <c r="FD19" i="10"/>
  <c r="FC19" i="10"/>
  <c r="FB19" i="10"/>
  <c r="FA19" i="10"/>
  <c r="EZ19" i="10"/>
  <c r="EY19" i="10"/>
  <c r="EX19" i="10"/>
  <c r="EW19" i="10"/>
  <c r="EV19" i="10"/>
  <c r="BP793" i="10"/>
  <c r="BO793" i="10"/>
  <c r="BN793" i="10"/>
  <c r="BM793" i="10"/>
  <c r="BL793" i="10"/>
  <c r="BK793" i="10"/>
  <c r="BJ793" i="10"/>
  <c r="BI793" i="10"/>
  <c r="BH793" i="10"/>
  <c r="BG793" i="10"/>
  <c r="BF793" i="10"/>
  <c r="BE793" i="10"/>
  <c r="BD19" i="10"/>
  <c r="BC19" i="10"/>
  <c r="BB19" i="10"/>
  <c r="BA19" i="10"/>
  <c r="AZ19" i="10"/>
  <c r="AY19" i="10"/>
  <c r="DZ19" i="10"/>
  <c r="DY19" i="10"/>
  <c r="DX19" i="10"/>
  <c r="DD19" i="10"/>
  <c r="EW405" i="1"/>
  <c r="AQ405" i="1"/>
  <c r="CA405" i="1"/>
  <c r="BZ405" i="1"/>
  <c r="I405" i="1"/>
  <c r="DH534" i="3" s="1"/>
  <c r="I404" i="1"/>
  <c r="E178" i="17" s="1"/>
  <c r="DW405" i="1"/>
  <c r="DW403" i="1"/>
  <c r="F403" i="1"/>
  <c r="DW401" i="1"/>
  <c r="F401" i="1"/>
  <c r="EW399" i="1"/>
  <c r="AQ399" i="1"/>
  <c r="CA399" i="1"/>
  <c r="BZ399" i="1"/>
  <c r="I399" i="1"/>
  <c r="DH528" i="3" s="1"/>
  <c r="I398" i="1"/>
  <c r="DH524" i="3" s="1"/>
  <c r="DW399" i="1"/>
  <c r="DW397" i="1"/>
  <c r="F397" i="1"/>
  <c r="DW395" i="1"/>
  <c r="F395" i="1"/>
  <c r="DW393" i="1"/>
  <c r="F393" i="1"/>
  <c r="DW391" i="1"/>
  <c r="F391" i="1"/>
  <c r="DW389" i="1"/>
  <c r="F389" i="1"/>
  <c r="DW387" i="1"/>
  <c r="F387" i="1"/>
  <c r="EW385" i="1"/>
  <c r="AQ385" i="1"/>
  <c r="CA385" i="1"/>
  <c r="BZ385" i="1"/>
  <c r="I385" i="1"/>
  <c r="DH519" i="3" s="1"/>
  <c r="I384" i="1"/>
  <c r="DH508" i="3" s="1"/>
  <c r="DW385" i="1"/>
  <c r="DW383" i="1"/>
  <c r="F383" i="1"/>
  <c r="EW381" i="1"/>
  <c r="AQ381" i="1"/>
  <c r="CA381" i="1"/>
  <c r="BZ381" i="1"/>
  <c r="I381" i="1"/>
  <c r="DH497" i="3" s="1"/>
  <c r="I380" i="1"/>
  <c r="E166" i="17" s="1"/>
  <c r="G167" i="17" s="1"/>
  <c r="DW381" i="1"/>
  <c r="DW379" i="1"/>
  <c r="F379" i="1"/>
  <c r="DW377" i="1"/>
  <c r="F377" i="1"/>
  <c r="EW375" i="1"/>
  <c r="AQ375" i="1"/>
  <c r="CA375" i="1"/>
  <c r="BZ375" i="1"/>
  <c r="I375" i="1"/>
  <c r="DH490" i="3" s="1"/>
  <c r="I374" i="1"/>
  <c r="DH481" i="3" s="1"/>
  <c r="DW375" i="1"/>
  <c r="DW373" i="1"/>
  <c r="F373" i="1"/>
  <c r="DW371" i="1"/>
  <c r="F371" i="1"/>
  <c r="EW369" i="1"/>
  <c r="AQ369" i="1"/>
  <c r="CA369" i="1"/>
  <c r="BZ369" i="1"/>
  <c r="I369" i="1"/>
  <c r="DH474" i="3" s="1"/>
  <c r="I368" i="1"/>
  <c r="E160" i="17" s="1"/>
  <c r="DW369" i="1"/>
  <c r="DW367" i="1"/>
  <c r="F367" i="1"/>
  <c r="DW365" i="1"/>
  <c r="F365" i="1"/>
  <c r="DW363" i="1"/>
  <c r="F363" i="1"/>
  <c r="EW361" i="1"/>
  <c r="AQ361" i="1"/>
  <c r="CA361" i="1"/>
  <c r="BZ361" i="1"/>
  <c r="I361" i="1"/>
  <c r="DH464" i="3" s="1"/>
  <c r="I360" i="1"/>
  <c r="DH454" i="3" s="1"/>
  <c r="DW361" i="1"/>
  <c r="DW359" i="1"/>
  <c r="F359" i="1"/>
  <c r="DW357" i="1"/>
  <c r="F357" i="1"/>
  <c r="EW355" i="1"/>
  <c r="AQ355" i="1"/>
  <c r="CA355" i="1"/>
  <c r="BZ355" i="1"/>
  <c r="I355" i="1"/>
  <c r="DH448" i="3" s="1"/>
  <c r="I354" i="1"/>
  <c r="DH435" i="3" s="1"/>
  <c r="DW355" i="1"/>
  <c r="I353" i="1"/>
  <c r="I352" i="1"/>
  <c r="R54" i="15" s="1"/>
  <c r="DW353" i="1"/>
  <c r="F353" i="1"/>
  <c r="DW351" i="1"/>
  <c r="F351" i="1"/>
  <c r="DW349" i="1"/>
  <c r="F349" i="1"/>
  <c r="DW347" i="1"/>
  <c r="F347" i="1"/>
  <c r="DW345" i="1"/>
  <c r="F345" i="1"/>
  <c r="DW343" i="1"/>
  <c r="F343" i="1"/>
  <c r="EW341" i="1"/>
  <c r="AQ341" i="1"/>
  <c r="CA341" i="1"/>
  <c r="BZ341" i="1"/>
  <c r="I341" i="1"/>
  <c r="DH434" i="3" s="1"/>
  <c r="I340" i="1"/>
  <c r="DH421" i="3" s="1"/>
  <c r="DW341" i="1"/>
  <c r="DW339" i="1"/>
  <c r="F339" i="1"/>
  <c r="DW337" i="1"/>
  <c r="F337" i="1"/>
  <c r="DW335" i="1"/>
  <c r="F335" i="1"/>
  <c r="DW333" i="1"/>
  <c r="F333" i="1"/>
  <c r="EW331" i="1"/>
  <c r="AQ331" i="1"/>
  <c r="CA331" i="1"/>
  <c r="BZ331" i="1"/>
  <c r="I331" i="1"/>
  <c r="DH412" i="3" s="1"/>
  <c r="I330" i="1"/>
  <c r="DH403" i="3" s="1"/>
  <c r="DW331" i="1"/>
  <c r="DW329" i="1"/>
  <c r="F329" i="1"/>
  <c r="DW327" i="1"/>
  <c r="F327" i="1"/>
  <c r="EW325" i="1"/>
  <c r="AQ325" i="1"/>
  <c r="CA325" i="1"/>
  <c r="BZ325" i="1"/>
  <c r="I325" i="1"/>
  <c r="DH395" i="3" s="1"/>
  <c r="I324" i="1"/>
  <c r="E139" i="17" s="1"/>
  <c r="DW325" i="1"/>
  <c r="DW323" i="1"/>
  <c r="F323" i="1"/>
  <c r="DW321" i="1"/>
  <c r="F321" i="1"/>
  <c r="DW319" i="1"/>
  <c r="F319" i="1"/>
  <c r="EW317" i="1"/>
  <c r="AQ317" i="1"/>
  <c r="CA317" i="1"/>
  <c r="BZ317" i="1"/>
  <c r="I317" i="1"/>
  <c r="DH384" i="3" s="1"/>
  <c r="I316" i="1"/>
  <c r="DH370" i="3" s="1"/>
  <c r="DW317" i="1"/>
  <c r="BV46" i="11"/>
  <c r="IU17" i="10"/>
  <c r="IT17" i="10"/>
  <c r="IS17" i="10"/>
  <c r="IR17" i="10"/>
  <c r="IQ17" i="10"/>
  <c r="IP17" i="10"/>
  <c r="IO17" i="10"/>
  <c r="IN17" i="10"/>
  <c r="GG17" i="10"/>
  <c r="GF17" i="10"/>
  <c r="GE17" i="10"/>
  <c r="GD17" i="10"/>
  <c r="GC17" i="10"/>
  <c r="GB17" i="10"/>
  <c r="GA17" i="10"/>
  <c r="FZ17" i="10"/>
  <c r="FY17" i="10"/>
  <c r="FX17" i="10"/>
  <c r="IM17" i="10"/>
  <c r="IL17" i="10"/>
  <c r="IK17" i="10"/>
  <c r="IJ17" i="10"/>
  <c r="II17" i="10"/>
  <c r="IH17" i="10"/>
  <c r="IG17" i="10"/>
  <c r="IF17" i="10"/>
  <c r="IE17" i="10"/>
  <c r="ID17" i="10"/>
  <c r="IC17" i="10"/>
  <c r="IB17" i="10"/>
  <c r="FW17" i="10"/>
  <c r="FV17" i="10"/>
  <c r="FU17" i="10"/>
  <c r="FT17" i="10"/>
  <c r="FS17" i="10"/>
  <c r="FR17" i="10"/>
  <c r="FQ17" i="10"/>
  <c r="FP17" i="10"/>
  <c r="FO17" i="10"/>
  <c r="FN17" i="10"/>
  <c r="FM17" i="10"/>
  <c r="FL17" i="10"/>
  <c r="FK17" i="10"/>
  <c r="FJ17" i="10"/>
  <c r="FI17" i="10"/>
  <c r="FH17" i="10"/>
  <c r="FG17" i="10"/>
  <c r="FF17" i="10"/>
  <c r="FE17" i="10"/>
  <c r="FD17" i="10"/>
  <c r="FC17" i="10"/>
  <c r="FB17" i="10"/>
  <c r="FA17" i="10"/>
  <c r="EZ17" i="10"/>
  <c r="EY17" i="10"/>
  <c r="EX17" i="10"/>
  <c r="EW17" i="10"/>
  <c r="EV17" i="10"/>
  <c r="BP527" i="10"/>
  <c r="BO527" i="10"/>
  <c r="BN527" i="10"/>
  <c r="BM527" i="10"/>
  <c r="BL527" i="10"/>
  <c r="BK527" i="10"/>
  <c r="BJ527" i="10"/>
  <c r="BI527" i="10"/>
  <c r="BH527" i="10"/>
  <c r="BG527" i="10"/>
  <c r="BF527" i="10"/>
  <c r="BE527" i="10"/>
  <c r="BD17" i="10"/>
  <c r="BC17" i="10"/>
  <c r="BB17" i="10"/>
  <c r="BA17" i="10"/>
  <c r="AZ17" i="10"/>
  <c r="AY17" i="10"/>
  <c r="DZ17" i="10"/>
  <c r="DY17" i="10"/>
  <c r="DX17" i="10"/>
  <c r="DD17" i="10"/>
  <c r="EW280" i="1"/>
  <c r="AQ280" i="1"/>
  <c r="CA280" i="1"/>
  <c r="BZ280" i="1"/>
  <c r="I280" i="1"/>
  <c r="DH365" i="3" s="1"/>
  <c r="I279" i="1"/>
  <c r="DH362" i="3" s="1"/>
  <c r="DW280" i="1"/>
  <c r="DW278" i="1"/>
  <c r="F278" i="1"/>
  <c r="DW276" i="1"/>
  <c r="F276" i="1"/>
  <c r="EW274" i="1"/>
  <c r="AQ274" i="1"/>
  <c r="CA274" i="1"/>
  <c r="BZ274" i="1"/>
  <c r="I274" i="1"/>
  <c r="DH356" i="3" s="1"/>
  <c r="I273" i="1"/>
  <c r="DH352" i="3" s="1"/>
  <c r="DW274" i="1"/>
  <c r="I272" i="1"/>
  <c r="I271" i="1"/>
  <c r="Q54" i="15" s="1"/>
  <c r="DW272" i="1"/>
  <c r="F272" i="1"/>
  <c r="DW270" i="1"/>
  <c r="F270" i="1"/>
  <c r="DW268" i="1"/>
  <c r="F268" i="1"/>
  <c r="EW266" i="1"/>
  <c r="AQ266" i="1"/>
  <c r="CA266" i="1"/>
  <c r="BZ266" i="1"/>
  <c r="I266" i="1"/>
  <c r="DH350" i="3" s="1"/>
  <c r="I265" i="1"/>
  <c r="DH341" i="3" s="1"/>
  <c r="DW266" i="1"/>
  <c r="DW264" i="1"/>
  <c r="F264" i="1"/>
  <c r="DW262" i="1"/>
  <c r="F262" i="1"/>
  <c r="EW260" i="1"/>
  <c r="AQ260" i="1"/>
  <c r="CA260" i="1"/>
  <c r="BZ260" i="1"/>
  <c r="I260" i="1"/>
  <c r="DH332" i="3" s="1"/>
  <c r="I259" i="1"/>
  <c r="DH323" i="3" s="1"/>
  <c r="DW260" i="1"/>
  <c r="DW258" i="1"/>
  <c r="F258" i="1"/>
  <c r="DW256" i="1"/>
  <c r="F256" i="1"/>
  <c r="DW254" i="1"/>
  <c r="F254" i="1"/>
  <c r="EW252" i="1"/>
  <c r="AQ252" i="1"/>
  <c r="CA252" i="1"/>
  <c r="BZ252" i="1"/>
  <c r="I252" i="1"/>
  <c r="DH320" i="3" s="1"/>
  <c r="I251" i="1"/>
  <c r="DH309" i="3" s="1"/>
  <c r="DW252" i="1"/>
  <c r="DW250" i="1"/>
  <c r="F250" i="1"/>
  <c r="DW248" i="1"/>
  <c r="F248" i="1"/>
  <c r="DW246" i="1"/>
  <c r="F246" i="1"/>
  <c r="DW244" i="1"/>
  <c r="F244" i="1"/>
  <c r="DW242" i="1"/>
  <c r="F242" i="1"/>
  <c r="EW240" i="1"/>
  <c r="AQ240" i="1"/>
  <c r="CA240" i="1"/>
  <c r="BZ240" i="1"/>
  <c r="I240" i="1"/>
  <c r="DH297" i="3" s="1"/>
  <c r="I239" i="1"/>
  <c r="DH287" i="3" s="1"/>
  <c r="DW240" i="1"/>
  <c r="DW238" i="1"/>
  <c r="F238" i="1"/>
  <c r="DW236" i="1"/>
  <c r="F236" i="1"/>
  <c r="DW234" i="1"/>
  <c r="F234" i="1"/>
  <c r="DW232" i="1"/>
  <c r="F232" i="1"/>
  <c r="DW230" i="1"/>
  <c r="F230" i="1"/>
  <c r="EW228" i="1"/>
  <c r="AQ228" i="1"/>
  <c r="CA228" i="1"/>
  <c r="BZ228" i="1"/>
  <c r="I228" i="1"/>
  <c r="DH278" i="3" s="1"/>
  <c r="I227" i="1"/>
  <c r="E108" i="17" s="1"/>
  <c r="DW228" i="1"/>
  <c r="DW226" i="1"/>
  <c r="F226" i="1"/>
  <c r="EW224" i="1"/>
  <c r="AQ224" i="1"/>
  <c r="CA224" i="1"/>
  <c r="BZ224" i="1"/>
  <c r="I224" i="1"/>
  <c r="DH263" i="3" s="1"/>
  <c r="I223" i="1"/>
  <c r="E106" i="17" s="1"/>
  <c r="G107" i="17" s="1"/>
  <c r="DW224" i="1"/>
  <c r="DW222" i="1"/>
  <c r="F222" i="1"/>
  <c r="DW220" i="1"/>
  <c r="F220" i="1"/>
  <c r="DW218" i="1"/>
  <c r="F218" i="1"/>
  <c r="DW216" i="1"/>
  <c r="F216" i="1"/>
  <c r="DW214" i="1"/>
  <c r="F214" i="1"/>
  <c r="DW212" i="1"/>
  <c r="F212" i="1"/>
  <c r="DW210" i="1"/>
  <c r="F210" i="1"/>
  <c r="DW208" i="1"/>
  <c r="F208" i="1"/>
  <c r="DW206" i="1"/>
  <c r="F206" i="1"/>
  <c r="EW204" i="1"/>
  <c r="AQ204" i="1"/>
  <c r="CA204" i="1"/>
  <c r="BZ204" i="1"/>
  <c r="I204" i="1"/>
  <c r="DH256" i="3" s="1"/>
  <c r="I203" i="1"/>
  <c r="DH233" i="3" s="1"/>
  <c r="DW204" i="1"/>
  <c r="DW202" i="1"/>
  <c r="F202" i="1"/>
  <c r="DW200" i="1"/>
  <c r="F200" i="1"/>
  <c r="DW198" i="1"/>
  <c r="F198" i="1"/>
  <c r="DW196" i="1"/>
  <c r="F196" i="1"/>
  <c r="DW194" i="1"/>
  <c r="F194" i="1"/>
  <c r="DW192" i="1"/>
  <c r="F192" i="1"/>
  <c r="DW190" i="1"/>
  <c r="F190" i="1"/>
  <c r="DW188" i="1"/>
  <c r="F188" i="1"/>
  <c r="DW186" i="1"/>
  <c r="F186" i="1"/>
  <c r="EW184" i="1"/>
  <c r="AQ184" i="1"/>
  <c r="CA184" i="1"/>
  <c r="BZ184" i="1"/>
  <c r="I184" i="1"/>
  <c r="DH229" i="3" s="1"/>
  <c r="I183" i="1"/>
  <c r="DH217" i="3" s="1"/>
  <c r="DW184" i="1"/>
  <c r="DW182" i="1"/>
  <c r="F182" i="1"/>
  <c r="DW180" i="1"/>
  <c r="F180" i="1"/>
  <c r="DW178" i="1"/>
  <c r="F178" i="1"/>
  <c r="DW176" i="1"/>
  <c r="F176" i="1"/>
  <c r="DW174" i="1"/>
  <c r="F174" i="1"/>
  <c r="DW172" i="1"/>
  <c r="F172" i="1"/>
  <c r="DW170" i="1"/>
  <c r="F170" i="1"/>
  <c r="DW168" i="1"/>
  <c r="F168" i="1"/>
  <c r="DW166" i="1"/>
  <c r="F166" i="1"/>
  <c r="EW164" i="1"/>
  <c r="AQ164" i="1"/>
  <c r="CA164" i="1"/>
  <c r="BZ164" i="1"/>
  <c r="I164" i="1"/>
  <c r="DH204" i="3" s="1"/>
  <c r="I163" i="1"/>
  <c r="E76" i="17" s="1"/>
  <c r="DW164" i="1"/>
  <c r="DW162" i="1"/>
  <c r="F162" i="1"/>
  <c r="DW160" i="1"/>
  <c r="F160" i="1"/>
  <c r="DW158" i="1"/>
  <c r="F158" i="1"/>
  <c r="DW156" i="1"/>
  <c r="F156" i="1"/>
  <c r="DW154" i="1"/>
  <c r="F154" i="1"/>
  <c r="DW152" i="1"/>
  <c r="F152" i="1"/>
  <c r="DW150" i="1"/>
  <c r="F150" i="1"/>
  <c r="DW148" i="1"/>
  <c r="F148" i="1"/>
  <c r="DW146" i="1"/>
  <c r="F146" i="1"/>
  <c r="EW144" i="1"/>
  <c r="AQ144" i="1"/>
  <c r="CA144" i="1"/>
  <c r="BZ144" i="1"/>
  <c r="I144" i="1"/>
  <c r="DH177" i="3" s="1"/>
  <c r="I143" i="1"/>
  <c r="DH156" i="3" s="1"/>
  <c r="DW144" i="1"/>
  <c r="DW142" i="1"/>
  <c r="F142" i="1"/>
  <c r="DW140" i="1"/>
  <c r="F140" i="1"/>
  <c r="EW138" i="1"/>
  <c r="AQ138" i="1"/>
  <c r="CA138" i="1"/>
  <c r="BZ138" i="1"/>
  <c r="I138" i="1"/>
  <c r="DH150" i="3" s="1"/>
  <c r="I137" i="1"/>
  <c r="DH143" i="3" s="1"/>
  <c r="DW138" i="1"/>
  <c r="DW136" i="1"/>
  <c r="F136" i="1"/>
  <c r="EW134" i="1"/>
  <c r="AQ134" i="1"/>
  <c r="CA134" i="1"/>
  <c r="BZ134" i="1"/>
  <c r="I134" i="1"/>
  <c r="DH135" i="3" s="1"/>
  <c r="I133" i="1"/>
  <c r="DH129" i="3" s="1"/>
  <c r="DW134" i="1"/>
  <c r="DW132" i="1"/>
  <c r="F132" i="1"/>
  <c r="DW130" i="1"/>
  <c r="F130" i="1"/>
  <c r="DW128" i="1"/>
  <c r="F128" i="1"/>
  <c r="EW126" i="1"/>
  <c r="AQ126" i="1"/>
  <c r="CA126" i="1"/>
  <c r="BZ126" i="1"/>
  <c r="I126" i="1"/>
  <c r="DH120" i="3" s="1"/>
  <c r="I125" i="1"/>
  <c r="DH112" i="3" s="1"/>
  <c r="DW126" i="1"/>
  <c r="DW124" i="1"/>
  <c r="F124" i="1"/>
  <c r="DW122" i="1"/>
  <c r="F122" i="1"/>
  <c r="EW120" i="1"/>
  <c r="AQ120" i="1"/>
  <c r="CA120" i="1"/>
  <c r="BZ120" i="1"/>
  <c r="I120" i="1"/>
  <c r="DH108" i="3" s="1"/>
  <c r="I119" i="1"/>
  <c r="E54" i="17" s="1"/>
  <c r="DW120" i="1"/>
  <c r="BV30" i="11"/>
  <c r="IU15" i="10"/>
  <c r="IT15" i="10"/>
  <c r="IS15" i="10"/>
  <c r="IR15" i="10"/>
  <c r="IQ15" i="10"/>
  <c r="IP15" i="10"/>
  <c r="IO15" i="10"/>
  <c r="IN15" i="10"/>
  <c r="GG15" i="10"/>
  <c r="GF15" i="10"/>
  <c r="GE15" i="10"/>
  <c r="GD15" i="10"/>
  <c r="GC15" i="10"/>
  <c r="GB15" i="10"/>
  <c r="GA15" i="10"/>
  <c r="FZ15" i="10"/>
  <c r="FY15" i="10"/>
  <c r="FX15" i="10"/>
  <c r="IM15" i="10"/>
  <c r="IL15" i="10"/>
  <c r="IK15" i="10"/>
  <c r="IJ15" i="10"/>
  <c r="II15" i="10"/>
  <c r="IH15" i="10"/>
  <c r="IG15" i="10"/>
  <c r="IF15" i="10"/>
  <c r="IE15" i="10"/>
  <c r="ID15" i="10"/>
  <c r="IC15" i="10"/>
  <c r="IB15" i="10"/>
  <c r="FW15" i="10"/>
  <c r="FV15" i="10"/>
  <c r="FU15" i="10"/>
  <c r="FT15" i="10"/>
  <c r="FS15" i="10"/>
  <c r="FR15" i="10"/>
  <c r="FQ15" i="10"/>
  <c r="FP15" i="10"/>
  <c r="FO15" i="10"/>
  <c r="FN15" i="10"/>
  <c r="FM15" i="10"/>
  <c r="FL15" i="10"/>
  <c r="FK15" i="10"/>
  <c r="FJ15" i="10"/>
  <c r="FI15" i="10"/>
  <c r="FH15" i="10"/>
  <c r="FG15" i="10"/>
  <c r="FF15" i="10"/>
  <c r="FE15" i="10"/>
  <c r="FD15" i="10"/>
  <c r="FC15" i="10"/>
  <c r="FB15" i="10"/>
  <c r="FA15" i="10"/>
  <c r="EZ15" i="10"/>
  <c r="EY15" i="10"/>
  <c r="EX15" i="10"/>
  <c r="EW15" i="10"/>
  <c r="EV15" i="10"/>
  <c r="BP152" i="10"/>
  <c r="BO152" i="10"/>
  <c r="BN152" i="10"/>
  <c r="BM152" i="10"/>
  <c r="BL152" i="10"/>
  <c r="BK152" i="10"/>
  <c r="BJ152" i="10"/>
  <c r="BI152" i="10"/>
  <c r="BH152" i="10"/>
  <c r="BG152" i="10"/>
  <c r="BF152" i="10"/>
  <c r="BE152" i="10"/>
  <c r="BD15" i="10"/>
  <c r="BC15" i="10"/>
  <c r="BB15" i="10"/>
  <c r="BA15" i="10"/>
  <c r="AZ15" i="10"/>
  <c r="AY15" i="10"/>
  <c r="DZ15" i="10"/>
  <c r="DY15" i="10"/>
  <c r="DX15" i="10"/>
  <c r="DD15" i="10"/>
  <c r="I83" i="1"/>
  <c r="I82" i="1"/>
  <c r="P54" i="15" s="1"/>
  <c r="DW83" i="1"/>
  <c r="F83" i="1"/>
  <c r="DW81" i="1"/>
  <c r="F81" i="1"/>
  <c r="DW79" i="1"/>
  <c r="F79" i="1"/>
  <c r="DW77" i="1"/>
  <c r="F77" i="1"/>
  <c r="DW75" i="1"/>
  <c r="F75" i="1"/>
  <c r="DW73" i="1"/>
  <c r="F73" i="1"/>
  <c r="DW71" i="1"/>
  <c r="F71" i="1"/>
  <c r="DW69" i="1"/>
  <c r="F69" i="1"/>
  <c r="DW67" i="1"/>
  <c r="F67" i="1"/>
  <c r="DW65" i="1"/>
  <c r="F65" i="1"/>
  <c r="EW63" i="1"/>
  <c r="AQ63" i="1"/>
  <c r="CA63" i="1"/>
  <c r="BZ63" i="1"/>
  <c r="I63" i="1"/>
  <c r="DH82" i="3" s="1"/>
  <c r="I62" i="1"/>
  <c r="DH71" i="3" s="1"/>
  <c r="DW63" i="1"/>
  <c r="DW61" i="1"/>
  <c r="F61" i="1"/>
  <c r="DW59" i="1"/>
  <c r="F59" i="1"/>
  <c r="DW57" i="1"/>
  <c r="F57" i="1"/>
  <c r="DW55" i="1"/>
  <c r="F55" i="1"/>
  <c r="DW53" i="1"/>
  <c r="F53" i="1"/>
  <c r="DW51" i="1"/>
  <c r="F51" i="1"/>
  <c r="DW49" i="1"/>
  <c r="F49" i="1"/>
  <c r="DW47" i="1"/>
  <c r="F47" i="1"/>
  <c r="DW45" i="1"/>
  <c r="F45" i="1"/>
  <c r="EW43" i="1"/>
  <c r="AQ43" i="1"/>
  <c r="CA43" i="1"/>
  <c r="BZ43" i="1"/>
  <c r="I43" i="1"/>
  <c r="DH54" i="3" s="1"/>
  <c r="I42" i="1"/>
  <c r="DH53" i="3" s="1"/>
  <c r="DW43" i="1"/>
  <c r="DW41" i="1"/>
  <c r="F41" i="1"/>
  <c r="EW39" i="1"/>
  <c r="AQ39" i="1"/>
  <c r="CA39" i="1"/>
  <c r="BZ39" i="1"/>
  <c r="I39" i="1"/>
  <c r="DH38" i="3" s="1"/>
  <c r="I38" i="1"/>
  <c r="DH32" i="3" s="1"/>
  <c r="DW39" i="1"/>
  <c r="DW37" i="1"/>
  <c r="F37" i="1"/>
  <c r="EW35" i="1"/>
  <c r="AQ35" i="1"/>
  <c r="CA35" i="1"/>
  <c r="BZ35" i="1"/>
  <c r="I35" i="1"/>
  <c r="DH24" i="3" s="1"/>
  <c r="I34" i="1"/>
  <c r="DH17" i="3" s="1"/>
  <c r="DW35" i="1"/>
  <c r="DW33" i="1"/>
  <c r="F33" i="1"/>
  <c r="DW31" i="1"/>
  <c r="F31" i="1"/>
  <c r="EW29" i="1"/>
  <c r="AQ29" i="1"/>
  <c r="CA29" i="1"/>
  <c r="BZ29" i="1"/>
  <c r="I29" i="1"/>
  <c r="DH12" i="3" s="1"/>
  <c r="I28" i="1"/>
  <c r="DH7" i="3" s="1"/>
  <c r="DW29" i="1"/>
  <c r="BV22" i="11"/>
  <c r="BZ907" i="8"/>
  <c r="BY907" i="8"/>
  <c r="BZ904" i="8"/>
  <c r="BY904" i="8"/>
  <c r="BZ901" i="8"/>
  <c r="BY901" i="8"/>
  <c r="BZ895" i="8"/>
  <c r="BY895" i="8"/>
  <c r="BZ892" i="8"/>
  <c r="BY892" i="8"/>
  <c r="K886" i="8"/>
  <c r="I886" i="8"/>
  <c r="I872" i="8"/>
  <c r="I871" i="8"/>
  <c r="K865" i="8"/>
  <c r="I865" i="8"/>
  <c r="I864" i="8"/>
  <c r="I863" i="8"/>
  <c r="I862" i="8"/>
  <c r="I860" i="8"/>
  <c r="K853" i="8"/>
  <c r="I853" i="8"/>
  <c r="K852" i="8"/>
  <c r="I852" i="8"/>
  <c r="I850" i="8"/>
  <c r="K843" i="8"/>
  <c r="I843" i="8"/>
  <c r="K841" i="8"/>
  <c r="I841" i="8"/>
  <c r="K840" i="8"/>
  <c r="I840" i="8"/>
  <c r="K839" i="8"/>
  <c r="I839" i="8"/>
  <c r="K838" i="8"/>
  <c r="I838" i="8"/>
  <c r="K837" i="8"/>
  <c r="I837" i="8"/>
  <c r="K834" i="8"/>
  <c r="I834" i="8"/>
  <c r="K833" i="8"/>
  <c r="I833" i="8"/>
  <c r="K832" i="8"/>
  <c r="I832" i="8"/>
  <c r="K831" i="8"/>
  <c r="I831" i="8"/>
  <c r="K829" i="8"/>
  <c r="I829" i="8"/>
  <c r="K828" i="8"/>
  <c r="I828" i="8"/>
  <c r="IU20" i="7"/>
  <c r="IT20" i="7"/>
  <c r="IQ20" i="7"/>
  <c r="IP20" i="7"/>
  <c r="GG20" i="7"/>
  <c r="GD20" i="7"/>
  <c r="GA20" i="7"/>
  <c r="FZ20" i="7"/>
  <c r="IM20" i="7"/>
  <c r="IL20" i="7"/>
  <c r="IK20" i="7"/>
  <c r="IG20" i="7"/>
  <c r="IF20" i="7"/>
  <c r="IE20" i="7"/>
  <c r="ID20" i="7"/>
  <c r="IC20" i="7"/>
  <c r="IB20" i="7"/>
  <c r="FW20" i="7"/>
  <c r="FV20" i="7"/>
  <c r="FU20" i="7"/>
  <c r="FT20" i="7"/>
  <c r="FS20" i="7"/>
  <c r="FQ20" i="7"/>
  <c r="FP20" i="7"/>
  <c r="FH20" i="7"/>
  <c r="FG20" i="7"/>
  <c r="FF20" i="7"/>
  <c r="FD20" i="7"/>
  <c r="FA20" i="7"/>
  <c r="BP821" i="7"/>
  <c r="BO821" i="7"/>
  <c r="BN821" i="7"/>
  <c r="BM821" i="7"/>
  <c r="BL821" i="7"/>
  <c r="BK821" i="7"/>
  <c r="BJ821" i="7"/>
  <c r="BI821" i="7"/>
  <c r="BH821" i="7"/>
  <c r="BG821" i="7"/>
  <c r="BF821" i="7"/>
  <c r="BE821" i="7"/>
  <c r="BD20" i="7"/>
  <c r="BC20" i="7"/>
  <c r="BB20" i="7"/>
  <c r="BA20" i="7"/>
  <c r="AZ20" i="7"/>
  <c r="AY20" i="7"/>
  <c r="DZ20" i="7"/>
  <c r="DY20" i="7"/>
  <c r="DX20" i="7"/>
  <c r="DD20" i="7"/>
  <c r="K816" i="8"/>
  <c r="I816" i="8"/>
  <c r="I807" i="8"/>
  <c r="I806" i="8"/>
  <c r="K800" i="8"/>
  <c r="I800" i="8"/>
  <c r="I799" i="8"/>
  <c r="I798" i="8"/>
  <c r="I797" i="8"/>
  <c r="I795" i="8"/>
  <c r="K788" i="8"/>
  <c r="I788" i="8"/>
  <c r="K787" i="8"/>
  <c r="I787" i="8"/>
  <c r="I785" i="8"/>
  <c r="K778" i="8"/>
  <c r="I778" i="8"/>
  <c r="K776" i="8"/>
  <c r="I776" i="8"/>
  <c r="K775" i="8"/>
  <c r="I775" i="8"/>
  <c r="K774" i="8"/>
  <c r="I774" i="8"/>
  <c r="K773" i="8"/>
  <c r="I773" i="8"/>
  <c r="K772" i="8"/>
  <c r="I772" i="8"/>
  <c r="K769" i="8"/>
  <c r="I769" i="8"/>
  <c r="K768" i="8"/>
  <c r="I768" i="8"/>
  <c r="K767" i="8"/>
  <c r="I767" i="8"/>
  <c r="K766" i="8"/>
  <c r="I766" i="8"/>
  <c r="K764" i="8"/>
  <c r="I764" i="8"/>
  <c r="K763" i="8"/>
  <c r="I763" i="8"/>
  <c r="IU19" i="7"/>
  <c r="IT19" i="7"/>
  <c r="IQ19" i="7"/>
  <c r="IP19" i="7"/>
  <c r="GG19" i="7"/>
  <c r="GD19" i="7"/>
  <c r="GA19" i="7"/>
  <c r="FZ19" i="7"/>
  <c r="IM19" i="7"/>
  <c r="IL19" i="7"/>
  <c r="IK19" i="7"/>
  <c r="IG19" i="7"/>
  <c r="IF19" i="7"/>
  <c r="IE19" i="7"/>
  <c r="ID19" i="7"/>
  <c r="IC19" i="7"/>
  <c r="IB19" i="7"/>
  <c r="FW19" i="7"/>
  <c r="FV19" i="7"/>
  <c r="FU19" i="7"/>
  <c r="FT19" i="7"/>
  <c r="FS19" i="7"/>
  <c r="FQ19" i="7"/>
  <c r="FP19" i="7"/>
  <c r="FH19" i="7"/>
  <c r="FG19" i="7"/>
  <c r="FF19" i="7"/>
  <c r="FD19" i="7"/>
  <c r="FA19" i="7"/>
  <c r="BP756" i="7"/>
  <c r="BO756" i="7"/>
  <c r="BN756" i="7"/>
  <c r="BM756" i="7"/>
  <c r="BL756" i="7"/>
  <c r="BK756" i="7"/>
  <c r="BJ756" i="7"/>
  <c r="BI756" i="7"/>
  <c r="BH756" i="7"/>
  <c r="BG756" i="7"/>
  <c r="BF756" i="7"/>
  <c r="BE756" i="7"/>
  <c r="BD19" i="7"/>
  <c r="BC19" i="7"/>
  <c r="BB19" i="7"/>
  <c r="BA19" i="7"/>
  <c r="AZ19" i="7"/>
  <c r="AY19" i="7"/>
  <c r="DZ19" i="7"/>
  <c r="DY19" i="7"/>
  <c r="DX19" i="7"/>
  <c r="DD19" i="7"/>
  <c r="DO405" i="1"/>
  <c r="DN405" i="1"/>
  <c r="BB405" i="1"/>
  <c r="ET405" i="1"/>
  <c r="AM405" i="1"/>
  <c r="BA405" i="1"/>
  <c r="EV405" i="1"/>
  <c r="AO405" i="1"/>
  <c r="ER405" i="1"/>
  <c r="AK405" i="1"/>
  <c r="F748" i="8" s="1"/>
  <c r="ES402" i="1"/>
  <c r="AL402" i="1"/>
  <c r="ES400" i="1"/>
  <c r="AL400" i="1"/>
  <c r="DO399" i="1"/>
  <c r="DN399" i="1"/>
  <c r="BB399" i="1"/>
  <c r="ET399" i="1"/>
  <c r="AM399" i="1"/>
  <c r="BA399" i="1"/>
  <c r="EV399" i="1"/>
  <c r="ER399" i="1" s="1"/>
  <c r="AO399" i="1"/>
  <c r="ES396" i="1"/>
  <c r="AL396" i="1"/>
  <c r="ES394" i="1"/>
  <c r="AL394" i="1"/>
  <c r="ES392" i="1"/>
  <c r="AL392" i="1"/>
  <c r="ES390" i="1"/>
  <c r="AL390" i="1"/>
  <c r="ES388" i="1"/>
  <c r="AL388" i="1"/>
  <c r="ES386" i="1"/>
  <c r="AL386" i="1"/>
  <c r="DO385" i="1"/>
  <c r="DN385" i="1"/>
  <c r="BS385" i="1"/>
  <c r="EU385" i="1"/>
  <c r="AN385" i="1"/>
  <c r="BB385" i="1"/>
  <c r="ET385" i="1"/>
  <c r="AM385" i="1"/>
  <c r="BA385" i="1"/>
  <c r="EV385" i="1"/>
  <c r="AO385" i="1"/>
  <c r="ES382" i="1"/>
  <c r="AL382" i="1"/>
  <c r="DO381" i="1"/>
  <c r="DN381" i="1"/>
  <c r="BB381" i="1"/>
  <c r="ET381" i="1"/>
  <c r="AM381" i="1"/>
  <c r="BA381" i="1"/>
  <c r="EV381" i="1"/>
  <c r="AO381" i="1"/>
  <c r="ES378" i="1"/>
  <c r="AL378" i="1"/>
  <c r="ES376" i="1"/>
  <c r="AL376" i="1"/>
  <c r="DO375" i="1"/>
  <c r="DN375" i="1"/>
  <c r="BC375" i="1"/>
  <c r="ES375" i="1"/>
  <c r="AL375" i="1"/>
  <c r="BS375" i="1"/>
  <c r="EU375" i="1"/>
  <c r="AN375" i="1"/>
  <c r="BB375" i="1"/>
  <c r="ET375" i="1"/>
  <c r="AM375" i="1"/>
  <c r="BA375" i="1"/>
  <c r="EV375" i="1"/>
  <c r="AO375" i="1"/>
  <c r="GX691" i="8"/>
  <c r="FJ19" i="7" s="1"/>
  <c r="ES372" i="1"/>
  <c r="AL372" i="1"/>
  <c r="ES370" i="1"/>
  <c r="AL370" i="1"/>
  <c r="DO369" i="1"/>
  <c r="DN369" i="1"/>
  <c r="BB369" i="1"/>
  <c r="ET369" i="1"/>
  <c r="AM369" i="1"/>
  <c r="BA369" i="1"/>
  <c r="EV369" i="1"/>
  <c r="AO369" i="1"/>
  <c r="ES366" i="1"/>
  <c r="AL366" i="1"/>
  <c r="ES364" i="1"/>
  <c r="AL364" i="1"/>
  <c r="ES362" i="1"/>
  <c r="AL362" i="1"/>
  <c r="DO361" i="1"/>
  <c r="DN361" i="1"/>
  <c r="BS361" i="1"/>
  <c r="EU361" i="1"/>
  <c r="AN361" i="1"/>
  <c r="BB361" i="1"/>
  <c r="ET361" i="1"/>
  <c r="AM361" i="1"/>
  <c r="BA361" i="1"/>
  <c r="EV361" i="1"/>
  <c r="AO361" i="1"/>
  <c r="ES358" i="1"/>
  <c r="AL358" i="1"/>
  <c r="ES356" i="1"/>
  <c r="AL356" i="1"/>
  <c r="DO355" i="1"/>
  <c r="DN355" i="1"/>
  <c r="BS355" i="1"/>
  <c r="EU355" i="1"/>
  <c r="AN355" i="1"/>
  <c r="BB355" i="1"/>
  <c r="ET355" i="1"/>
  <c r="AM355" i="1"/>
  <c r="BA355" i="1"/>
  <c r="EV355" i="1"/>
  <c r="AO355" i="1"/>
  <c r="BB353" i="1"/>
  <c r="ET353" i="1"/>
  <c r="AM353" i="1"/>
  <c r="ES350" i="1"/>
  <c r="AL350" i="1"/>
  <c r="ES348" i="1"/>
  <c r="AL348" i="1"/>
  <c r="ES346" i="1"/>
  <c r="AL346" i="1"/>
  <c r="ES344" i="1"/>
  <c r="AL344" i="1"/>
  <c r="ES342" i="1"/>
  <c r="AL342" i="1"/>
  <c r="DO341" i="1"/>
  <c r="DN341" i="1"/>
  <c r="BS341" i="1"/>
  <c r="EU341" i="1"/>
  <c r="AN341" i="1"/>
  <c r="BB341" i="1"/>
  <c r="ET341" i="1"/>
  <c r="AM341" i="1"/>
  <c r="BA341" i="1"/>
  <c r="EV341" i="1"/>
  <c r="AO341" i="1"/>
  <c r="ES338" i="1"/>
  <c r="AL338" i="1"/>
  <c r="ES336" i="1"/>
  <c r="AL336" i="1"/>
  <c r="ES334" i="1"/>
  <c r="AL334" i="1"/>
  <c r="ES332" i="1"/>
  <c r="AL332" i="1"/>
  <c r="DO331" i="1"/>
  <c r="DN331" i="1"/>
  <c r="BS331" i="1"/>
  <c r="EU331" i="1"/>
  <c r="AN331" i="1"/>
  <c r="BB331" i="1"/>
  <c r="ET331" i="1"/>
  <c r="AM331" i="1"/>
  <c r="BA331" i="1"/>
  <c r="EV331" i="1"/>
  <c r="AO331" i="1"/>
  <c r="ES328" i="1"/>
  <c r="AL328" i="1"/>
  <c r="ES326" i="1"/>
  <c r="AL326" i="1"/>
  <c r="DO325" i="1"/>
  <c r="DN325" i="1"/>
  <c r="BS325" i="1"/>
  <c r="EU325" i="1"/>
  <c r="AN325" i="1"/>
  <c r="BB325" i="1"/>
  <c r="ET325" i="1"/>
  <c r="AM325" i="1"/>
  <c r="BA325" i="1"/>
  <c r="EV325" i="1"/>
  <c r="AO325" i="1"/>
  <c r="ES322" i="1"/>
  <c r="AL322" i="1"/>
  <c r="ES320" i="1"/>
  <c r="AL320" i="1"/>
  <c r="ES318" i="1"/>
  <c r="AL318" i="1"/>
  <c r="DO317" i="1"/>
  <c r="DN317" i="1"/>
  <c r="BS317" i="1"/>
  <c r="EU317" i="1"/>
  <c r="AN317" i="1"/>
  <c r="BB317" i="1"/>
  <c r="ET317" i="1"/>
  <c r="AM317" i="1"/>
  <c r="BA317" i="1"/>
  <c r="EV317" i="1"/>
  <c r="AO317" i="1"/>
  <c r="BX571" i="8"/>
  <c r="K565" i="8"/>
  <c r="I565" i="8"/>
  <c r="I556" i="8"/>
  <c r="I555" i="8"/>
  <c r="K549" i="8"/>
  <c r="I549" i="8"/>
  <c r="I548" i="8"/>
  <c r="I547" i="8"/>
  <c r="I546" i="8"/>
  <c r="I544" i="8"/>
  <c r="K537" i="8"/>
  <c r="I537" i="8"/>
  <c r="K536" i="8"/>
  <c r="I536" i="8"/>
  <c r="I534" i="8"/>
  <c r="K527" i="8"/>
  <c r="I527" i="8"/>
  <c r="K525" i="8"/>
  <c r="I525" i="8"/>
  <c r="K524" i="8"/>
  <c r="I524" i="8"/>
  <c r="K523" i="8"/>
  <c r="I523" i="8"/>
  <c r="K522" i="8"/>
  <c r="I522" i="8"/>
  <c r="K521" i="8"/>
  <c r="I521" i="8"/>
  <c r="K518" i="8"/>
  <c r="I518" i="8"/>
  <c r="K517" i="8"/>
  <c r="I517" i="8"/>
  <c r="K516" i="8"/>
  <c r="I516" i="8"/>
  <c r="K515" i="8"/>
  <c r="I515" i="8"/>
  <c r="K513" i="8"/>
  <c r="I513" i="8"/>
  <c r="K512" i="8"/>
  <c r="I512" i="8"/>
  <c r="IU17" i="7"/>
  <c r="IT17" i="7"/>
  <c r="IQ17" i="7"/>
  <c r="IP17" i="7"/>
  <c r="GG17" i="7"/>
  <c r="GD17" i="7"/>
  <c r="GA17" i="7"/>
  <c r="FZ17" i="7"/>
  <c r="IM17" i="7"/>
  <c r="IL17" i="7"/>
  <c r="IK17" i="7"/>
  <c r="IG17" i="7"/>
  <c r="IF17" i="7"/>
  <c r="IE17" i="7"/>
  <c r="ID17" i="7"/>
  <c r="IC17" i="7"/>
  <c r="IB17" i="7"/>
  <c r="FW17" i="7"/>
  <c r="FV17" i="7"/>
  <c r="FU17" i="7"/>
  <c r="FT17" i="7"/>
  <c r="FS17" i="7"/>
  <c r="FQ17" i="7"/>
  <c r="FP17" i="7"/>
  <c r="FH17" i="7"/>
  <c r="FG17" i="7"/>
  <c r="FF17" i="7"/>
  <c r="FD17" i="7"/>
  <c r="FA17" i="7"/>
  <c r="BP505" i="7"/>
  <c r="BO505" i="7"/>
  <c r="BN505" i="7"/>
  <c r="BM505" i="7"/>
  <c r="BL505" i="7"/>
  <c r="BK505" i="7"/>
  <c r="BJ505" i="7"/>
  <c r="BI505" i="7"/>
  <c r="BH505" i="7"/>
  <c r="BG505" i="7"/>
  <c r="BF505" i="7"/>
  <c r="BE505" i="7"/>
  <c r="BD17" i="7"/>
  <c r="BC17" i="7"/>
  <c r="BB17" i="7"/>
  <c r="BA17" i="7"/>
  <c r="AZ17" i="7"/>
  <c r="AY17" i="7"/>
  <c r="DZ17" i="7"/>
  <c r="DY17" i="7"/>
  <c r="DX17" i="7"/>
  <c r="DD17" i="7"/>
  <c r="DO280" i="1"/>
  <c r="DN280" i="1"/>
  <c r="BB280" i="1"/>
  <c r="ET280" i="1"/>
  <c r="AM280" i="1"/>
  <c r="BA280" i="1"/>
  <c r="EV280" i="1"/>
  <c r="AO280" i="1"/>
  <c r="ES277" i="1"/>
  <c r="AL277" i="1"/>
  <c r="ES275" i="1"/>
  <c r="AL275" i="1"/>
  <c r="DO274" i="1"/>
  <c r="DN274" i="1"/>
  <c r="BB274" i="1"/>
  <c r="ET274" i="1"/>
  <c r="AM274" i="1"/>
  <c r="BA274" i="1"/>
  <c r="EV274" i="1"/>
  <c r="AO274" i="1"/>
  <c r="BB272" i="1"/>
  <c r="ET272" i="1"/>
  <c r="AM272" i="1"/>
  <c r="ES269" i="1"/>
  <c r="AL269" i="1"/>
  <c r="ES267" i="1"/>
  <c r="AL267" i="1"/>
  <c r="DO266" i="1"/>
  <c r="DN266" i="1"/>
  <c r="BC266" i="1"/>
  <c r="ES266" i="1"/>
  <c r="AL266" i="1"/>
  <c r="BS266" i="1"/>
  <c r="EU266" i="1"/>
  <c r="AN266" i="1"/>
  <c r="BB266" i="1"/>
  <c r="ET266" i="1"/>
  <c r="AM266" i="1"/>
  <c r="BA266" i="1"/>
  <c r="EV266" i="1"/>
  <c r="AO266" i="1"/>
  <c r="GX470" i="8"/>
  <c r="ES263" i="1"/>
  <c r="AL263" i="1"/>
  <c r="ES261" i="1"/>
  <c r="AL261" i="1"/>
  <c r="DO260" i="1"/>
  <c r="DN260" i="1"/>
  <c r="BS260" i="1"/>
  <c r="EU260" i="1"/>
  <c r="AN260" i="1"/>
  <c r="BB260" i="1"/>
  <c r="ET260" i="1"/>
  <c r="AM260" i="1"/>
  <c r="BA260" i="1"/>
  <c r="EV260" i="1"/>
  <c r="AO260" i="1"/>
  <c r="ES257" i="1"/>
  <c r="AL257" i="1"/>
  <c r="ES255" i="1"/>
  <c r="AL255" i="1"/>
  <c r="ES253" i="1"/>
  <c r="AL253" i="1"/>
  <c r="DO252" i="1"/>
  <c r="DN252" i="1"/>
  <c r="BS252" i="1"/>
  <c r="EU252" i="1"/>
  <c r="AN252" i="1"/>
  <c r="BB252" i="1"/>
  <c r="ET252" i="1"/>
  <c r="AM252" i="1"/>
  <c r="BA252" i="1"/>
  <c r="EV252" i="1"/>
  <c r="AO252" i="1"/>
  <c r="ES249" i="1"/>
  <c r="AL249" i="1"/>
  <c r="ES247" i="1"/>
  <c r="AL247" i="1"/>
  <c r="ES245" i="1"/>
  <c r="AL245" i="1"/>
  <c r="ES243" i="1"/>
  <c r="AL243" i="1"/>
  <c r="ES241" i="1"/>
  <c r="AL241" i="1"/>
  <c r="DO240" i="1"/>
  <c r="DN240" i="1"/>
  <c r="BS240" i="1"/>
  <c r="EU240" i="1"/>
  <c r="AN240" i="1"/>
  <c r="BB240" i="1"/>
  <c r="ET240" i="1"/>
  <c r="AM240" i="1"/>
  <c r="BA240" i="1"/>
  <c r="EV240" i="1"/>
  <c r="AO240" i="1"/>
  <c r="ES237" i="1"/>
  <c r="AL237" i="1"/>
  <c r="ES235" i="1"/>
  <c r="AL235" i="1"/>
  <c r="ES233" i="1"/>
  <c r="AL233" i="1"/>
  <c r="ES231" i="1"/>
  <c r="AL231" i="1"/>
  <c r="ES229" i="1"/>
  <c r="AL229" i="1"/>
  <c r="DO228" i="1"/>
  <c r="DN228" i="1"/>
  <c r="BS228" i="1"/>
  <c r="EU228" i="1"/>
  <c r="AN228" i="1"/>
  <c r="BB228" i="1"/>
  <c r="ET228" i="1"/>
  <c r="AM228" i="1"/>
  <c r="BA228" i="1"/>
  <c r="EV228" i="1"/>
  <c r="AO228" i="1"/>
  <c r="ES225" i="1"/>
  <c r="AL225" i="1"/>
  <c r="DO224" i="1"/>
  <c r="DN224" i="1"/>
  <c r="BC224" i="1"/>
  <c r="ES224" i="1"/>
  <c r="AL224" i="1"/>
  <c r="BB224" i="1"/>
  <c r="ET224" i="1"/>
  <c r="AM224" i="1"/>
  <c r="BA224" i="1"/>
  <c r="EV224" i="1"/>
  <c r="AO224" i="1"/>
  <c r="GX387" i="8"/>
  <c r="ES221" i="1"/>
  <c r="AL221" i="1"/>
  <c r="ES219" i="1"/>
  <c r="AL219" i="1"/>
  <c r="ES217" i="1"/>
  <c r="AL217" i="1"/>
  <c r="ES215" i="1"/>
  <c r="AL215" i="1"/>
  <c r="ES213" i="1"/>
  <c r="AL213" i="1"/>
  <c r="ES211" i="1"/>
  <c r="AL211" i="1"/>
  <c r="ES209" i="1"/>
  <c r="AL209" i="1"/>
  <c r="ES207" i="1"/>
  <c r="AL207" i="1"/>
  <c r="ES205" i="1"/>
  <c r="AL205" i="1"/>
  <c r="DO204" i="1"/>
  <c r="DN204" i="1"/>
  <c r="BS204" i="1"/>
  <c r="EU204" i="1"/>
  <c r="AN204" i="1"/>
  <c r="BB204" i="1"/>
  <c r="ET204" i="1"/>
  <c r="AM204" i="1"/>
  <c r="BA204" i="1"/>
  <c r="EV204" i="1"/>
  <c r="AO204" i="1"/>
  <c r="ES201" i="1"/>
  <c r="AL201" i="1"/>
  <c r="ES199" i="1"/>
  <c r="AL199" i="1"/>
  <c r="ES197" i="1"/>
  <c r="AL197" i="1"/>
  <c r="ES195" i="1"/>
  <c r="AL195" i="1"/>
  <c r="ES193" i="1"/>
  <c r="AL193" i="1"/>
  <c r="ES191" i="1"/>
  <c r="AL191" i="1"/>
  <c r="ES189" i="1"/>
  <c r="AL189" i="1"/>
  <c r="ES187" i="1"/>
  <c r="AL187" i="1"/>
  <c r="ES185" i="1"/>
  <c r="AL185" i="1"/>
  <c r="DO184" i="1"/>
  <c r="DN184" i="1"/>
  <c r="BS184" i="1"/>
  <c r="EU184" i="1"/>
  <c r="AN184" i="1"/>
  <c r="BB184" i="1"/>
  <c r="ET184" i="1"/>
  <c r="AM184" i="1"/>
  <c r="BA184" i="1"/>
  <c r="EV184" i="1"/>
  <c r="AO184" i="1"/>
  <c r="ES181" i="1"/>
  <c r="AL181" i="1"/>
  <c r="ES179" i="1"/>
  <c r="AL179" i="1"/>
  <c r="ES177" i="1"/>
  <c r="AL177" i="1"/>
  <c r="ES175" i="1"/>
  <c r="AL175" i="1"/>
  <c r="ES173" i="1"/>
  <c r="AL173" i="1"/>
  <c r="ES171" i="1"/>
  <c r="AL171" i="1"/>
  <c r="ES169" i="1"/>
  <c r="AL169" i="1"/>
  <c r="ES167" i="1"/>
  <c r="AL167" i="1"/>
  <c r="ES165" i="1"/>
  <c r="AL165" i="1"/>
  <c r="DO164" i="1"/>
  <c r="DN164" i="1"/>
  <c r="BS164" i="1"/>
  <c r="EU164" i="1"/>
  <c r="AN164" i="1"/>
  <c r="BB164" i="1"/>
  <c r="ET164" i="1"/>
  <c r="AM164" i="1"/>
  <c r="BA164" i="1"/>
  <c r="EV164" i="1"/>
  <c r="AO164" i="1"/>
  <c r="ES161" i="1"/>
  <c r="AL161" i="1"/>
  <c r="ES159" i="1"/>
  <c r="AL159" i="1"/>
  <c r="ES157" i="1"/>
  <c r="AL157" i="1"/>
  <c r="ES155" i="1"/>
  <c r="AL155" i="1"/>
  <c r="ES153" i="1"/>
  <c r="AL153" i="1"/>
  <c r="ES151" i="1"/>
  <c r="AL151" i="1"/>
  <c r="ES149" i="1"/>
  <c r="AL149" i="1"/>
  <c r="ES147" i="1"/>
  <c r="AL147" i="1"/>
  <c r="ES145" i="1"/>
  <c r="AL145" i="1"/>
  <c r="DO144" i="1"/>
  <c r="DN144" i="1"/>
  <c r="BS144" i="1"/>
  <c r="EU144" i="1"/>
  <c r="AN144" i="1"/>
  <c r="BB144" i="1"/>
  <c r="ET144" i="1"/>
  <c r="AM144" i="1"/>
  <c r="BA144" i="1"/>
  <c r="EV144" i="1"/>
  <c r="AO144" i="1"/>
  <c r="ES141" i="1"/>
  <c r="AL141" i="1"/>
  <c r="ES139" i="1"/>
  <c r="AL139" i="1"/>
  <c r="DO138" i="1"/>
  <c r="DN138" i="1"/>
  <c r="BS138" i="1"/>
  <c r="EU138" i="1"/>
  <c r="AN138" i="1"/>
  <c r="BB138" i="1"/>
  <c r="ET138" i="1"/>
  <c r="AM138" i="1"/>
  <c r="BA138" i="1"/>
  <c r="EV138" i="1"/>
  <c r="AO138" i="1"/>
  <c r="ES135" i="1"/>
  <c r="AL135" i="1"/>
  <c r="DO134" i="1"/>
  <c r="DN134" i="1"/>
  <c r="BS134" i="1"/>
  <c r="EU134" i="1"/>
  <c r="AN134" i="1"/>
  <c r="BB134" i="1"/>
  <c r="ET134" i="1"/>
  <c r="AM134" i="1"/>
  <c r="BA134" i="1"/>
  <c r="EV134" i="1"/>
  <c r="AO134" i="1"/>
  <c r="ES131" i="1"/>
  <c r="AL131" i="1"/>
  <c r="ES129" i="1"/>
  <c r="AL129" i="1"/>
  <c r="ES127" i="1"/>
  <c r="AL127" i="1"/>
  <c r="DO126" i="1"/>
  <c r="DN126" i="1"/>
  <c r="BS126" i="1"/>
  <c r="EU126" i="1"/>
  <c r="AN126" i="1"/>
  <c r="BB126" i="1"/>
  <c r="ET126" i="1"/>
  <c r="AM126" i="1"/>
  <c r="BA126" i="1"/>
  <c r="EV126" i="1"/>
  <c r="AO126" i="1"/>
  <c r="ES123" i="1"/>
  <c r="AL123" i="1"/>
  <c r="ES121" i="1"/>
  <c r="AL121" i="1"/>
  <c r="DO120" i="1"/>
  <c r="DN120" i="1"/>
  <c r="BS120" i="1"/>
  <c r="EU120" i="1"/>
  <c r="AN120" i="1"/>
  <c r="BB120" i="1"/>
  <c r="ET120" i="1"/>
  <c r="AM120" i="1"/>
  <c r="BA120" i="1"/>
  <c r="EV120" i="1"/>
  <c r="AO120" i="1"/>
  <c r="B216" i="8"/>
  <c r="BX213" i="8"/>
  <c r="K207" i="8"/>
  <c r="I207" i="8"/>
  <c r="I198" i="8"/>
  <c r="I197" i="8"/>
  <c r="K191" i="8"/>
  <c r="I191" i="8"/>
  <c r="I190" i="8"/>
  <c r="I189" i="8"/>
  <c r="I188" i="8"/>
  <c r="I186" i="8"/>
  <c r="K179" i="8"/>
  <c r="I179" i="8"/>
  <c r="K178" i="8"/>
  <c r="I178" i="8"/>
  <c r="I176" i="8"/>
  <c r="K169" i="8"/>
  <c r="I169" i="8"/>
  <c r="K167" i="8"/>
  <c r="I167" i="8"/>
  <c r="K166" i="8"/>
  <c r="I166" i="8"/>
  <c r="K165" i="8"/>
  <c r="I165" i="8"/>
  <c r="K164" i="8"/>
  <c r="I164" i="8"/>
  <c r="K163" i="8"/>
  <c r="I163" i="8"/>
  <c r="K162" i="8"/>
  <c r="I162" i="8"/>
  <c r="K161" i="8"/>
  <c r="I161" i="8"/>
  <c r="K160" i="8"/>
  <c r="I160" i="8"/>
  <c r="K159" i="8"/>
  <c r="I159" i="8"/>
  <c r="K158" i="8"/>
  <c r="I158" i="8"/>
  <c r="K157" i="8"/>
  <c r="I157" i="8"/>
  <c r="K155" i="8"/>
  <c r="I155" i="8"/>
  <c r="K154" i="8"/>
  <c r="I154" i="8"/>
  <c r="IU15" i="7"/>
  <c r="IT15" i="7"/>
  <c r="IS15" i="7"/>
  <c r="IQ15" i="7"/>
  <c r="IP15" i="7"/>
  <c r="IO15" i="7"/>
  <c r="GG15" i="7"/>
  <c r="GD15" i="7"/>
  <c r="GC15" i="7"/>
  <c r="GA15" i="7"/>
  <c r="FZ15" i="7"/>
  <c r="FY15" i="7"/>
  <c r="IM15" i="7"/>
  <c r="IL15" i="7"/>
  <c r="IK15" i="7"/>
  <c r="IG15" i="7"/>
  <c r="IF15" i="7"/>
  <c r="IE15" i="7"/>
  <c r="ID15" i="7"/>
  <c r="IC15" i="7"/>
  <c r="IB15" i="7"/>
  <c r="FW15" i="7"/>
  <c r="FV15" i="7"/>
  <c r="FU15" i="7"/>
  <c r="FT15" i="7"/>
  <c r="FS15" i="7"/>
  <c r="FQ15" i="7"/>
  <c r="FP15" i="7"/>
  <c r="FJ15" i="7"/>
  <c r="FI15" i="7"/>
  <c r="FH15" i="7"/>
  <c r="FG15" i="7"/>
  <c r="FF15" i="7"/>
  <c r="FD15" i="7"/>
  <c r="FA15" i="7"/>
  <c r="BP147" i="7"/>
  <c r="BO147" i="7"/>
  <c r="BN147" i="7"/>
  <c r="BM147" i="7"/>
  <c r="BL147" i="7"/>
  <c r="BK147" i="7"/>
  <c r="BJ147" i="7"/>
  <c r="BI147" i="7"/>
  <c r="BH147" i="7"/>
  <c r="BG147" i="7"/>
  <c r="BF147" i="7"/>
  <c r="BE147" i="7"/>
  <c r="BD15" i="7"/>
  <c r="BC15" i="7"/>
  <c r="BB15" i="7"/>
  <c r="BA15" i="7"/>
  <c r="AZ15" i="7"/>
  <c r="AY15" i="7"/>
  <c r="DZ15" i="7"/>
  <c r="DY15" i="7"/>
  <c r="DX15" i="7"/>
  <c r="DD15" i="7"/>
  <c r="BB83" i="1"/>
  <c r="ET83" i="1"/>
  <c r="AM83" i="1"/>
  <c r="ES80" i="1"/>
  <c r="AL80" i="1"/>
  <c r="ES78" i="1"/>
  <c r="AL78" i="1"/>
  <c r="ES76" i="1"/>
  <c r="AL76" i="1"/>
  <c r="ES74" i="1"/>
  <c r="AL74" i="1"/>
  <c r="ES72" i="1"/>
  <c r="AL72" i="1"/>
  <c r="ES70" i="1"/>
  <c r="AL70" i="1"/>
  <c r="ES68" i="1"/>
  <c r="AL68" i="1"/>
  <c r="ES66" i="1"/>
  <c r="AL66" i="1"/>
  <c r="ES64" i="1"/>
  <c r="AL64" i="1"/>
  <c r="DO63" i="1"/>
  <c r="DN63" i="1"/>
  <c r="BS63" i="1"/>
  <c r="EU63" i="1"/>
  <c r="AN63" i="1"/>
  <c r="BB63" i="1"/>
  <c r="ET63" i="1"/>
  <c r="AM63" i="1"/>
  <c r="BA63" i="1"/>
  <c r="EV63" i="1"/>
  <c r="AO63" i="1"/>
  <c r="ES60" i="1"/>
  <c r="AL60" i="1"/>
  <c r="ES58" i="1"/>
  <c r="AL58" i="1"/>
  <c r="ES56" i="1"/>
  <c r="AL56" i="1"/>
  <c r="ES54" i="1"/>
  <c r="AL54" i="1"/>
  <c r="ES52" i="1"/>
  <c r="AL52" i="1"/>
  <c r="ES50" i="1"/>
  <c r="AL50" i="1"/>
  <c r="ES48" i="1"/>
  <c r="AL48" i="1"/>
  <c r="ES46" i="1"/>
  <c r="AL46" i="1"/>
  <c r="ES44" i="1"/>
  <c r="AL44" i="1"/>
  <c r="DO43" i="1"/>
  <c r="DN43" i="1"/>
  <c r="BS43" i="1"/>
  <c r="EU43" i="1"/>
  <c r="AN43" i="1"/>
  <c r="BB43" i="1"/>
  <c r="ET43" i="1"/>
  <c r="AM43" i="1"/>
  <c r="BA43" i="1"/>
  <c r="EV43" i="1"/>
  <c r="AO43" i="1"/>
  <c r="ES40" i="1"/>
  <c r="AL40" i="1"/>
  <c r="DO39" i="1"/>
  <c r="DN39" i="1"/>
  <c r="BS39" i="1"/>
  <c r="EU39" i="1"/>
  <c r="AN39" i="1"/>
  <c r="BB39" i="1"/>
  <c r="ET39" i="1"/>
  <c r="AM39" i="1"/>
  <c r="BA39" i="1"/>
  <c r="EV39" i="1"/>
  <c r="AO39" i="1"/>
  <c r="ES36" i="1"/>
  <c r="AL36" i="1"/>
  <c r="DO35" i="1"/>
  <c r="DN35" i="1"/>
  <c r="BS35" i="1"/>
  <c r="EU35" i="1"/>
  <c r="AN35" i="1"/>
  <c r="BB35" i="1"/>
  <c r="ET35" i="1"/>
  <c r="AM35" i="1"/>
  <c r="BA35" i="1"/>
  <c r="EV35" i="1"/>
  <c r="AO35" i="1"/>
  <c r="ES32" i="1"/>
  <c r="AL32" i="1"/>
  <c r="ES30" i="1"/>
  <c r="AL30" i="1"/>
  <c r="DO29" i="1"/>
  <c r="DN29" i="1"/>
  <c r="BS29" i="1"/>
  <c r="EU29" i="1"/>
  <c r="AN29" i="1"/>
  <c r="BB29" i="1"/>
  <c r="ET29" i="1"/>
  <c r="AM29" i="1"/>
  <c r="BA29" i="1"/>
  <c r="EV29" i="1"/>
  <c r="AO29" i="1"/>
  <c r="BX48" i="8"/>
  <c r="BT35" i="8"/>
  <c r="BV34" i="8"/>
  <c r="BT31" i="8"/>
  <c r="BT30" i="8"/>
  <c r="BT29" i="8"/>
  <c r="BU23" i="8"/>
  <c r="BW14" i="8"/>
  <c r="BS13" i="8"/>
  <c r="BS12" i="8"/>
  <c r="BS11" i="8"/>
  <c r="BR10" i="8"/>
  <c r="BR9" i="8"/>
  <c r="BR8" i="8"/>
  <c r="BR7" i="8"/>
  <c r="DH321" i="3" l="1"/>
  <c r="DH450" i="3"/>
  <c r="DH26" i="3"/>
  <c r="DH111" i="3"/>
  <c r="DH207" i="3"/>
  <c r="DH267" i="3"/>
  <c r="DH444" i="3"/>
  <c r="DH50" i="3"/>
  <c r="DH172" i="3"/>
  <c r="DH183" i="3"/>
  <c r="DH185" i="3"/>
  <c r="DH243" i="3"/>
  <c r="DH274" i="3"/>
  <c r="DH391" i="3"/>
  <c r="DH413" i="3"/>
  <c r="DH440" i="3"/>
  <c r="DH10" i="3"/>
  <c r="DH276" i="3"/>
  <c r="DH418" i="3"/>
  <c r="DH442" i="3"/>
  <c r="DH31" i="3"/>
  <c r="DH411" i="3"/>
  <c r="DH437" i="3"/>
  <c r="DH446" i="3"/>
  <c r="DH514" i="3"/>
  <c r="DH48" i="3"/>
  <c r="DH79" i="3"/>
  <c r="DH241" i="3"/>
  <c r="DH272" i="3"/>
  <c r="DH304" i="3"/>
  <c r="DH406" i="3"/>
  <c r="DH433" i="3"/>
  <c r="DH447" i="3"/>
  <c r="DH456" i="3"/>
  <c r="DH30" i="3"/>
  <c r="DH257" i="3"/>
  <c r="DH392" i="3"/>
  <c r="DH511" i="3"/>
  <c r="DH14" i="3"/>
  <c r="DH106" i="3"/>
  <c r="DH259" i="3"/>
  <c r="DH394" i="3"/>
  <c r="DH439" i="3"/>
  <c r="DH15" i="3"/>
  <c r="DH40" i="3"/>
  <c r="DH46" i="3"/>
  <c r="DH77" i="3"/>
  <c r="DH239" i="3"/>
  <c r="DH270" i="3"/>
  <c r="DH302" i="3"/>
  <c r="DH404" i="3"/>
  <c r="DH425" i="3"/>
  <c r="DH431" i="3"/>
  <c r="E96" i="17"/>
  <c r="G97" i="17" s="1"/>
  <c r="E147" i="17"/>
  <c r="G151" i="17" s="1"/>
  <c r="H151" i="17" s="1"/>
  <c r="I151" i="17" s="1"/>
  <c r="E153" i="17"/>
  <c r="DH180" i="3"/>
  <c r="DH265" i="3"/>
  <c r="DH408" i="3"/>
  <c r="DH436" i="3"/>
  <c r="DH380" i="3"/>
  <c r="DH402" i="3"/>
  <c r="DH429" i="3"/>
  <c r="DH445" i="3"/>
  <c r="DH503" i="3"/>
  <c r="DH75" i="3"/>
  <c r="DH117" i="3"/>
  <c r="DH178" i="3"/>
  <c r="DH191" i="3"/>
  <c r="DH235" i="3"/>
  <c r="DH237" i="3"/>
  <c r="DH300" i="3"/>
  <c r="DH423" i="3"/>
  <c r="DH232" i="3"/>
  <c r="DH329" i="3"/>
  <c r="DH499" i="3"/>
  <c r="DH105" i="3"/>
  <c r="DH277" i="3"/>
  <c r="DH387" i="3"/>
  <c r="DH438" i="3"/>
  <c r="DH73" i="3"/>
  <c r="DH107" i="3"/>
  <c r="DH115" i="3"/>
  <c r="DH176" i="3"/>
  <c r="DH189" i="3"/>
  <c r="DH283" i="3"/>
  <c r="DH293" i="3"/>
  <c r="DH310" i="3"/>
  <c r="DH441" i="3"/>
  <c r="E43" i="17"/>
  <c r="G47" i="17" s="1"/>
  <c r="H47" i="17" s="1"/>
  <c r="J47" i="17" s="1"/>
  <c r="E135" i="17"/>
  <c r="G136" i="17" s="1"/>
  <c r="H136" i="17" s="1"/>
  <c r="J136" i="17" s="1"/>
  <c r="DH295" i="3"/>
  <c r="DH443" i="3"/>
  <c r="DH37" i="3"/>
  <c r="DH44" i="3"/>
  <c r="DH194" i="3"/>
  <c r="DH325" i="3"/>
  <c r="DH52" i="3"/>
  <c r="DH174" i="3"/>
  <c r="DH187" i="3"/>
  <c r="DH281" i="3"/>
  <c r="DH291" i="3"/>
  <c r="DH354" i="3"/>
  <c r="DH398" i="3"/>
  <c r="DH415" i="3"/>
  <c r="DH536" i="3"/>
  <c r="DH531" i="3"/>
  <c r="DH522" i="3"/>
  <c r="DH532" i="3"/>
  <c r="E175" i="17"/>
  <c r="G176" i="17" s="1"/>
  <c r="H176" i="17" s="1"/>
  <c r="J176" i="17" s="1"/>
  <c r="DH505" i="3"/>
  <c r="DH507" i="3"/>
  <c r="DH509" i="3"/>
  <c r="DH516" i="3"/>
  <c r="DH518" i="3"/>
  <c r="DH520" i="3"/>
  <c r="DH510" i="3"/>
  <c r="DH502" i="3"/>
  <c r="DH513" i="3"/>
  <c r="E168" i="17"/>
  <c r="DH500" i="3"/>
  <c r="DH501" i="3"/>
  <c r="DH512" i="3"/>
  <c r="DH504" i="3"/>
  <c r="DH506" i="3"/>
  <c r="DH515" i="3"/>
  <c r="DH517" i="3"/>
  <c r="DH476" i="3"/>
  <c r="DH495" i="3"/>
  <c r="E163" i="17"/>
  <c r="G164" i="17" s="1"/>
  <c r="H164" i="17" s="1"/>
  <c r="J164" i="17" s="1"/>
  <c r="G162" i="17"/>
  <c r="G161" i="17"/>
  <c r="DH466" i="3"/>
  <c r="DH472" i="3"/>
  <c r="DH468" i="3"/>
  <c r="DH473" i="3"/>
  <c r="DH467" i="3"/>
  <c r="DH470" i="3"/>
  <c r="DH471" i="3"/>
  <c r="DH465" i="3"/>
  <c r="DH469" i="3"/>
  <c r="DH459" i="3"/>
  <c r="DH451" i="3"/>
  <c r="DH461" i="3"/>
  <c r="DH463" i="3"/>
  <c r="E156" i="17"/>
  <c r="DH449" i="3"/>
  <c r="DH458" i="3"/>
  <c r="DH453" i="3"/>
  <c r="DH460" i="3"/>
  <c r="DH455" i="3"/>
  <c r="DH462" i="3"/>
  <c r="DH457" i="3"/>
  <c r="DH452" i="3"/>
  <c r="DH417" i="3"/>
  <c r="DH427" i="3"/>
  <c r="DH419" i="3"/>
  <c r="DH428" i="3"/>
  <c r="DH422" i="3"/>
  <c r="DH424" i="3"/>
  <c r="DH430" i="3"/>
  <c r="DH426" i="3"/>
  <c r="DH432" i="3"/>
  <c r="DH420" i="3"/>
  <c r="DH400" i="3"/>
  <c r="DH401" i="3"/>
  <c r="DH410" i="3"/>
  <c r="DH405" i="3"/>
  <c r="DH407" i="3"/>
  <c r="DH414" i="3"/>
  <c r="DH416" i="3"/>
  <c r="E142" i="17"/>
  <c r="DH399" i="3"/>
  <c r="DH409" i="3"/>
  <c r="G141" i="17"/>
  <c r="G140" i="17"/>
  <c r="DH386" i="3"/>
  <c r="DH389" i="3"/>
  <c r="DH396" i="3"/>
  <c r="DH390" i="3"/>
  <c r="DH397" i="3"/>
  <c r="DH385" i="3"/>
  <c r="DH393" i="3"/>
  <c r="DH388" i="3"/>
  <c r="DH376" i="3"/>
  <c r="DH372" i="3"/>
  <c r="DH373" i="3"/>
  <c r="DH375" i="3"/>
  <c r="DH369" i="3"/>
  <c r="DH379" i="3"/>
  <c r="DH383" i="3"/>
  <c r="DH368" i="3"/>
  <c r="DH371" i="3"/>
  <c r="DH381" i="3"/>
  <c r="DH374" i="3"/>
  <c r="DH367" i="3"/>
  <c r="DH377" i="3"/>
  <c r="DH378" i="3"/>
  <c r="DH382" i="3"/>
  <c r="DH337" i="3"/>
  <c r="DH359" i="3"/>
  <c r="DH343" i="3"/>
  <c r="DH347" i="3"/>
  <c r="DH357" i="3"/>
  <c r="E133" i="17"/>
  <c r="DH340" i="3"/>
  <c r="DH331" i="3"/>
  <c r="DH327" i="3"/>
  <c r="E124" i="17"/>
  <c r="DH328" i="3"/>
  <c r="DH324" i="3"/>
  <c r="DH334" i="3"/>
  <c r="DH326" i="3"/>
  <c r="DH322" i="3"/>
  <c r="DH330" i="3"/>
  <c r="DH333" i="3"/>
  <c r="DH316" i="3"/>
  <c r="DH306" i="3"/>
  <c r="DH308" i="3"/>
  <c r="DH312" i="3"/>
  <c r="DH319" i="3"/>
  <c r="DH305" i="3"/>
  <c r="DH314" i="3"/>
  <c r="DH315" i="3"/>
  <c r="E120" i="17"/>
  <c r="DH307" i="3"/>
  <c r="DH317" i="3"/>
  <c r="DH311" i="3"/>
  <c r="DH318" i="3"/>
  <c r="DH313" i="3"/>
  <c r="DH289" i="3"/>
  <c r="DH299" i="3"/>
  <c r="E114" i="17"/>
  <c r="DH286" i="3"/>
  <c r="DH288" i="3"/>
  <c r="DH298" i="3"/>
  <c r="DH290" i="3"/>
  <c r="DH292" i="3"/>
  <c r="DH294" i="3"/>
  <c r="DH301" i="3"/>
  <c r="DH303" i="3"/>
  <c r="DH285" i="3"/>
  <c r="DH296" i="3"/>
  <c r="G111" i="17"/>
  <c r="G112" i="17"/>
  <c r="G113" i="17"/>
  <c r="G109" i="17"/>
  <c r="G110" i="17"/>
  <c r="DH269" i="3"/>
  <c r="DH279" i="3"/>
  <c r="DH275" i="3"/>
  <c r="DH271" i="3"/>
  <c r="DH273" i="3"/>
  <c r="DH280" i="3"/>
  <c r="DH282" i="3"/>
  <c r="DH284" i="3"/>
  <c r="DH268" i="3"/>
  <c r="DH266" i="3"/>
  <c r="H107" i="17"/>
  <c r="J107" i="17" s="1"/>
  <c r="DH261" i="3"/>
  <c r="DH262" i="3"/>
  <c r="DH260" i="3"/>
  <c r="DH264" i="3"/>
  <c r="DH258" i="3"/>
  <c r="DH246" i="3"/>
  <c r="DH249" i="3"/>
  <c r="DH251" i="3"/>
  <c r="DH253" i="3"/>
  <c r="DH255" i="3"/>
  <c r="DH231" i="3"/>
  <c r="DH245" i="3"/>
  <c r="DH234" i="3"/>
  <c r="DH236" i="3"/>
  <c r="DH238" i="3"/>
  <c r="DH240" i="3"/>
  <c r="DH242" i="3"/>
  <c r="DH248" i="3"/>
  <c r="DH244" i="3"/>
  <c r="DH247" i="3"/>
  <c r="DH250" i="3"/>
  <c r="DH252" i="3"/>
  <c r="DH254" i="3"/>
  <c r="DH206" i="3"/>
  <c r="DH220" i="3"/>
  <c r="DH210" i="3"/>
  <c r="DH212" i="3"/>
  <c r="DH214" i="3"/>
  <c r="DH216" i="3"/>
  <c r="DH222" i="3"/>
  <c r="DH205" i="3"/>
  <c r="DH219" i="3"/>
  <c r="DH208" i="3"/>
  <c r="DH209" i="3"/>
  <c r="E86" i="17"/>
  <c r="DH224" i="3"/>
  <c r="DH228" i="3"/>
  <c r="DH221" i="3"/>
  <c r="DH211" i="3"/>
  <c r="DH213" i="3"/>
  <c r="DH215" i="3"/>
  <c r="DH226" i="3"/>
  <c r="DH230" i="3"/>
  <c r="DH218" i="3"/>
  <c r="DH223" i="3"/>
  <c r="DH225" i="3"/>
  <c r="DH227" i="3"/>
  <c r="G85" i="17"/>
  <c r="G79" i="17"/>
  <c r="G78" i="17"/>
  <c r="G80" i="17"/>
  <c r="G77" i="17"/>
  <c r="G84" i="17"/>
  <c r="G81" i="17"/>
  <c r="G83" i="17"/>
  <c r="G82" i="17"/>
  <c r="DH179" i="3"/>
  <c r="DH193" i="3"/>
  <c r="DH182" i="3"/>
  <c r="DH197" i="3"/>
  <c r="DH199" i="3"/>
  <c r="DH201" i="3"/>
  <c r="DH203" i="3"/>
  <c r="DH192" i="3"/>
  <c r="DH181" i="3"/>
  <c r="DH195" i="3"/>
  <c r="DH184" i="3"/>
  <c r="DH186" i="3"/>
  <c r="DH188" i="3"/>
  <c r="DH190" i="3"/>
  <c r="DH196" i="3"/>
  <c r="DH198" i="3"/>
  <c r="DH200" i="3"/>
  <c r="DH202" i="3"/>
  <c r="DH166" i="3"/>
  <c r="DH155" i="3"/>
  <c r="DH169" i="3"/>
  <c r="DH158" i="3"/>
  <c r="DH160" i="3"/>
  <c r="DH162" i="3"/>
  <c r="DH164" i="3"/>
  <c r="DH170" i="3"/>
  <c r="E66" i="17"/>
  <c r="DH154" i="3"/>
  <c r="DH168" i="3"/>
  <c r="DH157" i="3"/>
  <c r="DH159" i="3"/>
  <c r="DH161" i="3"/>
  <c r="DH163" i="3"/>
  <c r="DH165" i="3"/>
  <c r="DH153" i="3"/>
  <c r="DH167" i="3"/>
  <c r="DH171" i="3"/>
  <c r="DH173" i="3"/>
  <c r="DH175" i="3"/>
  <c r="DH144" i="3"/>
  <c r="DH151" i="3"/>
  <c r="DH139" i="3"/>
  <c r="DH147" i="3"/>
  <c r="DH142" i="3"/>
  <c r="DH149" i="3"/>
  <c r="DH146" i="3"/>
  <c r="DH141" i="3"/>
  <c r="DH148" i="3"/>
  <c r="DH145" i="3"/>
  <c r="DH152" i="3"/>
  <c r="E63" i="17"/>
  <c r="DH140" i="3"/>
  <c r="DH128" i="3"/>
  <c r="DH131" i="3"/>
  <c r="DH137" i="3"/>
  <c r="DH132" i="3"/>
  <c r="E61" i="17"/>
  <c r="G62" i="17" s="1"/>
  <c r="DH127" i="3"/>
  <c r="DH134" i="3"/>
  <c r="DH130" i="3"/>
  <c r="DH136" i="3"/>
  <c r="DH138" i="3"/>
  <c r="DH133" i="3"/>
  <c r="DH122" i="3"/>
  <c r="DH125" i="3"/>
  <c r="DH118" i="3"/>
  <c r="DH114" i="3"/>
  <c r="DH121" i="3"/>
  <c r="DH110" i="3"/>
  <c r="DH113" i="3"/>
  <c r="DH116" i="3"/>
  <c r="DH124" i="3"/>
  <c r="DH126" i="3"/>
  <c r="DH123" i="3"/>
  <c r="E57" i="17"/>
  <c r="DH109" i="3"/>
  <c r="DH119" i="3"/>
  <c r="G55" i="17"/>
  <c r="G56" i="17"/>
  <c r="DH93" i="3"/>
  <c r="DH102" i="3"/>
  <c r="DH96" i="3"/>
  <c r="DH103" i="3"/>
  <c r="DH99" i="3"/>
  <c r="DH101" i="3"/>
  <c r="DH98" i="3"/>
  <c r="DH95" i="3"/>
  <c r="DH104" i="3"/>
  <c r="DH100" i="3"/>
  <c r="DH94" i="3"/>
  <c r="DH97" i="3"/>
  <c r="DH80" i="3"/>
  <c r="DH70" i="3"/>
  <c r="DH85" i="3"/>
  <c r="DH87" i="3"/>
  <c r="DH89" i="3"/>
  <c r="DH91" i="3"/>
  <c r="DH83" i="3"/>
  <c r="DH68" i="3"/>
  <c r="DH72" i="3"/>
  <c r="DH74" i="3"/>
  <c r="DH76" i="3"/>
  <c r="DH78" i="3"/>
  <c r="DH84" i="3"/>
  <c r="DH69" i="3"/>
  <c r="DH86" i="3"/>
  <c r="DH88" i="3"/>
  <c r="DH90" i="3"/>
  <c r="DH92" i="3"/>
  <c r="DH67" i="3"/>
  <c r="DH81" i="3"/>
  <c r="DH42" i="3"/>
  <c r="DH57" i="3"/>
  <c r="DH60" i="3"/>
  <c r="DH62" i="3"/>
  <c r="DH64" i="3"/>
  <c r="DH66" i="3"/>
  <c r="DH58" i="3"/>
  <c r="DH45" i="3"/>
  <c r="E33" i="17"/>
  <c r="DH41" i="3"/>
  <c r="DH55" i="3"/>
  <c r="DH43" i="3"/>
  <c r="DH47" i="3"/>
  <c r="DH49" i="3"/>
  <c r="DH51" i="3"/>
  <c r="DH56" i="3"/>
  <c r="DH59" i="3"/>
  <c r="DH61" i="3"/>
  <c r="DH63" i="3"/>
  <c r="DH65" i="3"/>
  <c r="DH29" i="3"/>
  <c r="DH36" i="3"/>
  <c r="DH33" i="3"/>
  <c r="DH39" i="3"/>
  <c r="E31" i="17"/>
  <c r="G32" i="17" s="1"/>
  <c r="DH34" i="3"/>
  <c r="DH35" i="3"/>
  <c r="DH23" i="3"/>
  <c r="DH28" i="3"/>
  <c r="DH19" i="3"/>
  <c r="DH25" i="3"/>
  <c r="E29" i="17"/>
  <c r="G30" i="17" s="1"/>
  <c r="DH18" i="3"/>
  <c r="DH21" i="3"/>
  <c r="DH27" i="3"/>
  <c r="DH22" i="3"/>
  <c r="DH20" i="3"/>
  <c r="DH1" i="3"/>
  <c r="DH4" i="3"/>
  <c r="DH11" i="3"/>
  <c r="DH9" i="3"/>
  <c r="DH13" i="3"/>
  <c r="DH8" i="3"/>
  <c r="DH6" i="3"/>
  <c r="DH16" i="3"/>
  <c r="E26" i="17"/>
  <c r="DH2" i="3"/>
  <c r="DH3" i="3"/>
  <c r="DH5" i="3"/>
  <c r="DH535" i="3"/>
  <c r="DH533" i="3"/>
  <c r="DH525" i="3"/>
  <c r="DH530" i="3"/>
  <c r="DH526" i="3"/>
  <c r="DH527" i="3"/>
  <c r="DH521" i="3"/>
  <c r="DH523" i="3"/>
  <c r="DH529" i="3"/>
  <c r="H167" i="17"/>
  <c r="I167" i="17" s="1"/>
  <c r="DH496" i="3"/>
  <c r="DH491" i="3"/>
  <c r="DH498" i="3"/>
  <c r="DH493" i="3"/>
  <c r="DH492" i="3"/>
  <c r="DH494" i="3"/>
  <c r="DH479" i="3"/>
  <c r="DH486" i="3"/>
  <c r="DH489" i="3"/>
  <c r="DH475" i="3"/>
  <c r="DH484" i="3"/>
  <c r="DH478" i="3"/>
  <c r="DH485" i="3"/>
  <c r="DH488" i="3"/>
  <c r="DH482" i="3"/>
  <c r="DH483" i="3"/>
  <c r="DH477" i="3"/>
  <c r="DH480" i="3"/>
  <c r="DH487" i="3"/>
  <c r="DH364" i="3"/>
  <c r="DH363" i="3"/>
  <c r="DH361" i="3"/>
  <c r="DH366" i="3"/>
  <c r="DH351" i="3"/>
  <c r="E130" i="17"/>
  <c r="DH353" i="3"/>
  <c r="DH355" i="3"/>
  <c r="DH360" i="3"/>
  <c r="DH358" i="3"/>
  <c r="DH349" i="3"/>
  <c r="FJ17" i="7"/>
  <c r="DH336" i="3"/>
  <c r="DH339" i="3"/>
  <c r="DH346" i="3"/>
  <c r="E127" i="17"/>
  <c r="DH342" i="3"/>
  <c r="DH335" i="3"/>
  <c r="DH344" i="3"/>
  <c r="DH338" i="3"/>
  <c r="DH345" i="3"/>
  <c r="DH348" i="3"/>
  <c r="O54" i="15"/>
  <c r="E54" i="15" s="1"/>
  <c r="G54" i="15" s="1"/>
  <c r="G55" i="15" s="1"/>
  <c r="L55" i="15" s="1"/>
  <c r="FJ20" i="7"/>
  <c r="AK399" i="1"/>
  <c r="F735" i="8" s="1"/>
  <c r="AK385" i="1"/>
  <c r="F713" i="8" s="1"/>
  <c r="ER381" i="1"/>
  <c r="ER385" i="1"/>
  <c r="AK381" i="1"/>
  <c r="F702" i="8" s="1"/>
  <c r="ER375" i="1"/>
  <c r="GW691" i="8"/>
  <c r="FI19" i="7" s="1"/>
  <c r="ER369" i="1"/>
  <c r="AK375" i="1"/>
  <c r="F687" i="8" s="1"/>
  <c r="AK355" i="1"/>
  <c r="F644" i="8" s="1"/>
  <c r="AK361" i="1"/>
  <c r="F658" i="8" s="1"/>
  <c r="AK369" i="1"/>
  <c r="F674" i="8" s="1"/>
  <c r="ER361" i="1"/>
  <c r="ER355" i="1"/>
  <c r="ER341" i="1"/>
  <c r="AK341" i="1"/>
  <c r="F621" i="8" s="1"/>
  <c r="ER331" i="1"/>
  <c r="AK331" i="1"/>
  <c r="F603" i="8" s="1"/>
  <c r="ER274" i="1"/>
  <c r="AK280" i="1"/>
  <c r="F497" i="8" s="1"/>
  <c r="AK325" i="1"/>
  <c r="F589" i="8" s="1"/>
  <c r="AK317" i="1"/>
  <c r="F573" i="8" s="1"/>
  <c r="ER325" i="1"/>
  <c r="ER317" i="1"/>
  <c r="ER280" i="1"/>
  <c r="AK274" i="1"/>
  <c r="F484" i="8" s="1"/>
  <c r="AK138" i="1"/>
  <c r="F258" i="8" s="1"/>
  <c r="AK164" i="1"/>
  <c r="F300" i="8" s="1"/>
  <c r="AK184" i="1"/>
  <c r="F328" i="8" s="1"/>
  <c r="GW470" i="8"/>
  <c r="AK266" i="1"/>
  <c r="F466" i="8" s="1"/>
  <c r="ER266" i="1"/>
  <c r="AK260" i="1"/>
  <c r="F452" i="8" s="1"/>
  <c r="AK43" i="1"/>
  <c r="F88" i="8" s="1"/>
  <c r="AK240" i="1"/>
  <c r="F416" i="8" s="1"/>
  <c r="AK252" i="1"/>
  <c r="F436" i="8" s="1"/>
  <c r="ER260" i="1"/>
  <c r="ER43" i="1"/>
  <c r="ER63" i="1"/>
  <c r="ER252" i="1"/>
  <c r="AK228" i="1"/>
  <c r="F396" i="8" s="1"/>
  <c r="ER240" i="1"/>
  <c r="ER228" i="1"/>
  <c r="AK204" i="1"/>
  <c r="F356" i="8" s="1"/>
  <c r="ER138" i="1"/>
  <c r="ER144" i="1"/>
  <c r="ER164" i="1"/>
  <c r="ER184" i="1"/>
  <c r="ER224" i="1"/>
  <c r="AK224" i="1"/>
  <c r="F384" i="8" s="1"/>
  <c r="GW387" i="8"/>
  <c r="ER204" i="1"/>
  <c r="ER126" i="1"/>
  <c r="ER134" i="1"/>
  <c r="AK126" i="1"/>
  <c r="F230" i="8" s="1"/>
  <c r="AK144" i="1"/>
  <c r="F272" i="8" s="1"/>
  <c r="AK134" i="1"/>
  <c r="F246" i="8" s="1"/>
  <c r="AK120" i="1"/>
  <c r="F215" i="8" s="1"/>
  <c r="AK39" i="1"/>
  <c r="F76" i="8" s="1"/>
  <c r="ER120" i="1"/>
  <c r="C216" i="8"/>
  <c r="ER39" i="1"/>
  <c r="AK63" i="1"/>
  <c r="F116" i="8" s="1"/>
  <c r="AK35" i="1"/>
  <c r="F64" i="8" s="1"/>
  <c r="ER35" i="1"/>
  <c r="ER29" i="1"/>
  <c r="AK29" i="1"/>
  <c r="F50" i="8" s="1"/>
  <c r="A1"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1" i="3"/>
  <c r="Y1" i="3"/>
  <c r="CV1" i="3" s="1"/>
  <c r="CU1" i="3"/>
  <c r="CX1" i="3"/>
  <c r="CY1" i="3"/>
  <c r="CZ1" i="3"/>
  <c r="DA1" i="3"/>
  <c r="DB1" i="3"/>
  <c r="DC1" i="3"/>
  <c r="A2" i="3"/>
  <c r="Y2" i="3"/>
  <c r="CX2" i="3"/>
  <c r="P29" i="15" s="1"/>
  <c r="CY2" i="3"/>
  <c r="CZ2" i="3"/>
  <c r="DB2" i="3" s="1"/>
  <c r="DA2" i="3"/>
  <c r="DC2" i="3"/>
  <c r="A3" i="3"/>
  <c r="Y3" i="3"/>
  <c r="CW3" i="3" s="1"/>
  <c r="CX3" i="3"/>
  <c r="CY3" i="3"/>
  <c r="CZ3" i="3"/>
  <c r="DB3" i="3" s="1"/>
  <c r="DA3" i="3"/>
  <c r="DC3" i="3"/>
  <c r="A4" i="3"/>
  <c r="Y4" i="3"/>
  <c r="CW4" i="3"/>
  <c r="CX4" i="3"/>
  <c r="P37" i="15" s="1"/>
  <c r="CY4" i="3"/>
  <c r="CZ4" i="3"/>
  <c r="DA4" i="3"/>
  <c r="DB4" i="3"/>
  <c r="DC4" i="3"/>
  <c r="A5" i="3"/>
  <c r="Y5" i="3"/>
  <c r="CW5" i="3" s="1"/>
  <c r="CX5" i="3"/>
  <c r="CY5" i="3"/>
  <c r="CZ5" i="3"/>
  <c r="DA5" i="3"/>
  <c r="DB5" i="3"/>
  <c r="DC5" i="3"/>
  <c r="A6" i="3"/>
  <c r="Y6" i="3"/>
  <c r="CW6" i="3"/>
  <c r="CX6" i="3"/>
  <c r="P50" i="15" s="1"/>
  <c r="CY6" i="3"/>
  <c r="CZ6" i="3"/>
  <c r="DA6" i="3"/>
  <c r="DB6" i="3"/>
  <c r="DC6" i="3"/>
  <c r="A7" i="3"/>
  <c r="Y7" i="3"/>
  <c r="CX7" i="3" s="1"/>
  <c r="CY7" i="3"/>
  <c r="CZ7" i="3"/>
  <c r="DB7" i="3" s="1"/>
  <c r="DA7" i="3"/>
  <c r="DC7" i="3"/>
  <c r="A8" i="3"/>
  <c r="Y8" i="3"/>
  <c r="CX8" i="3"/>
  <c r="DG8" i="3" s="1"/>
  <c r="CY8" i="3"/>
  <c r="CZ8" i="3"/>
  <c r="DB8" i="3" s="1"/>
  <c r="DA8" i="3"/>
  <c r="DC8" i="3"/>
  <c r="A9" i="3"/>
  <c r="Y9" i="3"/>
  <c r="CX9" i="3" s="1"/>
  <c r="CU9" i="3"/>
  <c r="CV9" i="3"/>
  <c r="CY9" i="3"/>
  <c r="CZ9" i="3"/>
  <c r="DB9" i="3" s="1"/>
  <c r="DA9" i="3"/>
  <c r="DC9" i="3"/>
  <c r="A10" i="3"/>
  <c r="Y10" i="3"/>
  <c r="CX10" i="3"/>
  <c r="DG10" i="3" s="1"/>
  <c r="CY10" i="3"/>
  <c r="CZ10" i="3"/>
  <c r="DB10" i="3" s="1"/>
  <c r="DA10" i="3"/>
  <c r="DC10" i="3"/>
  <c r="A11" i="3"/>
  <c r="Y11" i="3"/>
  <c r="CW11" i="3"/>
  <c r="CX11" i="3"/>
  <c r="CY11" i="3"/>
  <c r="CZ11" i="3"/>
  <c r="DA11" i="3"/>
  <c r="DB11" i="3"/>
  <c r="DC11" i="3"/>
  <c r="A12" i="3"/>
  <c r="Y12" i="3"/>
  <c r="CW12" i="3" s="1"/>
  <c r="CX12" i="3"/>
  <c r="DG12" i="3" s="1"/>
  <c r="CY12" i="3"/>
  <c r="CZ12" i="3"/>
  <c r="DA12" i="3"/>
  <c r="DB12" i="3"/>
  <c r="DC12" i="3"/>
  <c r="A13" i="3"/>
  <c r="Y13" i="3"/>
  <c r="CW13" i="3"/>
  <c r="CX13" i="3"/>
  <c r="CY13" i="3"/>
  <c r="CZ13" i="3"/>
  <c r="DA13" i="3"/>
  <c r="DB13" i="3"/>
  <c r="DC13" i="3"/>
  <c r="A14" i="3"/>
  <c r="Y14" i="3"/>
  <c r="CW14" i="3" s="1"/>
  <c r="CY14" i="3"/>
  <c r="CZ14" i="3"/>
  <c r="DA14" i="3"/>
  <c r="DB14" i="3"/>
  <c r="DC14" i="3"/>
  <c r="A15" i="3"/>
  <c r="Y15" i="3"/>
  <c r="CX15" i="3" s="1"/>
  <c r="CY15" i="3"/>
  <c r="CZ15" i="3"/>
  <c r="DA15" i="3"/>
  <c r="DB15" i="3"/>
  <c r="DC15" i="3"/>
  <c r="A16" i="3"/>
  <c r="Y16" i="3"/>
  <c r="CX16" i="3"/>
  <c r="CY16" i="3"/>
  <c r="CZ16" i="3"/>
  <c r="DA16" i="3"/>
  <c r="DB16" i="3"/>
  <c r="DC16" i="3"/>
  <c r="A17" i="3"/>
  <c r="Y17" i="3"/>
  <c r="CX17" i="3" s="1"/>
  <c r="P28" i="15" s="1"/>
  <c r="CU17" i="3"/>
  <c r="CV17" i="3"/>
  <c r="CY17" i="3"/>
  <c r="CZ17" i="3"/>
  <c r="DA17" i="3"/>
  <c r="DB17" i="3"/>
  <c r="DC17" i="3"/>
  <c r="A18" i="3"/>
  <c r="Y18" i="3"/>
  <c r="CX18" i="3" s="1"/>
  <c r="Q29" i="15" s="1"/>
  <c r="CY18" i="3"/>
  <c r="CZ18" i="3"/>
  <c r="DA18" i="3"/>
  <c r="DB18" i="3"/>
  <c r="DC18" i="3"/>
  <c r="A19" i="3"/>
  <c r="Y19" i="3"/>
  <c r="CW19" i="3" s="1"/>
  <c r="CY19" i="3"/>
  <c r="CZ19" i="3"/>
  <c r="DA19" i="3"/>
  <c r="DB19" i="3"/>
  <c r="DC19" i="3"/>
  <c r="A20" i="3"/>
  <c r="Y20" i="3"/>
  <c r="CX20" i="3" s="1"/>
  <c r="P36" i="15" s="1"/>
  <c r="CY20" i="3"/>
  <c r="CZ20" i="3"/>
  <c r="DB20" i="3" s="1"/>
  <c r="DA20" i="3"/>
  <c r="DC20" i="3"/>
  <c r="A21" i="3"/>
  <c r="Y21" i="3"/>
  <c r="CW21" i="3" s="1"/>
  <c r="CY21" i="3"/>
  <c r="CZ21" i="3"/>
  <c r="DB21" i="3" s="1"/>
  <c r="DA21" i="3"/>
  <c r="DC21" i="3"/>
  <c r="A22" i="3"/>
  <c r="Y22" i="3"/>
  <c r="CX22" i="3" s="1"/>
  <c r="CY22" i="3"/>
  <c r="CZ22" i="3"/>
  <c r="DA22" i="3"/>
  <c r="DB22" i="3"/>
  <c r="DC22" i="3"/>
  <c r="A23" i="3"/>
  <c r="Y23" i="3"/>
  <c r="CV23" i="3" s="1"/>
  <c r="CU23" i="3"/>
  <c r="CY23" i="3"/>
  <c r="CZ23" i="3"/>
  <c r="DB23" i="3" s="1"/>
  <c r="DA23" i="3"/>
  <c r="DC23" i="3"/>
  <c r="A24" i="3"/>
  <c r="Y24" i="3"/>
  <c r="CX24" i="3" s="1"/>
  <c r="CY24" i="3"/>
  <c r="CZ24" i="3"/>
  <c r="DA24" i="3"/>
  <c r="DB24" i="3"/>
  <c r="DC24" i="3"/>
  <c r="A25" i="3"/>
  <c r="Y25" i="3"/>
  <c r="CX25" i="3" s="1"/>
  <c r="CY25" i="3"/>
  <c r="CZ25" i="3"/>
  <c r="DB25" i="3" s="1"/>
  <c r="DA25" i="3"/>
  <c r="DC25" i="3"/>
  <c r="A26" i="3"/>
  <c r="Y26" i="3"/>
  <c r="CW26" i="3"/>
  <c r="CX26" i="3"/>
  <c r="DF26" i="3" s="1"/>
  <c r="CY26" i="3"/>
  <c r="CZ26" i="3"/>
  <c r="DA26" i="3"/>
  <c r="DB26" i="3"/>
  <c r="DC26" i="3"/>
  <c r="A27" i="3"/>
  <c r="Y27" i="3"/>
  <c r="CX27" i="3" s="1"/>
  <c r="CW27" i="3"/>
  <c r="CY27" i="3"/>
  <c r="CZ27" i="3"/>
  <c r="DB27" i="3" s="1"/>
  <c r="DA27" i="3"/>
  <c r="DC27" i="3"/>
  <c r="A28" i="3"/>
  <c r="Y28" i="3"/>
  <c r="CX28" i="3"/>
  <c r="DG28" i="3" s="1"/>
  <c r="CY28" i="3"/>
  <c r="CZ28" i="3"/>
  <c r="DB28" i="3" s="1"/>
  <c r="DA28" i="3"/>
  <c r="DC28" i="3"/>
  <c r="A29" i="3"/>
  <c r="Y29" i="3"/>
  <c r="CX29" i="3" s="1"/>
  <c r="Q28" i="15" s="1"/>
  <c r="CU29" i="3"/>
  <c r="CV29" i="3"/>
  <c r="CY29" i="3"/>
  <c r="CZ29" i="3"/>
  <c r="DB29" i="3" s="1"/>
  <c r="DA29" i="3"/>
  <c r="DC29" i="3"/>
  <c r="A30" i="3"/>
  <c r="Y30" i="3"/>
  <c r="CX30" i="3"/>
  <c r="CY30" i="3"/>
  <c r="CZ30" i="3"/>
  <c r="DB30" i="3" s="1"/>
  <c r="DA30" i="3"/>
  <c r="DC30" i="3"/>
  <c r="A31" i="3"/>
  <c r="Y31" i="3"/>
  <c r="CW31" i="3"/>
  <c r="CX31" i="3"/>
  <c r="Q34" i="15" s="1"/>
  <c r="CY31" i="3"/>
  <c r="CZ31" i="3"/>
  <c r="DA31" i="3"/>
  <c r="DB31" i="3"/>
  <c r="DC31" i="3"/>
  <c r="A32" i="3"/>
  <c r="Y32" i="3"/>
  <c r="CW32" i="3" s="1"/>
  <c r="CX32" i="3"/>
  <c r="CY32" i="3"/>
  <c r="CZ32" i="3"/>
  <c r="DA32" i="3"/>
  <c r="DB32" i="3"/>
  <c r="DC32" i="3"/>
  <c r="A33" i="3"/>
  <c r="Y33" i="3"/>
  <c r="CW33" i="3"/>
  <c r="CX33" i="3"/>
  <c r="R50" i="15" s="1"/>
  <c r="CY33" i="3"/>
  <c r="CZ33" i="3"/>
  <c r="DA33" i="3"/>
  <c r="DB33" i="3"/>
  <c r="DC33" i="3"/>
  <c r="A34" i="3"/>
  <c r="Y34" i="3"/>
  <c r="CX34" i="3" s="1"/>
  <c r="CY34" i="3"/>
  <c r="CZ34" i="3"/>
  <c r="DB34" i="3" s="1"/>
  <c r="DA34" i="3"/>
  <c r="DC34" i="3"/>
  <c r="A35" i="3"/>
  <c r="Y35" i="3"/>
  <c r="CU35" i="3"/>
  <c r="CV35" i="3"/>
  <c r="CX35" i="3"/>
  <c r="CY35" i="3"/>
  <c r="CZ35" i="3"/>
  <c r="DA35" i="3"/>
  <c r="DB35" i="3"/>
  <c r="DC35" i="3"/>
  <c r="A36" i="3"/>
  <c r="Y36" i="3"/>
  <c r="CX36" i="3" s="1"/>
  <c r="CY36" i="3"/>
  <c r="CZ36" i="3"/>
  <c r="DB36" i="3" s="1"/>
  <c r="DA36" i="3"/>
  <c r="DC36" i="3"/>
  <c r="A37" i="3"/>
  <c r="Y37" i="3"/>
  <c r="CW37" i="3"/>
  <c r="CX37" i="3"/>
  <c r="DF37" i="3" s="1"/>
  <c r="CY37" i="3"/>
  <c r="CZ37" i="3"/>
  <c r="DA37" i="3"/>
  <c r="DB37" i="3"/>
  <c r="DC37" i="3"/>
  <c r="A38" i="3"/>
  <c r="Y38" i="3"/>
  <c r="CX38" i="3" s="1"/>
  <c r="CW38" i="3"/>
  <c r="CY38" i="3"/>
  <c r="CZ38" i="3"/>
  <c r="DB38" i="3" s="1"/>
  <c r="DA38" i="3"/>
  <c r="DC38" i="3"/>
  <c r="A39" i="3"/>
  <c r="Y39" i="3"/>
  <c r="CW39" i="3"/>
  <c r="CX39" i="3"/>
  <c r="DF39" i="3" s="1"/>
  <c r="CY39" i="3"/>
  <c r="CZ39" i="3"/>
  <c r="DA39" i="3"/>
  <c r="DB39" i="3"/>
  <c r="DC39" i="3"/>
  <c r="A40" i="3"/>
  <c r="Y40" i="3"/>
  <c r="CX40" i="3" s="1"/>
  <c r="CY40" i="3"/>
  <c r="CZ40" i="3"/>
  <c r="DB40" i="3" s="1"/>
  <c r="DA40" i="3"/>
  <c r="DC40" i="3"/>
  <c r="A41" i="3"/>
  <c r="Y41" i="3"/>
  <c r="CV41" i="3" s="1"/>
  <c r="CU41" i="3"/>
  <c r="CX41" i="3"/>
  <c r="CY41" i="3"/>
  <c r="CZ41" i="3"/>
  <c r="DA41" i="3"/>
  <c r="DB41" i="3"/>
  <c r="DC41" i="3"/>
  <c r="A42" i="3"/>
  <c r="Y42" i="3"/>
  <c r="CX42" i="3"/>
  <c r="S29" i="15" s="1"/>
  <c r="CY42" i="3"/>
  <c r="CZ42" i="3"/>
  <c r="DB42" i="3" s="1"/>
  <c r="DA42" i="3"/>
  <c r="DC42" i="3"/>
  <c r="A43" i="3"/>
  <c r="Y43" i="3"/>
  <c r="CW43" i="3" s="1"/>
  <c r="CX43" i="3"/>
  <c r="CY43" i="3"/>
  <c r="CZ43" i="3"/>
  <c r="DB43" i="3" s="1"/>
  <c r="DA43" i="3"/>
  <c r="DC43" i="3"/>
  <c r="A44" i="3"/>
  <c r="Y44" i="3"/>
  <c r="CW44" i="3"/>
  <c r="CX44" i="3"/>
  <c r="P45" i="15" s="1"/>
  <c r="CY44" i="3"/>
  <c r="CZ44" i="3"/>
  <c r="DA44" i="3"/>
  <c r="DB44" i="3"/>
  <c r="DC44" i="3"/>
  <c r="A45" i="3"/>
  <c r="Y45" i="3"/>
  <c r="CX45" i="3" s="1"/>
  <c r="CY45" i="3"/>
  <c r="CZ45" i="3"/>
  <c r="DB45" i="3" s="1"/>
  <c r="DA45" i="3"/>
  <c r="DC45" i="3"/>
  <c r="A46" i="3"/>
  <c r="Y46" i="3"/>
  <c r="CX46" i="3"/>
  <c r="DG46" i="3" s="1"/>
  <c r="CY46" i="3"/>
  <c r="CZ46" i="3"/>
  <c r="DB46" i="3" s="1"/>
  <c r="DA46" i="3"/>
  <c r="DC46" i="3"/>
  <c r="A47" i="3"/>
  <c r="Y47" i="3"/>
  <c r="CX47" i="3" s="1"/>
  <c r="CY47" i="3"/>
  <c r="CZ47" i="3"/>
  <c r="DA47" i="3"/>
  <c r="DB47" i="3"/>
  <c r="DC47" i="3"/>
  <c r="A48" i="3"/>
  <c r="Y48" i="3"/>
  <c r="CX48" i="3" s="1"/>
  <c r="CY48" i="3"/>
  <c r="CZ48" i="3"/>
  <c r="DA48" i="3"/>
  <c r="DB48" i="3"/>
  <c r="DC48" i="3"/>
  <c r="A49" i="3"/>
  <c r="Y49" i="3"/>
  <c r="CX49" i="3" s="1"/>
  <c r="CY49" i="3"/>
  <c r="CZ49" i="3"/>
  <c r="DA49" i="3"/>
  <c r="DB49" i="3"/>
  <c r="DC49" i="3"/>
  <c r="A50" i="3"/>
  <c r="Y50" i="3"/>
  <c r="CX50" i="3" s="1"/>
  <c r="CY50" i="3"/>
  <c r="CZ50" i="3"/>
  <c r="DB50" i="3" s="1"/>
  <c r="DA50" i="3"/>
  <c r="DC50" i="3"/>
  <c r="A51" i="3"/>
  <c r="Y51" i="3"/>
  <c r="CX51" i="3"/>
  <c r="DG51" i="3" s="1"/>
  <c r="CY51" i="3"/>
  <c r="CZ51" i="3"/>
  <c r="DB51" i="3" s="1"/>
  <c r="DA51" i="3"/>
  <c r="DC51" i="3"/>
  <c r="A52" i="3"/>
  <c r="Y52" i="3"/>
  <c r="CX52" i="3"/>
  <c r="DF52" i="3" s="1"/>
  <c r="DJ52" i="3" s="1"/>
  <c r="CY52" i="3"/>
  <c r="CZ52" i="3"/>
  <c r="DA52" i="3"/>
  <c r="DB52" i="3"/>
  <c r="DC52" i="3"/>
  <c r="A53" i="3"/>
  <c r="Y53" i="3"/>
  <c r="CX53" i="3" s="1"/>
  <c r="DG53" i="3" s="1"/>
  <c r="CY53" i="3"/>
  <c r="CZ53" i="3"/>
  <c r="DA53" i="3"/>
  <c r="DB53" i="3"/>
  <c r="DC53" i="3"/>
  <c r="A54" i="3"/>
  <c r="Y54" i="3"/>
  <c r="CV54" i="3" s="1"/>
  <c r="CU54" i="3"/>
  <c r="CX54" i="3"/>
  <c r="CY54" i="3"/>
  <c r="CZ54" i="3"/>
  <c r="DA54" i="3"/>
  <c r="DB54" i="3"/>
  <c r="DC54" i="3"/>
  <c r="A55" i="3"/>
  <c r="Y55" i="3"/>
  <c r="CX55" i="3" s="1"/>
  <c r="CY55" i="3"/>
  <c r="CZ55" i="3"/>
  <c r="DA55" i="3"/>
  <c r="DB55" i="3"/>
  <c r="DC55" i="3"/>
  <c r="A56" i="3"/>
  <c r="Y56" i="3"/>
  <c r="CW56" i="3" s="1"/>
  <c r="CY56" i="3"/>
  <c r="CZ56" i="3"/>
  <c r="DB56" i="3" s="1"/>
  <c r="DA56" i="3"/>
  <c r="DC56" i="3"/>
  <c r="A57" i="3"/>
  <c r="Y57" i="3"/>
  <c r="CW57" i="3"/>
  <c r="CX57" i="3"/>
  <c r="CY57" i="3"/>
  <c r="CZ57" i="3"/>
  <c r="DA57" i="3"/>
  <c r="DB57" i="3"/>
  <c r="DC57" i="3"/>
  <c r="A58" i="3"/>
  <c r="Y58" i="3"/>
  <c r="CX58" i="3" s="1"/>
  <c r="DF58" i="3" s="1"/>
  <c r="CY58" i="3"/>
  <c r="CZ58" i="3"/>
  <c r="DB58" i="3" s="1"/>
  <c r="DA58" i="3"/>
  <c r="DC58" i="3"/>
  <c r="A59" i="3"/>
  <c r="Y59" i="3"/>
  <c r="CX59" i="3"/>
  <c r="DG59" i="3" s="1"/>
  <c r="CY59" i="3"/>
  <c r="CZ59" i="3"/>
  <c r="DB59" i="3" s="1"/>
  <c r="DA59" i="3"/>
  <c r="DC59" i="3"/>
  <c r="A60" i="3"/>
  <c r="Y60" i="3"/>
  <c r="CX60" i="3"/>
  <c r="CY60" i="3"/>
  <c r="CZ60" i="3"/>
  <c r="DA60" i="3"/>
  <c r="DB60" i="3"/>
  <c r="DC60" i="3"/>
  <c r="A61" i="3"/>
  <c r="Y61" i="3"/>
  <c r="CX61" i="3" s="1"/>
  <c r="DG61" i="3" s="1"/>
  <c r="CY61" i="3"/>
  <c r="CZ61" i="3"/>
  <c r="DA61" i="3"/>
  <c r="DB61" i="3"/>
  <c r="DC61" i="3"/>
  <c r="A62" i="3"/>
  <c r="Y62" i="3"/>
  <c r="CX62" i="3" s="1"/>
  <c r="DF62" i="3" s="1"/>
  <c r="DJ62" i="3" s="1"/>
  <c r="CY62" i="3"/>
  <c r="CZ62" i="3"/>
  <c r="DB62" i="3" s="1"/>
  <c r="DA62" i="3"/>
  <c r="DC62" i="3"/>
  <c r="A63" i="3"/>
  <c r="Y63" i="3"/>
  <c r="CX63" i="3"/>
  <c r="DG63" i="3" s="1"/>
  <c r="CY63" i="3"/>
  <c r="CZ63" i="3"/>
  <c r="DB63" i="3" s="1"/>
  <c r="DA63" i="3"/>
  <c r="DC63" i="3"/>
  <c r="A64" i="3"/>
  <c r="Y64" i="3"/>
  <c r="CX64" i="3"/>
  <c r="CY64" i="3"/>
  <c r="CZ64" i="3"/>
  <c r="DA64" i="3"/>
  <c r="DB64" i="3"/>
  <c r="DC64" i="3"/>
  <c r="A65" i="3"/>
  <c r="Y65" i="3"/>
  <c r="CX65" i="3" s="1"/>
  <c r="DG65" i="3" s="1"/>
  <c r="CY65" i="3"/>
  <c r="CZ65" i="3"/>
  <c r="DA65" i="3"/>
  <c r="DB65" i="3"/>
  <c r="DC65" i="3"/>
  <c r="A66" i="3"/>
  <c r="Y66" i="3"/>
  <c r="CX66" i="3" s="1"/>
  <c r="DF66" i="3" s="1"/>
  <c r="DJ66" i="3" s="1"/>
  <c r="CY66" i="3"/>
  <c r="CZ66" i="3"/>
  <c r="DB66" i="3" s="1"/>
  <c r="DA66" i="3"/>
  <c r="DC66" i="3"/>
  <c r="A67" i="3"/>
  <c r="Y67" i="3"/>
  <c r="CU67" i="3"/>
  <c r="CV67" i="3"/>
  <c r="CX67" i="3"/>
  <c r="Q22" i="15" s="1"/>
  <c r="CY67" i="3"/>
  <c r="CZ67" i="3"/>
  <c r="DA67" i="3"/>
  <c r="DB67" i="3"/>
  <c r="DC67" i="3"/>
  <c r="A68" i="3"/>
  <c r="Y68" i="3"/>
  <c r="CX68" i="3" s="1"/>
  <c r="CY68" i="3"/>
  <c r="CZ68" i="3"/>
  <c r="DB68" i="3" s="1"/>
  <c r="DA68" i="3"/>
  <c r="DC68" i="3"/>
  <c r="A69" i="3"/>
  <c r="Y69" i="3"/>
  <c r="CW69" i="3"/>
  <c r="CX69" i="3"/>
  <c r="R51" i="15" s="1"/>
  <c r="CY69" i="3"/>
  <c r="CZ69" i="3"/>
  <c r="DA69" i="3"/>
  <c r="DB69" i="3"/>
  <c r="DC69" i="3"/>
  <c r="A70" i="3"/>
  <c r="Y70" i="3"/>
  <c r="CX70" i="3" s="1"/>
  <c r="CY70" i="3"/>
  <c r="CZ70" i="3"/>
  <c r="DB70" i="3" s="1"/>
  <c r="DA70" i="3"/>
  <c r="DC70" i="3"/>
  <c r="A71" i="3"/>
  <c r="Y71" i="3"/>
  <c r="CX71" i="3"/>
  <c r="DG71" i="3" s="1"/>
  <c r="CY71" i="3"/>
  <c r="CZ71" i="3"/>
  <c r="DB71" i="3" s="1"/>
  <c r="DA71" i="3"/>
  <c r="DC71" i="3"/>
  <c r="A72" i="3"/>
  <c r="Y72" i="3"/>
  <c r="CX72" i="3"/>
  <c r="CY72" i="3"/>
  <c r="CZ72" i="3"/>
  <c r="DA72" i="3"/>
  <c r="DB72" i="3"/>
  <c r="DC72" i="3"/>
  <c r="A73" i="3"/>
  <c r="Y73" i="3"/>
  <c r="CX73" i="3"/>
  <c r="DG73" i="3" s="1"/>
  <c r="CY73" i="3"/>
  <c r="CZ73" i="3"/>
  <c r="DA73" i="3"/>
  <c r="DB73" i="3"/>
  <c r="DC73" i="3"/>
  <c r="A74" i="3"/>
  <c r="Y74" i="3"/>
  <c r="CX74" i="3" s="1"/>
  <c r="DF74" i="3" s="1"/>
  <c r="DJ74" i="3" s="1"/>
  <c r="CY74" i="3"/>
  <c r="CZ74" i="3"/>
  <c r="DB74" i="3" s="1"/>
  <c r="DA74" i="3"/>
  <c r="DC74" i="3"/>
  <c r="A75" i="3"/>
  <c r="Y75" i="3"/>
  <c r="CX75" i="3"/>
  <c r="DG75" i="3" s="1"/>
  <c r="CY75" i="3"/>
  <c r="CZ75" i="3"/>
  <c r="DB75" i="3" s="1"/>
  <c r="DA75" i="3"/>
  <c r="DC75" i="3"/>
  <c r="A76" i="3"/>
  <c r="Y76" i="3"/>
  <c r="CX76" i="3"/>
  <c r="CY76" i="3"/>
  <c r="CZ76" i="3"/>
  <c r="DA76" i="3"/>
  <c r="DB76" i="3"/>
  <c r="DC76" i="3"/>
  <c r="A77" i="3"/>
  <c r="Y77" i="3"/>
  <c r="CX77" i="3"/>
  <c r="DG77" i="3" s="1"/>
  <c r="CY77" i="3"/>
  <c r="CZ77" i="3"/>
  <c r="DA77" i="3"/>
  <c r="DB77" i="3"/>
  <c r="DC77" i="3"/>
  <c r="A78" i="3"/>
  <c r="Y78" i="3"/>
  <c r="CX78" i="3" s="1"/>
  <c r="DF78" i="3" s="1"/>
  <c r="DJ78" i="3" s="1"/>
  <c r="CY78" i="3"/>
  <c r="CZ78" i="3"/>
  <c r="DB78" i="3" s="1"/>
  <c r="DA78" i="3"/>
  <c r="DC78" i="3"/>
  <c r="A79" i="3"/>
  <c r="Y79" i="3"/>
  <c r="CX79" i="3"/>
  <c r="DG79" i="3" s="1"/>
  <c r="CY79" i="3"/>
  <c r="CZ79" i="3"/>
  <c r="DB79" i="3" s="1"/>
  <c r="DA79" i="3"/>
  <c r="DC79" i="3"/>
  <c r="A80" i="3"/>
  <c r="Y80" i="3"/>
  <c r="CX80" i="3" s="1"/>
  <c r="CU80" i="3"/>
  <c r="CV80" i="3"/>
  <c r="CY80" i="3"/>
  <c r="CZ80" i="3"/>
  <c r="DB80" i="3" s="1"/>
  <c r="DA80" i="3"/>
  <c r="DC80" i="3"/>
  <c r="A81" i="3"/>
  <c r="Y81" i="3"/>
  <c r="CX81" i="3"/>
  <c r="DG81" i="3" s="1"/>
  <c r="CY81" i="3"/>
  <c r="CZ81" i="3"/>
  <c r="DA81" i="3"/>
  <c r="DB81" i="3"/>
  <c r="DC81" i="3"/>
  <c r="A82" i="3"/>
  <c r="Y82" i="3"/>
  <c r="CW82" i="3"/>
  <c r="CX82" i="3"/>
  <c r="CY82" i="3"/>
  <c r="CZ82" i="3"/>
  <c r="DA82" i="3"/>
  <c r="DB82" i="3"/>
  <c r="DC82" i="3"/>
  <c r="A83" i="3"/>
  <c r="Y83" i="3"/>
  <c r="CW83" i="3" s="1"/>
  <c r="CY83" i="3"/>
  <c r="CZ83" i="3"/>
  <c r="DA83" i="3"/>
  <c r="DB83" i="3"/>
  <c r="DC83" i="3"/>
  <c r="A84" i="3"/>
  <c r="Y84" i="3"/>
  <c r="CX84" i="3" s="1"/>
  <c r="CY84" i="3"/>
  <c r="CZ84" i="3"/>
  <c r="DA84" i="3"/>
  <c r="DB84" i="3"/>
  <c r="DC84" i="3"/>
  <c r="A85" i="3"/>
  <c r="Y85" i="3"/>
  <c r="CX85" i="3"/>
  <c r="CY85" i="3"/>
  <c r="CZ85" i="3"/>
  <c r="DA85" i="3"/>
  <c r="DB85" i="3"/>
  <c r="DC85" i="3"/>
  <c r="A86" i="3"/>
  <c r="Y86" i="3"/>
  <c r="CX86" i="3" s="1"/>
  <c r="CY86" i="3"/>
  <c r="CZ86" i="3"/>
  <c r="DB86" i="3" s="1"/>
  <c r="DA86" i="3"/>
  <c r="DC86" i="3"/>
  <c r="A87" i="3"/>
  <c r="Y87" i="3"/>
  <c r="CX87" i="3"/>
  <c r="DG87" i="3" s="1"/>
  <c r="CY87" i="3"/>
  <c r="CZ87" i="3"/>
  <c r="DB87" i="3" s="1"/>
  <c r="DA87" i="3"/>
  <c r="DC87" i="3"/>
  <c r="A88" i="3"/>
  <c r="Y88" i="3"/>
  <c r="CX88" i="3"/>
  <c r="DF88" i="3" s="1"/>
  <c r="DJ88" i="3" s="1"/>
  <c r="CY88" i="3"/>
  <c r="CZ88" i="3"/>
  <c r="DA88" i="3"/>
  <c r="DB88" i="3"/>
  <c r="DC88" i="3"/>
  <c r="A89" i="3"/>
  <c r="Y89" i="3"/>
  <c r="CX89" i="3" s="1"/>
  <c r="CY89" i="3"/>
  <c r="CZ89" i="3"/>
  <c r="DA89" i="3"/>
  <c r="DB89" i="3"/>
  <c r="DC89" i="3"/>
  <c r="A90" i="3"/>
  <c r="Y90" i="3"/>
  <c r="CX90" i="3" s="1"/>
  <c r="CY90" i="3"/>
  <c r="CZ90" i="3"/>
  <c r="DB90" i="3" s="1"/>
  <c r="DA90" i="3"/>
  <c r="DC90" i="3"/>
  <c r="A91" i="3"/>
  <c r="Y91" i="3"/>
  <c r="CX91" i="3"/>
  <c r="DG91" i="3" s="1"/>
  <c r="CY91" i="3"/>
  <c r="CZ91" i="3"/>
  <c r="DB91" i="3" s="1"/>
  <c r="DA91" i="3"/>
  <c r="DC91" i="3"/>
  <c r="A92" i="3"/>
  <c r="Y92" i="3"/>
  <c r="CX92" i="3" s="1"/>
  <c r="CY92" i="3"/>
  <c r="CZ92" i="3"/>
  <c r="DA92" i="3"/>
  <c r="DB92" i="3"/>
  <c r="DC92" i="3"/>
  <c r="A93" i="3"/>
  <c r="Y93" i="3"/>
  <c r="CY93" i="3"/>
  <c r="CZ93" i="3"/>
  <c r="DB93" i="3" s="1"/>
  <c r="DA93" i="3"/>
  <c r="DC93" i="3"/>
  <c r="A94" i="3"/>
  <c r="Y94" i="3"/>
  <c r="CY94" i="3"/>
  <c r="CZ94" i="3"/>
  <c r="DA94" i="3"/>
  <c r="DB94" i="3"/>
  <c r="DC94" i="3"/>
  <c r="A95" i="3"/>
  <c r="Y95" i="3"/>
  <c r="CY95" i="3"/>
  <c r="CZ95" i="3"/>
  <c r="DB95" i="3" s="1"/>
  <c r="DA95" i="3"/>
  <c r="DC95" i="3"/>
  <c r="A96" i="3"/>
  <c r="Y96" i="3"/>
  <c r="CY96" i="3"/>
  <c r="CZ96" i="3"/>
  <c r="DA96" i="3"/>
  <c r="DB96" i="3"/>
  <c r="DC96" i="3"/>
  <c r="A97" i="3"/>
  <c r="Y97" i="3"/>
  <c r="CY97" i="3"/>
  <c r="CZ97" i="3"/>
  <c r="DB97" i="3" s="1"/>
  <c r="DA97" i="3"/>
  <c r="DC97" i="3"/>
  <c r="A98" i="3"/>
  <c r="Y98" i="3"/>
  <c r="CY98" i="3"/>
  <c r="CZ98" i="3"/>
  <c r="DA98" i="3"/>
  <c r="DB98" i="3"/>
  <c r="DC98" i="3"/>
  <c r="A99" i="3"/>
  <c r="Y99" i="3"/>
  <c r="CY99" i="3"/>
  <c r="CZ99" i="3"/>
  <c r="DA99" i="3"/>
  <c r="DB99" i="3"/>
  <c r="DC99" i="3"/>
  <c r="A100" i="3"/>
  <c r="Y100" i="3"/>
  <c r="CY100" i="3"/>
  <c r="CZ100" i="3"/>
  <c r="DB100" i="3" s="1"/>
  <c r="DA100" i="3"/>
  <c r="DC100" i="3"/>
  <c r="A101" i="3"/>
  <c r="Y101" i="3"/>
  <c r="CY101" i="3"/>
  <c r="CZ101" i="3"/>
  <c r="DA101" i="3"/>
  <c r="DB101" i="3"/>
  <c r="DC101" i="3"/>
  <c r="A102" i="3"/>
  <c r="Y102" i="3"/>
  <c r="CY102" i="3"/>
  <c r="CZ102" i="3"/>
  <c r="DB102" i="3" s="1"/>
  <c r="DA102" i="3"/>
  <c r="DC102" i="3"/>
  <c r="A103" i="3"/>
  <c r="Y103" i="3"/>
  <c r="CY103" i="3"/>
  <c r="CZ103" i="3"/>
  <c r="DA103" i="3"/>
  <c r="DB103" i="3"/>
  <c r="DC103" i="3"/>
  <c r="A104" i="3"/>
  <c r="Y104" i="3"/>
  <c r="CY104" i="3"/>
  <c r="CZ104" i="3"/>
  <c r="DB104" i="3" s="1"/>
  <c r="DA104" i="3"/>
  <c r="DC104" i="3"/>
  <c r="A105" i="3"/>
  <c r="Y105" i="3"/>
  <c r="CY105" i="3"/>
  <c r="CZ105" i="3"/>
  <c r="DA105" i="3"/>
  <c r="DB105" i="3"/>
  <c r="DC105" i="3"/>
  <c r="A106" i="3"/>
  <c r="Y106" i="3"/>
  <c r="CY106" i="3"/>
  <c r="CZ106" i="3"/>
  <c r="DB106" i="3" s="1"/>
  <c r="DA106" i="3"/>
  <c r="DC106" i="3"/>
  <c r="A107" i="3"/>
  <c r="Y107" i="3"/>
  <c r="CY107" i="3"/>
  <c r="CZ107" i="3"/>
  <c r="DB107" i="3" s="1"/>
  <c r="DA107" i="3"/>
  <c r="DC107" i="3"/>
  <c r="A108" i="3"/>
  <c r="Y108" i="3"/>
  <c r="CY108" i="3"/>
  <c r="CZ108" i="3"/>
  <c r="DA108" i="3"/>
  <c r="DB108" i="3"/>
  <c r="DC108" i="3"/>
  <c r="A109" i="3"/>
  <c r="Y109" i="3"/>
  <c r="CV109" i="3" s="1"/>
  <c r="CU109" i="3"/>
  <c r="CX109" i="3"/>
  <c r="R19" i="15" s="1"/>
  <c r="CY109" i="3"/>
  <c r="CZ109" i="3"/>
  <c r="DB109" i="3" s="1"/>
  <c r="DA109" i="3"/>
  <c r="DC109" i="3"/>
  <c r="A110" i="3"/>
  <c r="Y110" i="3"/>
  <c r="CX110" i="3" s="1"/>
  <c r="V29" i="15" s="1"/>
  <c r="CY110" i="3"/>
  <c r="CZ110" i="3"/>
  <c r="DA110" i="3"/>
  <c r="DB110" i="3"/>
  <c r="DC110" i="3"/>
  <c r="A111" i="3"/>
  <c r="Y111" i="3"/>
  <c r="CX111" i="3" s="1"/>
  <c r="T51" i="15" s="1"/>
  <c r="CW111" i="3"/>
  <c r="CY111" i="3"/>
  <c r="CZ111" i="3"/>
  <c r="DB111" i="3" s="1"/>
  <c r="DA111" i="3"/>
  <c r="DC111" i="3"/>
  <c r="A112" i="3"/>
  <c r="Y112" i="3"/>
  <c r="CW112" i="3"/>
  <c r="CX112" i="3"/>
  <c r="CY112" i="3"/>
  <c r="CZ112" i="3"/>
  <c r="DA112" i="3"/>
  <c r="DB112" i="3"/>
  <c r="DC112" i="3"/>
  <c r="A113" i="3"/>
  <c r="Y113" i="3"/>
  <c r="CX113" i="3" s="1"/>
  <c r="R41" i="15" s="1"/>
  <c r="CW113" i="3"/>
  <c r="CY113" i="3"/>
  <c r="CZ113" i="3"/>
  <c r="DB113" i="3" s="1"/>
  <c r="DA113" i="3"/>
  <c r="DC113" i="3"/>
  <c r="A114" i="3"/>
  <c r="Y114" i="3"/>
  <c r="CW114" i="3"/>
  <c r="CX114" i="3"/>
  <c r="CY114" i="3"/>
  <c r="CZ114" i="3"/>
  <c r="DA114" i="3"/>
  <c r="DB114" i="3"/>
  <c r="DC114" i="3"/>
  <c r="A115" i="3"/>
  <c r="Y115" i="3"/>
  <c r="CX115" i="3"/>
  <c r="DF115" i="3" s="1"/>
  <c r="DJ115" i="3" s="1"/>
  <c r="CY115" i="3"/>
  <c r="CZ115" i="3"/>
  <c r="DB115" i="3" s="1"/>
  <c r="DA115" i="3"/>
  <c r="DC115" i="3"/>
  <c r="A116" i="3"/>
  <c r="Y116" i="3"/>
  <c r="CX116" i="3" s="1"/>
  <c r="DG116" i="3" s="1"/>
  <c r="CY116" i="3"/>
  <c r="CZ116" i="3"/>
  <c r="DB116" i="3" s="1"/>
  <c r="DA116" i="3"/>
  <c r="DC116" i="3"/>
  <c r="A117" i="3"/>
  <c r="Y117" i="3"/>
  <c r="CX117" i="3"/>
  <c r="DF117" i="3" s="1"/>
  <c r="DJ117" i="3" s="1"/>
  <c r="CY117" i="3"/>
  <c r="CZ117" i="3"/>
  <c r="DB117" i="3" s="1"/>
  <c r="DA117" i="3"/>
  <c r="DC117" i="3"/>
  <c r="A118" i="3"/>
  <c r="Y118" i="3"/>
  <c r="CX118" i="3" s="1"/>
  <c r="CU118" i="3"/>
  <c r="CY118" i="3"/>
  <c r="CZ118" i="3"/>
  <c r="DB118" i="3" s="1"/>
  <c r="DA118" i="3"/>
  <c r="DC118" i="3"/>
  <c r="A119" i="3"/>
  <c r="Y119" i="3"/>
  <c r="CX119" i="3"/>
  <c r="DF119" i="3" s="1"/>
  <c r="CY119" i="3"/>
  <c r="CZ119" i="3"/>
  <c r="DB119" i="3" s="1"/>
  <c r="DA119" i="3"/>
  <c r="DC119" i="3"/>
  <c r="A120" i="3"/>
  <c r="Y120" i="3"/>
  <c r="CW120" i="3" s="1"/>
  <c r="CY120" i="3"/>
  <c r="CZ120" i="3"/>
  <c r="DB120" i="3" s="1"/>
  <c r="DA120" i="3"/>
  <c r="DC120" i="3"/>
  <c r="A121" i="3"/>
  <c r="Y121" i="3"/>
  <c r="CW121" i="3" s="1"/>
  <c r="CY121" i="3"/>
  <c r="CZ121" i="3"/>
  <c r="DA121" i="3"/>
  <c r="DB121" i="3"/>
  <c r="DC121" i="3"/>
  <c r="A122" i="3"/>
  <c r="Y122" i="3"/>
  <c r="CW122" i="3"/>
  <c r="CX122" i="3"/>
  <c r="CY122" i="3"/>
  <c r="CZ122" i="3"/>
  <c r="DA122" i="3"/>
  <c r="DB122" i="3"/>
  <c r="DC122" i="3"/>
  <c r="A123" i="3"/>
  <c r="Y123" i="3"/>
  <c r="CW123" i="3" s="1"/>
  <c r="CX123" i="3"/>
  <c r="DG123" i="3" s="1"/>
  <c r="CY123" i="3"/>
  <c r="CZ123" i="3"/>
  <c r="DA123" i="3"/>
  <c r="DB123" i="3"/>
  <c r="DC123" i="3"/>
  <c r="A124" i="3"/>
  <c r="Y124" i="3"/>
  <c r="CX124" i="3"/>
  <c r="DF124" i="3" s="1"/>
  <c r="DJ124" i="3" s="1"/>
  <c r="CY124" i="3"/>
  <c r="CZ124" i="3"/>
  <c r="DA124" i="3"/>
  <c r="DB124" i="3"/>
  <c r="DC124" i="3"/>
  <c r="A125" i="3"/>
  <c r="Y125" i="3"/>
  <c r="CX125" i="3"/>
  <c r="CY125" i="3"/>
  <c r="CZ125" i="3"/>
  <c r="DA125" i="3"/>
  <c r="DB125" i="3"/>
  <c r="DC125" i="3"/>
  <c r="A126" i="3"/>
  <c r="Y126" i="3"/>
  <c r="CX126" i="3" s="1"/>
  <c r="DG126" i="3" s="1"/>
  <c r="CY126" i="3"/>
  <c r="CZ126" i="3"/>
  <c r="DB126" i="3" s="1"/>
  <c r="DA126" i="3"/>
  <c r="DC126" i="3"/>
  <c r="A127" i="3"/>
  <c r="Y127" i="3"/>
  <c r="CX127" i="3" s="1"/>
  <c r="R28" i="15" s="1"/>
  <c r="CU127" i="3"/>
  <c r="CV127" i="3"/>
  <c r="CY127" i="3"/>
  <c r="CZ127" i="3"/>
  <c r="DB127" i="3" s="1"/>
  <c r="DA127" i="3"/>
  <c r="DC127" i="3"/>
  <c r="A128" i="3"/>
  <c r="Y128" i="3"/>
  <c r="CX128" i="3"/>
  <c r="CY128" i="3"/>
  <c r="CZ128" i="3"/>
  <c r="DB128" i="3" s="1"/>
  <c r="DA128" i="3"/>
  <c r="DC128" i="3"/>
  <c r="A129" i="3"/>
  <c r="Y129" i="3"/>
  <c r="CW129" i="3"/>
  <c r="CX129" i="3"/>
  <c r="R34" i="15" s="1"/>
  <c r="CY129" i="3"/>
  <c r="CZ129" i="3"/>
  <c r="DA129" i="3"/>
  <c r="DB129" i="3"/>
  <c r="DC129" i="3"/>
  <c r="A130" i="3"/>
  <c r="Y130" i="3"/>
  <c r="CW130" i="3" s="1"/>
  <c r="CY130" i="3"/>
  <c r="CZ130" i="3"/>
  <c r="DB130" i="3" s="1"/>
  <c r="DA130" i="3"/>
  <c r="DC130" i="3"/>
  <c r="A131" i="3"/>
  <c r="Y131" i="3"/>
  <c r="CW131" i="3"/>
  <c r="CX131" i="3"/>
  <c r="U50" i="15" s="1"/>
  <c r="CY131" i="3"/>
  <c r="CZ131" i="3"/>
  <c r="DA131" i="3"/>
  <c r="DB131" i="3"/>
  <c r="DC131" i="3"/>
  <c r="A132" i="3"/>
  <c r="Y132" i="3"/>
  <c r="CX132" i="3" s="1"/>
  <c r="CY132" i="3"/>
  <c r="CZ132" i="3"/>
  <c r="DB132" i="3" s="1"/>
  <c r="DA132" i="3"/>
  <c r="DC132" i="3"/>
  <c r="A133" i="3"/>
  <c r="Y133" i="3"/>
  <c r="CU133" i="3"/>
  <c r="CV133" i="3"/>
  <c r="CX133" i="3"/>
  <c r="CY133" i="3"/>
  <c r="CZ133" i="3"/>
  <c r="DA133" i="3"/>
  <c r="DB133" i="3"/>
  <c r="DC133" i="3"/>
  <c r="A134" i="3"/>
  <c r="Y134" i="3"/>
  <c r="CX134" i="3" s="1"/>
  <c r="CY134" i="3"/>
  <c r="CZ134" i="3"/>
  <c r="DB134" i="3" s="1"/>
  <c r="DA134" i="3"/>
  <c r="DC134" i="3"/>
  <c r="A135" i="3"/>
  <c r="Y135" i="3"/>
  <c r="CW135" i="3"/>
  <c r="CX135" i="3"/>
  <c r="DF135" i="3" s="1"/>
  <c r="CY135" i="3"/>
  <c r="CZ135" i="3"/>
  <c r="DA135" i="3"/>
  <c r="DB135" i="3"/>
  <c r="DC135" i="3"/>
  <c r="A136" i="3"/>
  <c r="Y136" i="3"/>
  <c r="CX136" i="3" s="1"/>
  <c r="CW136" i="3"/>
  <c r="CY136" i="3"/>
  <c r="CZ136" i="3"/>
  <c r="DB136" i="3" s="1"/>
  <c r="DA136" i="3"/>
  <c r="DC136" i="3"/>
  <c r="A137" i="3"/>
  <c r="Y137" i="3"/>
  <c r="CW137" i="3"/>
  <c r="CX137" i="3"/>
  <c r="DF137" i="3" s="1"/>
  <c r="CY137" i="3"/>
  <c r="CZ137" i="3"/>
  <c r="DA137" i="3"/>
  <c r="DB137" i="3"/>
  <c r="DC137" i="3"/>
  <c r="A138" i="3"/>
  <c r="Y138" i="3"/>
  <c r="CX138" i="3"/>
  <c r="CY138" i="3"/>
  <c r="CZ138" i="3"/>
  <c r="DA138" i="3"/>
  <c r="DB138" i="3"/>
  <c r="DC138" i="3"/>
  <c r="A139" i="3"/>
  <c r="Y139" i="3"/>
  <c r="CV139" i="3" s="1"/>
  <c r="CU139" i="3"/>
  <c r="CY139" i="3"/>
  <c r="CZ139" i="3"/>
  <c r="DA139" i="3"/>
  <c r="DB139" i="3"/>
  <c r="DC139" i="3"/>
  <c r="A140" i="3"/>
  <c r="Y140" i="3"/>
  <c r="CX140" i="3"/>
  <c r="X29" i="15" s="1"/>
  <c r="CY140" i="3"/>
  <c r="CZ140" i="3"/>
  <c r="DA140" i="3"/>
  <c r="DB140" i="3"/>
  <c r="DC140" i="3"/>
  <c r="A141" i="3"/>
  <c r="Y141" i="3"/>
  <c r="CW141" i="3" s="1"/>
  <c r="CY141" i="3"/>
  <c r="CZ141" i="3"/>
  <c r="DB141" i="3" s="1"/>
  <c r="DA141" i="3"/>
  <c r="DC141" i="3"/>
  <c r="A142" i="3"/>
  <c r="Y142" i="3"/>
  <c r="CW142" i="3"/>
  <c r="CX142" i="3"/>
  <c r="S36" i="15" s="1"/>
  <c r="CY142" i="3"/>
  <c r="CZ142" i="3"/>
  <c r="DA142" i="3"/>
  <c r="DB142" i="3"/>
  <c r="DC142" i="3"/>
  <c r="A143" i="3"/>
  <c r="Y143" i="3"/>
  <c r="CW143" i="3" s="1"/>
  <c r="CY143" i="3"/>
  <c r="CZ143" i="3"/>
  <c r="DB143" i="3" s="1"/>
  <c r="DA143" i="3"/>
  <c r="DC143" i="3"/>
  <c r="A144" i="3"/>
  <c r="Y144" i="3"/>
  <c r="CX144" i="3"/>
  <c r="DF144" i="3" s="1"/>
  <c r="DJ144" i="3" s="1"/>
  <c r="CY144" i="3"/>
  <c r="CZ144" i="3"/>
  <c r="DA144" i="3"/>
  <c r="DB144" i="3"/>
  <c r="DC144" i="3"/>
  <c r="A145" i="3"/>
  <c r="Y145" i="3"/>
  <c r="CX145" i="3"/>
  <c r="CY145" i="3"/>
  <c r="CZ145" i="3"/>
  <c r="DA145" i="3"/>
  <c r="DB145" i="3"/>
  <c r="DC145" i="3"/>
  <c r="A146" i="3"/>
  <c r="Y146" i="3"/>
  <c r="CV146" i="3" s="1"/>
  <c r="CU146" i="3"/>
  <c r="CY146" i="3"/>
  <c r="CZ146" i="3"/>
  <c r="DA146" i="3"/>
  <c r="DB146" i="3"/>
  <c r="DC146" i="3"/>
  <c r="A147" i="3"/>
  <c r="Y147" i="3"/>
  <c r="CX147" i="3"/>
  <c r="CY147" i="3"/>
  <c r="CZ147" i="3"/>
  <c r="DA147" i="3"/>
  <c r="DB147" i="3"/>
  <c r="DC147" i="3"/>
  <c r="A148" i="3"/>
  <c r="Y148" i="3"/>
  <c r="CW148" i="3" s="1"/>
  <c r="CY148" i="3"/>
  <c r="CZ148" i="3"/>
  <c r="DB148" i="3" s="1"/>
  <c r="DA148" i="3"/>
  <c r="DC148" i="3"/>
  <c r="A149" i="3"/>
  <c r="Y149" i="3"/>
  <c r="CW149" i="3"/>
  <c r="CX149" i="3"/>
  <c r="CY149" i="3"/>
  <c r="CZ149" i="3"/>
  <c r="DA149" i="3"/>
  <c r="DB149" i="3"/>
  <c r="DC149" i="3"/>
  <c r="A150" i="3"/>
  <c r="Y150" i="3"/>
  <c r="CW150" i="3" s="1"/>
  <c r="CY150" i="3"/>
  <c r="CZ150" i="3"/>
  <c r="DB150" i="3" s="1"/>
  <c r="DA150" i="3"/>
  <c r="DC150" i="3"/>
  <c r="A151" i="3"/>
  <c r="Y151" i="3"/>
  <c r="CX151" i="3"/>
  <c r="DF151" i="3" s="1"/>
  <c r="DJ151" i="3" s="1"/>
  <c r="CY151" i="3"/>
  <c r="CZ151" i="3"/>
  <c r="DA151" i="3"/>
  <c r="DB151" i="3"/>
  <c r="DC151" i="3"/>
  <c r="A152" i="3"/>
  <c r="Y152" i="3"/>
  <c r="CX152" i="3"/>
  <c r="CY152" i="3"/>
  <c r="CZ152" i="3"/>
  <c r="DA152" i="3"/>
  <c r="DB152" i="3"/>
  <c r="DC152" i="3"/>
  <c r="A153" i="3"/>
  <c r="Y153" i="3"/>
  <c r="CV153" i="3" s="1"/>
  <c r="CU153" i="3"/>
  <c r="CY153" i="3"/>
  <c r="CZ153" i="3"/>
  <c r="DA153" i="3"/>
  <c r="DB153" i="3"/>
  <c r="DC153" i="3"/>
  <c r="A154" i="3"/>
  <c r="Y154" i="3"/>
  <c r="CX154" i="3"/>
  <c r="Y29" i="15" s="1"/>
  <c r="CY154" i="3"/>
  <c r="CZ154" i="3"/>
  <c r="DA154" i="3"/>
  <c r="DB154" i="3"/>
  <c r="DC154" i="3"/>
  <c r="A155" i="3"/>
  <c r="Y155" i="3"/>
  <c r="CW155" i="3" s="1"/>
  <c r="CY155" i="3"/>
  <c r="CZ155" i="3"/>
  <c r="DB155" i="3" s="1"/>
  <c r="DA155" i="3"/>
  <c r="DC155" i="3"/>
  <c r="A156" i="3"/>
  <c r="Y156" i="3"/>
  <c r="CW156" i="3"/>
  <c r="CX156" i="3"/>
  <c r="R45" i="15" s="1"/>
  <c r="CY156" i="3"/>
  <c r="CZ156" i="3"/>
  <c r="DA156" i="3"/>
  <c r="DB156" i="3"/>
  <c r="DC156" i="3"/>
  <c r="A157" i="3"/>
  <c r="Y157" i="3"/>
  <c r="CX157" i="3" s="1"/>
  <c r="CY157" i="3"/>
  <c r="CZ157" i="3"/>
  <c r="DB157" i="3" s="1"/>
  <c r="DA157" i="3"/>
  <c r="DC157" i="3"/>
  <c r="A158" i="3"/>
  <c r="Y158" i="3"/>
  <c r="CX158" i="3" s="1"/>
  <c r="CY158" i="3"/>
  <c r="CZ158" i="3"/>
  <c r="DB158" i="3" s="1"/>
  <c r="DA158" i="3"/>
  <c r="DC158" i="3"/>
  <c r="A159" i="3"/>
  <c r="Y159" i="3"/>
  <c r="CX159" i="3"/>
  <c r="DF159" i="3" s="1"/>
  <c r="DJ159" i="3" s="1"/>
  <c r="CY159" i="3"/>
  <c r="CZ159" i="3"/>
  <c r="DA159" i="3"/>
  <c r="DB159" i="3"/>
  <c r="DC159" i="3"/>
  <c r="A160" i="3"/>
  <c r="Y160" i="3"/>
  <c r="CX160" i="3"/>
  <c r="CY160" i="3"/>
  <c r="CZ160" i="3"/>
  <c r="DA160" i="3"/>
  <c r="DB160" i="3"/>
  <c r="DC160" i="3"/>
  <c r="A161" i="3"/>
  <c r="Y161" i="3"/>
  <c r="CX161" i="3" s="1"/>
  <c r="CY161" i="3"/>
  <c r="CZ161" i="3"/>
  <c r="DB161" i="3" s="1"/>
  <c r="DA161" i="3"/>
  <c r="DC161" i="3"/>
  <c r="A162" i="3"/>
  <c r="Y162" i="3"/>
  <c r="CX162" i="3"/>
  <c r="DG162" i="3" s="1"/>
  <c r="CY162" i="3"/>
  <c r="CZ162" i="3"/>
  <c r="DB162" i="3" s="1"/>
  <c r="DA162" i="3"/>
  <c r="DC162" i="3"/>
  <c r="A163" i="3"/>
  <c r="Y163" i="3"/>
  <c r="CX163" i="3"/>
  <c r="DF163" i="3" s="1"/>
  <c r="DJ163" i="3" s="1"/>
  <c r="CY163" i="3"/>
  <c r="CZ163" i="3"/>
  <c r="DA163" i="3"/>
  <c r="DB163" i="3"/>
  <c r="DC163" i="3"/>
  <c r="A164" i="3"/>
  <c r="Y164" i="3"/>
  <c r="CX164" i="3"/>
  <c r="CY164" i="3"/>
  <c r="CZ164" i="3"/>
  <c r="DA164" i="3"/>
  <c r="DB164" i="3"/>
  <c r="DC164" i="3"/>
  <c r="A165" i="3"/>
  <c r="Y165" i="3"/>
  <c r="CX165" i="3" s="1"/>
  <c r="CY165" i="3"/>
  <c r="CZ165" i="3"/>
  <c r="DB165" i="3" s="1"/>
  <c r="DA165" i="3"/>
  <c r="DC165" i="3"/>
  <c r="A166" i="3"/>
  <c r="Y166" i="3"/>
  <c r="CU166" i="3"/>
  <c r="CV166" i="3"/>
  <c r="CX166" i="3"/>
  <c r="CY166" i="3"/>
  <c r="CZ166" i="3"/>
  <c r="DA166" i="3"/>
  <c r="DB166" i="3"/>
  <c r="DC166" i="3"/>
  <c r="A167" i="3"/>
  <c r="Y167" i="3"/>
  <c r="CX167" i="3" s="1"/>
  <c r="CY167" i="3"/>
  <c r="CZ167" i="3"/>
  <c r="DB167" i="3" s="1"/>
  <c r="DA167" i="3"/>
  <c r="DC167" i="3"/>
  <c r="A168" i="3"/>
  <c r="Y168" i="3"/>
  <c r="CW168" i="3"/>
  <c r="CX168" i="3"/>
  <c r="DF168" i="3" s="1"/>
  <c r="CY168" i="3"/>
  <c r="CZ168" i="3"/>
  <c r="DA168" i="3"/>
  <c r="DB168" i="3"/>
  <c r="DC168" i="3"/>
  <c r="A169" i="3"/>
  <c r="Y169" i="3"/>
  <c r="CX169" i="3" s="1"/>
  <c r="CW169" i="3"/>
  <c r="CY169" i="3"/>
  <c r="CZ169" i="3"/>
  <c r="DB169" i="3" s="1"/>
  <c r="DA169" i="3"/>
  <c r="DC169" i="3"/>
  <c r="A170" i="3"/>
  <c r="Y170" i="3"/>
  <c r="CX170" i="3"/>
  <c r="DG170" i="3" s="1"/>
  <c r="CY170" i="3"/>
  <c r="CZ170" i="3"/>
  <c r="DB170" i="3" s="1"/>
  <c r="DA170" i="3"/>
  <c r="DC170" i="3"/>
  <c r="A171" i="3"/>
  <c r="Y171" i="3"/>
  <c r="CX171" i="3"/>
  <c r="DF171" i="3" s="1"/>
  <c r="DJ171" i="3" s="1"/>
  <c r="CY171" i="3"/>
  <c r="CZ171" i="3"/>
  <c r="DA171" i="3"/>
  <c r="DB171" i="3"/>
  <c r="DC171" i="3"/>
  <c r="A172" i="3"/>
  <c r="Y172" i="3"/>
  <c r="CX172" i="3"/>
  <c r="CY172" i="3"/>
  <c r="CZ172" i="3"/>
  <c r="DA172" i="3"/>
  <c r="DB172" i="3"/>
  <c r="DC172" i="3"/>
  <c r="A173" i="3"/>
  <c r="Y173" i="3"/>
  <c r="CX173" i="3" s="1"/>
  <c r="CY173" i="3"/>
  <c r="CZ173" i="3"/>
  <c r="DB173" i="3" s="1"/>
  <c r="DA173" i="3"/>
  <c r="DC173" i="3"/>
  <c r="A174" i="3"/>
  <c r="Y174" i="3"/>
  <c r="CX174" i="3"/>
  <c r="DG174" i="3" s="1"/>
  <c r="CY174" i="3"/>
  <c r="CZ174" i="3"/>
  <c r="DB174" i="3" s="1"/>
  <c r="DA174" i="3"/>
  <c r="DC174" i="3"/>
  <c r="A175" i="3"/>
  <c r="Y175" i="3"/>
  <c r="CX175" i="3"/>
  <c r="DF175" i="3" s="1"/>
  <c r="DJ175" i="3" s="1"/>
  <c r="CY175" i="3"/>
  <c r="CZ175" i="3"/>
  <c r="DA175" i="3"/>
  <c r="DB175" i="3"/>
  <c r="DC175" i="3"/>
  <c r="A176" i="3"/>
  <c r="Y176" i="3"/>
  <c r="CX176" i="3"/>
  <c r="CY176" i="3"/>
  <c r="CZ176" i="3"/>
  <c r="DA176" i="3"/>
  <c r="DB176" i="3"/>
  <c r="DC176" i="3"/>
  <c r="A177" i="3"/>
  <c r="Y177" i="3"/>
  <c r="CX177" i="3" s="1"/>
  <c r="CY177" i="3"/>
  <c r="CZ177" i="3"/>
  <c r="DB177" i="3" s="1"/>
  <c r="DA177" i="3"/>
  <c r="DC177" i="3"/>
  <c r="A178" i="3"/>
  <c r="Y178" i="3"/>
  <c r="CX178" i="3"/>
  <c r="DG178" i="3" s="1"/>
  <c r="CY178" i="3"/>
  <c r="CZ178" i="3"/>
  <c r="DB178" i="3" s="1"/>
  <c r="DA178" i="3"/>
  <c r="DC178" i="3"/>
  <c r="A179" i="3"/>
  <c r="Y179" i="3"/>
  <c r="CX179" i="3" s="1"/>
  <c r="S22" i="15" s="1"/>
  <c r="CU179" i="3"/>
  <c r="CV179" i="3"/>
  <c r="CY179" i="3"/>
  <c r="CZ179" i="3"/>
  <c r="DB179" i="3" s="1"/>
  <c r="DA179" i="3"/>
  <c r="DC179" i="3"/>
  <c r="A180" i="3"/>
  <c r="Y180" i="3"/>
  <c r="CX180" i="3"/>
  <c r="CY180" i="3"/>
  <c r="CZ180" i="3"/>
  <c r="DB180" i="3" s="1"/>
  <c r="DA180" i="3"/>
  <c r="DC180" i="3"/>
  <c r="A181" i="3"/>
  <c r="Y181" i="3"/>
  <c r="CW181" i="3"/>
  <c r="CX181" i="3"/>
  <c r="Q33" i="15" s="1"/>
  <c r="CY181" i="3"/>
  <c r="CZ181" i="3"/>
  <c r="DA181" i="3"/>
  <c r="DB181" i="3"/>
  <c r="DC181" i="3"/>
  <c r="A182" i="3"/>
  <c r="Y182" i="3"/>
  <c r="CW182" i="3" s="1"/>
  <c r="CY182" i="3"/>
  <c r="CZ182" i="3"/>
  <c r="DB182" i="3" s="1"/>
  <c r="DA182" i="3"/>
  <c r="DC182" i="3"/>
  <c r="A183" i="3"/>
  <c r="Y183" i="3"/>
  <c r="CX183" i="3"/>
  <c r="DF183" i="3" s="1"/>
  <c r="CY183" i="3"/>
  <c r="CZ183" i="3"/>
  <c r="DA183" i="3"/>
  <c r="DB183" i="3"/>
  <c r="DC183" i="3"/>
  <c r="A184" i="3"/>
  <c r="Y184" i="3"/>
  <c r="CX184" i="3"/>
  <c r="CY184" i="3"/>
  <c r="CZ184" i="3"/>
  <c r="DA184" i="3"/>
  <c r="DB184" i="3"/>
  <c r="DC184" i="3"/>
  <c r="A185" i="3"/>
  <c r="Y185" i="3"/>
  <c r="CX185" i="3" s="1"/>
  <c r="DG185" i="3" s="1"/>
  <c r="CY185" i="3"/>
  <c r="CZ185" i="3"/>
  <c r="DB185" i="3" s="1"/>
  <c r="DA185" i="3"/>
  <c r="DC185" i="3"/>
  <c r="A186" i="3"/>
  <c r="Y186" i="3"/>
  <c r="CX186" i="3"/>
  <c r="DG186" i="3" s="1"/>
  <c r="CY186" i="3"/>
  <c r="CZ186" i="3"/>
  <c r="DB186" i="3" s="1"/>
  <c r="DA186" i="3"/>
  <c r="DC186" i="3"/>
  <c r="A187" i="3"/>
  <c r="Y187" i="3"/>
  <c r="CX187" i="3"/>
  <c r="DF187" i="3" s="1"/>
  <c r="DJ187" i="3" s="1"/>
  <c r="CY187" i="3"/>
  <c r="CZ187" i="3"/>
  <c r="DA187" i="3"/>
  <c r="DB187" i="3"/>
  <c r="DC187" i="3"/>
  <c r="A188" i="3"/>
  <c r="Y188" i="3"/>
  <c r="CX188" i="3"/>
  <c r="CY188" i="3"/>
  <c r="CZ188" i="3"/>
  <c r="DA188" i="3"/>
  <c r="DB188" i="3"/>
  <c r="DC188" i="3"/>
  <c r="A189" i="3"/>
  <c r="Y189" i="3"/>
  <c r="CX189" i="3" s="1"/>
  <c r="DG189" i="3" s="1"/>
  <c r="CY189" i="3"/>
  <c r="CZ189" i="3"/>
  <c r="DB189" i="3" s="1"/>
  <c r="DA189" i="3"/>
  <c r="DC189" i="3"/>
  <c r="A190" i="3"/>
  <c r="Y190" i="3"/>
  <c r="CX190" i="3"/>
  <c r="DG190" i="3" s="1"/>
  <c r="CY190" i="3"/>
  <c r="CZ190" i="3"/>
  <c r="DB190" i="3" s="1"/>
  <c r="DA190" i="3"/>
  <c r="DC190" i="3"/>
  <c r="A191" i="3"/>
  <c r="Y191" i="3"/>
  <c r="CX191" i="3"/>
  <c r="DF191" i="3" s="1"/>
  <c r="DJ191" i="3" s="1"/>
  <c r="CY191" i="3"/>
  <c r="CZ191" i="3"/>
  <c r="DA191" i="3"/>
  <c r="DB191" i="3"/>
  <c r="DC191" i="3"/>
  <c r="A192" i="3"/>
  <c r="Y192" i="3"/>
  <c r="CV192" i="3" s="1"/>
  <c r="CU192" i="3"/>
  <c r="CY192" i="3"/>
  <c r="CZ192" i="3"/>
  <c r="DB192" i="3" s="1"/>
  <c r="DA192" i="3"/>
  <c r="DC192" i="3"/>
  <c r="A193" i="3"/>
  <c r="Y193" i="3"/>
  <c r="CX193" i="3"/>
  <c r="DF193" i="3" s="1"/>
  <c r="CY193" i="3"/>
  <c r="CZ193" i="3"/>
  <c r="DA193" i="3"/>
  <c r="DB193" i="3"/>
  <c r="DC193" i="3"/>
  <c r="A194" i="3"/>
  <c r="Y194" i="3"/>
  <c r="CX194" i="3" s="1"/>
  <c r="DG194" i="3" s="1"/>
  <c r="CW194" i="3"/>
  <c r="CY194" i="3"/>
  <c r="CZ194" i="3"/>
  <c r="DB194" i="3" s="1"/>
  <c r="DA194" i="3"/>
  <c r="DC194" i="3"/>
  <c r="A195" i="3"/>
  <c r="Y195" i="3"/>
  <c r="CW195" i="3"/>
  <c r="CX195" i="3"/>
  <c r="DF195" i="3" s="1"/>
  <c r="CY195" i="3"/>
  <c r="CZ195" i="3"/>
  <c r="DA195" i="3"/>
  <c r="DB195" i="3"/>
  <c r="DC195" i="3"/>
  <c r="A196" i="3"/>
  <c r="Y196" i="3"/>
  <c r="CX196" i="3"/>
  <c r="CY196" i="3"/>
  <c r="CZ196" i="3"/>
  <c r="DA196" i="3"/>
  <c r="DB196" i="3"/>
  <c r="DC196" i="3"/>
  <c r="A197" i="3"/>
  <c r="Y197" i="3"/>
  <c r="CX197" i="3" s="1"/>
  <c r="DG197" i="3" s="1"/>
  <c r="CY197" i="3"/>
  <c r="CZ197" i="3"/>
  <c r="DB197" i="3" s="1"/>
  <c r="DA197" i="3"/>
  <c r="DC197" i="3"/>
  <c r="A198" i="3"/>
  <c r="Y198" i="3"/>
  <c r="CX198" i="3"/>
  <c r="DG198" i="3" s="1"/>
  <c r="CY198" i="3"/>
  <c r="CZ198" i="3"/>
  <c r="DB198" i="3" s="1"/>
  <c r="DA198" i="3"/>
  <c r="DC198" i="3"/>
  <c r="A199" i="3"/>
  <c r="Y199" i="3"/>
  <c r="CX199" i="3"/>
  <c r="DF199" i="3" s="1"/>
  <c r="DJ199" i="3" s="1"/>
  <c r="CY199" i="3"/>
  <c r="CZ199" i="3"/>
  <c r="DA199" i="3"/>
  <c r="DB199" i="3"/>
  <c r="DC199" i="3"/>
  <c r="A200" i="3"/>
  <c r="Y200" i="3"/>
  <c r="CX200" i="3"/>
  <c r="CY200" i="3"/>
  <c r="CZ200" i="3"/>
  <c r="DA200" i="3"/>
  <c r="DB200" i="3"/>
  <c r="DC200" i="3"/>
  <c r="A201" i="3"/>
  <c r="Y201" i="3"/>
  <c r="CX201" i="3" s="1"/>
  <c r="DG201" i="3" s="1"/>
  <c r="CY201" i="3"/>
  <c r="CZ201" i="3"/>
  <c r="DB201" i="3" s="1"/>
  <c r="DA201" i="3"/>
  <c r="DC201" i="3"/>
  <c r="A202" i="3"/>
  <c r="Y202" i="3"/>
  <c r="CX202" i="3"/>
  <c r="DG202" i="3" s="1"/>
  <c r="CY202" i="3"/>
  <c r="CZ202" i="3"/>
  <c r="DB202" i="3" s="1"/>
  <c r="DA202" i="3"/>
  <c r="DC202" i="3"/>
  <c r="A203" i="3"/>
  <c r="Y203" i="3"/>
  <c r="CX203" i="3"/>
  <c r="CY203" i="3"/>
  <c r="CZ203" i="3"/>
  <c r="DA203" i="3"/>
  <c r="DB203" i="3"/>
  <c r="DC203" i="3"/>
  <c r="A204" i="3"/>
  <c r="Y204" i="3"/>
  <c r="CX204" i="3"/>
  <c r="CY204" i="3"/>
  <c r="CZ204" i="3"/>
  <c r="DA204" i="3"/>
  <c r="DB204" i="3"/>
  <c r="DC204" i="3"/>
  <c r="A205" i="3"/>
  <c r="Y205" i="3"/>
  <c r="CV205" i="3" s="1"/>
  <c r="CU205" i="3"/>
  <c r="CX205" i="3"/>
  <c r="T22" i="15" s="1"/>
  <c r="CY205" i="3"/>
  <c r="CZ205" i="3"/>
  <c r="DA205" i="3"/>
  <c r="DB205" i="3"/>
  <c r="DC205" i="3"/>
  <c r="A206" i="3"/>
  <c r="Y206" i="3"/>
  <c r="CX206" i="3" s="1"/>
  <c r="AA29" i="15" s="1"/>
  <c r="CY206" i="3"/>
  <c r="CZ206" i="3"/>
  <c r="DA206" i="3"/>
  <c r="DB206" i="3"/>
  <c r="DC206" i="3"/>
  <c r="A207" i="3"/>
  <c r="Y207" i="3"/>
  <c r="CY207" i="3"/>
  <c r="CZ207" i="3"/>
  <c r="DB207" i="3" s="1"/>
  <c r="DA207" i="3"/>
  <c r="DC207" i="3"/>
  <c r="A208" i="3"/>
  <c r="Y208" i="3"/>
  <c r="CW208" i="3"/>
  <c r="CX208" i="3"/>
  <c r="CY208" i="3"/>
  <c r="CZ208" i="3"/>
  <c r="DA208" i="3"/>
  <c r="DB208" i="3"/>
  <c r="DC208" i="3"/>
  <c r="A209" i="3"/>
  <c r="Y209" i="3"/>
  <c r="CX209" i="3" s="1"/>
  <c r="DF209" i="3" s="1"/>
  <c r="CY209" i="3"/>
  <c r="CZ209" i="3"/>
  <c r="DB209" i="3" s="1"/>
  <c r="DA209" i="3"/>
  <c r="DC209" i="3"/>
  <c r="A210" i="3"/>
  <c r="Y210" i="3"/>
  <c r="CX210" i="3" s="1"/>
  <c r="DF210" i="3" s="1"/>
  <c r="DJ210" i="3" s="1"/>
  <c r="CY210" i="3"/>
  <c r="CZ210" i="3"/>
  <c r="DB210" i="3" s="1"/>
  <c r="DA210" i="3"/>
  <c r="DC210" i="3"/>
  <c r="A211" i="3"/>
  <c r="Y211" i="3"/>
  <c r="CX211" i="3"/>
  <c r="CY211" i="3"/>
  <c r="CZ211" i="3"/>
  <c r="DA211" i="3"/>
  <c r="DB211" i="3"/>
  <c r="DC211" i="3"/>
  <c r="A212" i="3"/>
  <c r="Y212" i="3"/>
  <c r="CX212" i="3"/>
  <c r="CY212" i="3"/>
  <c r="CZ212" i="3"/>
  <c r="DA212" i="3"/>
  <c r="DB212" i="3"/>
  <c r="DC212" i="3"/>
  <c r="A213" i="3"/>
  <c r="Y213" i="3"/>
  <c r="CX213" i="3" s="1"/>
  <c r="CY213" i="3"/>
  <c r="CZ213" i="3"/>
  <c r="DB213" i="3" s="1"/>
  <c r="DA213" i="3"/>
  <c r="DC213" i="3"/>
  <c r="A214" i="3"/>
  <c r="Y214" i="3"/>
  <c r="CX214" i="3"/>
  <c r="DG214" i="3" s="1"/>
  <c r="CY214" i="3"/>
  <c r="CZ214" i="3"/>
  <c r="DB214" i="3" s="1"/>
  <c r="DA214" i="3"/>
  <c r="DC214" i="3"/>
  <c r="A215" i="3"/>
  <c r="Y215" i="3"/>
  <c r="CX215" i="3" s="1"/>
  <c r="CY215" i="3"/>
  <c r="CZ215" i="3"/>
  <c r="DB215" i="3" s="1"/>
  <c r="DA215" i="3"/>
  <c r="DC215" i="3"/>
  <c r="A216" i="3"/>
  <c r="Y216" i="3"/>
  <c r="CX216" i="3"/>
  <c r="DF216" i="3" s="1"/>
  <c r="DJ216" i="3" s="1"/>
  <c r="CY216" i="3"/>
  <c r="CZ216" i="3"/>
  <c r="DA216" i="3"/>
  <c r="DB216" i="3"/>
  <c r="DC216" i="3"/>
  <c r="A217" i="3"/>
  <c r="Y217" i="3"/>
  <c r="CX217" i="3"/>
  <c r="CY217" i="3"/>
  <c r="CZ217" i="3"/>
  <c r="DA217" i="3"/>
  <c r="DB217" i="3"/>
  <c r="DC217" i="3"/>
  <c r="A218" i="3"/>
  <c r="Y218" i="3"/>
  <c r="CV218" i="3" s="1"/>
  <c r="CU218" i="3"/>
  <c r="CY218" i="3"/>
  <c r="CZ218" i="3"/>
  <c r="DA218" i="3"/>
  <c r="DB218" i="3"/>
  <c r="DC218" i="3"/>
  <c r="A219" i="3"/>
  <c r="Y219" i="3"/>
  <c r="CX219" i="3"/>
  <c r="CY219" i="3"/>
  <c r="CZ219" i="3"/>
  <c r="DA219" i="3"/>
  <c r="DB219" i="3"/>
  <c r="DC219" i="3"/>
  <c r="A220" i="3"/>
  <c r="Y220" i="3"/>
  <c r="CW220" i="3" s="1"/>
  <c r="CY220" i="3"/>
  <c r="CZ220" i="3"/>
  <c r="DB220" i="3" s="1"/>
  <c r="DA220" i="3"/>
  <c r="DC220" i="3"/>
  <c r="A221" i="3"/>
  <c r="Y221" i="3"/>
  <c r="CW221" i="3"/>
  <c r="CX221" i="3"/>
  <c r="CY221" i="3"/>
  <c r="CZ221" i="3"/>
  <c r="DA221" i="3"/>
  <c r="DB221" i="3"/>
  <c r="DC221" i="3"/>
  <c r="A222" i="3"/>
  <c r="Y222" i="3"/>
  <c r="CX222" i="3" s="1"/>
  <c r="CY222" i="3"/>
  <c r="CZ222" i="3"/>
  <c r="DB222" i="3" s="1"/>
  <c r="DA222" i="3"/>
  <c r="DC222" i="3"/>
  <c r="A223" i="3"/>
  <c r="Y223" i="3"/>
  <c r="CX223" i="3" s="1"/>
  <c r="CY223" i="3"/>
  <c r="CZ223" i="3"/>
  <c r="DB223" i="3" s="1"/>
  <c r="DA223" i="3"/>
  <c r="DC223" i="3"/>
  <c r="A224" i="3"/>
  <c r="Y224" i="3"/>
  <c r="CX224" i="3"/>
  <c r="DF224" i="3" s="1"/>
  <c r="DJ224" i="3" s="1"/>
  <c r="CY224" i="3"/>
  <c r="CZ224" i="3"/>
  <c r="DA224" i="3"/>
  <c r="DB224" i="3"/>
  <c r="DC224" i="3"/>
  <c r="A225" i="3"/>
  <c r="Y225" i="3"/>
  <c r="CX225" i="3"/>
  <c r="CY225" i="3"/>
  <c r="CZ225" i="3"/>
  <c r="DA225" i="3"/>
  <c r="DB225" i="3"/>
  <c r="DC225" i="3"/>
  <c r="A226" i="3"/>
  <c r="Y226" i="3"/>
  <c r="CX226" i="3" s="1"/>
  <c r="CY226" i="3"/>
  <c r="CZ226" i="3"/>
  <c r="DB226" i="3" s="1"/>
  <c r="DA226" i="3"/>
  <c r="DC226" i="3"/>
  <c r="A227" i="3"/>
  <c r="Y227" i="3"/>
  <c r="CX227" i="3" s="1"/>
  <c r="CY227" i="3"/>
  <c r="CZ227" i="3"/>
  <c r="DB227" i="3" s="1"/>
  <c r="DA227" i="3"/>
  <c r="DC227" i="3"/>
  <c r="A228" i="3"/>
  <c r="Y228" i="3"/>
  <c r="CX228" i="3"/>
  <c r="DF228" i="3" s="1"/>
  <c r="DJ228" i="3" s="1"/>
  <c r="CY228" i="3"/>
  <c r="CZ228" i="3"/>
  <c r="DA228" i="3"/>
  <c r="DB228" i="3"/>
  <c r="DC228" i="3"/>
  <c r="A229" i="3"/>
  <c r="Y229" i="3"/>
  <c r="CX229" i="3"/>
  <c r="CY229" i="3"/>
  <c r="CZ229" i="3"/>
  <c r="DA229" i="3"/>
  <c r="DB229" i="3"/>
  <c r="DC229" i="3"/>
  <c r="A230" i="3"/>
  <c r="Y230" i="3"/>
  <c r="CX230" i="3" s="1"/>
  <c r="CY230" i="3"/>
  <c r="CZ230" i="3"/>
  <c r="DB230" i="3" s="1"/>
  <c r="DA230" i="3"/>
  <c r="DC230" i="3"/>
  <c r="A231" i="3"/>
  <c r="Y231" i="3"/>
  <c r="CU231" i="3"/>
  <c r="CV231" i="3"/>
  <c r="CX231" i="3"/>
  <c r="U22" i="15" s="1"/>
  <c r="CY231" i="3"/>
  <c r="CZ231" i="3"/>
  <c r="DA231" i="3"/>
  <c r="DB231" i="3"/>
  <c r="DC231" i="3"/>
  <c r="A232" i="3"/>
  <c r="Y232" i="3"/>
  <c r="CX232" i="3" s="1"/>
  <c r="AB29" i="15" s="1"/>
  <c r="CY232" i="3"/>
  <c r="CZ232" i="3"/>
  <c r="DB232" i="3" s="1"/>
  <c r="DA232" i="3"/>
  <c r="DC232" i="3"/>
  <c r="A233" i="3"/>
  <c r="Y233" i="3"/>
  <c r="CW233" i="3"/>
  <c r="CX233" i="3"/>
  <c r="CY233" i="3"/>
  <c r="CZ233" i="3"/>
  <c r="DA233" i="3"/>
  <c r="DB233" i="3"/>
  <c r="DC233" i="3"/>
  <c r="A234" i="3"/>
  <c r="Y234" i="3"/>
  <c r="CX234" i="3" s="1"/>
  <c r="U45" i="15" s="1"/>
  <c r="CW234" i="3"/>
  <c r="CY234" i="3"/>
  <c r="CZ234" i="3"/>
  <c r="DB234" i="3" s="1"/>
  <c r="DA234" i="3"/>
  <c r="DC234" i="3"/>
  <c r="A235" i="3"/>
  <c r="Y235" i="3"/>
  <c r="CX235" i="3"/>
  <c r="DG235" i="3" s="1"/>
  <c r="CY235" i="3"/>
  <c r="CZ235" i="3"/>
  <c r="DB235" i="3" s="1"/>
  <c r="DA235" i="3"/>
  <c r="DC235" i="3"/>
  <c r="A236" i="3"/>
  <c r="Y236" i="3"/>
  <c r="CX236" i="3"/>
  <c r="DF236" i="3" s="1"/>
  <c r="DJ236" i="3" s="1"/>
  <c r="CY236" i="3"/>
  <c r="CZ236" i="3"/>
  <c r="DA236" i="3"/>
  <c r="DB236" i="3"/>
  <c r="DC236" i="3"/>
  <c r="A237" i="3"/>
  <c r="Y237" i="3"/>
  <c r="CX237" i="3"/>
  <c r="CY237" i="3"/>
  <c r="CZ237" i="3"/>
  <c r="DA237" i="3"/>
  <c r="DB237" i="3"/>
  <c r="DC237" i="3"/>
  <c r="A238" i="3"/>
  <c r="Y238" i="3"/>
  <c r="CX238" i="3" s="1"/>
  <c r="CY238" i="3"/>
  <c r="CZ238" i="3"/>
  <c r="DB238" i="3" s="1"/>
  <c r="DA238" i="3"/>
  <c r="DC238" i="3"/>
  <c r="A239" i="3"/>
  <c r="Y239" i="3"/>
  <c r="CX239" i="3"/>
  <c r="DG239" i="3" s="1"/>
  <c r="CY239" i="3"/>
  <c r="CZ239" i="3"/>
  <c r="DB239" i="3" s="1"/>
  <c r="DA239" i="3"/>
  <c r="DC239" i="3"/>
  <c r="A240" i="3"/>
  <c r="Y240" i="3"/>
  <c r="CX240" i="3"/>
  <c r="DF240" i="3" s="1"/>
  <c r="DJ240" i="3" s="1"/>
  <c r="CY240" i="3"/>
  <c r="CZ240" i="3"/>
  <c r="DA240" i="3"/>
  <c r="DB240" i="3"/>
  <c r="DC240" i="3"/>
  <c r="A241" i="3"/>
  <c r="Y241" i="3"/>
  <c r="CX241" i="3"/>
  <c r="CY241" i="3"/>
  <c r="CZ241" i="3"/>
  <c r="DA241" i="3"/>
  <c r="DB241" i="3"/>
  <c r="DC241" i="3"/>
  <c r="A242" i="3"/>
  <c r="Y242" i="3"/>
  <c r="CX242" i="3" s="1"/>
  <c r="CY242" i="3"/>
  <c r="CZ242" i="3"/>
  <c r="DB242" i="3" s="1"/>
  <c r="DA242" i="3"/>
  <c r="DC242" i="3"/>
  <c r="A243" i="3"/>
  <c r="Y243" i="3"/>
  <c r="CX243" i="3"/>
  <c r="DG243" i="3" s="1"/>
  <c r="CY243" i="3"/>
  <c r="CZ243" i="3"/>
  <c r="DB243" i="3" s="1"/>
  <c r="DA243" i="3"/>
  <c r="DC243" i="3"/>
  <c r="A244" i="3"/>
  <c r="Y244" i="3"/>
  <c r="CX244" i="3" s="1"/>
  <c r="CU244" i="3"/>
  <c r="CV244" i="3"/>
  <c r="CY244" i="3"/>
  <c r="CZ244" i="3"/>
  <c r="DB244" i="3" s="1"/>
  <c r="DA244" i="3"/>
  <c r="DC244" i="3"/>
  <c r="A245" i="3"/>
  <c r="Y245" i="3"/>
  <c r="CX245" i="3"/>
  <c r="DG245" i="3" s="1"/>
  <c r="CY245" i="3"/>
  <c r="CZ245" i="3"/>
  <c r="DB245" i="3" s="1"/>
  <c r="DA245" i="3"/>
  <c r="DC245" i="3"/>
  <c r="A246" i="3"/>
  <c r="Y246" i="3"/>
  <c r="CW246" i="3"/>
  <c r="CX246" i="3"/>
  <c r="CY246" i="3"/>
  <c r="CZ246" i="3"/>
  <c r="DA246" i="3"/>
  <c r="DB246" i="3"/>
  <c r="DC246" i="3"/>
  <c r="A247" i="3"/>
  <c r="Y247" i="3"/>
  <c r="CW247" i="3" s="1"/>
  <c r="CY247" i="3"/>
  <c r="CZ247" i="3"/>
  <c r="DB247" i="3" s="1"/>
  <c r="DA247" i="3"/>
  <c r="DC247" i="3"/>
  <c r="A248" i="3"/>
  <c r="Y248" i="3"/>
  <c r="CX248" i="3"/>
  <c r="DF248" i="3" s="1"/>
  <c r="CY248" i="3"/>
  <c r="CZ248" i="3"/>
  <c r="DA248" i="3"/>
  <c r="DB248" i="3"/>
  <c r="DC248" i="3"/>
  <c r="A249" i="3"/>
  <c r="Y249" i="3"/>
  <c r="CX249" i="3"/>
  <c r="CY249" i="3"/>
  <c r="CZ249" i="3"/>
  <c r="DA249" i="3"/>
  <c r="DB249" i="3"/>
  <c r="DC249" i="3"/>
  <c r="A250" i="3"/>
  <c r="Y250" i="3"/>
  <c r="CX250" i="3" s="1"/>
  <c r="CY250" i="3"/>
  <c r="CZ250" i="3"/>
  <c r="DB250" i="3" s="1"/>
  <c r="DA250" i="3"/>
  <c r="DC250" i="3"/>
  <c r="A251" i="3"/>
  <c r="Y251" i="3"/>
  <c r="CX251" i="3"/>
  <c r="DG251" i="3" s="1"/>
  <c r="CY251" i="3"/>
  <c r="CZ251" i="3"/>
  <c r="DB251" i="3" s="1"/>
  <c r="DA251" i="3"/>
  <c r="DC251" i="3"/>
  <c r="A252" i="3"/>
  <c r="Y252" i="3"/>
  <c r="CX252" i="3"/>
  <c r="DF252" i="3" s="1"/>
  <c r="DJ252" i="3" s="1"/>
  <c r="CY252" i="3"/>
  <c r="CZ252" i="3"/>
  <c r="DA252" i="3"/>
  <c r="DB252" i="3"/>
  <c r="DC252" i="3"/>
  <c r="A253" i="3"/>
  <c r="Y253" i="3"/>
  <c r="CX253" i="3"/>
  <c r="CY253" i="3"/>
  <c r="CZ253" i="3"/>
  <c r="DA253" i="3"/>
  <c r="DB253" i="3"/>
  <c r="DC253" i="3"/>
  <c r="A254" i="3"/>
  <c r="Y254" i="3"/>
  <c r="CX254" i="3" s="1"/>
  <c r="CY254" i="3"/>
  <c r="CZ254" i="3"/>
  <c r="DB254" i="3" s="1"/>
  <c r="DA254" i="3"/>
  <c r="DC254" i="3"/>
  <c r="A255" i="3"/>
  <c r="Y255" i="3"/>
  <c r="CX255" i="3"/>
  <c r="DG255" i="3" s="1"/>
  <c r="CY255" i="3"/>
  <c r="CZ255" i="3"/>
  <c r="DB255" i="3" s="1"/>
  <c r="DA255" i="3"/>
  <c r="DC255" i="3"/>
  <c r="A256" i="3"/>
  <c r="Y256" i="3"/>
  <c r="CX256" i="3"/>
  <c r="DF256" i="3" s="1"/>
  <c r="DJ256" i="3" s="1"/>
  <c r="CY256" i="3"/>
  <c r="CZ256" i="3"/>
  <c r="DA256" i="3"/>
  <c r="DB256" i="3"/>
  <c r="DC256" i="3"/>
  <c r="A257" i="3"/>
  <c r="Y257" i="3"/>
  <c r="CV257" i="3" s="1"/>
  <c r="CU257" i="3"/>
  <c r="CY257" i="3"/>
  <c r="CZ257" i="3"/>
  <c r="DB257" i="3" s="1"/>
  <c r="DA257" i="3"/>
  <c r="DC257" i="3"/>
  <c r="A258" i="3"/>
  <c r="Y258" i="3"/>
  <c r="CW258" i="3"/>
  <c r="CX258" i="3"/>
  <c r="P42" i="15" s="1"/>
  <c r="O42" i="15" s="1"/>
  <c r="E42" i="15" s="1"/>
  <c r="G42" i="15" s="1"/>
  <c r="CY258" i="3"/>
  <c r="CZ258" i="3"/>
  <c r="DA258" i="3"/>
  <c r="DB258" i="3"/>
  <c r="DC258" i="3"/>
  <c r="A259" i="3"/>
  <c r="Y259" i="3"/>
  <c r="CW259" i="3" s="1"/>
  <c r="CY259" i="3"/>
  <c r="CZ259" i="3"/>
  <c r="DB259" i="3" s="1"/>
  <c r="DA259" i="3"/>
  <c r="DC259" i="3"/>
  <c r="A260" i="3"/>
  <c r="Y260" i="3"/>
  <c r="CX260" i="3"/>
  <c r="DF260" i="3" s="1"/>
  <c r="DJ260" i="3" s="1"/>
  <c r="CY260" i="3"/>
  <c r="CZ260" i="3"/>
  <c r="DA260" i="3"/>
  <c r="DB260" i="3"/>
  <c r="DC260" i="3"/>
  <c r="A261" i="3"/>
  <c r="Y261" i="3"/>
  <c r="CV261" i="3" s="1"/>
  <c r="CU261" i="3"/>
  <c r="CY261" i="3"/>
  <c r="CZ261" i="3"/>
  <c r="DB261" i="3" s="1"/>
  <c r="DA261" i="3"/>
  <c r="DC261" i="3"/>
  <c r="A262" i="3"/>
  <c r="Y262" i="3"/>
  <c r="CW262" i="3"/>
  <c r="CX262" i="3"/>
  <c r="CY262" i="3"/>
  <c r="CZ262" i="3"/>
  <c r="DA262" i="3"/>
  <c r="DB262" i="3"/>
  <c r="DC262" i="3"/>
  <c r="A263" i="3"/>
  <c r="Y263" i="3"/>
  <c r="CW263" i="3" s="1"/>
  <c r="CY263" i="3"/>
  <c r="CZ263" i="3"/>
  <c r="DB263" i="3" s="1"/>
  <c r="DA263" i="3"/>
  <c r="DC263" i="3"/>
  <c r="A264" i="3"/>
  <c r="Y264" i="3"/>
  <c r="CX264" i="3"/>
  <c r="DF264" i="3" s="1"/>
  <c r="DJ264" i="3" s="1"/>
  <c r="CY264" i="3"/>
  <c r="CZ264" i="3"/>
  <c r="DA264" i="3"/>
  <c r="DB264" i="3"/>
  <c r="DC264" i="3"/>
  <c r="A265" i="3"/>
  <c r="Y265" i="3"/>
  <c r="CV265" i="3" s="1"/>
  <c r="CU265" i="3"/>
  <c r="CY265" i="3"/>
  <c r="CZ265" i="3"/>
  <c r="DB265" i="3" s="1"/>
  <c r="DA265" i="3"/>
  <c r="DC265" i="3"/>
  <c r="A266" i="3"/>
  <c r="Y266" i="3"/>
  <c r="CX266" i="3"/>
  <c r="CY266" i="3"/>
  <c r="CZ266" i="3"/>
  <c r="DA266" i="3"/>
  <c r="DB266" i="3"/>
  <c r="DC266" i="3"/>
  <c r="A267" i="3"/>
  <c r="Y267" i="3"/>
  <c r="CX267" i="3" s="1"/>
  <c r="P35" i="15" s="1"/>
  <c r="CW267" i="3"/>
  <c r="CY267" i="3"/>
  <c r="CZ267" i="3"/>
  <c r="DB267" i="3" s="1"/>
  <c r="DA267" i="3"/>
  <c r="DC267" i="3"/>
  <c r="A268" i="3"/>
  <c r="Y268" i="3"/>
  <c r="CW268" i="3"/>
  <c r="CX268" i="3"/>
  <c r="CY268" i="3"/>
  <c r="CZ268" i="3"/>
  <c r="DA268" i="3"/>
  <c r="DB268" i="3"/>
  <c r="DC268" i="3"/>
  <c r="A269" i="3"/>
  <c r="Y269" i="3"/>
  <c r="CX269" i="3" s="1"/>
  <c r="W50" i="15" s="1"/>
  <c r="CW269" i="3"/>
  <c r="CY269" i="3"/>
  <c r="CZ269" i="3"/>
  <c r="DB269" i="3" s="1"/>
  <c r="DA269" i="3"/>
  <c r="DC269" i="3"/>
  <c r="A270" i="3"/>
  <c r="Y270" i="3"/>
  <c r="CX270" i="3"/>
  <c r="DG270" i="3" s="1"/>
  <c r="CY270" i="3"/>
  <c r="CZ270" i="3"/>
  <c r="DB270" i="3" s="1"/>
  <c r="DA270" i="3"/>
  <c r="DC270" i="3"/>
  <c r="A271" i="3"/>
  <c r="Y271" i="3"/>
  <c r="CX271" i="3"/>
  <c r="DF271" i="3" s="1"/>
  <c r="DJ271" i="3" s="1"/>
  <c r="CY271" i="3"/>
  <c r="CZ271" i="3"/>
  <c r="DA271" i="3"/>
  <c r="DB271" i="3"/>
  <c r="DC271" i="3"/>
  <c r="A272" i="3"/>
  <c r="Y272" i="3"/>
  <c r="CX272" i="3"/>
  <c r="CY272" i="3"/>
  <c r="CZ272" i="3"/>
  <c r="DA272" i="3"/>
  <c r="DB272" i="3"/>
  <c r="DC272" i="3"/>
  <c r="A273" i="3"/>
  <c r="Y273" i="3"/>
  <c r="CX273" i="3" s="1"/>
  <c r="CY273" i="3"/>
  <c r="CZ273" i="3"/>
  <c r="DB273" i="3" s="1"/>
  <c r="DA273" i="3"/>
  <c r="DC273" i="3"/>
  <c r="A274" i="3"/>
  <c r="Y274" i="3"/>
  <c r="CX274" i="3"/>
  <c r="DG274" i="3" s="1"/>
  <c r="CY274" i="3"/>
  <c r="CZ274" i="3"/>
  <c r="DB274" i="3" s="1"/>
  <c r="DA274" i="3"/>
  <c r="DC274" i="3"/>
  <c r="A275" i="3"/>
  <c r="Y275" i="3"/>
  <c r="CX275" i="3" s="1"/>
  <c r="CU275" i="3"/>
  <c r="CV275" i="3"/>
  <c r="CY275" i="3"/>
  <c r="CZ275" i="3"/>
  <c r="DB275" i="3" s="1"/>
  <c r="DA275" i="3"/>
  <c r="DC275" i="3"/>
  <c r="A276" i="3"/>
  <c r="Y276" i="3"/>
  <c r="CX276" i="3"/>
  <c r="DG276" i="3" s="1"/>
  <c r="CY276" i="3"/>
  <c r="CZ276" i="3"/>
  <c r="DB276" i="3" s="1"/>
  <c r="DA276" i="3"/>
  <c r="DC276" i="3"/>
  <c r="A277" i="3"/>
  <c r="Y277" i="3"/>
  <c r="CW277" i="3"/>
  <c r="CX277" i="3"/>
  <c r="CY277" i="3"/>
  <c r="CZ277" i="3"/>
  <c r="DA277" i="3"/>
  <c r="DB277" i="3"/>
  <c r="DC277" i="3"/>
  <c r="A278" i="3"/>
  <c r="Y278" i="3"/>
  <c r="CY278" i="3"/>
  <c r="CZ278" i="3"/>
  <c r="DB278" i="3" s="1"/>
  <c r="DA278" i="3"/>
  <c r="DC278" i="3"/>
  <c r="A279" i="3"/>
  <c r="Y279" i="3"/>
  <c r="CW279" i="3"/>
  <c r="CX279" i="3"/>
  <c r="CY279" i="3"/>
  <c r="CZ279" i="3"/>
  <c r="DA279" i="3"/>
  <c r="DB279" i="3"/>
  <c r="DC279" i="3"/>
  <c r="A280" i="3"/>
  <c r="Y280" i="3"/>
  <c r="CX280" i="3" s="1"/>
  <c r="DG280" i="3" s="1"/>
  <c r="CY280" i="3"/>
  <c r="CZ280" i="3"/>
  <c r="DB280" i="3" s="1"/>
  <c r="DA280" i="3"/>
  <c r="DC280" i="3"/>
  <c r="A281" i="3"/>
  <c r="Y281" i="3"/>
  <c r="CX281" i="3"/>
  <c r="DG281" i="3" s="1"/>
  <c r="CY281" i="3"/>
  <c r="CZ281" i="3"/>
  <c r="DB281" i="3" s="1"/>
  <c r="DA281" i="3"/>
  <c r="DC281" i="3"/>
  <c r="A282" i="3"/>
  <c r="Y282" i="3"/>
  <c r="CX282" i="3"/>
  <c r="DF282" i="3" s="1"/>
  <c r="DJ282" i="3" s="1"/>
  <c r="CY282" i="3"/>
  <c r="CZ282" i="3"/>
  <c r="DA282" i="3"/>
  <c r="DB282" i="3"/>
  <c r="DC282" i="3"/>
  <c r="A283" i="3"/>
  <c r="Y283" i="3"/>
  <c r="CX283" i="3"/>
  <c r="CY283" i="3"/>
  <c r="CZ283" i="3"/>
  <c r="DA283" i="3"/>
  <c r="DB283" i="3"/>
  <c r="DC283" i="3"/>
  <c r="A284" i="3"/>
  <c r="Y284" i="3"/>
  <c r="CX284" i="3" s="1"/>
  <c r="CY284" i="3"/>
  <c r="CZ284" i="3"/>
  <c r="DB284" i="3" s="1"/>
  <c r="DA284" i="3"/>
  <c r="DC284" i="3"/>
  <c r="A285" i="3"/>
  <c r="Y285" i="3"/>
  <c r="CU285" i="3"/>
  <c r="CV285" i="3"/>
  <c r="CX285" i="3"/>
  <c r="Q26" i="15" s="1"/>
  <c r="CY285" i="3"/>
  <c r="CZ285" i="3"/>
  <c r="DA285" i="3"/>
  <c r="DB285" i="3"/>
  <c r="DC285" i="3"/>
  <c r="A286" i="3"/>
  <c r="Y286" i="3"/>
  <c r="CX286" i="3" s="1"/>
  <c r="CY286" i="3"/>
  <c r="CZ286" i="3"/>
  <c r="DB286" i="3" s="1"/>
  <c r="DA286" i="3"/>
  <c r="DC286" i="3"/>
  <c r="A287" i="3"/>
  <c r="Y287" i="3"/>
  <c r="CW287" i="3"/>
  <c r="CX287" i="3"/>
  <c r="CY287" i="3"/>
  <c r="CZ287" i="3"/>
  <c r="DA287" i="3"/>
  <c r="DB287" i="3"/>
  <c r="DC287" i="3"/>
  <c r="A288" i="3"/>
  <c r="Y288" i="3"/>
  <c r="CY288" i="3"/>
  <c r="CZ288" i="3"/>
  <c r="DB288" i="3" s="1"/>
  <c r="DA288" i="3"/>
  <c r="DC288" i="3"/>
  <c r="A289" i="3"/>
  <c r="Y289" i="3"/>
  <c r="CW289" i="3"/>
  <c r="CX289" i="3"/>
  <c r="X50" i="15" s="1"/>
  <c r="CY289" i="3"/>
  <c r="CZ289" i="3"/>
  <c r="DA289" i="3"/>
  <c r="DB289" i="3"/>
  <c r="DC289" i="3"/>
  <c r="A290" i="3"/>
  <c r="Y290" i="3"/>
  <c r="CX290" i="3" s="1"/>
  <c r="DG290" i="3" s="1"/>
  <c r="CY290" i="3"/>
  <c r="CZ290" i="3"/>
  <c r="DA290" i="3"/>
  <c r="DB290" i="3"/>
  <c r="DC290" i="3"/>
  <c r="A291" i="3"/>
  <c r="Y291" i="3"/>
  <c r="CX291" i="3" s="1"/>
  <c r="DF291" i="3" s="1"/>
  <c r="DJ291" i="3" s="1"/>
  <c r="CY291" i="3"/>
  <c r="CZ291" i="3"/>
  <c r="DB291" i="3" s="1"/>
  <c r="DA291" i="3"/>
  <c r="DC291" i="3"/>
  <c r="A292" i="3"/>
  <c r="Y292" i="3"/>
  <c r="CX292" i="3"/>
  <c r="DG292" i="3" s="1"/>
  <c r="CY292" i="3"/>
  <c r="CZ292" i="3"/>
  <c r="DB292" i="3" s="1"/>
  <c r="DA292" i="3"/>
  <c r="DC292" i="3"/>
  <c r="A293" i="3"/>
  <c r="Y293" i="3"/>
  <c r="CX293" i="3"/>
  <c r="CY293" i="3"/>
  <c r="CZ293" i="3"/>
  <c r="DA293" i="3"/>
  <c r="DB293" i="3"/>
  <c r="DC293" i="3"/>
  <c r="A294" i="3"/>
  <c r="Y294" i="3"/>
  <c r="CX294" i="3" s="1"/>
  <c r="DG294" i="3" s="1"/>
  <c r="CY294" i="3"/>
  <c r="CZ294" i="3"/>
  <c r="DA294" i="3"/>
  <c r="DB294" i="3"/>
  <c r="DC294" i="3"/>
  <c r="A295" i="3"/>
  <c r="Y295" i="3"/>
  <c r="CU295" i="3"/>
  <c r="CY295" i="3"/>
  <c r="CZ295" i="3"/>
  <c r="DA295" i="3"/>
  <c r="DB295" i="3"/>
  <c r="DC295" i="3"/>
  <c r="A296" i="3"/>
  <c r="Y296" i="3"/>
  <c r="CX296" i="3"/>
  <c r="CY296" i="3"/>
  <c r="CZ296" i="3"/>
  <c r="DA296" i="3"/>
  <c r="DB296" i="3"/>
  <c r="DC296" i="3"/>
  <c r="A297" i="3"/>
  <c r="Y297" i="3"/>
  <c r="CY297" i="3"/>
  <c r="CZ297" i="3"/>
  <c r="DB297" i="3" s="1"/>
  <c r="DA297" i="3"/>
  <c r="DC297" i="3"/>
  <c r="A298" i="3"/>
  <c r="Y298" i="3"/>
  <c r="CW298" i="3"/>
  <c r="CX298" i="3"/>
  <c r="DG298" i="3" s="1"/>
  <c r="CY298" i="3"/>
  <c r="CZ298" i="3"/>
  <c r="DA298" i="3"/>
  <c r="DB298" i="3"/>
  <c r="DC298" i="3"/>
  <c r="A299" i="3"/>
  <c r="Y299" i="3"/>
  <c r="CW299" i="3" s="1"/>
  <c r="CY299" i="3"/>
  <c r="CZ299" i="3"/>
  <c r="DA299" i="3"/>
  <c r="DB299" i="3"/>
  <c r="DC299" i="3"/>
  <c r="A300" i="3"/>
  <c r="Y300" i="3"/>
  <c r="CX300" i="3" s="1"/>
  <c r="CY300" i="3"/>
  <c r="CZ300" i="3"/>
  <c r="DA300" i="3"/>
  <c r="DB300" i="3"/>
  <c r="DC300" i="3"/>
  <c r="A301" i="3"/>
  <c r="Y301" i="3"/>
  <c r="CX301" i="3"/>
  <c r="CY301" i="3"/>
  <c r="CZ301" i="3"/>
  <c r="DA301" i="3"/>
  <c r="DB301" i="3"/>
  <c r="DC301" i="3"/>
  <c r="A302" i="3"/>
  <c r="Y302" i="3"/>
  <c r="CX302" i="3" s="1"/>
  <c r="CY302" i="3"/>
  <c r="CZ302" i="3"/>
  <c r="DB302" i="3" s="1"/>
  <c r="DA302" i="3"/>
  <c r="DC302" i="3"/>
  <c r="A303" i="3"/>
  <c r="Y303" i="3"/>
  <c r="CX303" i="3" s="1"/>
  <c r="DG303" i="3" s="1"/>
  <c r="CY303" i="3"/>
  <c r="CZ303" i="3"/>
  <c r="DB303" i="3" s="1"/>
  <c r="DA303" i="3"/>
  <c r="DC303" i="3"/>
  <c r="A304" i="3"/>
  <c r="Y304" i="3"/>
  <c r="CX304" i="3" s="1"/>
  <c r="DF304" i="3" s="1"/>
  <c r="DJ304" i="3" s="1"/>
  <c r="CY304" i="3"/>
  <c r="CZ304" i="3"/>
  <c r="DB304" i="3" s="1"/>
  <c r="DA304" i="3"/>
  <c r="DC304" i="3"/>
  <c r="A305" i="3"/>
  <c r="Y305" i="3"/>
  <c r="CU305" i="3"/>
  <c r="CV305" i="3"/>
  <c r="CX305" i="3"/>
  <c r="P20" i="15" s="1"/>
  <c r="CY305" i="3"/>
  <c r="CZ305" i="3"/>
  <c r="DB305" i="3" s="1"/>
  <c r="DA305" i="3"/>
  <c r="DC305" i="3"/>
  <c r="A306" i="3"/>
  <c r="Y306" i="3"/>
  <c r="CX306" i="3" s="1"/>
  <c r="CY306" i="3"/>
  <c r="CZ306" i="3"/>
  <c r="DB306" i="3" s="1"/>
  <c r="DA306" i="3"/>
  <c r="DC306" i="3"/>
  <c r="A307" i="3"/>
  <c r="Y307" i="3"/>
  <c r="CW307" i="3"/>
  <c r="CX307" i="3"/>
  <c r="CY307" i="3"/>
  <c r="CZ307" i="3"/>
  <c r="DA307" i="3"/>
  <c r="DB307" i="3"/>
  <c r="DC307" i="3"/>
  <c r="A308" i="3"/>
  <c r="Y308" i="3"/>
  <c r="CY308" i="3"/>
  <c r="CZ308" i="3"/>
  <c r="DB308" i="3" s="1"/>
  <c r="DA308" i="3"/>
  <c r="DC308" i="3"/>
  <c r="A309" i="3"/>
  <c r="Y309" i="3"/>
  <c r="CW309" i="3"/>
  <c r="CX309" i="3"/>
  <c r="CY309" i="3"/>
  <c r="CZ309" i="3"/>
  <c r="DA309" i="3"/>
  <c r="DB309" i="3"/>
  <c r="DC309" i="3"/>
  <c r="A310" i="3"/>
  <c r="Y310" i="3"/>
  <c r="CX310" i="3" s="1"/>
  <c r="DF310" i="3" s="1"/>
  <c r="CY310" i="3"/>
  <c r="CZ310" i="3"/>
  <c r="DB310" i="3" s="1"/>
  <c r="DA310" i="3"/>
  <c r="DC310" i="3"/>
  <c r="A311" i="3"/>
  <c r="Y311" i="3"/>
  <c r="CX311" i="3" s="1"/>
  <c r="CY311" i="3"/>
  <c r="CZ311" i="3"/>
  <c r="DB311" i="3" s="1"/>
  <c r="DA311" i="3"/>
  <c r="DC311" i="3"/>
  <c r="A312" i="3"/>
  <c r="Y312" i="3"/>
  <c r="CX312" i="3"/>
  <c r="CY312" i="3"/>
  <c r="CZ312" i="3"/>
  <c r="DA312" i="3"/>
  <c r="DB312" i="3"/>
  <c r="DC312" i="3"/>
  <c r="A313" i="3"/>
  <c r="Y313" i="3"/>
  <c r="CU313" i="3"/>
  <c r="CY313" i="3"/>
  <c r="CZ313" i="3"/>
  <c r="DB313" i="3" s="1"/>
  <c r="DA313" i="3"/>
  <c r="DC313" i="3"/>
  <c r="A314" i="3"/>
  <c r="Y314" i="3"/>
  <c r="CX314" i="3"/>
  <c r="CY314" i="3"/>
  <c r="CZ314" i="3"/>
  <c r="DA314" i="3"/>
  <c r="DB314" i="3"/>
  <c r="DC314" i="3"/>
  <c r="A315" i="3"/>
  <c r="Y315" i="3"/>
  <c r="CX315" i="3" s="1"/>
  <c r="DF315" i="3" s="1"/>
  <c r="CY315" i="3"/>
  <c r="CZ315" i="3"/>
  <c r="DB315" i="3" s="1"/>
  <c r="DA315" i="3"/>
  <c r="DC315" i="3"/>
  <c r="A316" i="3"/>
  <c r="Y316" i="3"/>
  <c r="CW316" i="3"/>
  <c r="CX316" i="3"/>
  <c r="CY316" i="3"/>
  <c r="CZ316" i="3"/>
  <c r="DA316" i="3"/>
  <c r="DB316" i="3"/>
  <c r="DC316" i="3"/>
  <c r="A317" i="3"/>
  <c r="Y317" i="3"/>
  <c r="CX317" i="3" s="1"/>
  <c r="DF317" i="3" s="1"/>
  <c r="CW317" i="3"/>
  <c r="CY317" i="3"/>
  <c r="CZ317" i="3"/>
  <c r="DB317" i="3" s="1"/>
  <c r="DA317" i="3"/>
  <c r="DC317" i="3"/>
  <c r="A318" i="3"/>
  <c r="Y318" i="3"/>
  <c r="CX318" i="3"/>
  <c r="DG318" i="3" s="1"/>
  <c r="CY318" i="3"/>
  <c r="CZ318" i="3"/>
  <c r="DB318" i="3" s="1"/>
  <c r="DA318" i="3"/>
  <c r="DC318" i="3"/>
  <c r="A319" i="3"/>
  <c r="Y319" i="3"/>
  <c r="CX319" i="3"/>
  <c r="CY319" i="3"/>
  <c r="CZ319" i="3"/>
  <c r="DA319" i="3"/>
  <c r="DB319" i="3"/>
  <c r="DC319" i="3"/>
  <c r="A320" i="3"/>
  <c r="Y320" i="3"/>
  <c r="CX320" i="3" s="1"/>
  <c r="CY320" i="3"/>
  <c r="CZ320" i="3"/>
  <c r="DA320" i="3"/>
  <c r="DB320" i="3"/>
  <c r="DC320" i="3"/>
  <c r="A321" i="3"/>
  <c r="Y321" i="3"/>
  <c r="CV321" i="3" s="1"/>
  <c r="CU321" i="3"/>
  <c r="CY321" i="3"/>
  <c r="CZ321" i="3"/>
  <c r="DA321" i="3"/>
  <c r="DB321" i="3"/>
  <c r="DC321" i="3"/>
  <c r="A322" i="3"/>
  <c r="Y322" i="3"/>
  <c r="CX322" i="3"/>
  <c r="CY322" i="3"/>
  <c r="CZ322" i="3"/>
  <c r="DA322" i="3"/>
  <c r="DB322" i="3"/>
  <c r="DC322" i="3"/>
  <c r="A323" i="3"/>
  <c r="Y323" i="3"/>
  <c r="CY323" i="3"/>
  <c r="CZ323" i="3"/>
  <c r="DB323" i="3" s="1"/>
  <c r="DA323" i="3"/>
  <c r="DC323" i="3"/>
  <c r="A324" i="3"/>
  <c r="Y324" i="3"/>
  <c r="CW324" i="3"/>
  <c r="CX324" i="3"/>
  <c r="CY324" i="3"/>
  <c r="CZ324" i="3"/>
  <c r="DA324" i="3"/>
  <c r="DB324" i="3"/>
  <c r="DC324" i="3"/>
  <c r="A325" i="3"/>
  <c r="Y325" i="3"/>
  <c r="CY325" i="3"/>
  <c r="CZ325" i="3"/>
  <c r="DB325" i="3" s="1"/>
  <c r="DA325" i="3"/>
  <c r="DC325" i="3"/>
  <c r="A326" i="3"/>
  <c r="Y326" i="3"/>
  <c r="CX326" i="3"/>
  <c r="CY326" i="3"/>
  <c r="CZ326" i="3"/>
  <c r="DA326" i="3"/>
  <c r="DB326" i="3"/>
  <c r="DC326" i="3"/>
  <c r="A327" i="3"/>
  <c r="Y327" i="3"/>
  <c r="CX327" i="3"/>
  <c r="DG327" i="3" s="1"/>
  <c r="CY327" i="3"/>
  <c r="CZ327" i="3"/>
  <c r="DA327" i="3"/>
  <c r="DB327" i="3"/>
  <c r="DC327" i="3"/>
  <c r="A328" i="3"/>
  <c r="Y328" i="3"/>
  <c r="CV328" i="3" s="1"/>
  <c r="CU328" i="3"/>
  <c r="CX328" i="3"/>
  <c r="CY328" i="3"/>
  <c r="CZ328" i="3"/>
  <c r="DA328" i="3"/>
  <c r="DB328" i="3"/>
  <c r="DC328" i="3"/>
  <c r="A329" i="3"/>
  <c r="Y329" i="3"/>
  <c r="CX329" i="3" s="1"/>
  <c r="CY329" i="3"/>
  <c r="CZ329" i="3"/>
  <c r="DA329" i="3"/>
  <c r="DB329" i="3"/>
  <c r="DC329" i="3"/>
  <c r="A330" i="3"/>
  <c r="Y330" i="3"/>
  <c r="CY330" i="3"/>
  <c r="CZ330" i="3"/>
  <c r="DB330" i="3" s="1"/>
  <c r="DA330" i="3"/>
  <c r="DC330" i="3"/>
  <c r="A331" i="3"/>
  <c r="Y331" i="3"/>
  <c r="CW331" i="3"/>
  <c r="CX331" i="3"/>
  <c r="CY331" i="3"/>
  <c r="CZ331" i="3"/>
  <c r="DA331" i="3"/>
  <c r="DB331" i="3"/>
  <c r="DC331" i="3"/>
  <c r="A332" i="3"/>
  <c r="Y332" i="3"/>
  <c r="CY332" i="3"/>
  <c r="CZ332" i="3"/>
  <c r="DB332" i="3" s="1"/>
  <c r="DA332" i="3"/>
  <c r="DC332" i="3"/>
  <c r="A333" i="3"/>
  <c r="Y333" i="3"/>
  <c r="CX333" i="3"/>
  <c r="CY333" i="3"/>
  <c r="CZ333" i="3"/>
  <c r="DA333" i="3"/>
  <c r="DB333" i="3"/>
  <c r="DC333" i="3"/>
  <c r="A334" i="3"/>
  <c r="Y334" i="3"/>
  <c r="CX334" i="3" s="1"/>
  <c r="CY334" i="3"/>
  <c r="CZ334" i="3"/>
  <c r="DA334" i="3"/>
  <c r="DB334" i="3"/>
  <c r="DC334" i="3"/>
  <c r="A335" i="3"/>
  <c r="Y335" i="3"/>
  <c r="CV335" i="3" s="1"/>
  <c r="CU335" i="3"/>
  <c r="CY335" i="3"/>
  <c r="CZ335" i="3"/>
  <c r="DA335" i="3"/>
  <c r="DB335" i="3"/>
  <c r="DC335" i="3"/>
  <c r="A336" i="3"/>
  <c r="Y336" i="3"/>
  <c r="CX336" i="3"/>
  <c r="CY336" i="3"/>
  <c r="CZ336" i="3"/>
  <c r="DA336" i="3"/>
  <c r="DB336" i="3"/>
  <c r="DC336" i="3"/>
  <c r="A337" i="3"/>
  <c r="Y337" i="3"/>
  <c r="CY337" i="3"/>
  <c r="CZ337" i="3"/>
  <c r="DB337" i="3" s="1"/>
  <c r="DA337" i="3"/>
  <c r="DC337" i="3"/>
  <c r="A338" i="3"/>
  <c r="Y338" i="3"/>
  <c r="CW338" i="3" s="1"/>
  <c r="CX338" i="3"/>
  <c r="CY338" i="3"/>
  <c r="CZ338" i="3"/>
  <c r="DA338" i="3"/>
  <c r="DB338" i="3"/>
  <c r="DC338" i="3"/>
  <c r="A339" i="3"/>
  <c r="Y339" i="3"/>
  <c r="CX339" i="3" s="1"/>
  <c r="P48" i="15" s="1"/>
  <c r="CW339" i="3"/>
  <c r="CY339" i="3"/>
  <c r="CZ339" i="3"/>
  <c r="DB339" i="3" s="1"/>
  <c r="DA339" i="3"/>
  <c r="DC339" i="3"/>
  <c r="A340" i="3"/>
  <c r="Y340" i="3"/>
  <c r="CW340" i="3"/>
  <c r="CX340" i="3"/>
  <c r="CY340" i="3"/>
  <c r="CZ340" i="3"/>
  <c r="DA340" i="3"/>
  <c r="DB340" i="3"/>
  <c r="DC340" i="3"/>
  <c r="A341" i="3"/>
  <c r="Y341" i="3"/>
  <c r="CX341" i="3"/>
  <c r="DG341" i="3" s="1"/>
  <c r="CY341" i="3"/>
  <c r="CZ341" i="3"/>
  <c r="DA341" i="3"/>
  <c r="DB341" i="3"/>
  <c r="DC341" i="3"/>
  <c r="A342" i="3"/>
  <c r="Y342" i="3"/>
  <c r="CX342" i="3" s="1"/>
  <c r="CY342" i="3"/>
  <c r="CZ342" i="3"/>
  <c r="DB342" i="3" s="1"/>
  <c r="DA342" i="3"/>
  <c r="DC342" i="3"/>
  <c r="A343" i="3"/>
  <c r="Y343" i="3"/>
  <c r="CU343" i="3"/>
  <c r="CV343" i="3"/>
  <c r="CX343" i="3"/>
  <c r="DG343" i="3" s="1"/>
  <c r="CY343" i="3"/>
  <c r="CZ343" i="3"/>
  <c r="DA343" i="3"/>
  <c r="DB343" i="3"/>
  <c r="DC343" i="3"/>
  <c r="A344" i="3"/>
  <c r="Y344" i="3"/>
  <c r="CX344" i="3" s="1"/>
  <c r="CY344" i="3"/>
  <c r="CZ344" i="3"/>
  <c r="DB344" i="3" s="1"/>
  <c r="DA344" i="3"/>
  <c r="DC344" i="3"/>
  <c r="A345" i="3"/>
  <c r="Y345" i="3"/>
  <c r="CW345" i="3"/>
  <c r="CX345" i="3"/>
  <c r="DF345" i="3" s="1"/>
  <c r="CY345" i="3"/>
  <c r="CZ345" i="3"/>
  <c r="DA345" i="3"/>
  <c r="DB345" i="3"/>
  <c r="DC345" i="3"/>
  <c r="A346" i="3"/>
  <c r="Y346" i="3"/>
  <c r="CX346" i="3" s="1"/>
  <c r="CW346" i="3"/>
  <c r="CY346" i="3"/>
  <c r="CZ346" i="3"/>
  <c r="DB346" i="3" s="1"/>
  <c r="DA346" i="3"/>
  <c r="DC346" i="3"/>
  <c r="A347" i="3"/>
  <c r="Y347" i="3"/>
  <c r="CW347" i="3"/>
  <c r="CX347" i="3"/>
  <c r="DF347" i="3" s="1"/>
  <c r="CY347" i="3"/>
  <c r="CZ347" i="3"/>
  <c r="DA347" i="3"/>
  <c r="DB347" i="3"/>
  <c r="DC347" i="3"/>
  <c r="A348" i="3"/>
  <c r="Y348" i="3"/>
  <c r="CX348" i="3" s="1"/>
  <c r="CW348" i="3"/>
  <c r="CY348" i="3"/>
  <c r="CZ348" i="3"/>
  <c r="DB348" i="3" s="1"/>
  <c r="DA348" i="3"/>
  <c r="DC348" i="3"/>
  <c r="A349" i="3"/>
  <c r="Y349" i="3"/>
  <c r="CX349" i="3"/>
  <c r="DG349" i="3" s="1"/>
  <c r="CY349" i="3"/>
  <c r="CZ349" i="3"/>
  <c r="DB349" i="3" s="1"/>
  <c r="DA349" i="3"/>
  <c r="DC349" i="3"/>
  <c r="A350" i="3"/>
  <c r="Y350" i="3"/>
  <c r="CX350" i="3"/>
  <c r="DF350" i="3" s="1"/>
  <c r="CY350" i="3"/>
  <c r="CZ350" i="3"/>
  <c r="DA350" i="3"/>
  <c r="DB350" i="3"/>
  <c r="DC350" i="3"/>
  <c r="A351" i="3"/>
  <c r="Y351" i="3"/>
  <c r="CV351" i="3" s="1"/>
  <c r="CU351" i="3"/>
  <c r="CY351" i="3"/>
  <c r="CZ351" i="3"/>
  <c r="DB351" i="3" s="1"/>
  <c r="DA351" i="3"/>
  <c r="DC351" i="3"/>
  <c r="A352" i="3"/>
  <c r="Y352" i="3"/>
  <c r="CW352" i="3"/>
  <c r="CX352" i="3"/>
  <c r="CY352" i="3"/>
  <c r="CZ352" i="3"/>
  <c r="DA352" i="3"/>
  <c r="DB352" i="3"/>
  <c r="DC352" i="3"/>
  <c r="A353" i="3"/>
  <c r="Y353" i="3"/>
  <c r="CW353" i="3" s="1"/>
  <c r="CY353" i="3"/>
  <c r="CZ353" i="3"/>
  <c r="DB353" i="3" s="1"/>
  <c r="DA353" i="3"/>
  <c r="DC353" i="3"/>
  <c r="A354" i="3"/>
  <c r="Y354" i="3"/>
  <c r="CX354" i="3"/>
  <c r="DF354" i="3" s="1"/>
  <c r="DJ354" i="3" s="1"/>
  <c r="CY354" i="3"/>
  <c r="CZ354" i="3"/>
  <c r="DA354" i="3"/>
  <c r="DB354" i="3"/>
  <c r="DC354" i="3"/>
  <c r="A355" i="3"/>
  <c r="Y355" i="3"/>
  <c r="CX355" i="3"/>
  <c r="DG355" i="3" s="1"/>
  <c r="CY355" i="3"/>
  <c r="CZ355" i="3"/>
  <c r="DA355" i="3"/>
  <c r="DB355" i="3"/>
  <c r="DC355" i="3"/>
  <c r="A356" i="3"/>
  <c r="Y356" i="3"/>
  <c r="CX356" i="3" s="1"/>
  <c r="CU356" i="3"/>
  <c r="CY356" i="3"/>
  <c r="CZ356" i="3"/>
  <c r="DA356" i="3"/>
  <c r="DB356" i="3"/>
  <c r="DC356" i="3"/>
  <c r="A357" i="3"/>
  <c r="Y357" i="3"/>
  <c r="CX357" i="3" s="1"/>
  <c r="CW357" i="3"/>
  <c r="CY357" i="3"/>
  <c r="CZ357" i="3"/>
  <c r="DB357" i="3" s="1"/>
  <c r="DA357" i="3"/>
  <c r="DC357" i="3"/>
  <c r="A358" i="3"/>
  <c r="Y358" i="3"/>
  <c r="CW358" i="3" s="1"/>
  <c r="CX358" i="3"/>
  <c r="DF358" i="3" s="1"/>
  <c r="CY358" i="3"/>
  <c r="CZ358" i="3"/>
  <c r="DA358" i="3"/>
  <c r="DB358" i="3"/>
  <c r="DC358" i="3"/>
  <c r="A359" i="3"/>
  <c r="Y359" i="3"/>
  <c r="CX359" i="3"/>
  <c r="DG359" i="3" s="1"/>
  <c r="CY359" i="3"/>
  <c r="CZ359" i="3"/>
  <c r="DA359" i="3"/>
  <c r="DB359" i="3"/>
  <c r="DC359" i="3"/>
  <c r="A360" i="3"/>
  <c r="Y360" i="3"/>
  <c r="CX360" i="3" s="1"/>
  <c r="DG360" i="3" s="1"/>
  <c r="CY360" i="3"/>
  <c r="CZ360" i="3"/>
  <c r="DB360" i="3" s="1"/>
  <c r="DA360" i="3"/>
  <c r="DC360" i="3"/>
  <c r="A361" i="3"/>
  <c r="Y361" i="3"/>
  <c r="CU361" i="3"/>
  <c r="CV361" i="3"/>
  <c r="CX361" i="3"/>
  <c r="CY361" i="3"/>
  <c r="CZ361" i="3"/>
  <c r="DA361" i="3"/>
  <c r="DB361" i="3"/>
  <c r="DC361" i="3"/>
  <c r="A362" i="3"/>
  <c r="Y362" i="3"/>
  <c r="CY362" i="3"/>
  <c r="CZ362" i="3"/>
  <c r="DB362" i="3" s="1"/>
  <c r="DA362" i="3"/>
  <c r="DC362" i="3"/>
  <c r="A363" i="3"/>
  <c r="Y363" i="3"/>
  <c r="CW363" i="3"/>
  <c r="CX363" i="3"/>
  <c r="CY363" i="3"/>
  <c r="CZ363" i="3"/>
  <c r="DA363" i="3"/>
  <c r="DB363" i="3"/>
  <c r="DC363" i="3"/>
  <c r="A364" i="3"/>
  <c r="Y364" i="3"/>
  <c r="CV364" i="3" s="1"/>
  <c r="CU364" i="3"/>
  <c r="CY364" i="3"/>
  <c r="CZ364" i="3"/>
  <c r="DA364" i="3"/>
  <c r="DB364" i="3"/>
  <c r="DC364" i="3"/>
  <c r="A365" i="3"/>
  <c r="Y365" i="3"/>
  <c r="CX365" i="3" s="1"/>
  <c r="DF365" i="3" s="1"/>
  <c r="CW365" i="3"/>
  <c r="CY365" i="3"/>
  <c r="CZ365" i="3"/>
  <c r="DB365" i="3" s="1"/>
  <c r="DA365" i="3"/>
  <c r="DC365" i="3"/>
  <c r="A366" i="3"/>
  <c r="Y366" i="3"/>
  <c r="CW366" i="3" s="1"/>
  <c r="CX366" i="3"/>
  <c r="CY366" i="3"/>
  <c r="CZ366" i="3"/>
  <c r="DA366" i="3"/>
  <c r="DB366" i="3"/>
  <c r="DC366" i="3"/>
  <c r="A367" i="3"/>
  <c r="Y367" i="3"/>
  <c r="CU367" i="3"/>
  <c r="CY367" i="3"/>
  <c r="CZ367" i="3"/>
  <c r="DB367" i="3" s="1"/>
  <c r="DA367" i="3"/>
  <c r="DC367" i="3"/>
  <c r="A368" i="3"/>
  <c r="Y368" i="3"/>
  <c r="CX368" i="3"/>
  <c r="AH29" i="15" s="1"/>
  <c r="CY368" i="3"/>
  <c r="CZ368" i="3"/>
  <c r="DA368" i="3"/>
  <c r="DB368" i="3"/>
  <c r="DC368" i="3"/>
  <c r="A369" i="3"/>
  <c r="Y369" i="3"/>
  <c r="CX369" i="3" s="1"/>
  <c r="CW369" i="3"/>
  <c r="CY369" i="3"/>
  <c r="CZ369" i="3"/>
  <c r="DB369" i="3" s="1"/>
  <c r="DA369" i="3"/>
  <c r="DC369" i="3"/>
  <c r="A370" i="3"/>
  <c r="Y370" i="3"/>
  <c r="CW370" i="3"/>
  <c r="CX370" i="3"/>
  <c r="U37" i="15" s="1"/>
  <c r="CY370" i="3"/>
  <c r="CZ370" i="3"/>
  <c r="DA370" i="3"/>
  <c r="DB370" i="3"/>
  <c r="DC370" i="3"/>
  <c r="A371" i="3"/>
  <c r="Y371" i="3"/>
  <c r="CX371" i="3" s="1"/>
  <c r="CY371" i="3"/>
  <c r="CZ371" i="3"/>
  <c r="DB371" i="3" s="1"/>
  <c r="DA371" i="3"/>
  <c r="DC371" i="3"/>
  <c r="A372" i="3"/>
  <c r="Y372" i="3"/>
  <c r="CW372" i="3"/>
  <c r="CX372" i="3"/>
  <c r="AB50" i="15" s="1"/>
  <c r="CY372" i="3"/>
  <c r="CZ372" i="3"/>
  <c r="DA372" i="3"/>
  <c r="DB372" i="3"/>
  <c r="DC372" i="3"/>
  <c r="A373" i="3"/>
  <c r="Y373" i="3"/>
  <c r="CX373" i="3"/>
  <c r="DG373" i="3" s="1"/>
  <c r="CY373" i="3"/>
  <c r="CZ373" i="3"/>
  <c r="DA373" i="3"/>
  <c r="DB373" i="3"/>
  <c r="DC373" i="3"/>
  <c r="A374" i="3"/>
  <c r="Y374" i="3"/>
  <c r="CX374" i="3" s="1"/>
  <c r="DG374" i="3" s="1"/>
  <c r="CY374" i="3"/>
  <c r="CZ374" i="3"/>
  <c r="DB374" i="3" s="1"/>
  <c r="DA374" i="3"/>
  <c r="DC374" i="3"/>
  <c r="A375" i="3"/>
  <c r="Y375" i="3"/>
  <c r="CX375" i="3"/>
  <c r="DG375" i="3" s="1"/>
  <c r="CY375" i="3"/>
  <c r="CZ375" i="3"/>
  <c r="DB375" i="3" s="1"/>
  <c r="DA375" i="3"/>
  <c r="DC375" i="3"/>
  <c r="A376" i="3"/>
  <c r="Y376" i="3"/>
  <c r="CX376" i="3" s="1"/>
  <c r="DF376" i="3" s="1"/>
  <c r="CU376" i="3"/>
  <c r="CV376" i="3"/>
  <c r="CY376" i="3"/>
  <c r="CZ376" i="3"/>
  <c r="DB376" i="3" s="1"/>
  <c r="DA376" i="3"/>
  <c r="DC376" i="3"/>
  <c r="A377" i="3"/>
  <c r="Y377" i="3"/>
  <c r="CX377" i="3"/>
  <c r="DG377" i="3" s="1"/>
  <c r="CY377" i="3"/>
  <c r="CZ377" i="3"/>
  <c r="DB377" i="3" s="1"/>
  <c r="DA377" i="3"/>
  <c r="DC377" i="3"/>
  <c r="A378" i="3"/>
  <c r="Y378" i="3"/>
  <c r="CW378" i="3"/>
  <c r="CX378" i="3"/>
  <c r="DG378" i="3" s="1"/>
  <c r="DJ378" i="3" s="1"/>
  <c r="CY378" i="3"/>
  <c r="CZ378" i="3"/>
  <c r="DA378" i="3"/>
  <c r="DB378" i="3"/>
  <c r="DC378" i="3"/>
  <c r="A379" i="3"/>
  <c r="Y379" i="3"/>
  <c r="CY379" i="3"/>
  <c r="CZ379" i="3"/>
  <c r="DB379" i="3" s="1"/>
  <c r="DA379" i="3"/>
  <c r="DC379" i="3"/>
  <c r="A380" i="3"/>
  <c r="Y380" i="3"/>
  <c r="CW380" i="3"/>
  <c r="CX380" i="3"/>
  <c r="DG380" i="3" s="1"/>
  <c r="CY380" i="3"/>
  <c r="CZ380" i="3"/>
  <c r="DA380" i="3"/>
  <c r="DB380" i="3"/>
  <c r="DC380" i="3"/>
  <c r="A381" i="3"/>
  <c r="Y381" i="3"/>
  <c r="CY381" i="3"/>
  <c r="CZ381" i="3"/>
  <c r="DB381" i="3" s="1"/>
  <c r="DA381" i="3"/>
  <c r="DC381" i="3"/>
  <c r="A382" i="3"/>
  <c r="Y382" i="3"/>
  <c r="CX382" i="3"/>
  <c r="CY382" i="3"/>
  <c r="CZ382" i="3"/>
  <c r="DA382" i="3"/>
  <c r="DB382" i="3"/>
  <c r="DC382" i="3"/>
  <c r="A383" i="3"/>
  <c r="Y383" i="3"/>
  <c r="CX383" i="3"/>
  <c r="DG383" i="3" s="1"/>
  <c r="CY383" i="3"/>
  <c r="CZ383" i="3"/>
  <c r="DA383" i="3"/>
  <c r="DB383" i="3"/>
  <c r="DC383" i="3"/>
  <c r="A384" i="3"/>
  <c r="Y384" i="3"/>
  <c r="CX384" i="3" s="1"/>
  <c r="DG384" i="3" s="1"/>
  <c r="CY384" i="3"/>
  <c r="CZ384" i="3"/>
  <c r="DB384" i="3" s="1"/>
  <c r="DA384" i="3"/>
  <c r="DC384" i="3"/>
  <c r="A385" i="3"/>
  <c r="Y385" i="3"/>
  <c r="CU385" i="3"/>
  <c r="CV385" i="3"/>
  <c r="CX385" i="3"/>
  <c r="T28" i="15" s="1"/>
  <c r="CY385" i="3"/>
  <c r="CZ385" i="3"/>
  <c r="DA385" i="3"/>
  <c r="DB385" i="3"/>
  <c r="DC385" i="3"/>
  <c r="A386" i="3"/>
  <c r="Y386" i="3"/>
  <c r="CX386" i="3" s="1"/>
  <c r="CY386" i="3"/>
  <c r="CZ386" i="3"/>
  <c r="DB386" i="3" s="1"/>
  <c r="DA386" i="3"/>
  <c r="DC386" i="3"/>
  <c r="A387" i="3"/>
  <c r="Y387" i="3"/>
  <c r="CW387" i="3"/>
  <c r="CX387" i="3"/>
  <c r="T34" i="15" s="1"/>
  <c r="CY387" i="3"/>
  <c r="CZ387" i="3"/>
  <c r="DA387" i="3"/>
  <c r="DB387" i="3"/>
  <c r="DC387" i="3"/>
  <c r="A388" i="3"/>
  <c r="Y388" i="3"/>
  <c r="CX388" i="3" s="1"/>
  <c r="CY388" i="3"/>
  <c r="CZ388" i="3"/>
  <c r="DB388" i="3" s="1"/>
  <c r="DA388" i="3"/>
  <c r="DC388" i="3"/>
  <c r="A389" i="3"/>
  <c r="Y389" i="3"/>
  <c r="CW389" i="3"/>
  <c r="CX389" i="3"/>
  <c r="AC50" i="15" s="1"/>
  <c r="CY389" i="3"/>
  <c r="CZ389" i="3"/>
  <c r="DA389" i="3"/>
  <c r="DB389" i="3"/>
  <c r="DC389" i="3"/>
  <c r="A390" i="3"/>
  <c r="Y390" i="3"/>
  <c r="CX390" i="3"/>
  <c r="DG390" i="3" s="1"/>
  <c r="CY390" i="3"/>
  <c r="CZ390" i="3"/>
  <c r="DA390" i="3"/>
  <c r="DB390" i="3"/>
  <c r="DC390" i="3"/>
  <c r="A391" i="3"/>
  <c r="Y391" i="3"/>
  <c r="CX391" i="3" s="1"/>
  <c r="DF391" i="3" s="1"/>
  <c r="DJ391" i="3" s="1"/>
  <c r="CY391" i="3"/>
  <c r="CZ391" i="3"/>
  <c r="DB391" i="3" s="1"/>
  <c r="DA391" i="3"/>
  <c r="DC391" i="3"/>
  <c r="A392" i="3"/>
  <c r="Y392" i="3"/>
  <c r="CU392" i="3"/>
  <c r="CV392" i="3"/>
  <c r="CX392" i="3"/>
  <c r="DG392" i="3" s="1"/>
  <c r="CY392" i="3"/>
  <c r="CZ392" i="3"/>
  <c r="DA392" i="3"/>
  <c r="DB392" i="3"/>
  <c r="DC392" i="3"/>
  <c r="A393" i="3"/>
  <c r="Y393" i="3"/>
  <c r="CX393" i="3" s="1"/>
  <c r="DF393" i="3" s="1"/>
  <c r="CY393" i="3"/>
  <c r="CZ393" i="3"/>
  <c r="DB393" i="3" s="1"/>
  <c r="DA393" i="3"/>
  <c r="DC393" i="3"/>
  <c r="A394" i="3"/>
  <c r="Y394" i="3"/>
  <c r="CW394" i="3"/>
  <c r="CX394" i="3"/>
  <c r="CY394" i="3"/>
  <c r="CZ394" i="3"/>
  <c r="DA394" i="3"/>
  <c r="DB394" i="3"/>
  <c r="DC394" i="3"/>
  <c r="A395" i="3"/>
  <c r="Y395" i="3"/>
  <c r="CX395" i="3" s="1"/>
  <c r="DF395" i="3" s="1"/>
  <c r="CY395" i="3"/>
  <c r="CZ395" i="3"/>
  <c r="DB395" i="3" s="1"/>
  <c r="DA395" i="3"/>
  <c r="DC395" i="3"/>
  <c r="A396" i="3"/>
  <c r="Y396" i="3"/>
  <c r="CW396" i="3"/>
  <c r="CX396" i="3"/>
  <c r="CY396" i="3"/>
  <c r="CZ396" i="3"/>
  <c r="DA396" i="3"/>
  <c r="DB396" i="3"/>
  <c r="DC396" i="3"/>
  <c r="A397" i="3"/>
  <c r="Y397" i="3"/>
  <c r="CX397" i="3"/>
  <c r="DG397" i="3" s="1"/>
  <c r="CY397" i="3"/>
  <c r="CZ397" i="3"/>
  <c r="DA397" i="3"/>
  <c r="DB397" i="3"/>
  <c r="DC397" i="3"/>
  <c r="A398" i="3"/>
  <c r="Y398" i="3"/>
  <c r="CX398" i="3" s="1"/>
  <c r="DF398" i="3" s="1"/>
  <c r="DJ398" i="3" s="1"/>
  <c r="CY398" i="3"/>
  <c r="CZ398" i="3"/>
  <c r="DB398" i="3" s="1"/>
  <c r="DA398" i="3"/>
  <c r="DC398" i="3"/>
  <c r="A399" i="3"/>
  <c r="Y399" i="3"/>
  <c r="CU399" i="3"/>
  <c r="CV399" i="3"/>
  <c r="CX399" i="3"/>
  <c r="CY399" i="3"/>
  <c r="CZ399" i="3"/>
  <c r="DA399" i="3"/>
  <c r="DB399" i="3"/>
  <c r="DC399" i="3"/>
  <c r="A400" i="3"/>
  <c r="Y400" i="3"/>
  <c r="CX400" i="3" s="1"/>
  <c r="CY400" i="3"/>
  <c r="CZ400" i="3"/>
  <c r="DB400" i="3" s="1"/>
  <c r="DA400" i="3"/>
  <c r="DC400" i="3"/>
  <c r="A401" i="3"/>
  <c r="Y401" i="3"/>
  <c r="CW401" i="3"/>
  <c r="CX401" i="3"/>
  <c r="U34" i="15" s="1"/>
  <c r="CY401" i="3"/>
  <c r="CZ401" i="3"/>
  <c r="DA401" i="3"/>
  <c r="DB401" i="3"/>
  <c r="DC401" i="3"/>
  <c r="A402" i="3"/>
  <c r="Y402" i="3"/>
  <c r="CX402" i="3" s="1"/>
  <c r="CY402" i="3"/>
  <c r="CZ402" i="3"/>
  <c r="DB402" i="3" s="1"/>
  <c r="DA402" i="3"/>
  <c r="DC402" i="3"/>
  <c r="A403" i="3"/>
  <c r="Y403" i="3"/>
  <c r="CW403" i="3"/>
  <c r="CX403" i="3"/>
  <c r="AD50" i="15" s="1"/>
  <c r="CY403" i="3"/>
  <c r="CZ403" i="3"/>
  <c r="DA403" i="3"/>
  <c r="DB403" i="3"/>
  <c r="DC403" i="3"/>
  <c r="A404" i="3"/>
  <c r="Y404" i="3"/>
  <c r="CX404" i="3"/>
  <c r="DG404" i="3" s="1"/>
  <c r="CY404" i="3"/>
  <c r="CZ404" i="3"/>
  <c r="DA404" i="3"/>
  <c r="DB404" i="3"/>
  <c r="DC404" i="3"/>
  <c r="A405" i="3"/>
  <c r="Y405" i="3"/>
  <c r="CX405" i="3" s="1"/>
  <c r="DF405" i="3" s="1"/>
  <c r="DJ405" i="3" s="1"/>
  <c r="CY405" i="3"/>
  <c r="CZ405" i="3"/>
  <c r="DB405" i="3" s="1"/>
  <c r="DA405" i="3"/>
  <c r="DC405" i="3"/>
  <c r="A406" i="3"/>
  <c r="Y406" i="3"/>
  <c r="CX406" i="3"/>
  <c r="DG406" i="3" s="1"/>
  <c r="CY406" i="3"/>
  <c r="CZ406" i="3"/>
  <c r="DB406" i="3" s="1"/>
  <c r="DA406" i="3"/>
  <c r="DC406" i="3"/>
  <c r="A407" i="3"/>
  <c r="Y407" i="3"/>
  <c r="CX407" i="3"/>
  <c r="DF407" i="3" s="1"/>
  <c r="DJ407" i="3" s="1"/>
  <c r="CY407" i="3"/>
  <c r="CZ407" i="3"/>
  <c r="DA407" i="3"/>
  <c r="DB407" i="3"/>
  <c r="DC407" i="3"/>
  <c r="A408" i="3"/>
  <c r="Y408" i="3"/>
  <c r="CV408" i="3" s="1"/>
  <c r="CU408" i="3"/>
  <c r="CX408" i="3"/>
  <c r="DG408" i="3" s="1"/>
  <c r="CY408" i="3"/>
  <c r="CZ408" i="3"/>
  <c r="DA408" i="3"/>
  <c r="DB408" i="3"/>
  <c r="DC408" i="3"/>
  <c r="A409" i="3"/>
  <c r="Y409" i="3"/>
  <c r="CX409" i="3"/>
  <c r="CY409" i="3"/>
  <c r="CZ409" i="3"/>
  <c r="DA409" i="3"/>
  <c r="DB409" i="3"/>
  <c r="DC409" i="3"/>
  <c r="A410" i="3"/>
  <c r="Y410" i="3"/>
  <c r="CW410" i="3" s="1"/>
  <c r="CY410" i="3"/>
  <c r="CZ410" i="3"/>
  <c r="DB410" i="3" s="1"/>
  <c r="DA410" i="3"/>
  <c r="DC410" i="3"/>
  <c r="A411" i="3"/>
  <c r="Y411" i="3"/>
  <c r="CW411" i="3" s="1"/>
  <c r="CX411" i="3"/>
  <c r="CY411" i="3"/>
  <c r="CZ411" i="3"/>
  <c r="DA411" i="3"/>
  <c r="DB411" i="3"/>
  <c r="DC411" i="3"/>
  <c r="A412" i="3"/>
  <c r="Y412" i="3"/>
  <c r="CW412" i="3" s="1"/>
  <c r="CY412" i="3"/>
  <c r="CZ412" i="3"/>
  <c r="DB412" i="3" s="1"/>
  <c r="DA412" i="3"/>
  <c r="DC412" i="3"/>
  <c r="A413" i="3"/>
  <c r="Y413" i="3"/>
  <c r="CX413" i="3" s="1"/>
  <c r="CY413" i="3"/>
  <c r="CZ413" i="3"/>
  <c r="DB413" i="3" s="1"/>
  <c r="DA413" i="3"/>
  <c r="DC413" i="3"/>
  <c r="A414" i="3"/>
  <c r="Y414" i="3"/>
  <c r="CX414" i="3"/>
  <c r="CY414" i="3"/>
  <c r="CZ414" i="3"/>
  <c r="DA414" i="3"/>
  <c r="DB414" i="3"/>
  <c r="DC414" i="3"/>
  <c r="A415" i="3"/>
  <c r="Y415" i="3"/>
  <c r="CX415" i="3" s="1"/>
  <c r="CY415" i="3"/>
  <c r="CZ415" i="3"/>
  <c r="DA415" i="3"/>
  <c r="DB415" i="3"/>
  <c r="DC415" i="3"/>
  <c r="A416" i="3"/>
  <c r="Y416" i="3"/>
  <c r="CX416" i="3"/>
  <c r="DG416" i="3" s="1"/>
  <c r="CY416" i="3"/>
  <c r="CZ416" i="3"/>
  <c r="DB416" i="3" s="1"/>
  <c r="DA416" i="3"/>
  <c r="DC416" i="3"/>
  <c r="A417" i="3"/>
  <c r="Y417" i="3"/>
  <c r="CX417" i="3" s="1"/>
  <c r="V22" i="15" s="1"/>
  <c r="CU417" i="3"/>
  <c r="CV417" i="3"/>
  <c r="CY417" i="3"/>
  <c r="CZ417" i="3"/>
  <c r="DA417" i="3"/>
  <c r="DB417" i="3"/>
  <c r="DC417" i="3"/>
  <c r="A418" i="3"/>
  <c r="Y418" i="3"/>
  <c r="CX418" i="3"/>
  <c r="CY418" i="3"/>
  <c r="CZ418" i="3"/>
  <c r="DB418" i="3" s="1"/>
  <c r="DA418" i="3"/>
  <c r="DC418" i="3"/>
  <c r="A419" i="3"/>
  <c r="Y419" i="3"/>
  <c r="CW419" i="3" s="1"/>
  <c r="CX419" i="3"/>
  <c r="Y51" i="15" s="1"/>
  <c r="CY419" i="3"/>
  <c r="CZ419" i="3"/>
  <c r="DA419" i="3"/>
  <c r="DB419" i="3"/>
  <c r="DC419" i="3"/>
  <c r="A420" i="3"/>
  <c r="Y420" i="3"/>
  <c r="CW420" i="3" s="1"/>
  <c r="CY420" i="3"/>
  <c r="CZ420" i="3"/>
  <c r="DB420" i="3" s="1"/>
  <c r="DA420" i="3"/>
  <c r="DC420" i="3"/>
  <c r="A421" i="3"/>
  <c r="Y421" i="3"/>
  <c r="CX421" i="3" s="1"/>
  <c r="CY421" i="3"/>
  <c r="CZ421" i="3"/>
  <c r="DB421" i="3" s="1"/>
  <c r="DA421" i="3"/>
  <c r="DC421" i="3"/>
  <c r="A422" i="3"/>
  <c r="Y422" i="3"/>
  <c r="CX422" i="3"/>
  <c r="CY422" i="3"/>
  <c r="CZ422" i="3"/>
  <c r="DA422" i="3"/>
  <c r="DB422" i="3"/>
  <c r="DC422" i="3"/>
  <c r="A423" i="3"/>
  <c r="Y423" i="3"/>
  <c r="CX423" i="3" s="1"/>
  <c r="CY423" i="3"/>
  <c r="CZ423" i="3"/>
  <c r="DA423" i="3"/>
  <c r="DB423" i="3"/>
  <c r="DC423" i="3"/>
  <c r="A424" i="3"/>
  <c r="Y424" i="3"/>
  <c r="CX424" i="3"/>
  <c r="DG424" i="3" s="1"/>
  <c r="CY424" i="3"/>
  <c r="CZ424" i="3"/>
  <c r="DB424" i="3" s="1"/>
  <c r="DA424" i="3"/>
  <c r="DC424" i="3"/>
  <c r="A425" i="3"/>
  <c r="Y425" i="3"/>
  <c r="CX425" i="3" s="1"/>
  <c r="CY425" i="3"/>
  <c r="CZ425" i="3"/>
  <c r="DB425" i="3" s="1"/>
  <c r="DA425" i="3"/>
  <c r="DC425" i="3"/>
  <c r="A426" i="3"/>
  <c r="Y426" i="3"/>
  <c r="CU426" i="3"/>
  <c r="CV426" i="3"/>
  <c r="CX426" i="3"/>
  <c r="DG426" i="3" s="1"/>
  <c r="CY426" i="3"/>
  <c r="CZ426" i="3"/>
  <c r="DB426" i="3" s="1"/>
  <c r="DA426" i="3"/>
  <c r="DC426" i="3"/>
  <c r="A427" i="3"/>
  <c r="Y427" i="3"/>
  <c r="CX427" i="3" s="1"/>
  <c r="CY427" i="3"/>
  <c r="CZ427" i="3"/>
  <c r="DB427" i="3" s="1"/>
  <c r="DA427" i="3"/>
  <c r="DC427" i="3"/>
  <c r="A428" i="3"/>
  <c r="Y428" i="3"/>
  <c r="CW428" i="3"/>
  <c r="CX428" i="3"/>
  <c r="DF428" i="3" s="1"/>
  <c r="CY428" i="3"/>
  <c r="CZ428" i="3"/>
  <c r="DA428" i="3"/>
  <c r="DB428" i="3"/>
  <c r="DC428" i="3"/>
  <c r="A429" i="3"/>
  <c r="Y429" i="3"/>
  <c r="CX429" i="3" s="1"/>
  <c r="CW429" i="3"/>
  <c r="CY429" i="3"/>
  <c r="CZ429" i="3"/>
  <c r="DB429" i="3" s="1"/>
  <c r="DA429" i="3"/>
  <c r="DC429" i="3"/>
  <c r="A430" i="3"/>
  <c r="Y430" i="3"/>
  <c r="CX430" i="3"/>
  <c r="CY430" i="3"/>
  <c r="CZ430" i="3"/>
  <c r="DA430" i="3"/>
  <c r="DB430" i="3"/>
  <c r="DC430" i="3"/>
  <c r="A431" i="3"/>
  <c r="Y431" i="3"/>
  <c r="CX431" i="3" s="1"/>
  <c r="DG431" i="3" s="1"/>
  <c r="CY431" i="3"/>
  <c r="CZ431" i="3"/>
  <c r="DA431" i="3"/>
  <c r="DB431" i="3"/>
  <c r="DC431" i="3"/>
  <c r="A432" i="3"/>
  <c r="Y432" i="3"/>
  <c r="CX432" i="3"/>
  <c r="DG432" i="3" s="1"/>
  <c r="CY432" i="3"/>
  <c r="CZ432" i="3"/>
  <c r="DB432" i="3" s="1"/>
  <c r="DA432" i="3"/>
  <c r="DC432" i="3"/>
  <c r="A433" i="3"/>
  <c r="Y433" i="3"/>
  <c r="CX433" i="3" s="1"/>
  <c r="CY433" i="3"/>
  <c r="CZ433" i="3"/>
  <c r="DB433" i="3" s="1"/>
  <c r="DA433" i="3"/>
  <c r="DC433" i="3"/>
  <c r="A434" i="3"/>
  <c r="Y434" i="3"/>
  <c r="CX434" i="3"/>
  <c r="CY434" i="3"/>
  <c r="CZ434" i="3"/>
  <c r="DA434" i="3"/>
  <c r="DB434" i="3"/>
  <c r="DC434" i="3"/>
  <c r="A435" i="3"/>
  <c r="Y435" i="3"/>
  <c r="CU435" i="3"/>
  <c r="CY435" i="3"/>
  <c r="CZ435" i="3"/>
  <c r="DB435" i="3" s="1"/>
  <c r="DA435" i="3"/>
  <c r="DC435" i="3"/>
  <c r="A436" i="3"/>
  <c r="Y436" i="3"/>
  <c r="CX436" i="3"/>
  <c r="AL29" i="15" s="1"/>
  <c r="CY436" i="3"/>
  <c r="CZ436" i="3"/>
  <c r="DA436" i="3"/>
  <c r="DB436" i="3"/>
  <c r="DC436" i="3"/>
  <c r="A437" i="3"/>
  <c r="Y437" i="3"/>
  <c r="CY437" i="3"/>
  <c r="CZ437" i="3"/>
  <c r="DB437" i="3" s="1"/>
  <c r="DA437" i="3"/>
  <c r="DC437" i="3"/>
  <c r="A438" i="3"/>
  <c r="Y438" i="3"/>
  <c r="CW438" i="3" s="1"/>
  <c r="CX438" i="3"/>
  <c r="V37" i="15" s="1"/>
  <c r="CY438" i="3"/>
  <c r="CZ438" i="3"/>
  <c r="DA438" i="3"/>
  <c r="DB438" i="3"/>
  <c r="DC438" i="3"/>
  <c r="A439" i="3"/>
  <c r="Y439" i="3"/>
  <c r="CY439" i="3"/>
  <c r="CZ439" i="3"/>
  <c r="DB439" i="3" s="1"/>
  <c r="DA439" i="3"/>
  <c r="DC439" i="3"/>
  <c r="A440" i="3"/>
  <c r="Y440" i="3"/>
  <c r="CX440" i="3" s="1"/>
  <c r="CY440" i="3"/>
  <c r="CZ440" i="3"/>
  <c r="DB440" i="3" s="1"/>
  <c r="DA440" i="3"/>
  <c r="DC440" i="3"/>
  <c r="A441" i="3"/>
  <c r="Y441" i="3"/>
  <c r="CX441" i="3"/>
  <c r="CY441" i="3"/>
  <c r="CZ441" i="3"/>
  <c r="DA441" i="3"/>
  <c r="DB441" i="3"/>
  <c r="DC441" i="3"/>
  <c r="A442" i="3"/>
  <c r="Y442" i="3"/>
  <c r="CU442" i="3"/>
  <c r="CY442" i="3"/>
  <c r="CZ442" i="3"/>
  <c r="DB442" i="3" s="1"/>
  <c r="DA442" i="3"/>
  <c r="DC442" i="3"/>
  <c r="A443" i="3"/>
  <c r="Y443" i="3"/>
  <c r="CX443" i="3"/>
  <c r="CY443" i="3"/>
  <c r="CZ443" i="3"/>
  <c r="DA443" i="3"/>
  <c r="DB443" i="3"/>
  <c r="DC443" i="3"/>
  <c r="A444" i="3"/>
  <c r="Y444" i="3"/>
  <c r="CY444" i="3"/>
  <c r="CZ444" i="3"/>
  <c r="DB444" i="3" s="1"/>
  <c r="DA444" i="3"/>
  <c r="DC444" i="3"/>
  <c r="A445" i="3"/>
  <c r="Y445" i="3"/>
  <c r="CW445" i="3" s="1"/>
  <c r="CX445" i="3"/>
  <c r="CY445" i="3"/>
  <c r="CZ445" i="3"/>
  <c r="DA445" i="3"/>
  <c r="DB445" i="3"/>
  <c r="DC445" i="3"/>
  <c r="A446" i="3"/>
  <c r="Y446" i="3"/>
  <c r="CW446" i="3" s="1"/>
  <c r="CY446" i="3"/>
  <c r="CZ446" i="3"/>
  <c r="DB446" i="3" s="1"/>
  <c r="DA446" i="3"/>
  <c r="DC446" i="3"/>
  <c r="A447" i="3"/>
  <c r="Y447" i="3"/>
  <c r="CX447" i="3" s="1"/>
  <c r="CY447" i="3"/>
  <c r="CZ447" i="3"/>
  <c r="DB447" i="3" s="1"/>
  <c r="DA447" i="3"/>
  <c r="DC447" i="3"/>
  <c r="A448" i="3"/>
  <c r="Y448" i="3"/>
  <c r="CX448" i="3"/>
  <c r="CY448" i="3"/>
  <c r="CZ448" i="3"/>
  <c r="DA448" i="3"/>
  <c r="DB448" i="3"/>
  <c r="DC448" i="3"/>
  <c r="A449" i="3"/>
  <c r="Y449" i="3"/>
  <c r="CX449" i="3" s="1"/>
  <c r="CU449" i="3"/>
  <c r="CV449" i="3"/>
  <c r="CY449" i="3"/>
  <c r="CZ449" i="3"/>
  <c r="DB449" i="3" s="1"/>
  <c r="DA449" i="3"/>
  <c r="DC449" i="3"/>
  <c r="A450" i="3"/>
  <c r="Y450" i="3"/>
  <c r="CX450" i="3"/>
  <c r="CY450" i="3"/>
  <c r="CZ450" i="3"/>
  <c r="DB450" i="3" s="1"/>
  <c r="DA450" i="3"/>
  <c r="DC450" i="3"/>
  <c r="A451" i="3"/>
  <c r="Y451" i="3"/>
  <c r="CW451" i="3" s="1"/>
  <c r="CX451" i="3"/>
  <c r="AA51" i="15" s="1"/>
  <c r="CY451" i="3"/>
  <c r="CZ451" i="3"/>
  <c r="DA451" i="3"/>
  <c r="DB451" i="3"/>
  <c r="DC451" i="3"/>
  <c r="A452" i="3"/>
  <c r="Y452" i="3"/>
  <c r="CW452" i="3" s="1"/>
  <c r="CY452" i="3"/>
  <c r="CZ452" i="3"/>
  <c r="DA452" i="3"/>
  <c r="DB452" i="3"/>
  <c r="DC452" i="3"/>
  <c r="A453" i="3"/>
  <c r="Y453" i="3"/>
  <c r="CW453" i="3" s="1"/>
  <c r="CX453" i="3"/>
  <c r="AF50" i="15" s="1"/>
  <c r="CY453" i="3"/>
  <c r="CZ453" i="3"/>
  <c r="DA453" i="3"/>
  <c r="DB453" i="3"/>
  <c r="DC453" i="3"/>
  <c r="A454" i="3"/>
  <c r="Y454" i="3"/>
  <c r="CX454" i="3" s="1"/>
  <c r="DG454" i="3" s="1"/>
  <c r="CY454" i="3"/>
  <c r="CZ454" i="3"/>
  <c r="DB454" i="3" s="1"/>
  <c r="DA454" i="3"/>
  <c r="DC454" i="3"/>
  <c r="A455" i="3"/>
  <c r="Y455" i="3"/>
  <c r="CX455" i="3"/>
  <c r="DF455" i="3" s="1"/>
  <c r="DJ455" i="3" s="1"/>
  <c r="CY455" i="3"/>
  <c r="CZ455" i="3"/>
  <c r="DB455" i="3" s="1"/>
  <c r="DA455" i="3"/>
  <c r="DC455" i="3"/>
  <c r="A456" i="3"/>
  <c r="Y456" i="3"/>
  <c r="CX456" i="3" s="1"/>
  <c r="DG456" i="3" s="1"/>
  <c r="CY456" i="3"/>
  <c r="CZ456" i="3"/>
  <c r="DA456" i="3"/>
  <c r="DB456" i="3"/>
  <c r="DC456" i="3"/>
  <c r="A457" i="3"/>
  <c r="Y457" i="3"/>
  <c r="CV457" i="3" s="1"/>
  <c r="CU457" i="3"/>
  <c r="CX457" i="3"/>
  <c r="CY457" i="3"/>
  <c r="CZ457" i="3"/>
  <c r="DA457" i="3"/>
  <c r="DB457" i="3"/>
  <c r="DC457" i="3"/>
  <c r="A458" i="3"/>
  <c r="Y458" i="3"/>
  <c r="CX458" i="3" s="1"/>
  <c r="DG458" i="3" s="1"/>
  <c r="CY458" i="3"/>
  <c r="CZ458" i="3"/>
  <c r="DA458" i="3"/>
  <c r="DB458" i="3"/>
  <c r="DC458" i="3"/>
  <c r="A459" i="3"/>
  <c r="Y459" i="3"/>
  <c r="CX459" i="3" s="1"/>
  <c r="CW459" i="3"/>
  <c r="CY459" i="3"/>
  <c r="CZ459" i="3"/>
  <c r="DB459" i="3" s="1"/>
  <c r="DA459" i="3"/>
  <c r="DC459" i="3"/>
  <c r="A460" i="3"/>
  <c r="Y460" i="3"/>
  <c r="CW460" i="3"/>
  <c r="CX460" i="3"/>
  <c r="DF460" i="3" s="1"/>
  <c r="CY460" i="3"/>
  <c r="CZ460" i="3"/>
  <c r="DA460" i="3"/>
  <c r="DB460" i="3"/>
  <c r="DC460" i="3"/>
  <c r="A461" i="3"/>
  <c r="Y461" i="3"/>
  <c r="CX461" i="3" s="1"/>
  <c r="DG461" i="3" s="1"/>
  <c r="CW461" i="3"/>
  <c r="CY461" i="3"/>
  <c r="CZ461" i="3"/>
  <c r="DB461" i="3" s="1"/>
  <c r="DA461" i="3"/>
  <c r="DC461" i="3"/>
  <c r="A462" i="3"/>
  <c r="Y462" i="3"/>
  <c r="CX462" i="3"/>
  <c r="DF462" i="3" s="1"/>
  <c r="CY462" i="3"/>
  <c r="CZ462" i="3"/>
  <c r="DB462" i="3" s="1"/>
  <c r="DA462" i="3"/>
  <c r="DC462" i="3"/>
  <c r="A463" i="3"/>
  <c r="Y463" i="3"/>
  <c r="CX463" i="3" s="1"/>
  <c r="DG463" i="3" s="1"/>
  <c r="CY463" i="3"/>
  <c r="CZ463" i="3"/>
  <c r="DA463" i="3"/>
  <c r="DB463" i="3"/>
  <c r="DC463" i="3"/>
  <c r="A464" i="3"/>
  <c r="Y464" i="3"/>
  <c r="CX464" i="3"/>
  <c r="DF464" i="3" s="1"/>
  <c r="DJ464" i="3" s="1"/>
  <c r="CY464" i="3"/>
  <c r="CZ464" i="3"/>
  <c r="DB464" i="3" s="1"/>
  <c r="DA464" i="3"/>
  <c r="DC464" i="3"/>
  <c r="A465" i="3"/>
  <c r="Y465" i="3"/>
  <c r="CX465" i="3" s="1"/>
  <c r="P25" i="15" s="1"/>
  <c r="O25" i="15" s="1"/>
  <c r="E25" i="15" s="1"/>
  <c r="G25" i="15" s="1"/>
  <c r="CU465" i="3"/>
  <c r="CY465" i="3"/>
  <c r="CZ465" i="3"/>
  <c r="DA465" i="3"/>
  <c r="DB465" i="3"/>
  <c r="DC465" i="3"/>
  <c r="A466" i="3"/>
  <c r="Y466" i="3"/>
  <c r="CX466" i="3" s="1"/>
  <c r="CW466" i="3"/>
  <c r="CY466" i="3"/>
  <c r="CZ466" i="3"/>
  <c r="DB466" i="3" s="1"/>
  <c r="DA466" i="3"/>
  <c r="DC466" i="3"/>
  <c r="A467" i="3"/>
  <c r="Y467" i="3"/>
  <c r="CW467" i="3"/>
  <c r="CX467" i="3"/>
  <c r="CY467" i="3"/>
  <c r="CZ467" i="3"/>
  <c r="DA467" i="3"/>
  <c r="DB467" i="3"/>
  <c r="DC467" i="3"/>
  <c r="A468" i="3"/>
  <c r="Y468" i="3"/>
  <c r="CX468" i="3"/>
  <c r="DF468" i="3" s="1"/>
  <c r="DJ468" i="3" s="1"/>
  <c r="CY468" i="3"/>
  <c r="CZ468" i="3"/>
  <c r="DA468" i="3"/>
  <c r="DB468" i="3"/>
  <c r="DC468" i="3"/>
  <c r="A469" i="3"/>
  <c r="Y469" i="3"/>
  <c r="CX469" i="3" s="1"/>
  <c r="DG469" i="3" s="1"/>
  <c r="CY469" i="3"/>
  <c r="CZ469" i="3"/>
  <c r="DB469" i="3" s="1"/>
  <c r="DA469" i="3"/>
  <c r="DC469" i="3"/>
  <c r="A470" i="3"/>
  <c r="Y470" i="3"/>
  <c r="CU470" i="3"/>
  <c r="CV470" i="3"/>
  <c r="CX470" i="3"/>
  <c r="DF470" i="3" s="1"/>
  <c r="CY470" i="3"/>
  <c r="CZ470" i="3"/>
  <c r="DB470" i="3" s="1"/>
  <c r="DA470" i="3"/>
  <c r="DC470" i="3"/>
  <c r="A471" i="3"/>
  <c r="Y471" i="3"/>
  <c r="CW471" i="3" s="1"/>
  <c r="CY471" i="3"/>
  <c r="CZ471" i="3"/>
  <c r="DA471" i="3"/>
  <c r="DB471" i="3"/>
  <c r="DC471" i="3"/>
  <c r="A472" i="3"/>
  <c r="Y472" i="3"/>
  <c r="CW472" i="3" s="1"/>
  <c r="CX472" i="3"/>
  <c r="DF472" i="3" s="1"/>
  <c r="CY472" i="3"/>
  <c r="CZ472" i="3"/>
  <c r="DA472" i="3"/>
  <c r="DB472" i="3"/>
  <c r="DC472" i="3"/>
  <c r="A473" i="3"/>
  <c r="Y473" i="3"/>
  <c r="CX473" i="3" s="1"/>
  <c r="DG473" i="3" s="1"/>
  <c r="CY473" i="3"/>
  <c r="CZ473" i="3"/>
  <c r="DB473" i="3" s="1"/>
  <c r="DA473" i="3"/>
  <c r="DC473" i="3"/>
  <c r="A474" i="3"/>
  <c r="Y474" i="3"/>
  <c r="CX474" i="3"/>
  <c r="CY474" i="3"/>
  <c r="CZ474" i="3"/>
  <c r="DB474" i="3" s="1"/>
  <c r="DA474" i="3"/>
  <c r="DC474" i="3"/>
  <c r="A475" i="3"/>
  <c r="Y475" i="3"/>
  <c r="CX475" i="3" s="1"/>
  <c r="Q23" i="15" s="1"/>
  <c r="CU475" i="3"/>
  <c r="CY475" i="3"/>
  <c r="CZ475" i="3"/>
  <c r="DB475" i="3" s="1"/>
  <c r="DA475" i="3"/>
  <c r="DC475" i="3"/>
  <c r="A476" i="3"/>
  <c r="Y476" i="3"/>
  <c r="CX476" i="3"/>
  <c r="CY476" i="3"/>
  <c r="CZ476" i="3"/>
  <c r="DA476" i="3"/>
  <c r="DB476" i="3"/>
  <c r="DC476" i="3"/>
  <c r="A477" i="3"/>
  <c r="Y477" i="3"/>
  <c r="CW477" i="3" s="1"/>
  <c r="CY477" i="3"/>
  <c r="CZ477" i="3"/>
  <c r="DB477" i="3" s="1"/>
  <c r="DA477" i="3"/>
  <c r="DC477" i="3"/>
  <c r="A478" i="3"/>
  <c r="Y478" i="3"/>
  <c r="CW478" i="3" s="1"/>
  <c r="CX478" i="3"/>
  <c r="CY478" i="3"/>
  <c r="CZ478" i="3"/>
  <c r="DB478" i="3" s="1"/>
  <c r="DA478" i="3"/>
  <c r="DC478" i="3"/>
  <c r="A479" i="3"/>
  <c r="Y479" i="3"/>
  <c r="CW479" i="3" s="1"/>
  <c r="CY479" i="3"/>
  <c r="CZ479" i="3"/>
  <c r="DA479" i="3"/>
  <c r="DB479" i="3"/>
  <c r="DC479" i="3"/>
  <c r="A480" i="3"/>
  <c r="Y480" i="3"/>
  <c r="CW480" i="3" s="1"/>
  <c r="CX480" i="3"/>
  <c r="CY480" i="3"/>
  <c r="CZ480" i="3"/>
  <c r="DA480" i="3"/>
  <c r="DB480" i="3"/>
  <c r="DC480" i="3"/>
  <c r="A481" i="3"/>
  <c r="Y481" i="3"/>
  <c r="CX481" i="3" s="1"/>
  <c r="DG481" i="3" s="1"/>
  <c r="CY481" i="3"/>
  <c r="CZ481" i="3"/>
  <c r="DA481" i="3"/>
  <c r="DB481" i="3"/>
  <c r="DC481" i="3"/>
  <c r="A482" i="3"/>
  <c r="Y482" i="3"/>
  <c r="CX482" i="3"/>
  <c r="DF482" i="3" s="1"/>
  <c r="CY482" i="3"/>
  <c r="CZ482" i="3"/>
  <c r="DA482" i="3"/>
  <c r="DB482" i="3"/>
  <c r="DC482" i="3"/>
  <c r="A483" i="3"/>
  <c r="Y483" i="3"/>
  <c r="CX483" i="3" s="1"/>
  <c r="DF483" i="3" s="1"/>
  <c r="CU483" i="3"/>
  <c r="CV483" i="3"/>
  <c r="CY483" i="3"/>
  <c r="CZ483" i="3"/>
  <c r="DA483" i="3"/>
  <c r="DB483" i="3"/>
  <c r="DC483" i="3"/>
  <c r="A484" i="3"/>
  <c r="Y484" i="3"/>
  <c r="CX484" i="3" s="1"/>
  <c r="CY484" i="3"/>
  <c r="CZ484" i="3"/>
  <c r="DB484" i="3" s="1"/>
  <c r="DA484" i="3"/>
  <c r="DC484" i="3"/>
  <c r="A485" i="3"/>
  <c r="Y485" i="3"/>
  <c r="CW485" i="3" s="1"/>
  <c r="CY485" i="3"/>
  <c r="CZ485" i="3"/>
  <c r="DB485" i="3" s="1"/>
  <c r="DA485" i="3"/>
  <c r="DC485" i="3"/>
  <c r="A486" i="3"/>
  <c r="Y486" i="3"/>
  <c r="CW486" i="3" s="1"/>
  <c r="CX486" i="3"/>
  <c r="CY486" i="3"/>
  <c r="CZ486" i="3"/>
  <c r="DA486" i="3"/>
  <c r="DB486" i="3"/>
  <c r="DC486" i="3"/>
  <c r="A487" i="3"/>
  <c r="Y487" i="3"/>
  <c r="CW487" i="3" s="1"/>
  <c r="CY487" i="3"/>
  <c r="CZ487" i="3"/>
  <c r="DB487" i="3" s="1"/>
  <c r="DA487" i="3"/>
  <c r="DC487" i="3"/>
  <c r="A488" i="3"/>
  <c r="Y488" i="3"/>
  <c r="CW488" i="3" s="1"/>
  <c r="CX488" i="3"/>
  <c r="CY488" i="3"/>
  <c r="CZ488" i="3"/>
  <c r="DA488" i="3"/>
  <c r="DB488" i="3"/>
  <c r="DC488" i="3"/>
  <c r="A489" i="3"/>
  <c r="Y489" i="3"/>
  <c r="CX489" i="3" s="1"/>
  <c r="CY489" i="3"/>
  <c r="CZ489" i="3"/>
  <c r="DA489" i="3"/>
  <c r="DB489" i="3"/>
  <c r="DC489" i="3"/>
  <c r="A490" i="3"/>
  <c r="Y490" i="3"/>
  <c r="CX490" i="3"/>
  <c r="DG490" i="3" s="1"/>
  <c r="CY490" i="3"/>
  <c r="CZ490" i="3"/>
  <c r="DB490" i="3" s="1"/>
  <c r="DA490" i="3"/>
  <c r="DC490" i="3"/>
  <c r="A491" i="3"/>
  <c r="Y491" i="3"/>
  <c r="CX491" i="3" s="1"/>
  <c r="P24" i="15" s="1"/>
  <c r="O24" i="15" s="1"/>
  <c r="E24" i="15" s="1"/>
  <c r="G24" i="15" s="1"/>
  <c r="CU491" i="3"/>
  <c r="CV491" i="3"/>
  <c r="CY491" i="3"/>
  <c r="CZ491" i="3"/>
  <c r="DA491" i="3"/>
  <c r="DB491" i="3"/>
  <c r="DC491" i="3"/>
  <c r="A492" i="3"/>
  <c r="Y492" i="3"/>
  <c r="CX492" i="3" s="1"/>
  <c r="P40" i="15" s="1"/>
  <c r="O40" i="15" s="1"/>
  <c r="E40" i="15" s="1"/>
  <c r="G40" i="15" s="1"/>
  <c r="CW492" i="3"/>
  <c r="CY492" i="3"/>
  <c r="CZ492" i="3"/>
  <c r="DB492" i="3" s="1"/>
  <c r="DA492" i="3"/>
  <c r="DC492" i="3"/>
  <c r="A493" i="3"/>
  <c r="Y493" i="3"/>
  <c r="CW493" i="3"/>
  <c r="CX493" i="3"/>
  <c r="CY493" i="3"/>
  <c r="CZ493" i="3"/>
  <c r="DA493" i="3"/>
  <c r="DB493" i="3"/>
  <c r="DC493" i="3"/>
  <c r="A494" i="3"/>
  <c r="Y494" i="3"/>
  <c r="CX494" i="3"/>
  <c r="DG494" i="3" s="1"/>
  <c r="CY494" i="3"/>
  <c r="CZ494" i="3"/>
  <c r="DB494" i="3" s="1"/>
  <c r="DA494" i="3"/>
  <c r="DC494" i="3"/>
  <c r="A495" i="3"/>
  <c r="Y495" i="3"/>
  <c r="CX495" i="3" s="1"/>
  <c r="CU495" i="3"/>
  <c r="CV495" i="3"/>
  <c r="CY495" i="3"/>
  <c r="CZ495" i="3"/>
  <c r="DA495" i="3"/>
  <c r="DB495" i="3"/>
  <c r="DC495" i="3"/>
  <c r="A496" i="3"/>
  <c r="Y496" i="3"/>
  <c r="CX496" i="3" s="1"/>
  <c r="CW496" i="3"/>
  <c r="CY496" i="3"/>
  <c r="CZ496" i="3"/>
  <c r="DB496" i="3" s="1"/>
  <c r="DA496" i="3"/>
  <c r="DC496" i="3"/>
  <c r="A497" i="3"/>
  <c r="Y497" i="3"/>
  <c r="CW497" i="3"/>
  <c r="CX497" i="3"/>
  <c r="DF497" i="3" s="1"/>
  <c r="CY497" i="3"/>
  <c r="CZ497" i="3"/>
  <c r="DA497" i="3"/>
  <c r="DB497" i="3"/>
  <c r="DC497" i="3"/>
  <c r="A498" i="3"/>
  <c r="Y498" i="3"/>
  <c r="CX498" i="3"/>
  <c r="DG498" i="3" s="1"/>
  <c r="CY498" i="3"/>
  <c r="CZ498" i="3"/>
  <c r="DB498" i="3" s="1"/>
  <c r="DA498" i="3"/>
  <c r="DC498" i="3"/>
  <c r="A499" i="3"/>
  <c r="Y499" i="3"/>
  <c r="CX499" i="3" s="1"/>
  <c r="R26" i="15" s="1"/>
  <c r="CU499" i="3"/>
  <c r="CV499" i="3"/>
  <c r="CY499" i="3"/>
  <c r="CZ499" i="3"/>
  <c r="DA499" i="3"/>
  <c r="DB499" i="3"/>
  <c r="DC499" i="3"/>
  <c r="A500" i="3"/>
  <c r="Y500" i="3"/>
  <c r="CX500" i="3"/>
  <c r="CY500" i="3"/>
  <c r="CZ500" i="3"/>
  <c r="DB500" i="3" s="1"/>
  <c r="DA500" i="3"/>
  <c r="DC500" i="3"/>
  <c r="A501" i="3"/>
  <c r="Y501" i="3"/>
  <c r="CW501" i="3" s="1"/>
  <c r="CX501" i="3"/>
  <c r="R35" i="15" s="1"/>
  <c r="CY501" i="3"/>
  <c r="CZ501" i="3"/>
  <c r="DA501" i="3"/>
  <c r="DB501" i="3"/>
  <c r="DC501" i="3"/>
  <c r="A502" i="3"/>
  <c r="Y502" i="3"/>
  <c r="CW502" i="3" s="1"/>
  <c r="CY502" i="3"/>
  <c r="CZ502" i="3"/>
  <c r="DB502" i="3" s="1"/>
  <c r="DA502" i="3"/>
  <c r="DC502" i="3"/>
  <c r="A503" i="3"/>
  <c r="Y503" i="3"/>
  <c r="CW503" i="3" s="1"/>
  <c r="CX503" i="3"/>
  <c r="AJ50" i="15" s="1"/>
  <c r="CY503" i="3"/>
  <c r="CZ503" i="3"/>
  <c r="DA503" i="3"/>
  <c r="DB503" i="3"/>
  <c r="DC503" i="3"/>
  <c r="A504" i="3"/>
  <c r="Y504" i="3"/>
  <c r="CX504" i="3" s="1"/>
  <c r="CY504" i="3"/>
  <c r="CZ504" i="3"/>
  <c r="DA504" i="3"/>
  <c r="DB504" i="3"/>
  <c r="DC504" i="3"/>
  <c r="A505" i="3"/>
  <c r="Y505" i="3"/>
  <c r="CX505" i="3"/>
  <c r="DG505" i="3" s="1"/>
  <c r="CY505" i="3"/>
  <c r="CZ505" i="3"/>
  <c r="DB505" i="3" s="1"/>
  <c r="DA505" i="3"/>
  <c r="DC505" i="3"/>
  <c r="A506" i="3"/>
  <c r="Y506" i="3"/>
  <c r="CX506" i="3" s="1"/>
  <c r="CY506" i="3"/>
  <c r="CZ506" i="3"/>
  <c r="DB506" i="3" s="1"/>
  <c r="DA506" i="3"/>
  <c r="DC506" i="3"/>
  <c r="A507" i="3"/>
  <c r="Y507" i="3"/>
  <c r="CX507" i="3"/>
  <c r="CY507" i="3"/>
  <c r="CZ507" i="3"/>
  <c r="DA507" i="3"/>
  <c r="DB507" i="3"/>
  <c r="DC507" i="3"/>
  <c r="A508" i="3"/>
  <c r="Y508" i="3"/>
  <c r="CX508" i="3" s="1"/>
  <c r="CY508" i="3"/>
  <c r="CZ508" i="3"/>
  <c r="DA508" i="3"/>
  <c r="DB508" i="3"/>
  <c r="DC508" i="3"/>
  <c r="A509" i="3"/>
  <c r="Y509" i="3"/>
  <c r="CX509" i="3"/>
  <c r="DG509" i="3" s="1"/>
  <c r="CY509" i="3"/>
  <c r="CZ509" i="3"/>
  <c r="DB509" i="3" s="1"/>
  <c r="DA509" i="3"/>
  <c r="DC509" i="3"/>
  <c r="A510" i="3"/>
  <c r="Y510" i="3"/>
  <c r="CX510" i="3" s="1"/>
  <c r="CU510" i="3"/>
  <c r="CV510" i="3"/>
  <c r="CY510" i="3"/>
  <c r="CZ510" i="3"/>
  <c r="DA510" i="3"/>
  <c r="DB510" i="3"/>
  <c r="DC510" i="3"/>
  <c r="A511" i="3"/>
  <c r="Y511" i="3"/>
  <c r="CX511" i="3"/>
  <c r="DG511" i="3" s="1"/>
  <c r="CY511" i="3"/>
  <c r="CZ511" i="3"/>
  <c r="DB511" i="3" s="1"/>
  <c r="DA511" i="3"/>
  <c r="DC511" i="3"/>
  <c r="A512" i="3"/>
  <c r="Y512" i="3"/>
  <c r="CW512" i="3" s="1"/>
  <c r="CX512" i="3"/>
  <c r="CY512" i="3"/>
  <c r="CZ512" i="3"/>
  <c r="DA512" i="3"/>
  <c r="DB512" i="3"/>
  <c r="DC512" i="3"/>
  <c r="A513" i="3"/>
  <c r="Y513" i="3"/>
  <c r="CW513" i="3" s="1"/>
  <c r="CY513" i="3"/>
  <c r="CZ513" i="3"/>
  <c r="DB513" i="3" s="1"/>
  <c r="DA513" i="3"/>
  <c r="DC513" i="3"/>
  <c r="A514" i="3"/>
  <c r="Y514" i="3"/>
  <c r="CW514" i="3" s="1"/>
  <c r="CX514" i="3"/>
  <c r="CY514" i="3"/>
  <c r="CZ514" i="3"/>
  <c r="DA514" i="3"/>
  <c r="DB514" i="3"/>
  <c r="DC514" i="3"/>
  <c r="A515" i="3"/>
  <c r="Y515" i="3"/>
  <c r="CX515" i="3" s="1"/>
  <c r="CY515" i="3"/>
  <c r="CZ515" i="3"/>
  <c r="DA515" i="3"/>
  <c r="DB515" i="3"/>
  <c r="DC515" i="3"/>
  <c r="A516" i="3"/>
  <c r="Y516" i="3"/>
  <c r="CX516" i="3"/>
  <c r="DG516" i="3" s="1"/>
  <c r="CY516" i="3"/>
  <c r="CZ516" i="3"/>
  <c r="DB516" i="3" s="1"/>
  <c r="DA516" i="3"/>
  <c r="DC516" i="3"/>
  <c r="A517" i="3"/>
  <c r="Y517" i="3"/>
  <c r="CX517" i="3" s="1"/>
  <c r="CY517" i="3"/>
  <c r="CZ517" i="3"/>
  <c r="DB517" i="3" s="1"/>
  <c r="DA517" i="3"/>
  <c r="DC517" i="3"/>
  <c r="A518" i="3"/>
  <c r="Y518" i="3"/>
  <c r="CX518" i="3"/>
  <c r="CY518" i="3"/>
  <c r="CZ518" i="3"/>
  <c r="DA518" i="3"/>
  <c r="DB518" i="3"/>
  <c r="DC518" i="3"/>
  <c r="A519" i="3"/>
  <c r="Y519" i="3"/>
  <c r="CX519" i="3" s="1"/>
  <c r="CY519" i="3"/>
  <c r="CZ519" i="3"/>
  <c r="DA519" i="3"/>
  <c r="DB519" i="3"/>
  <c r="DC519" i="3"/>
  <c r="A520" i="3"/>
  <c r="Y520" i="3"/>
  <c r="CX520" i="3"/>
  <c r="DG520" i="3" s="1"/>
  <c r="CY520" i="3"/>
  <c r="CZ520" i="3"/>
  <c r="DB520" i="3" s="1"/>
  <c r="DA520" i="3"/>
  <c r="DC520" i="3"/>
  <c r="A521" i="3"/>
  <c r="Y521" i="3"/>
  <c r="CX521" i="3" s="1"/>
  <c r="R21" i="15" s="1"/>
  <c r="CU521" i="3"/>
  <c r="CV521" i="3"/>
  <c r="CY521" i="3"/>
  <c r="CZ521" i="3"/>
  <c r="DA521" i="3"/>
  <c r="DB521" i="3"/>
  <c r="DC521" i="3"/>
  <c r="A522" i="3"/>
  <c r="Y522" i="3"/>
  <c r="CX522" i="3" s="1"/>
  <c r="R44" i="15" s="1"/>
  <c r="CW522" i="3"/>
  <c r="CY522" i="3"/>
  <c r="CZ522" i="3"/>
  <c r="DB522" i="3" s="1"/>
  <c r="DA522" i="3"/>
  <c r="DC522" i="3"/>
  <c r="A523" i="3"/>
  <c r="Y523" i="3"/>
  <c r="CW523" i="3"/>
  <c r="CX523" i="3"/>
  <c r="CY523" i="3"/>
  <c r="CZ523" i="3"/>
  <c r="DA523" i="3"/>
  <c r="DB523" i="3"/>
  <c r="DC523" i="3"/>
  <c r="A524" i="3"/>
  <c r="Y524" i="3"/>
  <c r="CX524" i="3"/>
  <c r="DG524" i="3" s="1"/>
  <c r="CY524" i="3"/>
  <c r="CZ524" i="3"/>
  <c r="DB524" i="3" s="1"/>
  <c r="DA524" i="3"/>
  <c r="DC524" i="3"/>
  <c r="A525" i="3"/>
  <c r="Y525" i="3"/>
  <c r="CX525" i="3" s="1"/>
  <c r="CY525" i="3"/>
  <c r="CZ525" i="3"/>
  <c r="DB525" i="3" s="1"/>
  <c r="DA525" i="3"/>
  <c r="DC525" i="3"/>
  <c r="A526" i="3"/>
  <c r="Y526" i="3"/>
  <c r="CU526" i="3"/>
  <c r="CV526" i="3"/>
  <c r="CX526" i="3"/>
  <c r="DG526" i="3" s="1"/>
  <c r="CY526" i="3"/>
  <c r="CZ526" i="3"/>
  <c r="DB526" i="3" s="1"/>
  <c r="DA526" i="3"/>
  <c r="DC526" i="3"/>
  <c r="A527" i="3"/>
  <c r="Y527" i="3"/>
  <c r="CW527" i="3" s="1"/>
  <c r="CX527" i="3"/>
  <c r="CY527" i="3"/>
  <c r="CZ527" i="3"/>
  <c r="DA527" i="3"/>
  <c r="DB527" i="3"/>
  <c r="DC527" i="3"/>
  <c r="A528" i="3"/>
  <c r="Y528" i="3"/>
  <c r="CW528" i="3" s="1"/>
  <c r="CY528" i="3"/>
  <c r="CZ528" i="3"/>
  <c r="DB528" i="3" s="1"/>
  <c r="DA528" i="3"/>
  <c r="DC528" i="3"/>
  <c r="A529" i="3"/>
  <c r="Y529" i="3"/>
  <c r="CX529" i="3" s="1"/>
  <c r="CY529" i="3"/>
  <c r="CZ529" i="3"/>
  <c r="DB529" i="3" s="1"/>
  <c r="DA529" i="3"/>
  <c r="DC529" i="3"/>
  <c r="A530" i="3"/>
  <c r="Y530" i="3"/>
  <c r="CX530" i="3"/>
  <c r="CY530" i="3"/>
  <c r="CZ530" i="3"/>
  <c r="DA530" i="3"/>
  <c r="DB530" i="3"/>
  <c r="DC530" i="3"/>
  <c r="A531" i="3"/>
  <c r="Y531" i="3"/>
  <c r="CV531" i="3" s="1"/>
  <c r="CU531" i="3"/>
  <c r="CY531" i="3"/>
  <c r="CZ531" i="3"/>
  <c r="DB531" i="3" s="1"/>
  <c r="DA531" i="3"/>
  <c r="DC531" i="3"/>
  <c r="A532" i="3"/>
  <c r="Y532" i="3"/>
  <c r="CW532" i="3"/>
  <c r="CX532" i="3"/>
  <c r="CY532" i="3"/>
  <c r="CZ532" i="3"/>
  <c r="DA532" i="3"/>
  <c r="DB532" i="3"/>
  <c r="DC532" i="3"/>
  <c r="A533" i="3"/>
  <c r="Y533" i="3"/>
  <c r="CX533" i="3" s="1"/>
  <c r="V47" i="15" s="1"/>
  <c r="CW533" i="3"/>
  <c r="CY533" i="3"/>
  <c r="CZ533" i="3"/>
  <c r="DB533" i="3" s="1"/>
  <c r="DA533" i="3"/>
  <c r="DC533" i="3"/>
  <c r="A534" i="3"/>
  <c r="Y534" i="3"/>
  <c r="CU534" i="3"/>
  <c r="CV534" i="3"/>
  <c r="CX534" i="3"/>
  <c r="DG534" i="3" s="1"/>
  <c r="CY534" i="3"/>
  <c r="CZ534" i="3"/>
  <c r="DB534" i="3" s="1"/>
  <c r="DA534" i="3"/>
  <c r="DC534" i="3"/>
  <c r="A535" i="3"/>
  <c r="Y535" i="3"/>
  <c r="CW535" i="3" s="1"/>
  <c r="CX535" i="3"/>
  <c r="CY535" i="3"/>
  <c r="CZ535" i="3"/>
  <c r="DA535" i="3"/>
  <c r="DB535" i="3"/>
  <c r="DC535" i="3"/>
  <c r="A536" i="3"/>
  <c r="Y536" i="3"/>
  <c r="CW536" i="3" s="1"/>
  <c r="CY536" i="3"/>
  <c r="CZ536" i="3"/>
  <c r="DB536" i="3" s="1"/>
  <c r="DA536" i="3"/>
  <c r="DC536" i="3"/>
  <c r="D12" i="1"/>
  <c r="E18" i="1"/>
  <c r="Z18" i="1"/>
  <c r="AA18" i="1"/>
  <c r="AB18" i="1"/>
  <c r="AC18" i="1"/>
  <c r="AD18" i="1"/>
  <c r="AE18" i="1"/>
  <c r="AF18" i="1"/>
  <c r="AG18" i="1"/>
  <c r="AH18" i="1"/>
  <c r="AI18" i="1"/>
  <c r="AJ18" i="1"/>
  <c r="AK18" i="1"/>
  <c r="AL18" i="1"/>
  <c r="AM18" i="1"/>
  <c r="AN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R18" i="1"/>
  <c r="DS18" i="1"/>
  <c r="DT18" i="1"/>
  <c r="DU18" i="1"/>
  <c r="DV18" i="1"/>
  <c r="DW18" i="1"/>
  <c r="DX18" i="1"/>
  <c r="DY18" i="1"/>
  <c r="DZ18" i="1"/>
  <c r="EA18" i="1"/>
  <c r="EB18" i="1"/>
  <c r="EC18" i="1"/>
  <c r="ED18" i="1"/>
  <c r="EE18" i="1"/>
  <c r="EF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D20" i="1"/>
  <c r="E22" i="1"/>
  <c r="Z22" i="1"/>
  <c r="AA22" i="1"/>
  <c r="AB22" i="1"/>
  <c r="AC22" i="1"/>
  <c r="AD22" i="1"/>
  <c r="AE22" i="1"/>
  <c r="AF22" i="1"/>
  <c r="AG22" i="1"/>
  <c r="AH22" i="1"/>
  <c r="AI22" i="1"/>
  <c r="AJ22" i="1"/>
  <c r="AK22" i="1"/>
  <c r="AL22" i="1"/>
  <c r="AM22" i="1"/>
  <c r="AN22" i="1"/>
  <c r="BE22" i="1"/>
  <c r="BF22" i="1"/>
  <c r="BG22" i="1"/>
  <c r="BH22" i="1"/>
  <c r="BI22" i="1"/>
  <c r="BJ22" i="1"/>
  <c r="BK22" i="1"/>
  <c r="BL22" i="1"/>
  <c r="BM22"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CU22" i="1"/>
  <c r="CV22" i="1"/>
  <c r="CW22" i="1"/>
  <c r="CX22" i="1"/>
  <c r="CY22" i="1"/>
  <c r="CZ22" i="1"/>
  <c r="DA22" i="1"/>
  <c r="DB22" i="1"/>
  <c r="DC22" i="1"/>
  <c r="DD22" i="1"/>
  <c r="DE22" i="1"/>
  <c r="DF22" i="1"/>
  <c r="DR22" i="1"/>
  <c r="DS22" i="1"/>
  <c r="DT22" i="1"/>
  <c r="DU22" i="1"/>
  <c r="DV22" i="1"/>
  <c r="DW22" i="1"/>
  <c r="DX22" i="1"/>
  <c r="DY22" i="1"/>
  <c r="DZ22" i="1"/>
  <c r="EA22" i="1"/>
  <c r="EB22" i="1"/>
  <c r="EC22" i="1"/>
  <c r="ED22" i="1"/>
  <c r="EE22" i="1"/>
  <c r="EF22" i="1"/>
  <c r="EW22" i="1"/>
  <c r="EX22" i="1"/>
  <c r="EY22" i="1"/>
  <c r="EZ22" i="1"/>
  <c r="FA22" i="1"/>
  <c r="FB22" i="1"/>
  <c r="FC22" i="1"/>
  <c r="FD22" i="1"/>
  <c r="FE22" i="1"/>
  <c r="FF22" i="1"/>
  <c r="FG22" i="1"/>
  <c r="FH22" i="1"/>
  <c r="FI22" i="1"/>
  <c r="FJ22" i="1"/>
  <c r="FK22" i="1"/>
  <c r="FL22" i="1"/>
  <c r="FM22" i="1"/>
  <c r="FN22" i="1"/>
  <c r="FO22" i="1"/>
  <c r="FP22" i="1"/>
  <c r="FQ22" i="1"/>
  <c r="FR22" i="1"/>
  <c r="FS22" i="1"/>
  <c r="FT22" i="1"/>
  <c r="FU22" i="1"/>
  <c r="FV22" i="1"/>
  <c r="FW22" i="1"/>
  <c r="FX22" i="1"/>
  <c r="FY22" i="1"/>
  <c r="FZ22" i="1"/>
  <c r="GA22" i="1"/>
  <c r="GB22" i="1"/>
  <c r="GC22" i="1"/>
  <c r="GD22" i="1"/>
  <c r="GE22" i="1"/>
  <c r="GF22" i="1"/>
  <c r="GG22" i="1"/>
  <c r="GH22" i="1"/>
  <c r="GI22" i="1"/>
  <c r="GJ22" i="1"/>
  <c r="GK22" i="1"/>
  <c r="GL22" i="1"/>
  <c r="GM22" i="1"/>
  <c r="GN22" i="1"/>
  <c r="GO22" i="1"/>
  <c r="GP22" i="1"/>
  <c r="GQ22" i="1"/>
  <c r="GR22" i="1"/>
  <c r="GS22" i="1"/>
  <c r="GT22" i="1"/>
  <c r="GU22" i="1"/>
  <c r="GV22" i="1"/>
  <c r="GW22" i="1"/>
  <c r="GX22" i="1"/>
  <c r="D24" i="1"/>
  <c r="E26" i="1"/>
  <c r="Z26" i="1"/>
  <c r="AA26" i="1"/>
  <c r="AM26" i="1"/>
  <c r="AN26" i="1"/>
  <c r="BE26" i="1"/>
  <c r="BF26" i="1"/>
  <c r="BG26" i="1"/>
  <c r="BH26" i="1"/>
  <c r="BI26" i="1"/>
  <c r="BJ26" i="1"/>
  <c r="BK26" i="1"/>
  <c r="BL26" i="1"/>
  <c r="BM26" i="1"/>
  <c r="BN26" i="1"/>
  <c r="BO26" i="1"/>
  <c r="BP26" i="1"/>
  <c r="BQ26" i="1"/>
  <c r="BR26" i="1"/>
  <c r="BS26" i="1"/>
  <c r="BT26" i="1"/>
  <c r="BU26" i="1"/>
  <c r="BV26" i="1"/>
  <c r="BW26" i="1"/>
  <c r="CN26" i="1"/>
  <c r="CO26" i="1"/>
  <c r="CP26" i="1"/>
  <c r="CQ26" i="1"/>
  <c r="CR26" i="1"/>
  <c r="CS26" i="1"/>
  <c r="CT26" i="1"/>
  <c r="CU26" i="1"/>
  <c r="CV26" i="1"/>
  <c r="CW26" i="1"/>
  <c r="CX26" i="1"/>
  <c r="CY26" i="1"/>
  <c r="CZ26" i="1"/>
  <c r="DA26" i="1"/>
  <c r="DB26" i="1"/>
  <c r="DC26" i="1"/>
  <c r="DD26" i="1"/>
  <c r="DE26" i="1"/>
  <c r="DF26" i="1"/>
  <c r="DR26" i="1"/>
  <c r="DS26" i="1"/>
  <c r="EE26" i="1"/>
  <c r="EF26" i="1"/>
  <c r="EW26" i="1"/>
  <c r="EX26" i="1"/>
  <c r="EY26" i="1"/>
  <c r="EZ26" i="1"/>
  <c r="FA26" i="1"/>
  <c r="FB26" i="1"/>
  <c r="FC26" i="1"/>
  <c r="FD26" i="1"/>
  <c r="FE26" i="1"/>
  <c r="FF26" i="1"/>
  <c r="FG26" i="1"/>
  <c r="FH26" i="1"/>
  <c r="FI26" i="1"/>
  <c r="FJ26" i="1"/>
  <c r="FK26" i="1"/>
  <c r="FL26" i="1"/>
  <c r="FM26" i="1"/>
  <c r="FN26" i="1"/>
  <c r="FO26" i="1"/>
  <c r="GF26" i="1"/>
  <c r="GG26" i="1"/>
  <c r="GH26" i="1"/>
  <c r="GI26" i="1"/>
  <c r="GJ26" i="1"/>
  <c r="GK26" i="1"/>
  <c r="GL26" i="1"/>
  <c r="GM26" i="1"/>
  <c r="GN26" i="1"/>
  <c r="GO26" i="1"/>
  <c r="GP26" i="1"/>
  <c r="GQ26" i="1"/>
  <c r="GR26" i="1"/>
  <c r="GS26" i="1"/>
  <c r="GT26" i="1"/>
  <c r="GU26" i="1"/>
  <c r="GV26" i="1"/>
  <c r="GW26" i="1"/>
  <c r="GX26" i="1"/>
  <c r="C28" i="1"/>
  <c r="D28" i="1"/>
  <c r="AC28" i="1"/>
  <c r="AE28" i="1"/>
  <c r="AD28" i="1" s="1"/>
  <c r="CR28" i="1" s="1"/>
  <c r="Q28" i="1" s="1"/>
  <c r="AF28" i="1"/>
  <c r="AG28" i="1"/>
  <c r="CU28" i="1" s="1"/>
  <c r="T28" i="1" s="1"/>
  <c r="AH28" i="1"/>
  <c r="AI28" i="1"/>
  <c r="CW28" i="1" s="1"/>
  <c r="V28" i="1" s="1"/>
  <c r="AJ28" i="1"/>
  <c r="CT28" i="1"/>
  <c r="S28" i="1" s="1"/>
  <c r="CV28" i="1"/>
  <c r="U28" i="1" s="1"/>
  <c r="CX28" i="1"/>
  <c r="W28" i="1" s="1"/>
  <c r="FR28" i="1"/>
  <c r="GL28" i="1"/>
  <c r="GO28" i="1"/>
  <c r="GP28" i="1"/>
  <c r="GV28" i="1"/>
  <c r="GX28" i="1"/>
  <c r="HC28" i="1"/>
  <c r="C29" i="1"/>
  <c r="D29" i="1"/>
  <c r="AC29" i="1"/>
  <c r="AE29" i="1"/>
  <c r="AF29" i="1"/>
  <c r="AG29" i="1"/>
  <c r="CU29" i="1" s="1"/>
  <c r="T29" i="1" s="1"/>
  <c r="AH29" i="1"/>
  <c r="AI29" i="1"/>
  <c r="CW29" i="1" s="1"/>
  <c r="V29" i="1" s="1"/>
  <c r="AJ29" i="1"/>
  <c r="CX29" i="1"/>
  <c r="W29" i="1" s="1"/>
  <c r="FR29" i="1"/>
  <c r="GL29" i="1"/>
  <c r="GO29" i="1"/>
  <c r="GP29" i="1"/>
  <c r="GV29" i="1"/>
  <c r="HC29" i="1" s="1"/>
  <c r="GX29" i="1" s="1"/>
  <c r="I30" i="1"/>
  <c r="AC30" i="1"/>
  <c r="CQ30" i="1" s="1"/>
  <c r="AD30" i="1"/>
  <c r="CR30" i="1" s="1"/>
  <c r="AE30" i="1"/>
  <c r="AF30" i="1"/>
  <c r="CT30" i="1" s="1"/>
  <c r="AG30" i="1"/>
  <c r="AH30" i="1"/>
  <c r="CV30" i="1" s="1"/>
  <c r="AI30" i="1"/>
  <c r="AJ30" i="1"/>
  <c r="CX30" i="1" s="1"/>
  <c r="CS30" i="1"/>
  <c r="CU30" i="1"/>
  <c r="CW30" i="1"/>
  <c r="FR30" i="1"/>
  <c r="GL30" i="1"/>
  <c r="GO30" i="1"/>
  <c r="GP30" i="1"/>
  <c r="GV30" i="1"/>
  <c r="HC30" i="1"/>
  <c r="I31" i="1"/>
  <c r="P22" i="13" s="1"/>
  <c r="AC31" i="1"/>
  <c r="AE31" i="1"/>
  <c r="AF31" i="1"/>
  <c r="AG31" i="1"/>
  <c r="CU31" i="1" s="1"/>
  <c r="AH31" i="1"/>
  <c r="AI31" i="1"/>
  <c r="CW31" i="1" s="1"/>
  <c r="AJ31" i="1"/>
  <c r="CT31" i="1"/>
  <c r="CV31" i="1"/>
  <c r="CX31" i="1"/>
  <c r="FR31" i="1"/>
  <c r="GL31" i="1"/>
  <c r="GO31" i="1"/>
  <c r="GP31" i="1"/>
  <c r="GV31" i="1"/>
  <c r="HC31" i="1"/>
  <c r="I32" i="1"/>
  <c r="P77" i="15" s="1"/>
  <c r="AC32" i="1"/>
  <c r="CQ32" i="1" s="1"/>
  <c r="AD32" i="1"/>
  <c r="CR32" i="1" s="1"/>
  <c r="AE32" i="1"/>
  <c r="AF32" i="1"/>
  <c r="CT32" i="1" s="1"/>
  <c r="AG32" i="1"/>
  <c r="AH32" i="1"/>
  <c r="CV32" i="1" s="1"/>
  <c r="AI32" i="1"/>
  <c r="AJ32" i="1"/>
  <c r="CX32" i="1" s="1"/>
  <c r="CS32" i="1"/>
  <c r="CU32" i="1"/>
  <c r="CW32" i="1"/>
  <c r="FR32" i="1"/>
  <c r="GL32" i="1"/>
  <c r="GO32" i="1"/>
  <c r="GP32" i="1"/>
  <c r="GV32" i="1"/>
  <c r="HC32" i="1" s="1"/>
  <c r="I33" i="1"/>
  <c r="GX33" i="1" s="1"/>
  <c r="AC33" i="1"/>
  <c r="AE33" i="1"/>
  <c r="AF33" i="1"/>
  <c r="AG33" i="1"/>
  <c r="CU33" i="1" s="1"/>
  <c r="AH33" i="1"/>
  <c r="AI33" i="1"/>
  <c r="CW33" i="1" s="1"/>
  <c r="AJ33" i="1"/>
  <c r="CT33" i="1"/>
  <c r="CV33" i="1"/>
  <c r="CX33" i="1"/>
  <c r="FR33" i="1"/>
  <c r="GL33" i="1"/>
  <c r="GO33" i="1"/>
  <c r="GP33" i="1"/>
  <c r="GV33" i="1"/>
  <c r="HC33" i="1"/>
  <c r="C34" i="1"/>
  <c r="D34" i="1"/>
  <c r="Q34" i="1"/>
  <c r="AC34" i="1"/>
  <c r="AD34" i="1"/>
  <c r="AE34" i="1"/>
  <c r="CS34" i="1" s="1"/>
  <c r="R34" i="1" s="1"/>
  <c r="AF34" i="1"/>
  <c r="AG34" i="1"/>
  <c r="CU34" i="1" s="1"/>
  <c r="T34" i="1" s="1"/>
  <c r="AH34" i="1"/>
  <c r="AI34" i="1"/>
  <c r="CW34" i="1" s="1"/>
  <c r="V34" i="1" s="1"/>
  <c r="AJ34" i="1"/>
  <c r="CR34" i="1"/>
  <c r="CT34" i="1"/>
  <c r="S34" i="1" s="1"/>
  <c r="CV34" i="1"/>
  <c r="U34" i="1" s="1"/>
  <c r="CX34" i="1"/>
  <c r="W34" i="1" s="1"/>
  <c r="FR34" i="1"/>
  <c r="GL34" i="1"/>
  <c r="GO34" i="1"/>
  <c r="GP34" i="1"/>
  <c r="GV34" i="1"/>
  <c r="GX34" i="1"/>
  <c r="HC34" i="1"/>
  <c r="C35" i="1"/>
  <c r="D35" i="1"/>
  <c r="AC35" i="1"/>
  <c r="AD35" i="1"/>
  <c r="AE35" i="1"/>
  <c r="AF35" i="1"/>
  <c r="AG35" i="1"/>
  <c r="CU35" i="1" s="1"/>
  <c r="T35" i="1" s="1"/>
  <c r="AH35" i="1"/>
  <c r="AI35" i="1"/>
  <c r="CW35" i="1" s="1"/>
  <c r="V35" i="1" s="1"/>
  <c r="AJ35" i="1"/>
  <c r="CX35" i="1"/>
  <c r="W35" i="1" s="1"/>
  <c r="FR35" i="1"/>
  <c r="GL35" i="1"/>
  <c r="GO35" i="1"/>
  <c r="GP35" i="1"/>
  <c r="GV35" i="1"/>
  <c r="HC35" i="1" s="1"/>
  <c r="GX35" i="1"/>
  <c r="I36" i="1"/>
  <c r="AC36" i="1"/>
  <c r="CQ36" i="1" s="1"/>
  <c r="AD36" i="1"/>
  <c r="CR36" i="1" s="1"/>
  <c r="AE36" i="1"/>
  <c r="AF36" i="1"/>
  <c r="CT36" i="1" s="1"/>
  <c r="AG36" i="1"/>
  <c r="AH36" i="1"/>
  <c r="CV36" i="1" s="1"/>
  <c r="AI36" i="1"/>
  <c r="AJ36" i="1"/>
  <c r="CX36" i="1" s="1"/>
  <c r="CS36" i="1"/>
  <c r="CU36" i="1"/>
  <c r="CW36" i="1"/>
  <c r="FR36" i="1"/>
  <c r="GL36" i="1"/>
  <c r="GO36" i="1"/>
  <c r="GP36" i="1"/>
  <c r="GV36" i="1"/>
  <c r="HC36" i="1" s="1"/>
  <c r="I37" i="1"/>
  <c r="GX37" i="1" s="1"/>
  <c r="AC37" i="1"/>
  <c r="AE37" i="1"/>
  <c r="AF37" i="1"/>
  <c r="AG37" i="1"/>
  <c r="CU37" i="1" s="1"/>
  <c r="AH37" i="1"/>
  <c r="AI37" i="1"/>
  <c r="CW37" i="1" s="1"/>
  <c r="AJ37" i="1"/>
  <c r="CT37" i="1"/>
  <c r="CV37" i="1"/>
  <c r="CX37" i="1"/>
  <c r="FR37" i="1"/>
  <c r="GL37" i="1"/>
  <c r="GO37" i="1"/>
  <c r="GP37" i="1"/>
  <c r="GV37" i="1"/>
  <c r="HC37" i="1"/>
  <c r="C38" i="1"/>
  <c r="D38" i="1"/>
  <c r="U38" i="1"/>
  <c r="AC38" i="1"/>
  <c r="AD38" i="1"/>
  <c r="AE38" i="1"/>
  <c r="CS38" i="1" s="1"/>
  <c r="R38" i="1" s="1"/>
  <c r="AF38" i="1"/>
  <c r="AG38" i="1"/>
  <c r="CU38" i="1" s="1"/>
  <c r="T38" i="1" s="1"/>
  <c r="AH38" i="1"/>
  <c r="AI38" i="1"/>
  <c r="CW38" i="1" s="1"/>
  <c r="V38" i="1" s="1"/>
  <c r="AJ38" i="1"/>
  <c r="CR38" i="1"/>
  <c r="Q38" i="1" s="1"/>
  <c r="CT38" i="1"/>
  <c r="S38" i="1" s="1"/>
  <c r="CV38" i="1"/>
  <c r="CX38" i="1"/>
  <c r="W38" i="1" s="1"/>
  <c r="FR38" i="1"/>
  <c r="GL38" i="1"/>
  <c r="GO38" i="1"/>
  <c r="GP38" i="1"/>
  <c r="GV38" i="1"/>
  <c r="GX38" i="1"/>
  <c r="HC38" i="1"/>
  <c r="C39" i="1"/>
  <c r="D39" i="1"/>
  <c r="W39" i="1"/>
  <c r="AC39" i="1"/>
  <c r="AD39" i="1"/>
  <c r="AE39" i="1"/>
  <c r="AF39" i="1"/>
  <c r="AG39" i="1"/>
  <c r="CU39" i="1" s="1"/>
  <c r="T39" i="1" s="1"/>
  <c r="AH39" i="1"/>
  <c r="AI39" i="1"/>
  <c r="CW39" i="1" s="1"/>
  <c r="V39" i="1" s="1"/>
  <c r="AJ39" i="1"/>
  <c r="CX39" i="1"/>
  <c r="FR39" i="1"/>
  <c r="GL39" i="1"/>
  <c r="GO39" i="1"/>
  <c r="GP39" i="1"/>
  <c r="GV39" i="1"/>
  <c r="HC39" i="1" s="1"/>
  <c r="GX39" i="1"/>
  <c r="I40" i="1"/>
  <c r="Q87" i="15" s="1"/>
  <c r="AC40" i="1"/>
  <c r="CQ40" i="1" s="1"/>
  <c r="AD40" i="1"/>
  <c r="CR40" i="1" s="1"/>
  <c r="AE40" i="1"/>
  <c r="AF40" i="1"/>
  <c r="CT40" i="1" s="1"/>
  <c r="AG40" i="1"/>
  <c r="AH40" i="1"/>
  <c r="CV40" i="1" s="1"/>
  <c r="AI40" i="1"/>
  <c r="AJ40" i="1"/>
  <c r="CX40" i="1" s="1"/>
  <c r="CS40" i="1"/>
  <c r="CU40" i="1"/>
  <c r="CW40" i="1"/>
  <c r="FR40" i="1"/>
  <c r="GL40" i="1"/>
  <c r="GO40" i="1"/>
  <c r="GP40" i="1"/>
  <c r="GV40" i="1"/>
  <c r="HC40" i="1" s="1"/>
  <c r="I41" i="1"/>
  <c r="Q28" i="13" s="1"/>
  <c r="AC41" i="1"/>
  <c r="AE41" i="1"/>
  <c r="AF41" i="1"/>
  <c r="AG41" i="1"/>
  <c r="CU41" i="1" s="1"/>
  <c r="AH41" i="1"/>
  <c r="AI41" i="1"/>
  <c r="CW41" i="1" s="1"/>
  <c r="AJ41" i="1"/>
  <c r="CT41" i="1"/>
  <c r="CV41" i="1"/>
  <c r="CX41" i="1"/>
  <c r="FR41" i="1"/>
  <c r="GL41" i="1"/>
  <c r="GO41" i="1"/>
  <c r="GP41" i="1"/>
  <c r="GV41" i="1"/>
  <c r="HC41" i="1"/>
  <c r="C42" i="1"/>
  <c r="D42" i="1"/>
  <c r="S42" i="1"/>
  <c r="W42" i="1"/>
  <c r="AC42" i="1"/>
  <c r="AE42" i="1"/>
  <c r="AF42" i="1"/>
  <c r="AG42" i="1"/>
  <c r="CU42" i="1" s="1"/>
  <c r="T42" i="1" s="1"/>
  <c r="AH42" i="1"/>
  <c r="AI42" i="1"/>
  <c r="CW42" i="1" s="1"/>
  <c r="V42" i="1" s="1"/>
  <c r="AJ42" i="1"/>
  <c r="CT42" i="1"/>
  <c r="CV42" i="1"/>
  <c r="U42" i="1" s="1"/>
  <c r="CX42" i="1"/>
  <c r="FR42" i="1"/>
  <c r="GL42" i="1"/>
  <c r="GO42" i="1"/>
  <c r="GP42" i="1"/>
  <c r="GV42" i="1"/>
  <c r="GX42" i="1"/>
  <c r="HC42" i="1"/>
  <c r="C43" i="1"/>
  <c r="D43" i="1"/>
  <c r="AC43" i="1"/>
  <c r="AE43" i="1"/>
  <c r="AF43" i="1"/>
  <c r="AG43" i="1"/>
  <c r="CU43" i="1" s="1"/>
  <c r="T43" i="1" s="1"/>
  <c r="AH43" i="1"/>
  <c r="AI43" i="1"/>
  <c r="CW43" i="1" s="1"/>
  <c r="V43" i="1" s="1"/>
  <c r="AJ43" i="1"/>
  <c r="CX43" i="1"/>
  <c r="W43" i="1" s="1"/>
  <c r="FR43" i="1"/>
  <c r="GL43" i="1"/>
  <c r="GO43" i="1"/>
  <c r="GP43" i="1"/>
  <c r="GV43" i="1"/>
  <c r="GX43" i="1"/>
  <c r="HC43" i="1"/>
  <c r="I44" i="1"/>
  <c r="P96" i="15" s="1"/>
  <c r="AC44" i="1"/>
  <c r="CQ44" i="1" s="1"/>
  <c r="AD44" i="1"/>
  <c r="CR44" i="1" s="1"/>
  <c r="AE44" i="1"/>
  <c r="AF44" i="1"/>
  <c r="CT44" i="1" s="1"/>
  <c r="AG44" i="1"/>
  <c r="AH44" i="1"/>
  <c r="CV44" i="1" s="1"/>
  <c r="AI44" i="1"/>
  <c r="AJ44" i="1"/>
  <c r="CX44" i="1" s="1"/>
  <c r="CS44" i="1"/>
  <c r="CU44" i="1"/>
  <c r="CW44" i="1"/>
  <c r="FR44" i="1"/>
  <c r="GL44" i="1"/>
  <c r="GO44" i="1"/>
  <c r="GP44" i="1"/>
  <c r="GV44" i="1"/>
  <c r="HC44" i="1"/>
  <c r="I45" i="1"/>
  <c r="P33" i="13" s="1"/>
  <c r="AC45" i="1"/>
  <c r="AE45" i="1"/>
  <c r="AF45" i="1"/>
  <c r="AG45" i="1"/>
  <c r="CU45" i="1" s="1"/>
  <c r="AH45" i="1"/>
  <c r="AI45" i="1"/>
  <c r="CW45" i="1" s="1"/>
  <c r="AJ45" i="1"/>
  <c r="CT45" i="1"/>
  <c r="CV45" i="1"/>
  <c r="CX45" i="1"/>
  <c r="FR45" i="1"/>
  <c r="GL45" i="1"/>
  <c r="GO45" i="1"/>
  <c r="GP45" i="1"/>
  <c r="GV45" i="1"/>
  <c r="HC45" i="1" s="1"/>
  <c r="I46" i="1"/>
  <c r="AC46" i="1"/>
  <c r="CQ46" i="1" s="1"/>
  <c r="AD46" i="1"/>
  <c r="CR46" i="1" s="1"/>
  <c r="AE46" i="1"/>
  <c r="AF46" i="1"/>
  <c r="CT46" i="1" s="1"/>
  <c r="AG46" i="1"/>
  <c r="AH46" i="1"/>
  <c r="CV46" i="1" s="1"/>
  <c r="AI46" i="1"/>
  <c r="AJ46" i="1"/>
  <c r="CX46" i="1" s="1"/>
  <c r="CS46" i="1"/>
  <c r="CU46" i="1"/>
  <c r="CW46" i="1"/>
  <c r="CY46" i="1"/>
  <c r="X46" i="1" s="1"/>
  <c r="CZ46" i="1"/>
  <c r="Y46" i="1" s="1"/>
  <c r="FR46" i="1"/>
  <c r="GL46" i="1"/>
  <c r="GO46" i="1"/>
  <c r="GP46" i="1"/>
  <c r="GV46" i="1"/>
  <c r="HC46" i="1" s="1"/>
  <c r="I47" i="1"/>
  <c r="AC47" i="1"/>
  <c r="AD47" i="1"/>
  <c r="AE47" i="1"/>
  <c r="CS47" i="1" s="1"/>
  <c r="AF47" i="1"/>
  <c r="AG47" i="1"/>
  <c r="CU47" i="1" s="1"/>
  <c r="AH47" i="1"/>
  <c r="AI47" i="1"/>
  <c r="CW47" i="1" s="1"/>
  <c r="AJ47" i="1"/>
  <c r="CR47" i="1"/>
  <c r="CT47" i="1"/>
  <c r="CV47" i="1"/>
  <c r="CX47" i="1"/>
  <c r="FR47" i="1"/>
  <c r="GL47" i="1"/>
  <c r="GO47" i="1"/>
  <c r="GP47" i="1"/>
  <c r="GV47" i="1"/>
  <c r="HC47" i="1"/>
  <c r="I48" i="1"/>
  <c r="AC48" i="1"/>
  <c r="CQ48" i="1" s="1"/>
  <c r="AD48" i="1"/>
  <c r="CR48" i="1" s="1"/>
  <c r="AE48" i="1"/>
  <c r="AF48" i="1"/>
  <c r="CT48" i="1" s="1"/>
  <c r="AG48" i="1"/>
  <c r="AH48" i="1"/>
  <c r="CV48" i="1" s="1"/>
  <c r="AI48" i="1"/>
  <c r="AJ48" i="1"/>
  <c r="CX48" i="1" s="1"/>
  <c r="CS48" i="1"/>
  <c r="CU48" i="1"/>
  <c r="CW48" i="1"/>
  <c r="CY48" i="1"/>
  <c r="X48" i="1" s="1"/>
  <c r="CZ48" i="1"/>
  <c r="Y48" i="1" s="1"/>
  <c r="FR48" i="1"/>
  <c r="GL48" i="1"/>
  <c r="GO48" i="1"/>
  <c r="GP48" i="1"/>
  <c r="GV48" i="1"/>
  <c r="HC48" i="1"/>
  <c r="I49" i="1"/>
  <c r="P38" i="13" s="1"/>
  <c r="AC49" i="1"/>
  <c r="AD49" i="1"/>
  <c r="AE49" i="1"/>
  <c r="CS49" i="1" s="1"/>
  <c r="AF49" i="1"/>
  <c r="AG49" i="1"/>
  <c r="CU49" i="1" s="1"/>
  <c r="AH49" i="1"/>
  <c r="AI49" i="1"/>
  <c r="CW49" i="1" s="1"/>
  <c r="AJ49" i="1"/>
  <c r="CR49" i="1"/>
  <c r="CT49" i="1"/>
  <c r="CV49" i="1"/>
  <c r="CX49" i="1"/>
  <c r="FR49" i="1"/>
  <c r="GL49" i="1"/>
  <c r="GO49" i="1"/>
  <c r="GP49" i="1"/>
  <c r="GV49" i="1"/>
  <c r="HC49" i="1"/>
  <c r="I50" i="1"/>
  <c r="P89" i="15" s="1"/>
  <c r="AC50" i="1"/>
  <c r="CQ50" i="1" s="1"/>
  <c r="AD50" i="1"/>
  <c r="CR50" i="1" s="1"/>
  <c r="AE50" i="1"/>
  <c r="AF50" i="1"/>
  <c r="CT50" i="1" s="1"/>
  <c r="AG50" i="1"/>
  <c r="AH50" i="1"/>
  <c r="CV50" i="1" s="1"/>
  <c r="AI50" i="1"/>
  <c r="AJ50" i="1"/>
  <c r="CX50" i="1" s="1"/>
  <c r="CS50" i="1"/>
  <c r="CU50" i="1"/>
  <c r="CW50" i="1"/>
  <c r="FR50" i="1"/>
  <c r="GL50" i="1"/>
  <c r="GO50" i="1"/>
  <c r="GP50" i="1"/>
  <c r="GV50" i="1"/>
  <c r="HC50" i="1"/>
  <c r="I51" i="1"/>
  <c r="P20" i="13" s="1"/>
  <c r="AC51" i="1"/>
  <c r="CQ51" i="1" s="1"/>
  <c r="AE51" i="1"/>
  <c r="AD51" i="1" s="1"/>
  <c r="CR51" i="1" s="1"/>
  <c r="AF51" i="1"/>
  <c r="AG51" i="1"/>
  <c r="CU51" i="1" s="1"/>
  <c r="AH51" i="1"/>
  <c r="AI51" i="1"/>
  <c r="CW51" i="1" s="1"/>
  <c r="AJ51" i="1"/>
  <c r="CT51" i="1"/>
  <c r="CV51" i="1"/>
  <c r="CX51" i="1"/>
  <c r="FR51" i="1"/>
  <c r="GL51" i="1"/>
  <c r="GO51" i="1"/>
  <c r="GP51" i="1"/>
  <c r="GV51" i="1"/>
  <c r="HC51" i="1" s="1"/>
  <c r="I52" i="1"/>
  <c r="P84" i="15" s="1"/>
  <c r="AC52" i="1"/>
  <c r="CQ52" i="1" s="1"/>
  <c r="AD52" i="1"/>
  <c r="CR52" i="1" s="1"/>
  <c r="AE52" i="1"/>
  <c r="AF52" i="1"/>
  <c r="AG52" i="1"/>
  <c r="AH52" i="1"/>
  <c r="CV52" i="1" s="1"/>
  <c r="AI52" i="1"/>
  <c r="AJ52" i="1"/>
  <c r="CX52" i="1" s="1"/>
  <c r="CS52" i="1"/>
  <c r="CU52" i="1"/>
  <c r="CW52" i="1"/>
  <c r="FR52" i="1"/>
  <c r="GL52" i="1"/>
  <c r="GN52" i="1"/>
  <c r="GP52" i="1"/>
  <c r="GV52" i="1"/>
  <c r="HC52" i="1"/>
  <c r="I53" i="1"/>
  <c r="P61" i="13" s="1"/>
  <c r="AC53" i="1"/>
  <c r="AE53" i="1"/>
  <c r="CS53" i="1" s="1"/>
  <c r="AF53" i="1"/>
  <c r="AG53" i="1"/>
  <c r="CU53" i="1" s="1"/>
  <c r="AH53" i="1"/>
  <c r="AI53" i="1"/>
  <c r="CW53" i="1" s="1"/>
  <c r="AJ53" i="1"/>
  <c r="CT53" i="1"/>
  <c r="CV53" i="1"/>
  <c r="CX53" i="1"/>
  <c r="FR53" i="1"/>
  <c r="GL53" i="1"/>
  <c r="GN53" i="1"/>
  <c r="GP53" i="1"/>
  <c r="GV53" i="1"/>
  <c r="HC53" i="1"/>
  <c r="I54" i="1"/>
  <c r="P66" i="15" s="1"/>
  <c r="AC54" i="1"/>
  <c r="CQ54" i="1" s="1"/>
  <c r="AD54" i="1"/>
  <c r="CR54" i="1" s="1"/>
  <c r="AE54" i="1"/>
  <c r="AF54" i="1"/>
  <c r="AG54" i="1"/>
  <c r="AH54" i="1"/>
  <c r="CV54" i="1" s="1"/>
  <c r="AI54" i="1"/>
  <c r="AJ54" i="1"/>
  <c r="CX54" i="1" s="1"/>
  <c r="CS54" i="1"/>
  <c r="CU54" i="1"/>
  <c r="CW54" i="1"/>
  <c r="CY54" i="1"/>
  <c r="X54" i="1" s="1"/>
  <c r="CZ54" i="1"/>
  <c r="Y54" i="1" s="1"/>
  <c r="FR54" i="1"/>
  <c r="GL54" i="1"/>
  <c r="GO54" i="1"/>
  <c r="GP54" i="1"/>
  <c r="GV54" i="1"/>
  <c r="HC54" i="1"/>
  <c r="I55" i="1"/>
  <c r="P51" i="13" s="1"/>
  <c r="AC55" i="1"/>
  <c r="CQ55" i="1" s="1"/>
  <c r="AD55" i="1"/>
  <c r="AE55" i="1"/>
  <c r="CS55" i="1" s="1"/>
  <c r="AF55" i="1"/>
  <c r="AG55" i="1"/>
  <c r="CU55" i="1" s="1"/>
  <c r="AH55" i="1"/>
  <c r="AI55" i="1"/>
  <c r="CW55" i="1" s="1"/>
  <c r="AJ55" i="1"/>
  <c r="CR55" i="1"/>
  <c r="CT55" i="1"/>
  <c r="CV55" i="1"/>
  <c r="CX55" i="1"/>
  <c r="FR55" i="1"/>
  <c r="GL55" i="1"/>
  <c r="GO55" i="1"/>
  <c r="GP55" i="1"/>
  <c r="GV55" i="1"/>
  <c r="HC55" i="1"/>
  <c r="I56" i="1"/>
  <c r="P64" i="15" s="1"/>
  <c r="AC56" i="1"/>
  <c r="CQ56" i="1" s="1"/>
  <c r="AD56" i="1"/>
  <c r="AE56" i="1"/>
  <c r="AF56" i="1"/>
  <c r="CT56" i="1" s="1"/>
  <c r="AG56" i="1"/>
  <c r="AH56" i="1"/>
  <c r="CV56" i="1" s="1"/>
  <c r="AI56" i="1"/>
  <c r="AJ56" i="1"/>
  <c r="CX56" i="1" s="1"/>
  <c r="CS56" i="1"/>
  <c r="CU56" i="1"/>
  <c r="CW56" i="1"/>
  <c r="CY56" i="1"/>
  <c r="X56" i="1" s="1"/>
  <c r="CZ56" i="1"/>
  <c r="Y56" i="1" s="1"/>
  <c r="FR56" i="1"/>
  <c r="GL56" i="1"/>
  <c r="GO56" i="1"/>
  <c r="GP56" i="1"/>
  <c r="GV56" i="1"/>
  <c r="HC56" i="1"/>
  <c r="I57" i="1"/>
  <c r="P67" i="13" s="1"/>
  <c r="AC57" i="1"/>
  <c r="AB57" i="1" s="1"/>
  <c r="AD57" i="1"/>
  <c r="AE57" i="1"/>
  <c r="CS57" i="1" s="1"/>
  <c r="AF57" i="1"/>
  <c r="AG57" i="1"/>
  <c r="CU57" i="1" s="1"/>
  <c r="AH57" i="1"/>
  <c r="AI57" i="1"/>
  <c r="CW57" i="1" s="1"/>
  <c r="AJ57" i="1"/>
  <c r="CR57" i="1"/>
  <c r="CT57" i="1"/>
  <c r="CV57" i="1"/>
  <c r="CX57" i="1"/>
  <c r="FR57" i="1"/>
  <c r="GL57" i="1"/>
  <c r="GO57" i="1"/>
  <c r="GP57" i="1"/>
  <c r="GV57" i="1"/>
  <c r="HC57" i="1"/>
  <c r="I58" i="1"/>
  <c r="P65" i="15" s="1"/>
  <c r="AC58" i="1"/>
  <c r="CQ58" i="1" s="1"/>
  <c r="AD58" i="1"/>
  <c r="CR58" i="1" s="1"/>
  <c r="AE58" i="1"/>
  <c r="AF58" i="1"/>
  <c r="AG58" i="1"/>
  <c r="AH58" i="1"/>
  <c r="CV58" i="1" s="1"/>
  <c r="AI58" i="1"/>
  <c r="AJ58" i="1"/>
  <c r="CX58" i="1" s="1"/>
  <c r="CS58" i="1"/>
  <c r="CU58" i="1"/>
  <c r="CW58" i="1"/>
  <c r="CY58" i="1"/>
  <c r="X58" i="1" s="1"/>
  <c r="CZ58" i="1"/>
  <c r="Y58" i="1" s="1"/>
  <c r="FR58" i="1"/>
  <c r="GL58" i="1"/>
  <c r="GO58" i="1"/>
  <c r="GP58" i="1"/>
  <c r="GV58" i="1"/>
  <c r="HC58" i="1"/>
  <c r="I59" i="1"/>
  <c r="AC59" i="1"/>
  <c r="CQ59" i="1" s="1"/>
  <c r="AD59" i="1"/>
  <c r="AE59" i="1"/>
  <c r="CS59" i="1" s="1"/>
  <c r="AF59" i="1"/>
  <c r="AG59" i="1"/>
  <c r="CU59" i="1" s="1"/>
  <c r="AH59" i="1"/>
  <c r="AI59" i="1"/>
  <c r="CW59" i="1" s="1"/>
  <c r="AJ59" i="1"/>
  <c r="CR59" i="1"/>
  <c r="CT59" i="1"/>
  <c r="CV59" i="1"/>
  <c r="CX59" i="1"/>
  <c r="W59" i="1" s="1"/>
  <c r="FR59" i="1"/>
  <c r="GL59" i="1"/>
  <c r="GO59" i="1"/>
  <c r="GP59" i="1"/>
  <c r="GV59" i="1"/>
  <c r="HC59" i="1"/>
  <c r="I60" i="1"/>
  <c r="P97" i="15" s="1"/>
  <c r="AC60" i="1"/>
  <c r="CQ60" i="1" s="1"/>
  <c r="AD60" i="1"/>
  <c r="AE60" i="1"/>
  <c r="AF60" i="1"/>
  <c r="CT60" i="1" s="1"/>
  <c r="AG60" i="1"/>
  <c r="AH60" i="1"/>
  <c r="CV60" i="1" s="1"/>
  <c r="AI60" i="1"/>
  <c r="AJ60" i="1"/>
  <c r="CX60" i="1" s="1"/>
  <c r="CS60" i="1"/>
  <c r="CU60" i="1"/>
  <c r="CW60" i="1"/>
  <c r="FR60" i="1"/>
  <c r="GL60" i="1"/>
  <c r="GO60" i="1"/>
  <c r="GP60" i="1"/>
  <c r="GV60" i="1"/>
  <c r="HC60" i="1" s="1"/>
  <c r="I61" i="1"/>
  <c r="P45" i="13" s="1"/>
  <c r="AC61" i="1"/>
  <c r="AE61" i="1"/>
  <c r="CS61" i="1" s="1"/>
  <c r="AF61" i="1"/>
  <c r="AG61" i="1"/>
  <c r="CU61" i="1" s="1"/>
  <c r="AH61" i="1"/>
  <c r="AI61" i="1"/>
  <c r="CW61" i="1" s="1"/>
  <c r="AJ61" i="1"/>
  <c r="CT61" i="1"/>
  <c r="CV61" i="1"/>
  <c r="CX61" i="1"/>
  <c r="FR61" i="1"/>
  <c r="GL61" i="1"/>
  <c r="GO61" i="1"/>
  <c r="GP61" i="1"/>
  <c r="GV61" i="1"/>
  <c r="HC61" i="1"/>
  <c r="C62" i="1"/>
  <c r="D62" i="1"/>
  <c r="AC62" i="1"/>
  <c r="CQ62" i="1" s="1"/>
  <c r="P62" i="1" s="1"/>
  <c r="AE62" i="1"/>
  <c r="AD62" i="1" s="1"/>
  <c r="CR62" i="1" s="1"/>
  <c r="Q62" i="1" s="1"/>
  <c r="AF62" i="1"/>
  <c r="AG62" i="1"/>
  <c r="CU62" i="1" s="1"/>
  <c r="T62" i="1" s="1"/>
  <c r="AH62" i="1"/>
  <c r="AI62" i="1"/>
  <c r="CW62" i="1" s="1"/>
  <c r="V62" i="1" s="1"/>
  <c r="AJ62" i="1"/>
  <c r="CT62" i="1"/>
  <c r="S62" i="1" s="1"/>
  <c r="CV62" i="1"/>
  <c r="U62" i="1" s="1"/>
  <c r="CX62" i="1"/>
  <c r="W62" i="1" s="1"/>
  <c r="FR62" i="1"/>
  <c r="GL62" i="1"/>
  <c r="GO62" i="1"/>
  <c r="GP62" i="1"/>
  <c r="GV62" i="1"/>
  <c r="HC62" i="1" s="1"/>
  <c r="GX62" i="1" s="1"/>
  <c r="C63" i="1"/>
  <c r="D63" i="1"/>
  <c r="AC63" i="1"/>
  <c r="AE63" i="1"/>
  <c r="AF63" i="1"/>
  <c r="AG63" i="1"/>
  <c r="CU63" i="1" s="1"/>
  <c r="T63" i="1" s="1"/>
  <c r="AH63" i="1"/>
  <c r="AI63" i="1"/>
  <c r="CW63" i="1" s="1"/>
  <c r="V63" i="1" s="1"/>
  <c r="AJ63" i="1"/>
  <c r="CX63" i="1"/>
  <c r="W63" i="1" s="1"/>
  <c r="FR63" i="1"/>
  <c r="GL63" i="1"/>
  <c r="GO63" i="1"/>
  <c r="GP63" i="1"/>
  <c r="GV63" i="1"/>
  <c r="GX63" i="1"/>
  <c r="HC63" i="1"/>
  <c r="I64" i="1"/>
  <c r="Q96" i="15" s="1"/>
  <c r="AC64" i="1"/>
  <c r="CQ64" i="1" s="1"/>
  <c r="AD64" i="1"/>
  <c r="CR64" i="1" s="1"/>
  <c r="AE64" i="1"/>
  <c r="AF64" i="1"/>
  <c r="AG64" i="1"/>
  <c r="AH64" i="1"/>
  <c r="CV64" i="1" s="1"/>
  <c r="AI64" i="1"/>
  <c r="AJ64" i="1"/>
  <c r="CX64" i="1" s="1"/>
  <c r="CS64" i="1"/>
  <c r="CU64" i="1"/>
  <c r="CW64" i="1"/>
  <c r="FR64" i="1"/>
  <c r="GL64" i="1"/>
  <c r="GO64" i="1"/>
  <c r="GP64" i="1"/>
  <c r="GV64" i="1"/>
  <c r="HC64" i="1"/>
  <c r="I65" i="1"/>
  <c r="Q33" i="13" s="1"/>
  <c r="AC65" i="1"/>
  <c r="CQ65" i="1" s="1"/>
  <c r="AE65" i="1"/>
  <c r="AD65" i="1" s="1"/>
  <c r="CR65" i="1" s="1"/>
  <c r="AF65" i="1"/>
  <c r="AG65" i="1"/>
  <c r="CU65" i="1" s="1"/>
  <c r="AH65" i="1"/>
  <c r="AI65" i="1"/>
  <c r="CW65" i="1" s="1"/>
  <c r="AJ65" i="1"/>
  <c r="CT65" i="1"/>
  <c r="CV65" i="1"/>
  <c r="CX65" i="1"/>
  <c r="FR65" i="1"/>
  <c r="GL65" i="1"/>
  <c r="GO65" i="1"/>
  <c r="GP65" i="1"/>
  <c r="GV65" i="1"/>
  <c r="HC65" i="1"/>
  <c r="I66" i="1"/>
  <c r="Q67" i="15" s="1"/>
  <c r="AC66" i="1"/>
  <c r="CQ66" i="1" s="1"/>
  <c r="AD66" i="1"/>
  <c r="CR66" i="1" s="1"/>
  <c r="AE66" i="1"/>
  <c r="AF66" i="1"/>
  <c r="AG66" i="1"/>
  <c r="AH66" i="1"/>
  <c r="CV66" i="1" s="1"/>
  <c r="AI66" i="1"/>
  <c r="AJ66" i="1"/>
  <c r="CX66" i="1" s="1"/>
  <c r="CS66" i="1"/>
  <c r="CU66" i="1"/>
  <c r="CW66" i="1"/>
  <c r="CY66" i="1"/>
  <c r="X66" i="1" s="1"/>
  <c r="CZ66" i="1"/>
  <c r="Y66" i="1" s="1"/>
  <c r="FR66" i="1"/>
  <c r="GL66" i="1"/>
  <c r="GO66" i="1"/>
  <c r="GP66" i="1"/>
  <c r="GV66" i="1"/>
  <c r="HC66" i="1"/>
  <c r="I67" i="1"/>
  <c r="Q37" i="13" s="1"/>
  <c r="AC67" i="1"/>
  <c r="AB67" i="1" s="1"/>
  <c r="AD67" i="1"/>
  <c r="AE67" i="1"/>
  <c r="CS67" i="1" s="1"/>
  <c r="AF67" i="1"/>
  <c r="AG67" i="1"/>
  <c r="CU67" i="1" s="1"/>
  <c r="AH67" i="1"/>
  <c r="AI67" i="1"/>
  <c r="CW67" i="1" s="1"/>
  <c r="AJ67" i="1"/>
  <c r="CR67" i="1"/>
  <c r="CT67" i="1"/>
  <c r="CV67" i="1"/>
  <c r="CX67" i="1"/>
  <c r="FR67" i="1"/>
  <c r="GL67" i="1"/>
  <c r="GO67" i="1"/>
  <c r="GP67" i="1"/>
  <c r="GV67" i="1"/>
  <c r="HC67" i="1" s="1"/>
  <c r="I68" i="1"/>
  <c r="Q71" i="15" s="1"/>
  <c r="AC68" i="1"/>
  <c r="CQ68" i="1" s="1"/>
  <c r="AD68" i="1"/>
  <c r="CR68" i="1" s="1"/>
  <c r="AE68" i="1"/>
  <c r="AF68" i="1"/>
  <c r="CT68" i="1" s="1"/>
  <c r="AG68" i="1"/>
  <c r="AH68" i="1"/>
  <c r="CV68" i="1" s="1"/>
  <c r="AI68" i="1"/>
  <c r="AJ68" i="1"/>
  <c r="CX68" i="1" s="1"/>
  <c r="CS68" i="1"/>
  <c r="CU68" i="1"/>
  <c r="CW68" i="1"/>
  <c r="CY68" i="1"/>
  <c r="X68" i="1" s="1"/>
  <c r="CZ68" i="1"/>
  <c r="Y68" i="1" s="1"/>
  <c r="FR68" i="1"/>
  <c r="GL68" i="1"/>
  <c r="GO68" i="1"/>
  <c r="GP68" i="1"/>
  <c r="GV68" i="1"/>
  <c r="HC68" i="1"/>
  <c r="I69" i="1"/>
  <c r="Q38" i="13" s="1"/>
  <c r="AC69" i="1"/>
  <c r="CQ69" i="1" s="1"/>
  <c r="AD69" i="1"/>
  <c r="AE69" i="1"/>
  <c r="CS69" i="1" s="1"/>
  <c r="AF69" i="1"/>
  <c r="AG69" i="1"/>
  <c r="CU69" i="1" s="1"/>
  <c r="AH69" i="1"/>
  <c r="AI69" i="1"/>
  <c r="CW69" i="1" s="1"/>
  <c r="AJ69" i="1"/>
  <c r="CR69" i="1"/>
  <c r="CT69" i="1"/>
  <c r="CV69" i="1"/>
  <c r="CX69" i="1"/>
  <c r="FR69" i="1"/>
  <c r="GL69" i="1"/>
  <c r="GO69" i="1"/>
  <c r="GP69" i="1"/>
  <c r="GV69" i="1"/>
  <c r="HC69" i="1"/>
  <c r="I70" i="1"/>
  <c r="Q89" i="15" s="1"/>
  <c r="AC70" i="1"/>
  <c r="CQ70" i="1" s="1"/>
  <c r="AD70" i="1"/>
  <c r="AE70" i="1"/>
  <c r="AF70" i="1"/>
  <c r="CT70" i="1" s="1"/>
  <c r="AG70" i="1"/>
  <c r="AH70" i="1"/>
  <c r="CV70" i="1" s="1"/>
  <c r="AI70" i="1"/>
  <c r="AJ70" i="1"/>
  <c r="CX70" i="1" s="1"/>
  <c r="CS70" i="1"/>
  <c r="CU70" i="1"/>
  <c r="CW70" i="1"/>
  <c r="FR70" i="1"/>
  <c r="GL70" i="1"/>
  <c r="GO70" i="1"/>
  <c r="GP70" i="1"/>
  <c r="GV70" i="1"/>
  <c r="HC70" i="1"/>
  <c r="I71" i="1"/>
  <c r="Q20" i="13" s="1"/>
  <c r="AC71" i="1"/>
  <c r="AE71" i="1"/>
  <c r="CS71" i="1" s="1"/>
  <c r="AF71" i="1"/>
  <c r="AG71" i="1"/>
  <c r="CU71" i="1" s="1"/>
  <c r="AH71" i="1"/>
  <c r="AI71" i="1"/>
  <c r="CW71" i="1" s="1"/>
  <c r="AJ71" i="1"/>
  <c r="CT71" i="1"/>
  <c r="CV71" i="1"/>
  <c r="CX71" i="1"/>
  <c r="FR71" i="1"/>
  <c r="GL71" i="1"/>
  <c r="GO71" i="1"/>
  <c r="GP71" i="1"/>
  <c r="GV71" i="1"/>
  <c r="HC71" i="1"/>
  <c r="I72" i="1"/>
  <c r="Q84" i="15" s="1"/>
  <c r="AC72" i="1"/>
  <c r="CQ72" i="1" s="1"/>
  <c r="AD72" i="1"/>
  <c r="CR72" i="1" s="1"/>
  <c r="AE72" i="1"/>
  <c r="AF72" i="1"/>
  <c r="AG72" i="1"/>
  <c r="AH72" i="1"/>
  <c r="CV72" i="1" s="1"/>
  <c r="AI72" i="1"/>
  <c r="AJ72" i="1"/>
  <c r="CX72" i="1" s="1"/>
  <c r="CS72" i="1"/>
  <c r="CU72" i="1"/>
  <c r="CW72" i="1"/>
  <c r="FR72" i="1"/>
  <c r="GL72" i="1"/>
  <c r="GN72" i="1"/>
  <c r="GP72" i="1"/>
  <c r="GV72" i="1"/>
  <c r="HC72" i="1"/>
  <c r="I73" i="1"/>
  <c r="Q61" i="13" s="1"/>
  <c r="AC73" i="1"/>
  <c r="CQ73" i="1" s="1"/>
  <c r="AE73" i="1"/>
  <c r="AD73" i="1" s="1"/>
  <c r="CR73" i="1" s="1"/>
  <c r="AF73" i="1"/>
  <c r="AG73" i="1"/>
  <c r="CU73" i="1" s="1"/>
  <c r="AH73" i="1"/>
  <c r="AI73" i="1"/>
  <c r="CW73" i="1" s="1"/>
  <c r="AJ73" i="1"/>
  <c r="CT73" i="1"/>
  <c r="CV73" i="1"/>
  <c r="CX73" i="1"/>
  <c r="FR73" i="1"/>
  <c r="GL73" i="1"/>
  <c r="GN73" i="1"/>
  <c r="GP73" i="1"/>
  <c r="GV73" i="1"/>
  <c r="HC73" i="1"/>
  <c r="I74" i="1"/>
  <c r="Q66" i="15" s="1"/>
  <c r="AC74" i="1"/>
  <c r="CQ74" i="1" s="1"/>
  <c r="AD74" i="1"/>
  <c r="AE74" i="1"/>
  <c r="AF74" i="1"/>
  <c r="CT74" i="1" s="1"/>
  <c r="AG74" i="1"/>
  <c r="AH74" i="1"/>
  <c r="CV74" i="1" s="1"/>
  <c r="AI74" i="1"/>
  <c r="AJ74" i="1"/>
  <c r="CX74" i="1" s="1"/>
  <c r="CS74" i="1"/>
  <c r="CU74" i="1"/>
  <c r="CW74" i="1"/>
  <c r="CY74" i="1"/>
  <c r="X74" i="1" s="1"/>
  <c r="CZ74" i="1"/>
  <c r="Y74" i="1" s="1"/>
  <c r="FR74" i="1"/>
  <c r="GL74" i="1"/>
  <c r="GO74" i="1"/>
  <c r="GP74" i="1"/>
  <c r="GV74" i="1"/>
  <c r="HC74" i="1"/>
  <c r="I75" i="1"/>
  <c r="AC75" i="1"/>
  <c r="AB75" i="1" s="1"/>
  <c r="AD75" i="1"/>
  <c r="AE75" i="1"/>
  <c r="CS75" i="1" s="1"/>
  <c r="AF75" i="1"/>
  <c r="AG75" i="1"/>
  <c r="CU75" i="1" s="1"/>
  <c r="AH75" i="1"/>
  <c r="AI75" i="1"/>
  <c r="CW75" i="1" s="1"/>
  <c r="AJ75" i="1"/>
  <c r="CR75" i="1"/>
  <c r="CT75" i="1"/>
  <c r="CV75" i="1"/>
  <c r="CX75" i="1"/>
  <c r="FR75" i="1"/>
  <c r="GL75" i="1"/>
  <c r="GO75" i="1"/>
  <c r="GP75" i="1"/>
  <c r="GV75" i="1"/>
  <c r="HC75" i="1"/>
  <c r="I76" i="1"/>
  <c r="Q64" i="15" s="1"/>
  <c r="AC76" i="1"/>
  <c r="CQ76" i="1" s="1"/>
  <c r="AD76" i="1"/>
  <c r="CR76" i="1" s="1"/>
  <c r="AE76" i="1"/>
  <c r="AF76" i="1"/>
  <c r="AG76" i="1"/>
  <c r="AH76" i="1"/>
  <c r="CV76" i="1" s="1"/>
  <c r="AI76" i="1"/>
  <c r="AJ76" i="1"/>
  <c r="CX76" i="1" s="1"/>
  <c r="CS76" i="1"/>
  <c r="CU76" i="1"/>
  <c r="CW76" i="1"/>
  <c r="CY76" i="1"/>
  <c r="X76" i="1" s="1"/>
  <c r="CZ76" i="1"/>
  <c r="Y76" i="1" s="1"/>
  <c r="FR76" i="1"/>
  <c r="GL76" i="1"/>
  <c r="GO76" i="1"/>
  <c r="GP76" i="1"/>
  <c r="GV76" i="1"/>
  <c r="HC76" i="1"/>
  <c r="I77" i="1"/>
  <c r="AC77" i="1"/>
  <c r="CQ77" i="1" s="1"/>
  <c r="AD77" i="1"/>
  <c r="AE77" i="1"/>
  <c r="CS77" i="1" s="1"/>
  <c r="AF77" i="1"/>
  <c r="AG77" i="1"/>
  <c r="CU77" i="1" s="1"/>
  <c r="AH77" i="1"/>
  <c r="AI77" i="1"/>
  <c r="CW77" i="1" s="1"/>
  <c r="AJ77" i="1"/>
  <c r="CR77" i="1"/>
  <c r="CT77" i="1"/>
  <c r="CV77" i="1"/>
  <c r="CX77" i="1"/>
  <c r="W77" i="1" s="1"/>
  <c r="FR77" i="1"/>
  <c r="GL77" i="1"/>
  <c r="GO77" i="1"/>
  <c r="GP77" i="1"/>
  <c r="GV77" i="1"/>
  <c r="HC77" i="1"/>
  <c r="I78" i="1"/>
  <c r="Q65" i="15" s="1"/>
  <c r="AC78" i="1"/>
  <c r="CQ78" i="1" s="1"/>
  <c r="AD78" i="1"/>
  <c r="AE78" i="1"/>
  <c r="AF78" i="1"/>
  <c r="CT78" i="1" s="1"/>
  <c r="AG78" i="1"/>
  <c r="AH78" i="1"/>
  <c r="CV78" i="1" s="1"/>
  <c r="AI78" i="1"/>
  <c r="AJ78" i="1"/>
  <c r="CX78" i="1" s="1"/>
  <c r="CS78" i="1"/>
  <c r="CU78" i="1"/>
  <c r="CW78" i="1"/>
  <c r="CY78" i="1"/>
  <c r="X78" i="1" s="1"/>
  <c r="CZ78" i="1"/>
  <c r="Y78" i="1" s="1"/>
  <c r="FR78" i="1"/>
  <c r="GL78" i="1"/>
  <c r="GO78" i="1"/>
  <c r="GP78" i="1"/>
  <c r="GV78" i="1"/>
  <c r="HC78" i="1"/>
  <c r="I79" i="1"/>
  <c r="Q66" i="13" s="1"/>
  <c r="AC79" i="1"/>
  <c r="AB79" i="1" s="1"/>
  <c r="AD79" i="1"/>
  <c r="AE79" i="1"/>
  <c r="CS79" i="1" s="1"/>
  <c r="AF79" i="1"/>
  <c r="AG79" i="1"/>
  <c r="CU79" i="1" s="1"/>
  <c r="AH79" i="1"/>
  <c r="AI79" i="1"/>
  <c r="CW79" i="1" s="1"/>
  <c r="AJ79" i="1"/>
  <c r="CR79" i="1"/>
  <c r="CT79" i="1"/>
  <c r="CV79" i="1"/>
  <c r="CX79" i="1"/>
  <c r="W79" i="1" s="1"/>
  <c r="FR79" i="1"/>
  <c r="GL79" i="1"/>
  <c r="GO79" i="1"/>
  <c r="GP79" i="1"/>
  <c r="GV79" i="1"/>
  <c r="HC79" i="1"/>
  <c r="I80" i="1"/>
  <c r="Q97" i="15" s="1"/>
  <c r="AC80" i="1"/>
  <c r="CQ80" i="1" s="1"/>
  <c r="AD80" i="1"/>
  <c r="CR80" i="1" s="1"/>
  <c r="AE80" i="1"/>
  <c r="AF80" i="1"/>
  <c r="CT80" i="1" s="1"/>
  <c r="AG80" i="1"/>
  <c r="AH80" i="1"/>
  <c r="CV80" i="1" s="1"/>
  <c r="AI80" i="1"/>
  <c r="AJ80" i="1"/>
  <c r="CX80" i="1" s="1"/>
  <c r="CS80" i="1"/>
  <c r="CU80" i="1"/>
  <c r="CW80" i="1"/>
  <c r="FR80" i="1"/>
  <c r="GL80" i="1"/>
  <c r="GO80" i="1"/>
  <c r="GP80" i="1"/>
  <c r="GV80" i="1"/>
  <c r="HC80" i="1"/>
  <c r="I81" i="1"/>
  <c r="Q45" i="13" s="1"/>
  <c r="AC81" i="1"/>
  <c r="CQ81" i="1" s="1"/>
  <c r="AE81" i="1"/>
  <c r="AD81" i="1" s="1"/>
  <c r="CR81" i="1" s="1"/>
  <c r="AF81" i="1"/>
  <c r="AG81" i="1"/>
  <c r="CU81" i="1" s="1"/>
  <c r="AH81" i="1"/>
  <c r="AI81" i="1"/>
  <c r="CW81" i="1" s="1"/>
  <c r="AJ81" i="1"/>
  <c r="CT81" i="1"/>
  <c r="CV81" i="1"/>
  <c r="CX81" i="1"/>
  <c r="FR81" i="1"/>
  <c r="GL81" i="1"/>
  <c r="GO81" i="1"/>
  <c r="GP81" i="1"/>
  <c r="GV81" i="1"/>
  <c r="HC81" i="1"/>
  <c r="AC82" i="1"/>
  <c r="CQ82" i="1" s="1"/>
  <c r="P82" i="1" s="1"/>
  <c r="AE82" i="1"/>
  <c r="AD82" i="1" s="1"/>
  <c r="CR82" i="1" s="1"/>
  <c r="Q82" i="1" s="1"/>
  <c r="AF82" i="1"/>
  <c r="AG82" i="1"/>
  <c r="CU82" i="1" s="1"/>
  <c r="T82" i="1" s="1"/>
  <c r="AH82" i="1"/>
  <c r="AI82" i="1"/>
  <c r="CW82" i="1" s="1"/>
  <c r="V82" i="1" s="1"/>
  <c r="AJ82" i="1"/>
  <c r="CT82" i="1"/>
  <c r="S82" i="1" s="1"/>
  <c r="CV82" i="1"/>
  <c r="U82" i="1" s="1"/>
  <c r="CX82" i="1"/>
  <c r="W82" i="1" s="1"/>
  <c r="FR82" i="1"/>
  <c r="GL82" i="1"/>
  <c r="GO82" i="1"/>
  <c r="GP82" i="1"/>
  <c r="GV82" i="1"/>
  <c r="GX82" i="1"/>
  <c r="HC82" i="1"/>
  <c r="AC83" i="1"/>
  <c r="CQ83" i="1" s="1"/>
  <c r="P83" i="1" s="1"/>
  <c r="AE83" i="1"/>
  <c r="AD83" i="1" s="1"/>
  <c r="AF83" i="1"/>
  <c r="AG83" i="1"/>
  <c r="CU83" i="1" s="1"/>
  <c r="T83" i="1" s="1"/>
  <c r="AH83" i="1"/>
  <c r="AI83" i="1"/>
  <c r="CW83" i="1" s="1"/>
  <c r="V83" i="1" s="1"/>
  <c r="AJ83" i="1"/>
  <c r="CT83" i="1"/>
  <c r="S83" i="1" s="1"/>
  <c r="CV83" i="1"/>
  <c r="U83" i="1" s="1"/>
  <c r="CX83" i="1"/>
  <c r="W83" i="1" s="1"/>
  <c r="FR83" i="1"/>
  <c r="GL83" i="1"/>
  <c r="GO83" i="1"/>
  <c r="GP83" i="1"/>
  <c r="GV83" i="1"/>
  <c r="GX83" i="1"/>
  <c r="HC83" i="1"/>
  <c r="B85" i="1"/>
  <c r="B26" i="1" s="1"/>
  <c r="C85" i="1"/>
  <c r="C26" i="1" s="1"/>
  <c r="D85" i="1"/>
  <c r="D26" i="1" s="1"/>
  <c r="F85" i="1"/>
  <c r="F26" i="1" s="1"/>
  <c r="G85" i="1"/>
  <c r="G26" i="1" s="1"/>
  <c r="BB85" i="1"/>
  <c r="BX85" i="1"/>
  <c r="BX26" i="1" s="1"/>
  <c r="CK85" i="1"/>
  <c r="CK26" i="1" s="1"/>
  <c r="CL85" i="1"/>
  <c r="CL26" i="1" s="1"/>
  <c r="CM85" i="1"/>
  <c r="CM26" i="1" s="1"/>
  <c r="FP85" i="1"/>
  <c r="FP26" i="1" s="1"/>
  <c r="GC85" i="1"/>
  <c r="GC26" i="1" s="1"/>
  <c r="GD85" i="1"/>
  <c r="GD26" i="1" s="1"/>
  <c r="GE85" i="1"/>
  <c r="GE26" i="1" s="1"/>
  <c r="D115" i="1"/>
  <c r="E117" i="1"/>
  <c r="Z117" i="1"/>
  <c r="AA117" i="1"/>
  <c r="AM117" i="1"/>
  <c r="AN117" i="1"/>
  <c r="BE117" i="1"/>
  <c r="BF117" i="1"/>
  <c r="BG117" i="1"/>
  <c r="BH117" i="1"/>
  <c r="BI117" i="1"/>
  <c r="BJ117" i="1"/>
  <c r="BK117" i="1"/>
  <c r="BL117" i="1"/>
  <c r="BM117" i="1"/>
  <c r="BN117" i="1"/>
  <c r="BO117" i="1"/>
  <c r="BP117" i="1"/>
  <c r="BQ117" i="1"/>
  <c r="BR117" i="1"/>
  <c r="BS117" i="1"/>
  <c r="BT117" i="1"/>
  <c r="BU117" i="1"/>
  <c r="BV117" i="1"/>
  <c r="BW117" i="1"/>
  <c r="CN117" i="1"/>
  <c r="CO117" i="1"/>
  <c r="CP117" i="1"/>
  <c r="CQ117" i="1"/>
  <c r="CR117" i="1"/>
  <c r="CS117" i="1"/>
  <c r="CT117" i="1"/>
  <c r="CU117" i="1"/>
  <c r="CV117" i="1"/>
  <c r="CW117" i="1"/>
  <c r="CX117" i="1"/>
  <c r="CY117" i="1"/>
  <c r="CZ117" i="1"/>
  <c r="DA117" i="1"/>
  <c r="DB117" i="1"/>
  <c r="DC117" i="1"/>
  <c r="DD117" i="1"/>
  <c r="DE117" i="1"/>
  <c r="DF117" i="1"/>
  <c r="DR117" i="1"/>
  <c r="DS117" i="1"/>
  <c r="EE117" i="1"/>
  <c r="EF117" i="1"/>
  <c r="EW117" i="1"/>
  <c r="EX117" i="1"/>
  <c r="EY117" i="1"/>
  <c r="EZ117" i="1"/>
  <c r="FA117" i="1"/>
  <c r="FB117" i="1"/>
  <c r="FC117" i="1"/>
  <c r="FD117" i="1"/>
  <c r="FE117" i="1"/>
  <c r="FF117" i="1"/>
  <c r="FG117" i="1"/>
  <c r="FH117" i="1"/>
  <c r="FI117" i="1"/>
  <c r="FJ117" i="1"/>
  <c r="FK117" i="1"/>
  <c r="FL117" i="1"/>
  <c r="FM117" i="1"/>
  <c r="FN117" i="1"/>
  <c r="FO117" i="1"/>
  <c r="GF117" i="1"/>
  <c r="GG117" i="1"/>
  <c r="GH117" i="1"/>
  <c r="GI117" i="1"/>
  <c r="GJ117" i="1"/>
  <c r="GK117" i="1"/>
  <c r="GL117" i="1"/>
  <c r="GM117" i="1"/>
  <c r="GN117" i="1"/>
  <c r="GO117" i="1"/>
  <c r="GP117" i="1"/>
  <c r="GQ117" i="1"/>
  <c r="GR117" i="1"/>
  <c r="GS117" i="1"/>
  <c r="GT117" i="1"/>
  <c r="GU117" i="1"/>
  <c r="GV117" i="1"/>
  <c r="GW117" i="1"/>
  <c r="GX117" i="1"/>
  <c r="C119" i="1"/>
  <c r="D119" i="1"/>
  <c r="K119" i="1"/>
  <c r="AC119" i="1"/>
  <c r="AE119" i="1"/>
  <c r="CS119" i="1" s="1"/>
  <c r="R119" i="1" s="1"/>
  <c r="AF119" i="1"/>
  <c r="AG119" i="1"/>
  <c r="CU119" i="1" s="1"/>
  <c r="T119" i="1" s="1"/>
  <c r="AH119" i="1"/>
  <c r="AI119" i="1"/>
  <c r="CW119" i="1" s="1"/>
  <c r="V119" i="1" s="1"/>
  <c r="AJ119" i="1"/>
  <c r="CT119" i="1"/>
  <c r="S119" i="1" s="1"/>
  <c r="CV119" i="1"/>
  <c r="U119" i="1" s="1"/>
  <c r="CX119" i="1"/>
  <c r="W119" i="1" s="1"/>
  <c r="FR119" i="1"/>
  <c r="GL119" i="1"/>
  <c r="GO119" i="1"/>
  <c r="GP119" i="1"/>
  <c r="GV119" i="1"/>
  <c r="GX119" i="1"/>
  <c r="HC119" i="1"/>
  <c r="C120" i="1"/>
  <c r="D120" i="1"/>
  <c r="I124" i="1"/>
  <c r="K120" i="1"/>
  <c r="AC120" i="1"/>
  <c r="AE120" i="1"/>
  <c r="AF120" i="1"/>
  <c r="AG120" i="1"/>
  <c r="CU120" i="1" s="1"/>
  <c r="T120" i="1" s="1"/>
  <c r="AH120" i="1"/>
  <c r="AI120" i="1"/>
  <c r="CW120" i="1" s="1"/>
  <c r="V120" i="1" s="1"/>
  <c r="AJ120" i="1"/>
  <c r="CX120" i="1"/>
  <c r="W120" i="1" s="1"/>
  <c r="FR120" i="1"/>
  <c r="GL120" i="1"/>
  <c r="GO120" i="1"/>
  <c r="GP120" i="1"/>
  <c r="GV120" i="1"/>
  <c r="GX120" i="1"/>
  <c r="HC120" i="1"/>
  <c r="I121" i="1"/>
  <c r="Q58" i="15" s="1"/>
  <c r="AC121" i="1"/>
  <c r="CQ121" i="1" s="1"/>
  <c r="AD121" i="1"/>
  <c r="CR121" i="1" s="1"/>
  <c r="AE121" i="1"/>
  <c r="AF121" i="1"/>
  <c r="AG121" i="1"/>
  <c r="AH121" i="1"/>
  <c r="CV121" i="1" s="1"/>
  <c r="AI121" i="1"/>
  <c r="AJ121" i="1"/>
  <c r="CX121" i="1" s="1"/>
  <c r="CS121" i="1"/>
  <c r="CU121" i="1"/>
  <c r="CW121" i="1"/>
  <c r="FR121" i="1"/>
  <c r="GL121" i="1"/>
  <c r="GO121" i="1"/>
  <c r="GP121" i="1"/>
  <c r="GV121" i="1"/>
  <c r="HC121" i="1"/>
  <c r="AC122" i="1"/>
  <c r="CQ122" i="1" s="1"/>
  <c r="AE122" i="1"/>
  <c r="AD122" i="1" s="1"/>
  <c r="CR122" i="1" s="1"/>
  <c r="AF122" i="1"/>
  <c r="AG122" i="1"/>
  <c r="CU122" i="1" s="1"/>
  <c r="AH122" i="1"/>
  <c r="AI122" i="1"/>
  <c r="CW122" i="1" s="1"/>
  <c r="AJ122" i="1"/>
  <c r="CT122" i="1"/>
  <c r="CV122" i="1"/>
  <c r="CX122" i="1"/>
  <c r="FR122" i="1"/>
  <c r="GL122" i="1"/>
  <c r="GO122" i="1"/>
  <c r="GP122" i="1"/>
  <c r="GV122" i="1"/>
  <c r="HC122" i="1" s="1"/>
  <c r="I123" i="1"/>
  <c r="Q77" i="15" s="1"/>
  <c r="AC123" i="1"/>
  <c r="CQ123" i="1" s="1"/>
  <c r="AD123" i="1"/>
  <c r="AE123" i="1"/>
  <c r="AF123" i="1"/>
  <c r="CT123" i="1" s="1"/>
  <c r="AG123" i="1"/>
  <c r="AH123" i="1"/>
  <c r="CV123" i="1" s="1"/>
  <c r="AI123" i="1"/>
  <c r="AJ123" i="1"/>
  <c r="CX123" i="1" s="1"/>
  <c r="CS123" i="1"/>
  <c r="CU123" i="1"/>
  <c r="CW123" i="1"/>
  <c r="FR123" i="1"/>
  <c r="GL123" i="1"/>
  <c r="GO123" i="1"/>
  <c r="GP123" i="1"/>
  <c r="GV123" i="1"/>
  <c r="HC123" i="1" s="1"/>
  <c r="AC124" i="1"/>
  <c r="AE124" i="1"/>
  <c r="CS124" i="1" s="1"/>
  <c r="AF124" i="1"/>
  <c r="AG124" i="1"/>
  <c r="CU124" i="1" s="1"/>
  <c r="AH124" i="1"/>
  <c r="AI124" i="1"/>
  <c r="CW124" i="1" s="1"/>
  <c r="AJ124" i="1"/>
  <c r="CT124" i="1"/>
  <c r="CV124" i="1"/>
  <c r="CX124" i="1"/>
  <c r="FR124" i="1"/>
  <c r="GL124" i="1"/>
  <c r="GO124" i="1"/>
  <c r="GP124" i="1"/>
  <c r="GV124" i="1"/>
  <c r="HC124" i="1"/>
  <c r="C125" i="1"/>
  <c r="D125" i="1"/>
  <c r="AC125" i="1"/>
  <c r="CQ125" i="1" s="1"/>
  <c r="P125" i="1" s="1"/>
  <c r="AE125" i="1"/>
  <c r="AD125" i="1" s="1"/>
  <c r="CR125" i="1" s="1"/>
  <c r="Q125" i="1" s="1"/>
  <c r="AF125" i="1"/>
  <c r="AG125" i="1"/>
  <c r="CU125" i="1" s="1"/>
  <c r="T125" i="1" s="1"/>
  <c r="AH125" i="1"/>
  <c r="AI125" i="1"/>
  <c r="CW125" i="1" s="1"/>
  <c r="V125" i="1" s="1"/>
  <c r="AJ125" i="1"/>
  <c r="CT125" i="1"/>
  <c r="S125" i="1" s="1"/>
  <c r="CV125" i="1"/>
  <c r="U125" i="1" s="1"/>
  <c r="CX125" i="1"/>
  <c r="W125" i="1" s="1"/>
  <c r="FR125" i="1"/>
  <c r="GL125" i="1"/>
  <c r="GO125" i="1"/>
  <c r="GP125" i="1"/>
  <c r="GV125" i="1"/>
  <c r="HC125" i="1" s="1"/>
  <c r="GX125" i="1" s="1"/>
  <c r="C126" i="1"/>
  <c r="D126" i="1"/>
  <c r="AC126" i="1"/>
  <c r="AE126" i="1"/>
  <c r="AF126" i="1"/>
  <c r="AG126" i="1"/>
  <c r="CU126" i="1" s="1"/>
  <c r="T126" i="1" s="1"/>
  <c r="AH126" i="1"/>
  <c r="AI126" i="1"/>
  <c r="CW126" i="1" s="1"/>
  <c r="V126" i="1" s="1"/>
  <c r="AJ126" i="1"/>
  <c r="CX126" i="1"/>
  <c r="W126" i="1" s="1"/>
  <c r="FR126" i="1"/>
  <c r="GL126" i="1"/>
  <c r="GO126" i="1"/>
  <c r="GP126" i="1"/>
  <c r="GV126" i="1"/>
  <c r="GX126" i="1"/>
  <c r="HC126" i="1"/>
  <c r="I127" i="1"/>
  <c r="P61" i="15" s="1"/>
  <c r="O61" i="15" s="1"/>
  <c r="E61" i="15" s="1"/>
  <c r="G61" i="15" s="1"/>
  <c r="AC127" i="1"/>
  <c r="CQ127" i="1" s="1"/>
  <c r="AD127" i="1"/>
  <c r="CR127" i="1" s="1"/>
  <c r="AE127" i="1"/>
  <c r="AF127" i="1"/>
  <c r="CT127" i="1" s="1"/>
  <c r="AG127" i="1"/>
  <c r="AH127" i="1"/>
  <c r="CV127" i="1" s="1"/>
  <c r="AI127" i="1"/>
  <c r="AJ127" i="1"/>
  <c r="CX127" i="1" s="1"/>
  <c r="CS127" i="1"/>
  <c r="CU127" i="1"/>
  <c r="CW127" i="1"/>
  <c r="FR127" i="1"/>
  <c r="GL127" i="1"/>
  <c r="GO127" i="1"/>
  <c r="GP127" i="1"/>
  <c r="GV127" i="1"/>
  <c r="HC127" i="1"/>
  <c r="I128" i="1"/>
  <c r="P25" i="13" s="1"/>
  <c r="O25" i="13" s="1"/>
  <c r="E25" i="13" s="1"/>
  <c r="G25" i="13" s="1"/>
  <c r="AC128" i="1"/>
  <c r="CQ128" i="1" s="1"/>
  <c r="AE128" i="1"/>
  <c r="AD128" i="1" s="1"/>
  <c r="CR128" i="1" s="1"/>
  <c r="AF128" i="1"/>
  <c r="AG128" i="1"/>
  <c r="CU128" i="1" s="1"/>
  <c r="AH128" i="1"/>
  <c r="AI128" i="1"/>
  <c r="CW128" i="1" s="1"/>
  <c r="AJ128" i="1"/>
  <c r="CT128" i="1"/>
  <c r="CV128" i="1"/>
  <c r="CX128" i="1"/>
  <c r="FR128" i="1"/>
  <c r="GL128" i="1"/>
  <c r="GO128" i="1"/>
  <c r="GP128" i="1"/>
  <c r="GV128" i="1"/>
  <c r="HC128" i="1" s="1"/>
  <c r="I129" i="1"/>
  <c r="P78" i="15" s="1"/>
  <c r="O78" i="15" s="1"/>
  <c r="E78" i="15" s="1"/>
  <c r="G78" i="15" s="1"/>
  <c r="AC129" i="1"/>
  <c r="CQ129" i="1" s="1"/>
  <c r="AD129" i="1"/>
  <c r="CR129" i="1" s="1"/>
  <c r="AE129" i="1"/>
  <c r="AF129" i="1"/>
  <c r="AG129" i="1"/>
  <c r="AH129" i="1"/>
  <c r="CV129" i="1" s="1"/>
  <c r="AI129" i="1"/>
  <c r="AJ129" i="1"/>
  <c r="CX129" i="1" s="1"/>
  <c r="CS129" i="1"/>
  <c r="CU129" i="1"/>
  <c r="CW129" i="1"/>
  <c r="FR129" i="1"/>
  <c r="GL129" i="1"/>
  <c r="GO129" i="1"/>
  <c r="GP129" i="1"/>
  <c r="GV129" i="1"/>
  <c r="HC129" i="1"/>
  <c r="I130" i="1"/>
  <c r="P49" i="13" s="1"/>
  <c r="O49" i="13" s="1"/>
  <c r="E49" i="13" s="1"/>
  <c r="G49" i="13" s="1"/>
  <c r="AC130" i="1"/>
  <c r="AE130" i="1"/>
  <c r="CS130" i="1" s="1"/>
  <c r="AF130" i="1"/>
  <c r="AG130" i="1"/>
  <c r="CU130" i="1" s="1"/>
  <c r="AH130" i="1"/>
  <c r="AI130" i="1"/>
  <c r="CW130" i="1" s="1"/>
  <c r="AJ130" i="1"/>
  <c r="CT130" i="1"/>
  <c r="CV130" i="1"/>
  <c r="CX130" i="1"/>
  <c r="FR130" i="1"/>
  <c r="GL130" i="1"/>
  <c r="GO130" i="1"/>
  <c r="GP130" i="1"/>
  <c r="GV130" i="1"/>
  <c r="HC130" i="1"/>
  <c r="I131" i="1"/>
  <c r="P100" i="15" s="1"/>
  <c r="O100" i="15" s="1"/>
  <c r="E100" i="15" s="1"/>
  <c r="G100" i="15" s="1"/>
  <c r="AC131" i="1"/>
  <c r="CQ131" i="1" s="1"/>
  <c r="AD131" i="1"/>
  <c r="CR131" i="1" s="1"/>
  <c r="AE131" i="1"/>
  <c r="AF131" i="1"/>
  <c r="CT131" i="1" s="1"/>
  <c r="AG131" i="1"/>
  <c r="AH131" i="1"/>
  <c r="CV131" i="1" s="1"/>
  <c r="AI131" i="1"/>
  <c r="AJ131" i="1"/>
  <c r="CX131" i="1" s="1"/>
  <c r="CS131" i="1"/>
  <c r="CU131" i="1"/>
  <c r="CW131" i="1"/>
  <c r="FR131" i="1"/>
  <c r="GL131" i="1"/>
  <c r="GO131" i="1"/>
  <c r="GP131" i="1"/>
  <c r="GV131" i="1"/>
  <c r="HC131" i="1"/>
  <c r="I132" i="1"/>
  <c r="P48" i="13" s="1"/>
  <c r="O48" i="13" s="1"/>
  <c r="E48" i="13" s="1"/>
  <c r="G48" i="13" s="1"/>
  <c r="AC132" i="1"/>
  <c r="CQ132" i="1" s="1"/>
  <c r="AE132" i="1"/>
  <c r="AD132" i="1" s="1"/>
  <c r="CR132" i="1" s="1"/>
  <c r="AF132" i="1"/>
  <c r="AG132" i="1"/>
  <c r="CU132" i="1" s="1"/>
  <c r="AH132" i="1"/>
  <c r="AI132" i="1"/>
  <c r="CW132" i="1" s="1"/>
  <c r="AJ132" i="1"/>
  <c r="CT132" i="1"/>
  <c r="CV132" i="1"/>
  <c r="CX132" i="1"/>
  <c r="FR132" i="1"/>
  <c r="GL132" i="1"/>
  <c r="GO132" i="1"/>
  <c r="GP132" i="1"/>
  <c r="GV132" i="1"/>
  <c r="HC132" i="1"/>
  <c r="C133" i="1"/>
  <c r="D133" i="1"/>
  <c r="AC133" i="1"/>
  <c r="AB133" i="1" s="1"/>
  <c r="AD133" i="1"/>
  <c r="AE133" i="1"/>
  <c r="CS133" i="1" s="1"/>
  <c r="R133" i="1" s="1"/>
  <c r="AF133" i="1"/>
  <c r="AG133" i="1"/>
  <c r="CU133" i="1" s="1"/>
  <c r="T133" i="1" s="1"/>
  <c r="AH133" i="1"/>
  <c r="AI133" i="1"/>
  <c r="CW133" i="1" s="1"/>
  <c r="V133" i="1" s="1"/>
  <c r="AJ133" i="1"/>
  <c r="CR133" i="1"/>
  <c r="Q133" i="1" s="1"/>
  <c r="CT133" i="1"/>
  <c r="S133" i="1" s="1"/>
  <c r="CV133" i="1"/>
  <c r="U133" i="1" s="1"/>
  <c r="CX133" i="1"/>
  <c r="W133" i="1" s="1"/>
  <c r="FR133" i="1"/>
  <c r="GL133" i="1"/>
  <c r="GO133" i="1"/>
  <c r="GP133" i="1"/>
  <c r="GV133" i="1"/>
  <c r="HC133" i="1" s="1"/>
  <c r="GX133" i="1" s="1"/>
  <c r="C134" i="1"/>
  <c r="D134" i="1"/>
  <c r="AC134" i="1"/>
  <c r="CQ134" i="1" s="1"/>
  <c r="P134" i="1" s="1"/>
  <c r="AD134" i="1"/>
  <c r="AE134" i="1"/>
  <c r="AF134" i="1"/>
  <c r="AG134" i="1"/>
  <c r="CU134" i="1" s="1"/>
  <c r="T134" i="1" s="1"/>
  <c r="AH134" i="1"/>
  <c r="AI134" i="1"/>
  <c r="CW134" i="1" s="1"/>
  <c r="V134" i="1" s="1"/>
  <c r="AJ134" i="1"/>
  <c r="CX134" i="1"/>
  <c r="W134" i="1" s="1"/>
  <c r="FR134" i="1"/>
  <c r="GL134" i="1"/>
  <c r="GO134" i="1"/>
  <c r="GP134" i="1"/>
  <c r="GV134" i="1"/>
  <c r="GX134" i="1"/>
  <c r="HC134" i="1"/>
  <c r="I135" i="1"/>
  <c r="P88" i="15" s="1"/>
  <c r="AC135" i="1"/>
  <c r="CQ135" i="1" s="1"/>
  <c r="AD135" i="1"/>
  <c r="AE135" i="1"/>
  <c r="AF135" i="1"/>
  <c r="CT135" i="1" s="1"/>
  <c r="AG135" i="1"/>
  <c r="AH135" i="1"/>
  <c r="CV135" i="1" s="1"/>
  <c r="AI135" i="1"/>
  <c r="AJ135" i="1"/>
  <c r="CX135" i="1" s="1"/>
  <c r="CS135" i="1"/>
  <c r="CU135" i="1"/>
  <c r="CW135" i="1"/>
  <c r="FR135" i="1"/>
  <c r="GL135" i="1"/>
  <c r="GO135" i="1"/>
  <c r="GP135" i="1"/>
  <c r="GV135" i="1"/>
  <c r="HC135" i="1" s="1"/>
  <c r="I136" i="1"/>
  <c r="P30" i="13" s="1"/>
  <c r="AC136" i="1"/>
  <c r="AE136" i="1"/>
  <c r="CS136" i="1" s="1"/>
  <c r="AF136" i="1"/>
  <c r="AG136" i="1"/>
  <c r="CU136" i="1" s="1"/>
  <c r="AH136" i="1"/>
  <c r="AI136" i="1"/>
  <c r="CW136" i="1" s="1"/>
  <c r="AJ136" i="1"/>
  <c r="CT136" i="1"/>
  <c r="CV136" i="1"/>
  <c r="CX136" i="1"/>
  <c r="FR136" i="1"/>
  <c r="GL136" i="1"/>
  <c r="GO136" i="1"/>
  <c r="GP136" i="1"/>
  <c r="GV136" i="1"/>
  <c r="HC136" i="1"/>
  <c r="C137" i="1"/>
  <c r="D137" i="1"/>
  <c r="AC137" i="1"/>
  <c r="CQ137" i="1" s="1"/>
  <c r="P137" i="1" s="1"/>
  <c r="AD137" i="1"/>
  <c r="AE137" i="1"/>
  <c r="CS137" i="1" s="1"/>
  <c r="R137" i="1" s="1"/>
  <c r="AF137" i="1"/>
  <c r="AG137" i="1"/>
  <c r="CU137" i="1" s="1"/>
  <c r="T137" i="1" s="1"/>
  <c r="AH137" i="1"/>
  <c r="AI137" i="1"/>
  <c r="CW137" i="1" s="1"/>
  <c r="V137" i="1" s="1"/>
  <c r="AJ137" i="1"/>
  <c r="CR137" i="1"/>
  <c r="Q137" i="1" s="1"/>
  <c r="CT137" i="1"/>
  <c r="S137" i="1" s="1"/>
  <c r="CV137" i="1"/>
  <c r="U137" i="1" s="1"/>
  <c r="CX137" i="1"/>
  <c r="W137" i="1" s="1"/>
  <c r="FR137" i="1"/>
  <c r="GL137" i="1"/>
  <c r="GO137" i="1"/>
  <c r="GP137" i="1"/>
  <c r="GV137" i="1"/>
  <c r="HC137" i="1" s="1"/>
  <c r="GX137" i="1" s="1"/>
  <c r="C138" i="1"/>
  <c r="D138" i="1"/>
  <c r="AC138" i="1"/>
  <c r="AD138" i="1"/>
  <c r="AE138" i="1"/>
  <c r="AF138" i="1"/>
  <c r="AG138" i="1"/>
  <c r="CU138" i="1" s="1"/>
  <c r="T138" i="1" s="1"/>
  <c r="AH138" i="1"/>
  <c r="AI138" i="1"/>
  <c r="CW138" i="1" s="1"/>
  <c r="V138" i="1" s="1"/>
  <c r="AJ138" i="1"/>
  <c r="CX138" i="1"/>
  <c r="W138" i="1" s="1"/>
  <c r="FR138" i="1"/>
  <c r="GL138" i="1"/>
  <c r="GO138" i="1"/>
  <c r="GP138" i="1"/>
  <c r="GV138" i="1"/>
  <c r="GX138" i="1"/>
  <c r="HC138" i="1"/>
  <c r="I139" i="1"/>
  <c r="Q88" i="15" s="1"/>
  <c r="AC139" i="1"/>
  <c r="CQ139" i="1" s="1"/>
  <c r="AD139" i="1"/>
  <c r="CR139" i="1" s="1"/>
  <c r="AE139" i="1"/>
  <c r="AF139" i="1"/>
  <c r="AG139" i="1"/>
  <c r="AH139" i="1"/>
  <c r="CV139" i="1" s="1"/>
  <c r="AI139" i="1"/>
  <c r="AJ139" i="1"/>
  <c r="CX139" i="1" s="1"/>
  <c r="CS139" i="1"/>
  <c r="CU139" i="1"/>
  <c r="CW139" i="1"/>
  <c r="FR139" i="1"/>
  <c r="GL139" i="1"/>
  <c r="GO139" i="1"/>
  <c r="GP139" i="1"/>
  <c r="GV139" i="1"/>
  <c r="HC139" i="1"/>
  <c r="I140" i="1"/>
  <c r="Q30" i="13" s="1"/>
  <c r="AC140" i="1"/>
  <c r="CQ140" i="1" s="1"/>
  <c r="AE140" i="1"/>
  <c r="AD140" i="1" s="1"/>
  <c r="CR140" i="1" s="1"/>
  <c r="AF140" i="1"/>
  <c r="AG140" i="1"/>
  <c r="CU140" i="1" s="1"/>
  <c r="AH140" i="1"/>
  <c r="AI140" i="1"/>
  <c r="CW140" i="1" s="1"/>
  <c r="AJ140" i="1"/>
  <c r="CT140" i="1"/>
  <c r="CV140" i="1"/>
  <c r="CX140" i="1"/>
  <c r="FR140" i="1"/>
  <c r="GL140" i="1"/>
  <c r="GO140" i="1"/>
  <c r="GP140" i="1"/>
  <c r="GV140" i="1"/>
  <c r="HC140" i="1"/>
  <c r="I141" i="1"/>
  <c r="P98" i="15" s="1"/>
  <c r="O98" i="15" s="1"/>
  <c r="E98" i="15" s="1"/>
  <c r="G98" i="15" s="1"/>
  <c r="AC141" i="1"/>
  <c r="CQ141" i="1" s="1"/>
  <c r="AD141" i="1"/>
  <c r="AE141" i="1"/>
  <c r="AF141" i="1"/>
  <c r="CT141" i="1" s="1"/>
  <c r="AG141" i="1"/>
  <c r="AH141" i="1"/>
  <c r="CV141" i="1" s="1"/>
  <c r="AI141" i="1"/>
  <c r="AJ141" i="1"/>
  <c r="CX141" i="1" s="1"/>
  <c r="CS141" i="1"/>
  <c r="CU141" i="1"/>
  <c r="CW141" i="1"/>
  <c r="FR141" i="1"/>
  <c r="GL141" i="1"/>
  <c r="GO141" i="1"/>
  <c r="GP141" i="1"/>
  <c r="GV141" i="1"/>
  <c r="HC141" i="1" s="1"/>
  <c r="I142" i="1"/>
  <c r="P46" i="13" s="1"/>
  <c r="O46" i="13" s="1"/>
  <c r="E46" i="13" s="1"/>
  <c r="G46" i="13" s="1"/>
  <c r="AC142" i="1"/>
  <c r="AE142" i="1"/>
  <c r="CS142" i="1" s="1"/>
  <c r="AF142" i="1"/>
  <c r="AG142" i="1"/>
  <c r="CU142" i="1" s="1"/>
  <c r="AH142" i="1"/>
  <c r="AI142" i="1"/>
  <c r="CW142" i="1" s="1"/>
  <c r="AJ142" i="1"/>
  <c r="CT142" i="1"/>
  <c r="CV142" i="1"/>
  <c r="CX142" i="1"/>
  <c r="FR142" i="1"/>
  <c r="GL142" i="1"/>
  <c r="GO142" i="1"/>
  <c r="GP142" i="1"/>
  <c r="GV142" i="1"/>
  <c r="HC142" i="1"/>
  <c r="C143" i="1"/>
  <c r="D143" i="1"/>
  <c r="AC143" i="1"/>
  <c r="CQ143" i="1" s="1"/>
  <c r="P143" i="1" s="1"/>
  <c r="AE143" i="1"/>
  <c r="AD143" i="1" s="1"/>
  <c r="CR143" i="1" s="1"/>
  <c r="Q143" i="1" s="1"/>
  <c r="AF143" i="1"/>
  <c r="AG143" i="1"/>
  <c r="CU143" i="1" s="1"/>
  <c r="T143" i="1" s="1"/>
  <c r="AH143" i="1"/>
  <c r="AI143" i="1"/>
  <c r="CW143" i="1" s="1"/>
  <c r="V143" i="1" s="1"/>
  <c r="AJ143" i="1"/>
  <c r="CT143" i="1"/>
  <c r="S143" i="1" s="1"/>
  <c r="CV143" i="1"/>
  <c r="U143" i="1" s="1"/>
  <c r="CX143" i="1"/>
  <c r="W143" i="1" s="1"/>
  <c r="FR143" i="1"/>
  <c r="GL143" i="1"/>
  <c r="GO143" i="1"/>
  <c r="GP143" i="1"/>
  <c r="GV143" i="1"/>
  <c r="HC143" i="1" s="1"/>
  <c r="GX143" i="1" s="1"/>
  <c r="C144" i="1"/>
  <c r="D144" i="1"/>
  <c r="AC144" i="1"/>
  <c r="AE144" i="1"/>
  <c r="AF144" i="1"/>
  <c r="AG144" i="1"/>
  <c r="CU144" i="1" s="1"/>
  <c r="T144" i="1" s="1"/>
  <c r="AH144" i="1"/>
  <c r="AI144" i="1"/>
  <c r="CW144" i="1" s="1"/>
  <c r="V144" i="1" s="1"/>
  <c r="AJ144" i="1"/>
  <c r="CX144" i="1"/>
  <c r="W144" i="1" s="1"/>
  <c r="FR144" i="1"/>
  <c r="GL144" i="1"/>
  <c r="GO144" i="1"/>
  <c r="GP144" i="1"/>
  <c r="GV144" i="1"/>
  <c r="GX144" i="1"/>
  <c r="HC144" i="1"/>
  <c r="I145" i="1"/>
  <c r="R96" i="15" s="1"/>
  <c r="AC145" i="1"/>
  <c r="CQ145" i="1" s="1"/>
  <c r="AD145" i="1"/>
  <c r="CR145" i="1" s="1"/>
  <c r="AE145" i="1"/>
  <c r="AF145" i="1"/>
  <c r="AG145" i="1"/>
  <c r="AH145" i="1"/>
  <c r="CV145" i="1" s="1"/>
  <c r="AI145" i="1"/>
  <c r="AJ145" i="1"/>
  <c r="CX145" i="1" s="1"/>
  <c r="CS145" i="1"/>
  <c r="CU145" i="1"/>
  <c r="CW145" i="1"/>
  <c r="FR145" i="1"/>
  <c r="GL145" i="1"/>
  <c r="GO145" i="1"/>
  <c r="GP145" i="1"/>
  <c r="GV145" i="1"/>
  <c r="HC145" i="1"/>
  <c r="I146" i="1"/>
  <c r="R33" i="13" s="1"/>
  <c r="AC146" i="1"/>
  <c r="CQ146" i="1" s="1"/>
  <c r="AE146" i="1"/>
  <c r="AD146" i="1" s="1"/>
  <c r="CR146" i="1" s="1"/>
  <c r="AF146" i="1"/>
  <c r="AG146" i="1"/>
  <c r="CU146" i="1" s="1"/>
  <c r="AH146" i="1"/>
  <c r="AI146" i="1"/>
  <c r="CW146" i="1" s="1"/>
  <c r="AJ146" i="1"/>
  <c r="CT146" i="1"/>
  <c r="CV146" i="1"/>
  <c r="CX146" i="1"/>
  <c r="FR146" i="1"/>
  <c r="GL146" i="1"/>
  <c r="GO146" i="1"/>
  <c r="GP146" i="1"/>
  <c r="GV146" i="1"/>
  <c r="HC146" i="1"/>
  <c r="I147" i="1"/>
  <c r="P68" i="15" s="1"/>
  <c r="AC147" i="1"/>
  <c r="CQ147" i="1" s="1"/>
  <c r="AD147" i="1"/>
  <c r="AE147" i="1"/>
  <c r="AF147" i="1"/>
  <c r="CT147" i="1" s="1"/>
  <c r="AG147" i="1"/>
  <c r="AH147" i="1"/>
  <c r="CV147" i="1" s="1"/>
  <c r="AI147" i="1"/>
  <c r="AJ147" i="1"/>
  <c r="CX147" i="1" s="1"/>
  <c r="CS147" i="1"/>
  <c r="CU147" i="1"/>
  <c r="CW147" i="1"/>
  <c r="CY147" i="1"/>
  <c r="X147" i="1" s="1"/>
  <c r="CZ147" i="1"/>
  <c r="Y147" i="1" s="1"/>
  <c r="FR147" i="1"/>
  <c r="GL147" i="1"/>
  <c r="GO147" i="1"/>
  <c r="GP147" i="1"/>
  <c r="GV147" i="1"/>
  <c r="HC147" i="1" s="1"/>
  <c r="I148" i="1"/>
  <c r="P39" i="13" s="1"/>
  <c r="AC148" i="1"/>
  <c r="AB148" i="1" s="1"/>
  <c r="AD148" i="1"/>
  <c r="AE148" i="1"/>
  <c r="CS148" i="1" s="1"/>
  <c r="AF148" i="1"/>
  <c r="AG148" i="1"/>
  <c r="CU148" i="1" s="1"/>
  <c r="AH148" i="1"/>
  <c r="AI148" i="1"/>
  <c r="CW148" i="1" s="1"/>
  <c r="AJ148" i="1"/>
  <c r="CR148" i="1"/>
  <c r="CT148" i="1"/>
  <c r="CV148" i="1"/>
  <c r="CX148" i="1"/>
  <c r="W148" i="1" s="1"/>
  <c r="FR148" i="1"/>
  <c r="GL148" i="1"/>
  <c r="GO148" i="1"/>
  <c r="GP148" i="1"/>
  <c r="GV148" i="1"/>
  <c r="HC148" i="1"/>
  <c r="I149" i="1"/>
  <c r="P72" i="15" s="1"/>
  <c r="AC149" i="1"/>
  <c r="CQ149" i="1" s="1"/>
  <c r="AD149" i="1"/>
  <c r="CR149" i="1" s="1"/>
  <c r="AE149" i="1"/>
  <c r="AF149" i="1"/>
  <c r="AG149" i="1"/>
  <c r="AH149" i="1"/>
  <c r="CV149" i="1" s="1"/>
  <c r="AI149" i="1"/>
  <c r="AJ149" i="1"/>
  <c r="CX149" i="1" s="1"/>
  <c r="CS149" i="1"/>
  <c r="CU149" i="1"/>
  <c r="CW149" i="1"/>
  <c r="CY149" i="1"/>
  <c r="X149" i="1" s="1"/>
  <c r="CZ149" i="1"/>
  <c r="Y149" i="1" s="1"/>
  <c r="FR149" i="1"/>
  <c r="GL149" i="1"/>
  <c r="GO149" i="1"/>
  <c r="GP149" i="1"/>
  <c r="GV149" i="1"/>
  <c r="HC149" i="1"/>
  <c r="I150" i="1"/>
  <c r="P42" i="13" s="1"/>
  <c r="AC150" i="1"/>
  <c r="CQ150" i="1" s="1"/>
  <c r="AD150" i="1"/>
  <c r="AE150" i="1"/>
  <c r="CS150" i="1" s="1"/>
  <c r="AF150" i="1"/>
  <c r="AG150" i="1"/>
  <c r="CU150" i="1" s="1"/>
  <c r="AH150" i="1"/>
  <c r="AI150" i="1"/>
  <c r="CW150" i="1" s="1"/>
  <c r="AJ150" i="1"/>
  <c r="CR150" i="1"/>
  <c r="CT150" i="1"/>
  <c r="CV150" i="1"/>
  <c r="CX150" i="1"/>
  <c r="W150" i="1" s="1"/>
  <c r="FR150" i="1"/>
  <c r="GL150" i="1"/>
  <c r="GO150" i="1"/>
  <c r="GP150" i="1"/>
  <c r="GV150" i="1"/>
  <c r="HC150" i="1"/>
  <c r="I151" i="1"/>
  <c r="R89" i="15" s="1"/>
  <c r="AC151" i="1"/>
  <c r="CQ151" i="1" s="1"/>
  <c r="AD151" i="1"/>
  <c r="AE151" i="1"/>
  <c r="AF151" i="1"/>
  <c r="CT151" i="1" s="1"/>
  <c r="AG151" i="1"/>
  <c r="AH151" i="1"/>
  <c r="CV151" i="1" s="1"/>
  <c r="AI151" i="1"/>
  <c r="AJ151" i="1"/>
  <c r="CX151" i="1" s="1"/>
  <c r="CS151" i="1"/>
  <c r="CU151" i="1"/>
  <c r="CW151" i="1"/>
  <c r="FR151" i="1"/>
  <c r="GL151" i="1"/>
  <c r="GO151" i="1"/>
  <c r="GP151" i="1"/>
  <c r="GV151" i="1"/>
  <c r="HC151" i="1" s="1"/>
  <c r="I152" i="1"/>
  <c r="R20" i="13" s="1"/>
  <c r="AC152" i="1"/>
  <c r="AE152" i="1"/>
  <c r="CS152" i="1" s="1"/>
  <c r="AF152" i="1"/>
  <c r="AG152" i="1"/>
  <c r="CU152" i="1" s="1"/>
  <c r="AH152" i="1"/>
  <c r="AI152" i="1"/>
  <c r="CW152" i="1" s="1"/>
  <c r="AJ152" i="1"/>
  <c r="CT152" i="1"/>
  <c r="CV152" i="1"/>
  <c r="CX152" i="1"/>
  <c r="FR152" i="1"/>
  <c r="GL152" i="1"/>
  <c r="GO152" i="1"/>
  <c r="GP152" i="1"/>
  <c r="GV152" i="1"/>
  <c r="HC152" i="1"/>
  <c r="I153" i="1"/>
  <c r="R84" i="15" s="1"/>
  <c r="AC153" i="1"/>
  <c r="CQ153" i="1" s="1"/>
  <c r="AD153" i="1"/>
  <c r="CR153" i="1" s="1"/>
  <c r="AE153" i="1"/>
  <c r="AF153" i="1"/>
  <c r="AG153" i="1"/>
  <c r="AH153" i="1"/>
  <c r="CV153" i="1" s="1"/>
  <c r="AI153" i="1"/>
  <c r="AJ153" i="1"/>
  <c r="CX153" i="1" s="1"/>
  <c r="CS153" i="1"/>
  <c r="CU153" i="1"/>
  <c r="CW153" i="1"/>
  <c r="FR153" i="1"/>
  <c r="GL153" i="1"/>
  <c r="GN153" i="1"/>
  <c r="GP153" i="1"/>
  <c r="GV153" i="1"/>
  <c r="HC153" i="1"/>
  <c r="I154" i="1"/>
  <c r="R61" i="13" s="1"/>
  <c r="AC154" i="1"/>
  <c r="CQ154" i="1" s="1"/>
  <c r="AE154" i="1"/>
  <c r="AD154" i="1" s="1"/>
  <c r="CR154" i="1" s="1"/>
  <c r="AF154" i="1"/>
  <c r="AG154" i="1"/>
  <c r="CU154" i="1" s="1"/>
  <c r="AH154" i="1"/>
  <c r="AI154" i="1"/>
  <c r="CW154" i="1" s="1"/>
  <c r="AJ154" i="1"/>
  <c r="CT154" i="1"/>
  <c r="CV154" i="1"/>
  <c r="CX154" i="1"/>
  <c r="FR154" i="1"/>
  <c r="GL154" i="1"/>
  <c r="GN154" i="1"/>
  <c r="GP154" i="1"/>
  <c r="GV154" i="1"/>
  <c r="HC154" i="1"/>
  <c r="I155" i="1"/>
  <c r="R66" i="15" s="1"/>
  <c r="AC155" i="1"/>
  <c r="CQ155" i="1" s="1"/>
  <c r="AD155" i="1"/>
  <c r="AE155" i="1"/>
  <c r="AF155" i="1"/>
  <c r="CT155" i="1" s="1"/>
  <c r="AG155" i="1"/>
  <c r="AH155" i="1"/>
  <c r="CV155" i="1" s="1"/>
  <c r="AI155" i="1"/>
  <c r="AJ155" i="1"/>
  <c r="CX155" i="1" s="1"/>
  <c r="CS155" i="1"/>
  <c r="CU155" i="1"/>
  <c r="CW155" i="1"/>
  <c r="CY155" i="1"/>
  <c r="X155" i="1" s="1"/>
  <c r="CZ155" i="1"/>
  <c r="Y155" i="1" s="1"/>
  <c r="FR155" i="1"/>
  <c r="GL155" i="1"/>
  <c r="GO155" i="1"/>
  <c r="GP155" i="1"/>
  <c r="GV155" i="1"/>
  <c r="HC155" i="1"/>
  <c r="I156" i="1"/>
  <c r="AC156" i="1"/>
  <c r="AB156" i="1" s="1"/>
  <c r="AD156" i="1"/>
  <c r="AE156" i="1"/>
  <c r="CS156" i="1" s="1"/>
  <c r="AF156" i="1"/>
  <c r="AG156" i="1"/>
  <c r="CU156" i="1" s="1"/>
  <c r="AH156" i="1"/>
  <c r="AI156" i="1"/>
  <c r="CW156" i="1" s="1"/>
  <c r="AJ156" i="1"/>
  <c r="CR156" i="1"/>
  <c r="CT156" i="1"/>
  <c r="CV156" i="1"/>
  <c r="CX156" i="1"/>
  <c r="FR156" i="1"/>
  <c r="GL156" i="1"/>
  <c r="GO156" i="1"/>
  <c r="GP156" i="1"/>
  <c r="GV156" i="1"/>
  <c r="HC156" i="1"/>
  <c r="I157" i="1"/>
  <c r="R64" i="15" s="1"/>
  <c r="AC157" i="1"/>
  <c r="CQ157" i="1" s="1"/>
  <c r="AD157" i="1"/>
  <c r="CR157" i="1" s="1"/>
  <c r="AE157" i="1"/>
  <c r="AF157" i="1"/>
  <c r="AG157" i="1"/>
  <c r="AH157" i="1"/>
  <c r="CV157" i="1" s="1"/>
  <c r="AI157" i="1"/>
  <c r="AJ157" i="1"/>
  <c r="CX157" i="1" s="1"/>
  <c r="CS157" i="1"/>
  <c r="CU157" i="1"/>
  <c r="CW157" i="1"/>
  <c r="CY157" i="1"/>
  <c r="X157" i="1" s="1"/>
  <c r="CZ157" i="1"/>
  <c r="Y157" i="1" s="1"/>
  <c r="FR157" i="1"/>
  <c r="GL157" i="1"/>
  <c r="GO157" i="1"/>
  <c r="GP157" i="1"/>
  <c r="GV157" i="1"/>
  <c r="HC157" i="1"/>
  <c r="I158" i="1"/>
  <c r="AC158" i="1"/>
  <c r="CQ158" i="1" s="1"/>
  <c r="AD158" i="1"/>
  <c r="AE158" i="1"/>
  <c r="CS158" i="1" s="1"/>
  <c r="AF158" i="1"/>
  <c r="AG158" i="1"/>
  <c r="CU158" i="1" s="1"/>
  <c r="AH158" i="1"/>
  <c r="AI158" i="1"/>
  <c r="CW158" i="1" s="1"/>
  <c r="AJ158" i="1"/>
  <c r="CR158" i="1"/>
  <c r="CT158" i="1"/>
  <c r="CV158" i="1"/>
  <c r="CX158" i="1"/>
  <c r="W158" i="1" s="1"/>
  <c r="FR158" i="1"/>
  <c r="GL158" i="1"/>
  <c r="GO158" i="1"/>
  <c r="GP158" i="1"/>
  <c r="GV158" i="1"/>
  <c r="HC158" i="1"/>
  <c r="I159" i="1"/>
  <c r="R65" i="15" s="1"/>
  <c r="AC159" i="1"/>
  <c r="CQ159" i="1" s="1"/>
  <c r="AD159" i="1"/>
  <c r="AE159" i="1"/>
  <c r="AF159" i="1"/>
  <c r="CT159" i="1" s="1"/>
  <c r="AG159" i="1"/>
  <c r="AH159" i="1"/>
  <c r="CV159" i="1" s="1"/>
  <c r="AI159" i="1"/>
  <c r="AJ159" i="1"/>
  <c r="CX159" i="1" s="1"/>
  <c r="CS159" i="1"/>
  <c r="CU159" i="1"/>
  <c r="CW159" i="1"/>
  <c r="CY159" i="1"/>
  <c r="X159" i="1" s="1"/>
  <c r="CZ159" i="1"/>
  <c r="Y159" i="1" s="1"/>
  <c r="FR159" i="1"/>
  <c r="GL159" i="1"/>
  <c r="GO159" i="1"/>
  <c r="GP159" i="1"/>
  <c r="GV159" i="1"/>
  <c r="HC159" i="1"/>
  <c r="I160" i="1"/>
  <c r="AC160" i="1"/>
  <c r="AB160" i="1" s="1"/>
  <c r="AD160" i="1"/>
  <c r="AE160" i="1"/>
  <c r="CS160" i="1" s="1"/>
  <c r="AF160" i="1"/>
  <c r="AG160" i="1"/>
  <c r="CU160" i="1" s="1"/>
  <c r="AH160" i="1"/>
  <c r="AI160" i="1"/>
  <c r="CW160" i="1" s="1"/>
  <c r="AJ160" i="1"/>
  <c r="CR160" i="1"/>
  <c r="CT160" i="1"/>
  <c r="CV160" i="1"/>
  <c r="CX160" i="1"/>
  <c r="W160" i="1" s="1"/>
  <c r="FR160" i="1"/>
  <c r="GL160" i="1"/>
  <c r="GO160" i="1"/>
  <c r="GP160" i="1"/>
  <c r="GV160" i="1"/>
  <c r="HC160" i="1"/>
  <c r="I161" i="1"/>
  <c r="R97" i="15" s="1"/>
  <c r="AC161" i="1"/>
  <c r="CQ161" i="1" s="1"/>
  <c r="AD161" i="1"/>
  <c r="CR161" i="1" s="1"/>
  <c r="AE161" i="1"/>
  <c r="AF161" i="1"/>
  <c r="CT161" i="1" s="1"/>
  <c r="AG161" i="1"/>
  <c r="AH161" i="1"/>
  <c r="CV161" i="1" s="1"/>
  <c r="AI161" i="1"/>
  <c r="AJ161" i="1"/>
  <c r="CX161" i="1" s="1"/>
  <c r="CS161" i="1"/>
  <c r="CU161" i="1"/>
  <c r="CW161" i="1"/>
  <c r="FR161" i="1"/>
  <c r="GL161" i="1"/>
  <c r="GO161" i="1"/>
  <c r="GP161" i="1"/>
  <c r="GV161" i="1"/>
  <c r="HC161" i="1"/>
  <c r="I162" i="1"/>
  <c r="R45" i="13" s="1"/>
  <c r="AC162" i="1"/>
  <c r="CQ162" i="1" s="1"/>
  <c r="AE162" i="1"/>
  <c r="AD162" i="1" s="1"/>
  <c r="CR162" i="1" s="1"/>
  <c r="AF162" i="1"/>
  <c r="AG162" i="1"/>
  <c r="CU162" i="1" s="1"/>
  <c r="AH162" i="1"/>
  <c r="AI162" i="1"/>
  <c r="CW162" i="1" s="1"/>
  <c r="AJ162" i="1"/>
  <c r="CT162" i="1"/>
  <c r="CV162" i="1"/>
  <c r="CX162" i="1"/>
  <c r="FR162" i="1"/>
  <c r="GL162" i="1"/>
  <c r="GO162" i="1"/>
  <c r="GP162" i="1"/>
  <c r="GV162" i="1"/>
  <c r="HC162" i="1" s="1"/>
  <c r="C163" i="1"/>
  <c r="D163" i="1"/>
  <c r="AC163" i="1"/>
  <c r="AE163" i="1"/>
  <c r="CS163" i="1" s="1"/>
  <c r="R163" i="1" s="1"/>
  <c r="AF163" i="1"/>
  <c r="AG163" i="1"/>
  <c r="CU163" i="1" s="1"/>
  <c r="T163" i="1" s="1"/>
  <c r="AH163" i="1"/>
  <c r="AI163" i="1"/>
  <c r="CW163" i="1" s="1"/>
  <c r="V163" i="1" s="1"/>
  <c r="AJ163" i="1"/>
  <c r="CT163" i="1"/>
  <c r="S163" i="1" s="1"/>
  <c r="CV163" i="1"/>
  <c r="U163" i="1" s="1"/>
  <c r="CX163" i="1"/>
  <c r="W163" i="1" s="1"/>
  <c r="FR163" i="1"/>
  <c r="GL163" i="1"/>
  <c r="GO163" i="1"/>
  <c r="GP163" i="1"/>
  <c r="GV163" i="1"/>
  <c r="GX163" i="1"/>
  <c r="HC163" i="1"/>
  <c r="C164" i="1"/>
  <c r="D164" i="1"/>
  <c r="AC164" i="1"/>
  <c r="CQ164" i="1" s="1"/>
  <c r="P164" i="1" s="1"/>
  <c r="AE164" i="1"/>
  <c r="AF164" i="1"/>
  <c r="AG164" i="1"/>
  <c r="CU164" i="1" s="1"/>
  <c r="T164" i="1" s="1"/>
  <c r="AH164" i="1"/>
  <c r="AI164" i="1"/>
  <c r="CW164" i="1" s="1"/>
  <c r="V164" i="1" s="1"/>
  <c r="AJ164" i="1"/>
  <c r="CX164" i="1"/>
  <c r="W164" i="1" s="1"/>
  <c r="FR164" i="1"/>
  <c r="GL164" i="1"/>
  <c r="GO164" i="1"/>
  <c r="GP164" i="1"/>
  <c r="GV164" i="1"/>
  <c r="HC164" i="1" s="1"/>
  <c r="GX164" i="1" s="1"/>
  <c r="I165" i="1"/>
  <c r="S96" i="15" s="1"/>
  <c r="AC165" i="1"/>
  <c r="CQ165" i="1" s="1"/>
  <c r="AD165" i="1"/>
  <c r="AE165" i="1"/>
  <c r="AF165" i="1"/>
  <c r="CT165" i="1" s="1"/>
  <c r="AG165" i="1"/>
  <c r="AH165" i="1"/>
  <c r="CV165" i="1" s="1"/>
  <c r="AI165" i="1"/>
  <c r="AJ165" i="1"/>
  <c r="CX165" i="1" s="1"/>
  <c r="CS165" i="1"/>
  <c r="CU165" i="1"/>
  <c r="CW165" i="1"/>
  <c r="FR165" i="1"/>
  <c r="GL165" i="1"/>
  <c r="GO165" i="1"/>
  <c r="GP165" i="1"/>
  <c r="GV165" i="1"/>
  <c r="HC165" i="1"/>
  <c r="I166" i="1"/>
  <c r="S33" i="13" s="1"/>
  <c r="AC166" i="1"/>
  <c r="AE166" i="1"/>
  <c r="CS166" i="1" s="1"/>
  <c r="AF166" i="1"/>
  <c r="AG166" i="1"/>
  <c r="CU166" i="1" s="1"/>
  <c r="AH166" i="1"/>
  <c r="AI166" i="1"/>
  <c r="CW166" i="1" s="1"/>
  <c r="AJ166" i="1"/>
  <c r="CT166" i="1"/>
  <c r="CV166" i="1"/>
  <c r="CX166" i="1"/>
  <c r="FR166" i="1"/>
  <c r="GL166" i="1"/>
  <c r="GO166" i="1"/>
  <c r="GP166" i="1"/>
  <c r="GV166" i="1"/>
  <c r="HC166" i="1"/>
  <c r="I167" i="1"/>
  <c r="Q68" i="15" s="1"/>
  <c r="AC167" i="1"/>
  <c r="CQ167" i="1" s="1"/>
  <c r="AD167" i="1"/>
  <c r="CR167" i="1" s="1"/>
  <c r="AE167" i="1"/>
  <c r="AF167" i="1"/>
  <c r="AG167" i="1"/>
  <c r="AH167" i="1"/>
  <c r="CV167" i="1" s="1"/>
  <c r="AI167" i="1"/>
  <c r="AJ167" i="1"/>
  <c r="CX167" i="1" s="1"/>
  <c r="CS167" i="1"/>
  <c r="CU167" i="1"/>
  <c r="CW167" i="1"/>
  <c r="CY167" i="1"/>
  <c r="X167" i="1" s="1"/>
  <c r="CZ167" i="1"/>
  <c r="Y167" i="1" s="1"/>
  <c r="FR167" i="1"/>
  <c r="GL167" i="1"/>
  <c r="GO167" i="1"/>
  <c r="GP167" i="1"/>
  <c r="GV167" i="1"/>
  <c r="HC167" i="1"/>
  <c r="I168" i="1"/>
  <c r="Q39" i="13" s="1"/>
  <c r="AC168" i="1"/>
  <c r="CQ168" i="1" s="1"/>
  <c r="AD168" i="1"/>
  <c r="AE168" i="1"/>
  <c r="CS168" i="1" s="1"/>
  <c r="AF168" i="1"/>
  <c r="AG168" i="1"/>
  <c r="CU168" i="1" s="1"/>
  <c r="AH168" i="1"/>
  <c r="AI168" i="1"/>
  <c r="CW168" i="1" s="1"/>
  <c r="AJ168" i="1"/>
  <c r="CR168" i="1"/>
  <c r="CT168" i="1"/>
  <c r="CV168" i="1"/>
  <c r="CX168" i="1"/>
  <c r="FR168" i="1"/>
  <c r="GL168" i="1"/>
  <c r="GO168" i="1"/>
  <c r="GP168" i="1"/>
  <c r="GV168" i="1"/>
  <c r="HC168" i="1"/>
  <c r="I169" i="1"/>
  <c r="Q72" i="15" s="1"/>
  <c r="AC169" i="1"/>
  <c r="CQ169" i="1" s="1"/>
  <c r="AD169" i="1"/>
  <c r="AE169" i="1"/>
  <c r="AF169" i="1"/>
  <c r="CT169" i="1" s="1"/>
  <c r="AG169" i="1"/>
  <c r="AH169" i="1"/>
  <c r="CV169" i="1" s="1"/>
  <c r="AI169" i="1"/>
  <c r="AJ169" i="1"/>
  <c r="CX169" i="1" s="1"/>
  <c r="CS169" i="1"/>
  <c r="CU169" i="1"/>
  <c r="CW169" i="1"/>
  <c r="CY169" i="1"/>
  <c r="X169" i="1" s="1"/>
  <c r="CZ169" i="1"/>
  <c r="Y169" i="1" s="1"/>
  <c r="FR169" i="1"/>
  <c r="GL169" i="1"/>
  <c r="GO169" i="1"/>
  <c r="GP169" i="1"/>
  <c r="GV169" i="1"/>
  <c r="HC169" i="1"/>
  <c r="I170" i="1"/>
  <c r="Q42" i="13" s="1"/>
  <c r="AC170" i="1"/>
  <c r="AB170" i="1" s="1"/>
  <c r="AD170" i="1"/>
  <c r="AE170" i="1"/>
  <c r="CS170" i="1" s="1"/>
  <c r="AF170" i="1"/>
  <c r="AG170" i="1"/>
  <c r="CU170" i="1" s="1"/>
  <c r="AH170" i="1"/>
  <c r="AI170" i="1"/>
  <c r="CW170" i="1" s="1"/>
  <c r="AJ170" i="1"/>
  <c r="CR170" i="1"/>
  <c r="CT170" i="1"/>
  <c r="CV170" i="1"/>
  <c r="CX170" i="1"/>
  <c r="FR170" i="1"/>
  <c r="GL170" i="1"/>
  <c r="GO170" i="1"/>
  <c r="GP170" i="1"/>
  <c r="GV170" i="1"/>
  <c r="HC170" i="1"/>
  <c r="I171" i="1"/>
  <c r="S89" i="15" s="1"/>
  <c r="AC171" i="1"/>
  <c r="CQ171" i="1" s="1"/>
  <c r="AD171" i="1"/>
  <c r="CR171" i="1" s="1"/>
  <c r="AE171" i="1"/>
  <c r="AF171" i="1"/>
  <c r="AG171" i="1"/>
  <c r="AH171" i="1"/>
  <c r="CV171" i="1" s="1"/>
  <c r="AI171" i="1"/>
  <c r="AJ171" i="1"/>
  <c r="CX171" i="1" s="1"/>
  <c r="CS171" i="1"/>
  <c r="CU171" i="1"/>
  <c r="CW171" i="1"/>
  <c r="FR171" i="1"/>
  <c r="GL171" i="1"/>
  <c r="GO171" i="1"/>
  <c r="GP171" i="1"/>
  <c r="GV171" i="1"/>
  <c r="HC171" i="1"/>
  <c r="I172" i="1"/>
  <c r="S20" i="13" s="1"/>
  <c r="AC172" i="1"/>
  <c r="CQ172" i="1" s="1"/>
  <c r="AE172" i="1"/>
  <c r="AD172" i="1" s="1"/>
  <c r="CR172" i="1" s="1"/>
  <c r="AF172" i="1"/>
  <c r="AG172" i="1"/>
  <c r="CU172" i="1" s="1"/>
  <c r="AH172" i="1"/>
  <c r="AI172" i="1"/>
  <c r="CW172" i="1" s="1"/>
  <c r="AJ172" i="1"/>
  <c r="CT172" i="1"/>
  <c r="CV172" i="1"/>
  <c r="CX172" i="1"/>
  <c r="FR172" i="1"/>
  <c r="GL172" i="1"/>
  <c r="GO172" i="1"/>
  <c r="GP172" i="1"/>
  <c r="GV172" i="1"/>
  <c r="HC172" i="1"/>
  <c r="I173" i="1"/>
  <c r="S84" i="15" s="1"/>
  <c r="AC173" i="1"/>
  <c r="CQ173" i="1" s="1"/>
  <c r="AD173" i="1"/>
  <c r="AE173" i="1"/>
  <c r="AF173" i="1"/>
  <c r="CT173" i="1" s="1"/>
  <c r="AG173" i="1"/>
  <c r="AH173" i="1"/>
  <c r="CV173" i="1" s="1"/>
  <c r="AI173" i="1"/>
  <c r="AJ173" i="1"/>
  <c r="CX173" i="1" s="1"/>
  <c r="CS173" i="1"/>
  <c r="CU173" i="1"/>
  <c r="CW173" i="1"/>
  <c r="FR173" i="1"/>
  <c r="GL173" i="1"/>
  <c r="GN173" i="1"/>
  <c r="GP173" i="1"/>
  <c r="GV173" i="1"/>
  <c r="HC173" i="1"/>
  <c r="I174" i="1"/>
  <c r="S61" i="13" s="1"/>
  <c r="AC174" i="1"/>
  <c r="AE174" i="1"/>
  <c r="CS174" i="1" s="1"/>
  <c r="AF174" i="1"/>
  <c r="AG174" i="1"/>
  <c r="CU174" i="1" s="1"/>
  <c r="AH174" i="1"/>
  <c r="AI174" i="1"/>
  <c r="CW174" i="1" s="1"/>
  <c r="AJ174" i="1"/>
  <c r="CT174" i="1"/>
  <c r="CV174" i="1"/>
  <c r="CX174" i="1"/>
  <c r="FR174" i="1"/>
  <c r="GL174" i="1"/>
  <c r="GN174" i="1"/>
  <c r="GP174" i="1"/>
  <c r="GV174" i="1"/>
  <c r="HC174" i="1"/>
  <c r="I175" i="1"/>
  <c r="S66" i="15" s="1"/>
  <c r="AC175" i="1"/>
  <c r="CQ175" i="1" s="1"/>
  <c r="AD175" i="1"/>
  <c r="CR175" i="1" s="1"/>
  <c r="AE175" i="1"/>
  <c r="AF175" i="1"/>
  <c r="AG175" i="1"/>
  <c r="AH175" i="1"/>
  <c r="CV175" i="1" s="1"/>
  <c r="AI175" i="1"/>
  <c r="AJ175" i="1"/>
  <c r="CX175" i="1" s="1"/>
  <c r="CS175" i="1"/>
  <c r="CU175" i="1"/>
  <c r="CW175" i="1"/>
  <c r="CY175" i="1"/>
  <c r="X175" i="1" s="1"/>
  <c r="CZ175" i="1"/>
  <c r="Y175" i="1" s="1"/>
  <c r="FR175" i="1"/>
  <c r="GL175" i="1"/>
  <c r="GO175" i="1"/>
  <c r="GP175" i="1"/>
  <c r="GV175" i="1"/>
  <c r="HC175" i="1"/>
  <c r="I176" i="1"/>
  <c r="S51" i="13" s="1"/>
  <c r="AC176" i="1"/>
  <c r="CQ176" i="1" s="1"/>
  <c r="AD176" i="1"/>
  <c r="AE176" i="1"/>
  <c r="CS176" i="1" s="1"/>
  <c r="AF176" i="1"/>
  <c r="AG176" i="1"/>
  <c r="CU176" i="1" s="1"/>
  <c r="AH176" i="1"/>
  <c r="AI176" i="1"/>
  <c r="CW176" i="1" s="1"/>
  <c r="AJ176" i="1"/>
  <c r="CR176" i="1"/>
  <c r="CT176" i="1"/>
  <c r="CV176" i="1"/>
  <c r="CX176" i="1"/>
  <c r="FR176" i="1"/>
  <c r="GL176" i="1"/>
  <c r="GO176" i="1"/>
  <c r="GP176" i="1"/>
  <c r="GV176" i="1"/>
  <c r="HC176" i="1"/>
  <c r="I177" i="1"/>
  <c r="S64" i="15" s="1"/>
  <c r="AC177" i="1"/>
  <c r="CQ177" i="1" s="1"/>
  <c r="AD177" i="1"/>
  <c r="AE177" i="1"/>
  <c r="AF177" i="1"/>
  <c r="CT177" i="1" s="1"/>
  <c r="AG177" i="1"/>
  <c r="AH177" i="1"/>
  <c r="CV177" i="1" s="1"/>
  <c r="AI177" i="1"/>
  <c r="AJ177" i="1"/>
  <c r="CX177" i="1" s="1"/>
  <c r="CS177" i="1"/>
  <c r="CU177" i="1"/>
  <c r="CW177" i="1"/>
  <c r="CY177" i="1"/>
  <c r="X177" i="1" s="1"/>
  <c r="CZ177" i="1"/>
  <c r="Y177" i="1" s="1"/>
  <c r="FR177" i="1"/>
  <c r="GL177" i="1"/>
  <c r="GO177" i="1"/>
  <c r="GP177" i="1"/>
  <c r="GV177" i="1"/>
  <c r="HC177" i="1" s="1"/>
  <c r="I178" i="1"/>
  <c r="S67" i="13" s="1"/>
  <c r="AC178" i="1"/>
  <c r="AB178" i="1" s="1"/>
  <c r="AD178" i="1"/>
  <c r="AE178" i="1"/>
  <c r="CS178" i="1" s="1"/>
  <c r="AF178" i="1"/>
  <c r="AG178" i="1"/>
  <c r="CU178" i="1" s="1"/>
  <c r="AH178" i="1"/>
  <c r="AI178" i="1"/>
  <c r="CW178" i="1" s="1"/>
  <c r="AJ178" i="1"/>
  <c r="CR178" i="1"/>
  <c r="CT178" i="1"/>
  <c r="CV178" i="1"/>
  <c r="CX178" i="1"/>
  <c r="W178" i="1" s="1"/>
  <c r="FR178" i="1"/>
  <c r="GL178" i="1"/>
  <c r="GO178" i="1"/>
  <c r="GP178" i="1"/>
  <c r="GV178" i="1"/>
  <c r="HC178" i="1"/>
  <c r="I179" i="1"/>
  <c r="S65" i="15" s="1"/>
  <c r="AC179" i="1"/>
  <c r="CQ179" i="1" s="1"/>
  <c r="AD179" i="1"/>
  <c r="CR179" i="1" s="1"/>
  <c r="AE179" i="1"/>
  <c r="AF179" i="1"/>
  <c r="AG179" i="1"/>
  <c r="AH179" i="1"/>
  <c r="CV179" i="1" s="1"/>
  <c r="AI179" i="1"/>
  <c r="AJ179" i="1"/>
  <c r="CX179" i="1" s="1"/>
  <c r="CS179" i="1"/>
  <c r="CU179" i="1"/>
  <c r="CW179" i="1"/>
  <c r="CY179" i="1"/>
  <c r="X179" i="1" s="1"/>
  <c r="CZ179" i="1"/>
  <c r="Y179" i="1" s="1"/>
  <c r="FR179" i="1"/>
  <c r="GL179" i="1"/>
  <c r="GO179" i="1"/>
  <c r="GP179" i="1"/>
  <c r="GV179" i="1"/>
  <c r="HC179" i="1"/>
  <c r="I180" i="1"/>
  <c r="S66" i="13" s="1"/>
  <c r="AC180" i="1"/>
  <c r="CQ180" i="1" s="1"/>
  <c r="AD180" i="1"/>
  <c r="AE180" i="1"/>
  <c r="CS180" i="1" s="1"/>
  <c r="AF180" i="1"/>
  <c r="AG180" i="1"/>
  <c r="CU180" i="1" s="1"/>
  <c r="AH180" i="1"/>
  <c r="AI180" i="1"/>
  <c r="CW180" i="1" s="1"/>
  <c r="AJ180" i="1"/>
  <c r="CR180" i="1"/>
  <c r="CT180" i="1"/>
  <c r="CV180" i="1"/>
  <c r="CX180" i="1"/>
  <c r="FR180" i="1"/>
  <c r="GL180" i="1"/>
  <c r="GO180" i="1"/>
  <c r="GP180" i="1"/>
  <c r="GV180" i="1"/>
  <c r="HC180" i="1"/>
  <c r="I181" i="1"/>
  <c r="S97" i="15" s="1"/>
  <c r="AC181" i="1"/>
  <c r="CQ181" i="1" s="1"/>
  <c r="AD181" i="1"/>
  <c r="AE181" i="1"/>
  <c r="AF181" i="1"/>
  <c r="CT181" i="1" s="1"/>
  <c r="AG181" i="1"/>
  <c r="AH181" i="1"/>
  <c r="CV181" i="1" s="1"/>
  <c r="AI181" i="1"/>
  <c r="AJ181" i="1"/>
  <c r="CX181" i="1" s="1"/>
  <c r="CS181" i="1"/>
  <c r="CU181" i="1"/>
  <c r="CW181" i="1"/>
  <c r="FR181" i="1"/>
  <c r="GL181" i="1"/>
  <c r="GO181" i="1"/>
  <c r="GP181" i="1"/>
  <c r="GV181" i="1"/>
  <c r="HC181" i="1"/>
  <c r="I182" i="1"/>
  <c r="S45" i="13" s="1"/>
  <c r="AC182" i="1"/>
  <c r="AE182" i="1"/>
  <c r="CS182" i="1" s="1"/>
  <c r="AF182" i="1"/>
  <c r="AG182" i="1"/>
  <c r="CU182" i="1" s="1"/>
  <c r="AH182" i="1"/>
  <c r="AI182" i="1"/>
  <c r="CW182" i="1" s="1"/>
  <c r="AJ182" i="1"/>
  <c r="CT182" i="1"/>
  <c r="CV182" i="1"/>
  <c r="CX182" i="1"/>
  <c r="FR182" i="1"/>
  <c r="GL182" i="1"/>
  <c r="GO182" i="1"/>
  <c r="GP182" i="1"/>
  <c r="GV182" i="1"/>
  <c r="HC182" i="1"/>
  <c r="C183" i="1"/>
  <c r="D183" i="1"/>
  <c r="AC183" i="1"/>
  <c r="CQ183" i="1" s="1"/>
  <c r="P183" i="1" s="1"/>
  <c r="AE183" i="1"/>
  <c r="AD183" i="1" s="1"/>
  <c r="CR183" i="1" s="1"/>
  <c r="Q183" i="1" s="1"/>
  <c r="AF183" i="1"/>
  <c r="AG183" i="1"/>
  <c r="CU183" i="1" s="1"/>
  <c r="T183" i="1" s="1"/>
  <c r="AH183" i="1"/>
  <c r="AI183" i="1"/>
  <c r="CW183" i="1" s="1"/>
  <c r="V183" i="1" s="1"/>
  <c r="AJ183" i="1"/>
  <c r="CT183" i="1"/>
  <c r="S183" i="1" s="1"/>
  <c r="CV183" i="1"/>
  <c r="U183" i="1" s="1"/>
  <c r="CX183" i="1"/>
  <c r="W183" i="1" s="1"/>
  <c r="FR183" i="1"/>
  <c r="GL183" i="1"/>
  <c r="GO183" i="1"/>
  <c r="GP183" i="1"/>
  <c r="GV183" i="1"/>
  <c r="GX183" i="1"/>
  <c r="HC183" i="1"/>
  <c r="C184" i="1"/>
  <c r="D184" i="1"/>
  <c r="AC184" i="1"/>
  <c r="AE184" i="1"/>
  <c r="AF184" i="1"/>
  <c r="AG184" i="1"/>
  <c r="CU184" i="1" s="1"/>
  <c r="T184" i="1" s="1"/>
  <c r="AH184" i="1"/>
  <c r="AI184" i="1"/>
  <c r="CW184" i="1" s="1"/>
  <c r="V184" i="1" s="1"/>
  <c r="AJ184" i="1"/>
  <c r="CX184" i="1"/>
  <c r="W184" i="1" s="1"/>
  <c r="FR184" i="1"/>
  <c r="GL184" i="1"/>
  <c r="GO184" i="1"/>
  <c r="GP184" i="1"/>
  <c r="GV184" i="1"/>
  <c r="GX184" i="1"/>
  <c r="HC184" i="1"/>
  <c r="I185" i="1"/>
  <c r="AC185" i="1"/>
  <c r="CQ185" i="1" s="1"/>
  <c r="AD185" i="1"/>
  <c r="CR185" i="1" s="1"/>
  <c r="AE185" i="1"/>
  <c r="AF185" i="1"/>
  <c r="CT185" i="1" s="1"/>
  <c r="AG185" i="1"/>
  <c r="AH185" i="1"/>
  <c r="CV185" i="1" s="1"/>
  <c r="AI185" i="1"/>
  <c r="AJ185" i="1"/>
  <c r="CX185" i="1" s="1"/>
  <c r="CS185" i="1"/>
  <c r="CU185" i="1"/>
  <c r="CW185" i="1"/>
  <c r="FR185" i="1"/>
  <c r="GL185" i="1"/>
  <c r="GO185" i="1"/>
  <c r="GP185" i="1"/>
  <c r="GV185" i="1"/>
  <c r="HC185" i="1" s="1"/>
  <c r="I186" i="1"/>
  <c r="AC186" i="1"/>
  <c r="AE186" i="1"/>
  <c r="AF186" i="1"/>
  <c r="AG186" i="1"/>
  <c r="CU186" i="1" s="1"/>
  <c r="AH186" i="1"/>
  <c r="AI186" i="1"/>
  <c r="CW186" i="1" s="1"/>
  <c r="AJ186" i="1"/>
  <c r="CT186" i="1"/>
  <c r="CV186" i="1"/>
  <c r="CX186" i="1"/>
  <c r="FR186" i="1"/>
  <c r="GL186" i="1"/>
  <c r="GO186" i="1"/>
  <c r="GP186" i="1"/>
  <c r="GV186" i="1"/>
  <c r="HC186" i="1"/>
  <c r="I187" i="1"/>
  <c r="P70" i="15" s="1"/>
  <c r="O70" i="15" s="1"/>
  <c r="E70" i="15" s="1"/>
  <c r="G70" i="15" s="1"/>
  <c r="X187" i="1"/>
  <c r="AC187" i="1"/>
  <c r="CQ187" i="1" s="1"/>
  <c r="AD187" i="1"/>
  <c r="CR187" i="1" s="1"/>
  <c r="AE187" i="1"/>
  <c r="AF187" i="1"/>
  <c r="CT187" i="1" s="1"/>
  <c r="AG187" i="1"/>
  <c r="AH187" i="1"/>
  <c r="CV187" i="1" s="1"/>
  <c r="AI187" i="1"/>
  <c r="AJ187" i="1"/>
  <c r="CX187" i="1" s="1"/>
  <c r="CS187" i="1"/>
  <c r="CU187" i="1"/>
  <c r="CW187" i="1"/>
  <c r="CY187" i="1"/>
  <c r="CZ187" i="1"/>
  <c r="Y187" i="1" s="1"/>
  <c r="FR187" i="1"/>
  <c r="GL187" i="1"/>
  <c r="GO187" i="1"/>
  <c r="GP187" i="1"/>
  <c r="GV187" i="1"/>
  <c r="HC187" i="1" s="1"/>
  <c r="I188" i="1"/>
  <c r="P41" i="13" s="1"/>
  <c r="O41" i="13" s="1"/>
  <c r="E41" i="13" s="1"/>
  <c r="G41" i="13" s="1"/>
  <c r="AC188" i="1"/>
  <c r="AD188" i="1"/>
  <c r="AE188" i="1"/>
  <c r="CS188" i="1" s="1"/>
  <c r="AF188" i="1"/>
  <c r="AG188" i="1"/>
  <c r="CU188" i="1" s="1"/>
  <c r="AH188" i="1"/>
  <c r="AI188" i="1"/>
  <c r="CW188" i="1" s="1"/>
  <c r="AJ188" i="1"/>
  <c r="CR188" i="1"/>
  <c r="CT188" i="1"/>
  <c r="CV188" i="1"/>
  <c r="CX188" i="1"/>
  <c r="FR188" i="1"/>
  <c r="GL188" i="1"/>
  <c r="GO188" i="1"/>
  <c r="GP188" i="1"/>
  <c r="GV188" i="1"/>
  <c r="HC188" i="1"/>
  <c r="I189" i="1"/>
  <c r="AC189" i="1"/>
  <c r="CQ189" i="1" s="1"/>
  <c r="AD189" i="1"/>
  <c r="CR189" i="1" s="1"/>
  <c r="AE189" i="1"/>
  <c r="AF189" i="1"/>
  <c r="CT189" i="1" s="1"/>
  <c r="AG189" i="1"/>
  <c r="AH189" i="1"/>
  <c r="CV189" i="1" s="1"/>
  <c r="AI189" i="1"/>
  <c r="AJ189" i="1"/>
  <c r="CX189" i="1" s="1"/>
  <c r="CS189" i="1"/>
  <c r="CU189" i="1"/>
  <c r="CW189" i="1"/>
  <c r="CY189" i="1"/>
  <c r="X189" i="1" s="1"/>
  <c r="CZ189" i="1"/>
  <c r="Y189" i="1" s="1"/>
  <c r="FR189" i="1"/>
  <c r="GL189" i="1"/>
  <c r="GO189" i="1"/>
  <c r="GP189" i="1"/>
  <c r="GV189" i="1"/>
  <c r="HC189" i="1"/>
  <c r="I190" i="1"/>
  <c r="AC190" i="1"/>
  <c r="AD190" i="1"/>
  <c r="AE190" i="1"/>
  <c r="CS190" i="1" s="1"/>
  <c r="AF190" i="1"/>
  <c r="AG190" i="1"/>
  <c r="CU190" i="1" s="1"/>
  <c r="AH190" i="1"/>
  <c r="AI190" i="1"/>
  <c r="CW190" i="1" s="1"/>
  <c r="AJ190" i="1"/>
  <c r="CR190" i="1"/>
  <c r="CT190" i="1"/>
  <c r="CV190" i="1"/>
  <c r="CX190" i="1"/>
  <c r="FR190" i="1"/>
  <c r="GL190" i="1"/>
  <c r="GO190" i="1"/>
  <c r="GP190" i="1"/>
  <c r="GV190" i="1"/>
  <c r="HC190" i="1"/>
  <c r="I191" i="1"/>
  <c r="AC191" i="1"/>
  <c r="CQ191" i="1" s="1"/>
  <c r="AD191" i="1"/>
  <c r="CR191" i="1" s="1"/>
  <c r="AE191" i="1"/>
  <c r="AF191" i="1"/>
  <c r="CT191" i="1" s="1"/>
  <c r="AG191" i="1"/>
  <c r="AH191" i="1"/>
  <c r="CV191" i="1" s="1"/>
  <c r="AI191" i="1"/>
  <c r="AJ191" i="1"/>
  <c r="CX191" i="1" s="1"/>
  <c r="CS191" i="1"/>
  <c r="CU191" i="1"/>
  <c r="CW191" i="1"/>
  <c r="FR191" i="1"/>
  <c r="GL191" i="1"/>
  <c r="GO191" i="1"/>
  <c r="GP191" i="1"/>
  <c r="GV191" i="1"/>
  <c r="HC191" i="1"/>
  <c r="I192" i="1"/>
  <c r="AC192" i="1"/>
  <c r="AE192" i="1"/>
  <c r="AF192" i="1"/>
  <c r="AG192" i="1"/>
  <c r="CU192" i="1" s="1"/>
  <c r="AH192" i="1"/>
  <c r="AI192" i="1"/>
  <c r="CW192" i="1" s="1"/>
  <c r="AJ192" i="1"/>
  <c r="CT192" i="1"/>
  <c r="CV192" i="1"/>
  <c r="CX192" i="1"/>
  <c r="FR192" i="1"/>
  <c r="GL192" i="1"/>
  <c r="GO192" i="1"/>
  <c r="GP192" i="1"/>
  <c r="GV192" i="1"/>
  <c r="HC192" i="1"/>
  <c r="I193" i="1"/>
  <c r="AC193" i="1"/>
  <c r="CQ193" i="1" s="1"/>
  <c r="AD193" i="1"/>
  <c r="CR193" i="1" s="1"/>
  <c r="AE193" i="1"/>
  <c r="AF193" i="1"/>
  <c r="CT193" i="1" s="1"/>
  <c r="AG193" i="1"/>
  <c r="AH193" i="1"/>
  <c r="CV193" i="1" s="1"/>
  <c r="AI193" i="1"/>
  <c r="AJ193" i="1"/>
  <c r="CX193" i="1" s="1"/>
  <c r="CS193" i="1"/>
  <c r="CU193" i="1"/>
  <c r="CW193" i="1"/>
  <c r="FR193" i="1"/>
  <c r="GL193" i="1"/>
  <c r="GN193" i="1"/>
  <c r="GP193" i="1"/>
  <c r="GV193" i="1"/>
  <c r="HC193" i="1"/>
  <c r="I194" i="1"/>
  <c r="AC194" i="1"/>
  <c r="AE194" i="1"/>
  <c r="AF194" i="1"/>
  <c r="AG194" i="1"/>
  <c r="CU194" i="1" s="1"/>
  <c r="AH194" i="1"/>
  <c r="AI194" i="1"/>
  <c r="CW194" i="1" s="1"/>
  <c r="AJ194" i="1"/>
  <c r="CT194" i="1"/>
  <c r="CV194" i="1"/>
  <c r="CX194" i="1"/>
  <c r="FR194" i="1"/>
  <c r="GL194" i="1"/>
  <c r="GN194" i="1"/>
  <c r="GP194" i="1"/>
  <c r="GV194" i="1"/>
  <c r="HC194" i="1"/>
  <c r="I195" i="1"/>
  <c r="T66" i="15" s="1"/>
  <c r="X195" i="1"/>
  <c r="AC195" i="1"/>
  <c r="CQ195" i="1" s="1"/>
  <c r="AD195" i="1"/>
  <c r="CR195" i="1" s="1"/>
  <c r="AE195" i="1"/>
  <c r="AF195" i="1"/>
  <c r="CT195" i="1" s="1"/>
  <c r="AG195" i="1"/>
  <c r="AH195" i="1"/>
  <c r="CV195" i="1" s="1"/>
  <c r="AI195" i="1"/>
  <c r="AJ195" i="1"/>
  <c r="CX195" i="1" s="1"/>
  <c r="CS195" i="1"/>
  <c r="CU195" i="1"/>
  <c r="CW195" i="1"/>
  <c r="CY195" i="1"/>
  <c r="CZ195" i="1"/>
  <c r="Y195" i="1" s="1"/>
  <c r="FR195" i="1"/>
  <c r="GL195" i="1"/>
  <c r="GO195" i="1"/>
  <c r="GP195" i="1"/>
  <c r="GV195" i="1"/>
  <c r="HC195" i="1" s="1"/>
  <c r="I196" i="1"/>
  <c r="T51" i="13" s="1"/>
  <c r="AC196" i="1"/>
  <c r="AD196" i="1"/>
  <c r="AE196" i="1"/>
  <c r="CS196" i="1" s="1"/>
  <c r="AF196" i="1"/>
  <c r="AG196" i="1"/>
  <c r="CU196" i="1" s="1"/>
  <c r="AH196" i="1"/>
  <c r="AI196" i="1"/>
  <c r="CW196" i="1" s="1"/>
  <c r="AJ196" i="1"/>
  <c r="CR196" i="1"/>
  <c r="CT196" i="1"/>
  <c r="CV196" i="1"/>
  <c r="CX196" i="1"/>
  <c r="FR196" i="1"/>
  <c r="GL196" i="1"/>
  <c r="GO196" i="1"/>
  <c r="GP196" i="1"/>
  <c r="GV196" i="1"/>
  <c r="HC196" i="1"/>
  <c r="I197" i="1"/>
  <c r="AC197" i="1"/>
  <c r="CQ197" i="1" s="1"/>
  <c r="AD197" i="1"/>
  <c r="CR197" i="1" s="1"/>
  <c r="AE197" i="1"/>
  <c r="AF197" i="1"/>
  <c r="CT197" i="1" s="1"/>
  <c r="AG197" i="1"/>
  <c r="AH197" i="1"/>
  <c r="CV197" i="1" s="1"/>
  <c r="AI197" i="1"/>
  <c r="AJ197" i="1"/>
  <c r="CX197" i="1" s="1"/>
  <c r="CS197" i="1"/>
  <c r="CU197" i="1"/>
  <c r="CW197" i="1"/>
  <c r="CY197" i="1"/>
  <c r="X197" i="1" s="1"/>
  <c r="CZ197" i="1"/>
  <c r="Y197" i="1" s="1"/>
  <c r="FR197" i="1"/>
  <c r="GL197" i="1"/>
  <c r="GO197" i="1"/>
  <c r="GP197" i="1"/>
  <c r="GV197" i="1"/>
  <c r="HC197" i="1"/>
  <c r="I198" i="1"/>
  <c r="T67" i="13" s="1"/>
  <c r="AC198" i="1"/>
  <c r="AD198" i="1"/>
  <c r="AE198" i="1"/>
  <c r="CS198" i="1" s="1"/>
  <c r="AF198" i="1"/>
  <c r="AG198" i="1"/>
  <c r="CU198" i="1" s="1"/>
  <c r="AH198" i="1"/>
  <c r="AI198" i="1"/>
  <c r="CW198" i="1" s="1"/>
  <c r="AJ198" i="1"/>
  <c r="CR198" i="1"/>
  <c r="CT198" i="1"/>
  <c r="CV198" i="1"/>
  <c r="CX198" i="1"/>
  <c r="FR198" i="1"/>
  <c r="GL198" i="1"/>
  <c r="GO198" i="1"/>
  <c r="GP198" i="1"/>
  <c r="GV198" i="1"/>
  <c r="HC198" i="1"/>
  <c r="I199" i="1"/>
  <c r="T65" i="15" s="1"/>
  <c r="AC199" i="1"/>
  <c r="AD199" i="1"/>
  <c r="AE199" i="1"/>
  <c r="CS199" i="1" s="1"/>
  <c r="AF199" i="1"/>
  <c r="AG199" i="1"/>
  <c r="CU199" i="1" s="1"/>
  <c r="AH199" i="1"/>
  <c r="AI199" i="1"/>
  <c r="CW199" i="1" s="1"/>
  <c r="AJ199" i="1"/>
  <c r="CR199" i="1"/>
  <c r="CT199" i="1"/>
  <c r="CV199" i="1"/>
  <c r="CX199" i="1"/>
  <c r="W199" i="1" s="1"/>
  <c r="CY199" i="1"/>
  <c r="X199" i="1" s="1"/>
  <c r="CZ199" i="1"/>
  <c r="Y199" i="1" s="1"/>
  <c r="FR199" i="1"/>
  <c r="GL199" i="1"/>
  <c r="GO199" i="1"/>
  <c r="GP199" i="1"/>
  <c r="GV199" i="1"/>
  <c r="HC199" i="1"/>
  <c r="I200" i="1"/>
  <c r="T66" i="13" s="1"/>
  <c r="AC200" i="1"/>
  <c r="AD200" i="1"/>
  <c r="AB200" i="1" s="1"/>
  <c r="AE200" i="1"/>
  <c r="AF200" i="1"/>
  <c r="CT200" i="1" s="1"/>
  <c r="AG200" i="1"/>
  <c r="AH200" i="1"/>
  <c r="CV200" i="1" s="1"/>
  <c r="AI200" i="1"/>
  <c r="AJ200" i="1"/>
  <c r="CX200" i="1" s="1"/>
  <c r="CQ200" i="1"/>
  <c r="CS200" i="1"/>
  <c r="CU200" i="1"/>
  <c r="CW200" i="1"/>
  <c r="V200" i="1" s="1"/>
  <c r="FR200" i="1"/>
  <c r="GL200" i="1"/>
  <c r="GO200" i="1"/>
  <c r="GP200" i="1"/>
  <c r="GV200" i="1"/>
  <c r="HC200" i="1" s="1"/>
  <c r="I201" i="1"/>
  <c r="T97" i="15" s="1"/>
  <c r="AC201" i="1"/>
  <c r="AE201" i="1"/>
  <c r="CS201" i="1" s="1"/>
  <c r="AF201" i="1"/>
  <c r="AG201" i="1"/>
  <c r="CU201" i="1" s="1"/>
  <c r="AH201" i="1"/>
  <c r="AI201" i="1"/>
  <c r="CW201" i="1" s="1"/>
  <c r="AJ201" i="1"/>
  <c r="CT201" i="1"/>
  <c r="CV201" i="1"/>
  <c r="CX201" i="1"/>
  <c r="FR201" i="1"/>
  <c r="GL201" i="1"/>
  <c r="GO201" i="1"/>
  <c r="GP201" i="1"/>
  <c r="GV201" i="1"/>
  <c r="HC201" i="1"/>
  <c r="I202" i="1"/>
  <c r="T45" i="13" s="1"/>
  <c r="AC202" i="1"/>
  <c r="AD202" i="1"/>
  <c r="CR202" i="1" s="1"/>
  <c r="AE202" i="1"/>
  <c r="AF202" i="1"/>
  <c r="AB202" i="1" s="1"/>
  <c r="AG202" i="1"/>
  <c r="AH202" i="1"/>
  <c r="CV202" i="1" s="1"/>
  <c r="AI202" i="1"/>
  <c r="AJ202" i="1"/>
  <c r="CX202" i="1" s="1"/>
  <c r="CQ202" i="1"/>
  <c r="CS202" i="1"/>
  <c r="CU202" i="1"/>
  <c r="CW202" i="1"/>
  <c r="V202" i="1" s="1"/>
  <c r="FR202" i="1"/>
  <c r="GL202" i="1"/>
  <c r="GO202" i="1"/>
  <c r="GP202" i="1"/>
  <c r="GV202" i="1"/>
  <c r="HC202" i="1"/>
  <c r="C203" i="1"/>
  <c r="D203" i="1"/>
  <c r="AC203" i="1"/>
  <c r="CQ203" i="1" s="1"/>
  <c r="P203" i="1" s="1"/>
  <c r="AD203" i="1"/>
  <c r="AE203" i="1"/>
  <c r="AF203" i="1"/>
  <c r="CT203" i="1" s="1"/>
  <c r="S203" i="1" s="1"/>
  <c r="AG203" i="1"/>
  <c r="AH203" i="1"/>
  <c r="CV203" i="1" s="1"/>
  <c r="U203" i="1" s="1"/>
  <c r="AI203" i="1"/>
  <c r="AJ203" i="1"/>
  <c r="CX203" i="1" s="1"/>
  <c r="W203" i="1" s="1"/>
  <c r="CS203" i="1"/>
  <c r="R203" i="1" s="1"/>
  <c r="CU203" i="1"/>
  <c r="T203" i="1" s="1"/>
  <c r="CW203" i="1"/>
  <c r="V203" i="1" s="1"/>
  <c r="FR203" i="1"/>
  <c r="GL203" i="1"/>
  <c r="GO203" i="1"/>
  <c r="GP203" i="1"/>
  <c r="GV203" i="1"/>
  <c r="HC203" i="1" s="1"/>
  <c r="GX203" i="1" s="1"/>
  <c r="C204" i="1"/>
  <c r="D204" i="1"/>
  <c r="AC204" i="1"/>
  <c r="CQ204" i="1" s="1"/>
  <c r="P204" i="1" s="1"/>
  <c r="AE204" i="1"/>
  <c r="AF204" i="1"/>
  <c r="AG204" i="1"/>
  <c r="AH204" i="1"/>
  <c r="AI204" i="1"/>
  <c r="AJ204" i="1"/>
  <c r="CX204" i="1" s="1"/>
  <c r="W204" i="1" s="1"/>
  <c r="CU204" i="1"/>
  <c r="T204" i="1" s="1"/>
  <c r="CW204" i="1"/>
  <c r="V204" i="1" s="1"/>
  <c r="FR204" i="1"/>
  <c r="GL204" i="1"/>
  <c r="GO204" i="1"/>
  <c r="GP204" i="1"/>
  <c r="GV204" i="1"/>
  <c r="HC204" i="1"/>
  <c r="GX204" i="1" s="1"/>
  <c r="I205" i="1"/>
  <c r="U96" i="15" s="1"/>
  <c r="AC205" i="1"/>
  <c r="AE205" i="1"/>
  <c r="AD205" i="1" s="1"/>
  <c r="CR205" i="1" s="1"/>
  <c r="AF205" i="1"/>
  <c r="AG205" i="1"/>
  <c r="CU205" i="1" s="1"/>
  <c r="AH205" i="1"/>
  <c r="AI205" i="1"/>
  <c r="CW205" i="1" s="1"/>
  <c r="AJ205" i="1"/>
  <c r="CT205" i="1"/>
  <c r="CV205" i="1"/>
  <c r="CX205" i="1"/>
  <c r="FR205" i="1"/>
  <c r="GL205" i="1"/>
  <c r="GO205" i="1"/>
  <c r="GP205" i="1"/>
  <c r="GV205" i="1"/>
  <c r="HC205" i="1"/>
  <c r="I206" i="1"/>
  <c r="U33" i="13" s="1"/>
  <c r="AC206" i="1"/>
  <c r="AD206" i="1"/>
  <c r="AB206" i="1" s="1"/>
  <c r="AE206" i="1"/>
  <c r="AF206" i="1"/>
  <c r="CT206" i="1" s="1"/>
  <c r="AG206" i="1"/>
  <c r="AH206" i="1"/>
  <c r="CV206" i="1" s="1"/>
  <c r="AI206" i="1"/>
  <c r="AJ206" i="1"/>
  <c r="CX206" i="1" s="1"/>
  <c r="CQ206" i="1"/>
  <c r="CS206" i="1"/>
  <c r="CU206" i="1"/>
  <c r="CW206" i="1"/>
  <c r="FR206" i="1"/>
  <c r="GL206" i="1"/>
  <c r="GO206" i="1"/>
  <c r="GP206" i="1"/>
  <c r="GV206" i="1"/>
  <c r="HC206" i="1" s="1"/>
  <c r="I207" i="1"/>
  <c r="P69" i="15" s="1"/>
  <c r="O69" i="15" s="1"/>
  <c r="E69" i="15" s="1"/>
  <c r="G69" i="15" s="1"/>
  <c r="AC207" i="1"/>
  <c r="AD207" i="1"/>
  <c r="AE207" i="1"/>
  <c r="CS207" i="1" s="1"/>
  <c r="AF207" i="1"/>
  <c r="AG207" i="1"/>
  <c r="CU207" i="1" s="1"/>
  <c r="AH207" i="1"/>
  <c r="AI207" i="1"/>
  <c r="CW207" i="1" s="1"/>
  <c r="AJ207" i="1"/>
  <c r="CR207" i="1"/>
  <c r="CT207" i="1"/>
  <c r="CV207" i="1"/>
  <c r="CX207" i="1"/>
  <c r="W207" i="1" s="1"/>
  <c r="CY207" i="1"/>
  <c r="X207" i="1" s="1"/>
  <c r="CZ207" i="1"/>
  <c r="Y207" i="1" s="1"/>
  <c r="FR207" i="1"/>
  <c r="GL207" i="1"/>
  <c r="GO207" i="1"/>
  <c r="GP207" i="1"/>
  <c r="GV207" i="1"/>
  <c r="HC207" i="1"/>
  <c r="I208" i="1"/>
  <c r="P40" i="13" s="1"/>
  <c r="O40" i="13" s="1"/>
  <c r="E40" i="13" s="1"/>
  <c r="G40" i="13" s="1"/>
  <c r="AC208" i="1"/>
  <c r="AD208" i="1"/>
  <c r="CR208" i="1" s="1"/>
  <c r="AE208" i="1"/>
  <c r="AF208" i="1"/>
  <c r="AB208" i="1" s="1"/>
  <c r="AG208" i="1"/>
  <c r="AH208" i="1"/>
  <c r="CV208" i="1" s="1"/>
  <c r="AI208" i="1"/>
  <c r="AJ208" i="1"/>
  <c r="CX208" i="1" s="1"/>
  <c r="CQ208" i="1"/>
  <c r="CS208" i="1"/>
  <c r="CU208" i="1"/>
  <c r="CW208" i="1"/>
  <c r="FR208" i="1"/>
  <c r="GL208" i="1"/>
  <c r="GO208" i="1"/>
  <c r="GP208" i="1"/>
  <c r="GV208" i="1"/>
  <c r="HC208" i="1"/>
  <c r="I209" i="1"/>
  <c r="P73" i="15" s="1"/>
  <c r="O73" i="15" s="1"/>
  <c r="E73" i="15" s="1"/>
  <c r="G73" i="15" s="1"/>
  <c r="AC209" i="1"/>
  <c r="AD209" i="1"/>
  <c r="AE209" i="1"/>
  <c r="CS209" i="1" s="1"/>
  <c r="AF209" i="1"/>
  <c r="AG209" i="1"/>
  <c r="CU209" i="1" s="1"/>
  <c r="AH209" i="1"/>
  <c r="AI209" i="1"/>
  <c r="CW209" i="1" s="1"/>
  <c r="AJ209" i="1"/>
  <c r="CR209" i="1"/>
  <c r="CT209" i="1"/>
  <c r="CV209" i="1"/>
  <c r="CX209" i="1"/>
  <c r="CY209" i="1"/>
  <c r="X209" i="1" s="1"/>
  <c r="CZ209" i="1"/>
  <c r="Y209" i="1" s="1"/>
  <c r="FR209" i="1"/>
  <c r="GL209" i="1"/>
  <c r="GO209" i="1"/>
  <c r="GP209" i="1"/>
  <c r="GV209" i="1"/>
  <c r="HC209" i="1"/>
  <c r="I210" i="1"/>
  <c r="P43" i="13" s="1"/>
  <c r="O43" i="13" s="1"/>
  <c r="E43" i="13" s="1"/>
  <c r="G43" i="13" s="1"/>
  <c r="AC210" i="1"/>
  <c r="AD210" i="1"/>
  <c r="AB210" i="1" s="1"/>
  <c r="AE210" i="1"/>
  <c r="AF210" i="1"/>
  <c r="CT210" i="1" s="1"/>
  <c r="AG210" i="1"/>
  <c r="AH210" i="1"/>
  <c r="CV210" i="1" s="1"/>
  <c r="AI210" i="1"/>
  <c r="AJ210" i="1"/>
  <c r="CX210" i="1" s="1"/>
  <c r="CQ210" i="1"/>
  <c r="CS210" i="1"/>
  <c r="CU210" i="1"/>
  <c r="CW210" i="1"/>
  <c r="FR210" i="1"/>
  <c r="GL210" i="1"/>
  <c r="GO210" i="1"/>
  <c r="GP210" i="1"/>
  <c r="GV210" i="1"/>
  <c r="HC210" i="1" s="1"/>
  <c r="I211" i="1"/>
  <c r="U89" i="15" s="1"/>
  <c r="AC211" i="1"/>
  <c r="AE211" i="1"/>
  <c r="CS211" i="1" s="1"/>
  <c r="AF211" i="1"/>
  <c r="AG211" i="1"/>
  <c r="CU211" i="1" s="1"/>
  <c r="AH211" i="1"/>
  <c r="AI211" i="1"/>
  <c r="CW211" i="1" s="1"/>
  <c r="AJ211" i="1"/>
  <c r="CT211" i="1"/>
  <c r="CV211" i="1"/>
  <c r="CX211" i="1"/>
  <c r="FR211" i="1"/>
  <c r="GL211" i="1"/>
  <c r="GO211" i="1"/>
  <c r="GP211" i="1"/>
  <c r="GV211" i="1"/>
  <c r="HC211" i="1"/>
  <c r="I212" i="1"/>
  <c r="U20" i="13" s="1"/>
  <c r="AC212" i="1"/>
  <c r="AD212" i="1"/>
  <c r="CR212" i="1" s="1"/>
  <c r="AE212" i="1"/>
  <c r="AF212" i="1"/>
  <c r="AB212" i="1" s="1"/>
  <c r="AG212" i="1"/>
  <c r="AH212" i="1"/>
  <c r="CV212" i="1" s="1"/>
  <c r="AI212" i="1"/>
  <c r="AJ212" i="1"/>
  <c r="CX212" i="1" s="1"/>
  <c r="CQ212" i="1"/>
  <c r="CS212" i="1"/>
  <c r="CU212" i="1"/>
  <c r="CW212" i="1"/>
  <c r="FR212" i="1"/>
  <c r="GL212" i="1"/>
  <c r="GO212" i="1"/>
  <c r="GP212" i="1"/>
  <c r="GV212" i="1"/>
  <c r="HC212" i="1"/>
  <c r="I213" i="1"/>
  <c r="U84" i="15" s="1"/>
  <c r="AC213" i="1"/>
  <c r="AE213" i="1"/>
  <c r="AD213" i="1" s="1"/>
  <c r="CR213" i="1" s="1"/>
  <c r="AF213" i="1"/>
  <c r="AG213" i="1"/>
  <c r="CU213" i="1" s="1"/>
  <c r="AH213" i="1"/>
  <c r="AI213" i="1"/>
  <c r="CW213" i="1" s="1"/>
  <c r="AJ213" i="1"/>
  <c r="CT213" i="1"/>
  <c r="CV213" i="1"/>
  <c r="CX213" i="1"/>
  <c r="FR213" i="1"/>
  <c r="GL213" i="1"/>
  <c r="GN213" i="1"/>
  <c r="GP213" i="1"/>
  <c r="GV213" i="1"/>
  <c r="HC213" i="1"/>
  <c r="I214" i="1"/>
  <c r="U61" i="13" s="1"/>
  <c r="AC214" i="1"/>
  <c r="AD214" i="1"/>
  <c r="AB214" i="1" s="1"/>
  <c r="AE214" i="1"/>
  <c r="AF214" i="1"/>
  <c r="CT214" i="1" s="1"/>
  <c r="AG214" i="1"/>
  <c r="AH214" i="1"/>
  <c r="CV214" i="1" s="1"/>
  <c r="AI214" i="1"/>
  <c r="AJ214" i="1"/>
  <c r="CX214" i="1" s="1"/>
  <c r="CQ214" i="1"/>
  <c r="CS214" i="1"/>
  <c r="CU214" i="1"/>
  <c r="CW214" i="1"/>
  <c r="FR214" i="1"/>
  <c r="GL214" i="1"/>
  <c r="GN214" i="1"/>
  <c r="GP214" i="1"/>
  <c r="GV214" i="1"/>
  <c r="HC214" i="1" s="1"/>
  <c r="I215" i="1"/>
  <c r="U66" i="15" s="1"/>
  <c r="AC215" i="1"/>
  <c r="AD215" i="1"/>
  <c r="AE215" i="1"/>
  <c r="CS215" i="1" s="1"/>
  <c r="AF215" i="1"/>
  <c r="AG215" i="1"/>
  <c r="CU215" i="1" s="1"/>
  <c r="AH215" i="1"/>
  <c r="AI215" i="1"/>
  <c r="CW215" i="1" s="1"/>
  <c r="AJ215" i="1"/>
  <c r="CR215" i="1"/>
  <c r="CT215" i="1"/>
  <c r="CV215" i="1"/>
  <c r="CX215" i="1"/>
  <c r="W215" i="1" s="1"/>
  <c r="CY215" i="1"/>
  <c r="X215" i="1" s="1"/>
  <c r="CZ215" i="1"/>
  <c r="Y215" i="1" s="1"/>
  <c r="FR215" i="1"/>
  <c r="GL215" i="1"/>
  <c r="GO215" i="1"/>
  <c r="GP215" i="1"/>
  <c r="GV215" i="1"/>
  <c r="HC215" i="1"/>
  <c r="I216" i="1"/>
  <c r="U51" i="13" s="1"/>
  <c r="AC216" i="1"/>
  <c r="AD216" i="1"/>
  <c r="CR216" i="1" s="1"/>
  <c r="AE216" i="1"/>
  <c r="AF216" i="1"/>
  <c r="AB216" i="1" s="1"/>
  <c r="AG216" i="1"/>
  <c r="AH216" i="1"/>
  <c r="CV216" i="1" s="1"/>
  <c r="AI216" i="1"/>
  <c r="AJ216" i="1"/>
  <c r="CX216" i="1" s="1"/>
  <c r="CQ216" i="1"/>
  <c r="CS216" i="1"/>
  <c r="CU216" i="1"/>
  <c r="CW216" i="1"/>
  <c r="FR216" i="1"/>
  <c r="GL216" i="1"/>
  <c r="GO216" i="1"/>
  <c r="GP216" i="1"/>
  <c r="GV216" i="1"/>
  <c r="HC216" i="1"/>
  <c r="I217" i="1"/>
  <c r="AC217" i="1"/>
  <c r="AD217" i="1"/>
  <c r="AE217" i="1"/>
  <c r="CS217" i="1" s="1"/>
  <c r="AF217" i="1"/>
  <c r="AG217" i="1"/>
  <c r="CU217" i="1" s="1"/>
  <c r="AH217" i="1"/>
  <c r="AI217" i="1"/>
  <c r="CW217" i="1" s="1"/>
  <c r="AJ217" i="1"/>
  <c r="CR217" i="1"/>
  <c r="CT217" i="1"/>
  <c r="CV217" i="1"/>
  <c r="CX217" i="1"/>
  <c r="CY217" i="1"/>
  <c r="X217" i="1" s="1"/>
  <c r="CZ217" i="1"/>
  <c r="Y217" i="1" s="1"/>
  <c r="FR217" i="1"/>
  <c r="GL217" i="1"/>
  <c r="GO217" i="1"/>
  <c r="GP217" i="1"/>
  <c r="GV217" i="1"/>
  <c r="HC217" i="1"/>
  <c r="I218" i="1"/>
  <c r="U67" i="13" s="1"/>
  <c r="AC218" i="1"/>
  <c r="AD218" i="1"/>
  <c r="AB218" i="1" s="1"/>
  <c r="AE218" i="1"/>
  <c r="AF218" i="1"/>
  <c r="CT218" i="1" s="1"/>
  <c r="AG218" i="1"/>
  <c r="AH218" i="1"/>
  <c r="CV218" i="1" s="1"/>
  <c r="AI218" i="1"/>
  <c r="AJ218" i="1"/>
  <c r="CX218" i="1" s="1"/>
  <c r="CQ218" i="1"/>
  <c r="CS218" i="1"/>
  <c r="CU218" i="1"/>
  <c r="CW218" i="1"/>
  <c r="V218" i="1" s="1"/>
  <c r="FR218" i="1"/>
  <c r="GL218" i="1"/>
  <c r="GO218" i="1"/>
  <c r="GP218" i="1"/>
  <c r="GV218" i="1"/>
  <c r="HC218" i="1" s="1"/>
  <c r="I219" i="1"/>
  <c r="U65" i="15" s="1"/>
  <c r="AC219" i="1"/>
  <c r="AD219" i="1"/>
  <c r="AE219" i="1"/>
  <c r="CS219" i="1" s="1"/>
  <c r="AF219" i="1"/>
  <c r="AG219" i="1"/>
  <c r="CU219" i="1" s="1"/>
  <c r="AH219" i="1"/>
  <c r="AI219" i="1"/>
  <c r="CW219" i="1" s="1"/>
  <c r="AJ219" i="1"/>
  <c r="CR219" i="1"/>
  <c r="CT219" i="1"/>
  <c r="CV219" i="1"/>
  <c r="CX219" i="1"/>
  <c r="CY219" i="1"/>
  <c r="X219" i="1" s="1"/>
  <c r="CZ219" i="1"/>
  <c r="Y219" i="1" s="1"/>
  <c r="FR219" i="1"/>
  <c r="GL219" i="1"/>
  <c r="GO219" i="1"/>
  <c r="GP219" i="1"/>
  <c r="GV219" i="1"/>
  <c r="HC219" i="1"/>
  <c r="I220" i="1"/>
  <c r="U66" i="13" s="1"/>
  <c r="AC220" i="1"/>
  <c r="AD220" i="1"/>
  <c r="CR220" i="1" s="1"/>
  <c r="AE220" i="1"/>
  <c r="AF220" i="1"/>
  <c r="AB220" i="1" s="1"/>
  <c r="AG220" i="1"/>
  <c r="AH220" i="1"/>
  <c r="CV220" i="1" s="1"/>
  <c r="AI220" i="1"/>
  <c r="AJ220" i="1"/>
  <c r="CX220" i="1" s="1"/>
  <c r="CQ220" i="1"/>
  <c r="CS220" i="1"/>
  <c r="CU220" i="1"/>
  <c r="CW220" i="1"/>
  <c r="FR220" i="1"/>
  <c r="GL220" i="1"/>
  <c r="GO220" i="1"/>
  <c r="GP220" i="1"/>
  <c r="GV220" i="1"/>
  <c r="HC220" i="1"/>
  <c r="I221" i="1"/>
  <c r="U97" i="15" s="1"/>
  <c r="AC221" i="1"/>
  <c r="AE221" i="1"/>
  <c r="AD221" i="1" s="1"/>
  <c r="CR221" i="1" s="1"/>
  <c r="AF221" i="1"/>
  <c r="AG221" i="1"/>
  <c r="CU221" i="1" s="1"/>
  <c r="AH221" i="1"/>
  <c r="AI221" i="1"/>
  <c r="CW221" i="1" s="1"/>
  <c r="AJ221" i="1"/>
  <c r="CT221" i="1"/>
  <c r="CV221" i="1"/>
  <c r="CX221" i="1"/>
  <c r="FR221" i="1"/>
  <c r="GL221" i="1"/>
  <c r="GO221" i="1"/>
  <c r="GP221" i="1"/>
  <c r="GV221" i="1"/>
  <c r="HC221" i="1"/>
  <c r="I222" i="1"/>
  <c r="U45" i="13" s="1"/>
  <c r="AC222" i="1"/>
  <c r="AD222" i="1"/>
  <c r="AB222" i="1" s="1"/>
  <c r="AE222" i="1"/>
  <c r="AF222" i="1"/>
  <c r="CT222" i="1" s="1"/>
  <c r="AG222" i="1"/>
  <c r="AH222" i="1"/>
  <c r="CV222" i="1" s="1"/>
  <c r="AI222" i="1"/>
  <c r="AJ222" i="1"/>
  <c r="CX222" i="1" s="1"/>
  <c r="CQ222" i="1"/>
  <c r="CS222" i="1"/>
  <c r="CU222" i="1"/>
  <c r="CW222" i="1"/>
  <c r="FR222" i="1"/>
  <c r="GL222" i="1"/>
  <c r="GO222" i="1"/>
  <c r="GP222" i="1"/>
  <c r="GV222" i="1"/>
  <c r="HC222" i="1" s="1"/>
  <c r="C223" i="1"/>
  <c r="D223" i="1"/>
  <c r="AC223" i="1"/>
  <c r="CQ223" i="1" s="1"/>
  <c r="P223" i="1" s="1"/>
  <c r="AD223" i="1"/>
  <c r="CR223" i="1" s="1"/>
  <c r="Q223" i="1" s="1"/>
  <c r="AE223" i="1"/>
  <c r="AF223" i="1"/>
  <c r="AG223" i="1"/>
  <c r="AH223" i="1"/>
  <c r="CV223" i="1" s="1"/>
  <c r="U223" i="1" s="1"/>
  <c r="AI223" i="1"/>
  <c r="AJ223" i="1"/>
  <c r="CX223" i="1" s="1"/>
  <c r="W223" i="1" s="1"/>
  <c r="CS223" i="1"/>
  <c r="R223" i="1" s="1"/>
  <c r="CU223" i="1"/>
  <c r="T223" i="1" s="1"/>
  <c r="CW223" i="1"/>
  <c r="V223" i="1" s="1"/>
  <c r="FR223" i="1"/>
  <c r="GL223" i="1"/>
  <c r="GO223" i="1"/>
  <c r="GP223" i="1"/>
  <c r="GV223" i="1"/>
  <c r="HC223" i="1"/>
  <c r="GX223" i="1" s="1"/>
  <c r="C224" i="1"/>
  <c r="D224" i="1"/>
  <c r="AC224" i="1"/>
  <c r="CQ224" i="1" s="1"/>
  <c r="P224" i="1" s="1"/>
  <c r="AD224" i="1"/>
  <c r="AE224" i="1"/>
  <c r="AF224" i="1"/>
  <c r="AG224" i="1"/>
  <c r="AH224" i="1"/>
  <c r="AI224" i="1"/>
  <c r="AJ224" i="1"/>
  <c r="CX224" i="1" s="1"/>
  <c r="W224" i="1" s="1"/>
  <c r="CS224" i="1"/>
  <c r="R224" i="1" s="1"/>
  <c r="CU224" i="1"/>
  <c r="T224" i="1" s="1"/>
  <c r="CW224" i="1"/>
  <c r="V224" i="1" s="1"/>
  <c r="FR224" i="1"/>
  <c r="GL224" i="1"/>
  <c r="GO224" i="1"/>
  <c r="GP224" i="1"/>
  <c r="GV224" i="1"/>
  <c r="HC224" i="1" s="1"/>
  <c r="GX224" i="1" s="1"/>
  <c r="I225" i="1"/>
  <c r="P59" i="15" s="1"/>
  <c r="O59" i="15" s="1"/>
  <c r="E59" i="15" s="1"/>
  <c r="G59" i="15" s="1"/>
  <c r="AC225" i="1"/>
  <c r="AE225" i="1"/>
  <c r="CS225" i="1" s="1"/>
  <c r="AF225" i="1"/>
  <c r="AG225" i="1"/>
  <c r="CU225" i="1" s="1"/>
  <c r="AH225" i="1"/>
  <c r="AI225" i="1"/>
  <c r="CW225" i="1" s="1"/>
  <c r="AJ225" i="1"/>
  <c r="CT225" i="1"/>
  <c r="CV225" i="1"/>
  <c r="CX225" i="1"/>
  <c r="FR225" i="1"/>
  <c r="GL225" i="1"/>
  <c r="GO225" i="1"/>
  <c r="GP225" i="1"/>
  <c r="GV225" i="1"/>
  <c r="HC225" i="1"/>
  <c r="I226" i="1"/>
  <c r="P34" i="13" s="1"/>
  <c r="O34" i="13" s="1"/>
  <c r="E34" i="13" s="1"/>
  <c r="G34" i="13" s="1"/>
  <c r="AC226" i="1"/>
  <c r="AD226" i="1"/>
  <c r="CR226" i="1" s="1"/>
  <c r="AE226" i="1"/>
  <c r="AF226" i="1"/>
  <c r="AB226" i="1" s="1"/>
  <c r="AG226" i="1"/>
  <c r="AH226" i="1"/>
  <c r="CV226" i="1" s="1"/>
  <c r="AI226" i="1"/>
  <c r="AJ226" i="1"/>
  <c r="CX226" i="1" s="1"/>
  <c r="CQ226" i="1"/>
  <c r="CS226" i="1"/>
  <c r="CU226" i="1"/>
  <c r="CW226" i="1"/>
  <c r="FR226" i="1"/>
  <c r="GL226" i="1"/>
  <c r="GO226" i="1"/>
  <c r="GP226" i="1"/>
  <c r="GV226" i="1"/>
  <c r="HC226" i="1"/>
  <c r="C227" i="1"/>
  <c r="D227" i="1"/>
  <c r="AC227" i="1"/>
  <c r="CQ227" i="1" s="1"/>
  <c r="P227" i="1" s="1"/>
  <c r="AD227" i="1"/>
  <c r="AE227" i="1"/>
  <c r="AF227" i="1"/>
  <c r="CT227" i="1" s="1"/>
  <c r="S227" i="1" s="1"/>
  <c r="AG227" i="1"/>
  <c r="AH227" i="1"/>
  <c r="CV227" i="1" s="1"/>
  <c r="U227" i="1" s="1"/>
  <c r="AI227" i="1"/>
  <c r="AJ227" i="1"/>
  <c r="CX227" i="1" s="1"/>
  <c r="W227" i="1" s="1"/>
  <c r="CS227" i="1"/>
  <c r="R227" i="1" s="1"/>
  <c r="CU227" i="1"/>
  <c r="T227" i="1" s="1"/>
  <c r="CW227" i="1"/>
  <c r="V227" i="1" s="1"/>
  <c r="FR227" i="1"/>
  <c r="GL227" i="1"/>
  <c r="GN227" i="1"/>
  <c r="GP227" i="1"/>
  <c r="GV227" i="1"/>
  <c r="HC227" i="1" s="1"/>
  <c r="GX227" i="1" s="1"/>
  <c r="C228" i="1"/>
  <c r="D228" i="1"/>
  <c r="AC228" i="1"/>
  <c r="CQ228" i="1" s="1"/>
  <c r="P228" i="1" s="1"/>
  <c r="AE228" i="1"/>
  <c r="AF228" i="1"/>
  <c r="AG228" i="1"/>
  <c r="AH228" i="1"/>
  <c r="AI228" i="1"/>
  <c r="AJ228" i="1"/>
  <c r="CX228" i="1" s="1"/>
  <c r="W228" i="1" s="1"/>
  <c r="CU228" i="1"/>
  <c r="T228" i="1" s="1"/>
  <c r="CW228" i="1"/>
  <c r="V228" i="1" s="1"/>
  <c r="FR228" i="1"/>
  <c r="GL228" i="1"/>
  <c r="GN228" i="1"/>
  <c r="GP228" i="1"/>
  <c r="GV228" i="1"/>
  <c r="HC228" i="1"/>
  <c r="GX228" i="1" s="1"/>
  <c r="I229" i="1"/>
  <c r="P102" i="15" s="1"/>
  <c r="AC229" i="1"/>
  <c r="AE229" i="1"/>
  <c r="AD229" i="1" s="1"/>
  <c r="CR229" i="1" s="1"/>
  <c r="AF229" i="1"/>
  <c r="AG229" i="1"/>
  <c r="CU229" i="1" s="1"/>
  <c r="AH229" i="1"/>
  <c r="AI229" i="1"/>
  <c r="CW229" i="1" s="1"/>
  <c r="AJ229" i="1"/>
  <c r="CT229" i="1"/>
  <c r="CV229" i="1"/>
  <c r="CX229" i="1"/>
  <c r="FR229" i="1"/>
  <c r="GL229" i="1"/>
  <c r="GO229" i="1"/>
  <c r="GP229" i="1"/>
  <c r="GV229" i="1"/>
  <c r="HC229" i="1"/>
  <c r="I230" i="1"/>
  <c r="P52" i="13" s="1"/>
  <c r="AC230" i="1"/>
  <c r="AD230" i="1"/>
  <c r="AB230" i="1" s="1"/>
  <c r="AE230" i="1"/>
  <c r="AF230" i="1"/>
  <c r="CT230" i="1" s="1"/>
  <c r="AG230" i="1"/>
  <c r="AH230" i="1"/>
  <c r="CV230" i="1" s="1"/>
  <c r="AI230" i="1"/>
  <c r="AJ230" i="1"/>
  <c r="CX230" i="1" s="1"/>
  <c r="CQ230" i="1"/>
  <c r="CS230" i="1"/>
  <c r="CU230" i="1"/>
  <c r="CW230" i="1"/>
  <c r="FR230" i="1"/>
  <c r="GL230" i="1"/>
  <c r="GO230" i="1"/>
  <c r="GP230" i="1"/>
  <c r="GV230" i="1"/>
  <c r="HC230" i="1" s="1"/>
  <c r="I231" i="1"/>
  <c r="P81" i="15" s="1"/>
  <c r="AC231" i="1"/>
  <c r="AE231" i="1"/>
  <c r="CS231" i="1" s="1"/>
  <c r="AF231" i="1"/>
  <c r="AG231" i="1"/>
  <c r="CU231" i="1" s="1"/>
  <c r="AH231" i="1"/>
  <c r="AI231" i="1"/>
  <c r="CW231" i="1" s="1"/>
  <c r="AJ231" i="1"/>
  <c r="CT231" i="1"/>
  <c r="CV231" i="1"/>
  <c r="CX231" i="1"/>
  <c r="FR231" i="1"/>
  <c r="GL231" i="1"/>
  <c r="GN231" i="1"/>
  <c r="GP231" i="1"/>
  <c r="GV231" i="1"/>
  <c r="HC231" i="1"/>
  <c r="I232" i="1"/>
  <c r="P57" i="13" s="1"/>
  <c r="AC232" i="1"/>
  <c r="AD232" i="1"/>
  <c r="CR232" i="1" s="1"/>
  <c r="AE232" i="1"/>
  <c r="AF232" i="1"/>
  <c r="AB232" i="1" s="1"/>
  <c r="AG232" i="1"/>
  <c r="AH232" i="1"/>
  <c r="CV232" i="1" s="1"/>
  <c r="AI232" i="1"/>
  <c r="AJ232" i="1"/>
  <c r="CX232" i="1" s="1"/>
  <c r="CQ232" i="1"/>
  <c r="CS232" i="1"/>
  <c r="CU232" i="1"/>
  <c r="CW232" i="1"/>
  <c r="V232" i="1" s="1"/>
  <c r="FR232" i="1"/>
  <c r="GL232" i="1"/>
  <c r="GN232" i="1"/>
  <c r="GP232" i="1"/>
  <c r="GV232" i="1"/>
  <c r="HC232" i="1"/>
  <c r="I233" i="1"/>
  <c r="P79" i="15" s="1"/>
  <c r="AC233" i="1"/>
  <c r="AE233" i="1"/>
  <c r="AD233" i="1" s="1"/>
  <c r="CR233" i="1" s="1"/>
  <c r="AF233" i="1"/>
  <c r="AG233" i="1"/>
  <c r="CU233" i="1" s="1"/>
  <c r="AH233" i="1"/>
  <c r="AI233" i="1"/>
  <c r="CW233" i="1" s="1"/>
  <c r="AJ233" i="1"/>
  <c r="CT233" i="1"/>
  <c r="CV233" i="1"/>
  <c r="CX233" i="1"/>
  <c r="FR233" i="1"/>
  <c r="GL233" i="1"/>
  <c r="GN233" i="1"/>
  <c r="GP233" i="1"/>
  <c r="GV233" i="1"/>
  <c r="HC233" i="1"/>
  <c r="I234" i="1"/>
  <c r="P55" i="13" s="1"/>
  <c r="AC234" i="1"/>
  <c r="AD234" i="1"/>
  <c r="AB234" i="1" s="1"/>
  <c r="AE234" i="1"/>
  <c r="AF234" i="1"/>
  <c r="CT234" i="1" s="1"/>
  <c r="AG234" i="1"/>
  <c r="AH234" i="1"/>
  <c r="CV234" i="1" s="1"/>
  <c r="AI234" i="1"/>
  <c r="AJ234" i="1"/>
  <c r="CX234" i="1" s="1"/>
  <c r="CQ234" i="1"/>
  <c r="CS234" i="1"/>
  <c r="CU234" i="1"/>
  <c r="CW234" i="1"/>
  <c r="FR234" i="1"/>
  <c r="GL234" i="1"/>
  <c r="GN234" i="1"/>
  <c r="GP234" i="1"/>
  <c r="GV234" i="1"/>
  <c r="HC234" i="1" s="1"/>
  <c r="I235" i="1"/>
  <c r="P82" i="15" s="1"/>
  <c r="AC235" i="1"/>
  <c r="AE235" i="1"/>
  <c r="CS235" i="1" s="1"/>
  <c r="AF235" i="1"/>
  <c r="AG235" i="1"/>
  <c r="CU235" i="1" s="1"/>
  <c r="AH235" i="1"/>
  <c r="AI235" i="1"/>
  <c r="CW235" i="1" s="1"/>
  <c r="AJ235" i="1"/>
  <c r="CT235" i="1"/>
  <c r="CV235" i="1"/>
  <c r="CX235" i="1"/>
  <c r="FR235" i="1"/>
  <c r="GL235" i="1"/>
  <c r="GN235" i="1"/>
  <c r="GP235" i="1"/>
  <c r="GV235" i="1"/>
  <c r="HC235" i="1"/>
  <c r="I236" i="1"/>
  <c r="P62" i="13" s="1"/>
  <c r="AC236" i="1"/>
  <c r="AD236" i="1"/>
  <c r="CR236" i="1" s="1"/>
  <c r="AE236" i="1"/>
  <c r="AF236" i="1"/>
  <c r="AB236" i="1" s="1"/>
  <c r="AG236" i="1"/>
  <c r="AH236" i="1"/>
  <c r="CV236" i="1" s="1"/>
  <c r="AI236" i="1"/>
  <c r="AJ236" i="1"/>
  <c r="CX236" i="1" s="1"/>
  <c r="CQ236" i="1"/>
  <c r="CS236" i="1"/>
  <c r="CU236" i="1"/>
  <c r="CW236" i="1"/>
  <c r="FR236" i="1"/>
  <c r="GL236" i="1"/>
  <c r="GN236" i="1"/>
  <c r="GP236" i="1"/>
  <c r="GV236" i="1"/>
  <c r="HC236" i="1"/>
  <c r="I237" i="1"/>
  <c r="P106" i="15" s="1"/>
  <c r="AC237" i="1"/>
  <c r="AE237" i="1"/>
  <c r="AD237" i="1" s="1"/>
  <c r="CR237" i="1" s="1"/>
  <c r="AF237" i="1"/>
  <c r="AG237" i="1"/>
  <c r="CU237" i="1" s="1"/>
  <c r="AH237" i="1"/>
  <c r="AI237" i="1"/>
  <c r="CW237" i="1" s="1"/>
  <c r="AJ237" i="1"/>
  <c r="CT237" i="1"/>
  <c r="CV237" i="1"/>
  <c r="CX237" i="1"/>
  <c r="FR237" i="1"/>
  <c r="GL237" i="1"/>
  <c r="GO237" i="1"/>
  <c r="GP237" i="1"/>
  <c r="GV237" i="1"/>
  <c r="HC237" i="1"/>
  <c r="I238" i="1"/>
  <c r="P59" i="13" s="1"/>
  <c r="AC238" i="1"/>
  <c r="AD238" i="1"/>
  <c r="AB238" i="1" s="1"/>
  <c r="AE238" i="1"/>
  <c r="AF238" i="1"/>
  <c r="CT238" i="1" s="1"/>
  <c r="AG238" i="1"/>
  <c r="AH238" i="1"/>
  <c r="CV238" i="1" s="1"/>
  <c r="AI238" i="1"/>
  <c r="AJ238" i="1"/>
  <c r="CX238" i="1" s="1"/>
  <c r="CQ238" i="1"/>
  <c r="CS238" i="1"/>
  <c r="CU238" i="1"/>
  <c r="CW238" i="1"/>
  <c r="V238" i="1" s="1"/>
  <c r="FR238" i="1"/>
  <c r="GL238" i="1"/>
  <c r="GO238" i="1"/>
  <c r="GP238" i="1"/>
  <c r="GV238" i="1"/>
  <c r="HC238" i="1" s="1"/>
  <c r="C239" i="1"/>
  <c r="D239" i="1"/>
  <c r="AC239" i="1"/>
  <c r="CQ239" i="1" s="1"/>
  <c r="P239" i="1" s="1"/>
  <c r="AD239" i="1"/>
  <c r="CR239" i="1" s="1"/>
  <c r="Q239" i="1" s="1"/>
  <c r="AE239" i="1"/>
  <c r="AF239" i="1"/>
  <c r="AG239" i="1"/>
  <c r="AH239" i="1"/>
  <c r="CV239" i="1" s="1"/>
  <c r="U239" i="1" s="1"/>
  <c r="AI239" i="1"/>
  <c r="AJ239" i="1"/>
  <c r="CX239" i="1" s="1"/>
  <c r="W239" i="1" s="1"/>
  <c r="CS239" i="1"/>
  <c r="R239" i="1" s="1"/>
  <c r="CU239" i="1"/>
  <c r="T239" i="1" s="1"/>
  <c r="CW239" i="1"/>
  <c r="V239" i="1" s="1"/>
  <c r="FR239" i="1"/>
  <c r="GL239" i="1"/>
  <c r="GN239" i="1"/>
  <c r="GP239" i="1"/>
  <c r="GV239" i="1"/>
  <c r="HC239" i="1"/>
  <c r="GX239" i="1" s="1"/>
  <c r="C240" i="1"/>
  <c r="D240" i="1"/>
  <c r="AC240" i="1"/>
  <c r="CQ240" i="1" s="1"/>
  <c r="P240" i="1" s="1"/>
  <c r="AE240" i="1"/>
  <c r="AF240" i="1"/>
  <c r="AG240" i="1"/>
  <c r="AH240" i="1"/>
  <c r="AI240" i="1"/>
  <c r="AJ240" i="1"/>
  <c r="CX240" i="1" s="1"/>
  <c r="W240" i="1" s="1"/>
  <c r="CU240" i="1"/>
  <c r="T240" i="1" s="1"/>
  <c r="CW240" i="1"/>
  <c r="V240" i="1" s="1"/>
  <c r="FR240" i="1"/>
  <c r="GL240" i="1"/>
  <c r="GN240" i="1"/>
  <c r="GP240" i="1"/>
  <c r="GV240" i="1"/>
  <c r="HC240" i="1" s="1"/>
  <c r="GX240" i="1" s="1"/>
  <c r="I241" i="1"/>
  <c r="Q102" i="15" s="1"/>
  <c r="AC241" i="1"/>
  <c r="AE241" i="1"/>
  <c r="CS241" i="1" s="1"/>
  <c r="AF241" i="1"/>
  <c r="AG241" i="1"/>
  <c r="CU241" i="1" s="1"/>
  <c r="AH241" i="1"/>
  <c r="AI241" i="1"/>
  <c r="CW241" i="1" s="1"/>
  <c r="AJ241" i="1"/>
  <c r="CT241" i="1"/>
  <c r="CV241" i="1"/>
  <c r="CX241" i="1"/>
  <c r="FR241" i="1"/>
  <c r="GL241" i="1"/>
  <c r="GO241" i="1"/>
  <c r="GP241" i="1"/>
  <c r="GV241" i="1"/>
  <c r="HC241" i="1"/>
  <c r="I242" i="1"/>
  <c r="Q52" i="13" s="1"/>
  <c r="AC242" i="1"/>
  <c r="AD242" i="1"/>
  <c r="CR242" i="1" s="1"/>
  <c r="AE242" i="1"/>
  <c r="AF242" i="1"/>
  <c r="AB242" i="1" s="1"/>
  <c r="AG242" i="1"/>
  <c r="AH242" i="1"/>
  <c r="CV242" i="1" s="1"/>
  <c r="AI242" i="1"/>
  <c r="AJ242" i="1"/>
  <c r="CX242" i="1" s="1"/>
  <c r="CQ242" i="1"/>
  <c r="CS242" i="1"/>
  <c r="CU242" i="1"/>
  <c r="CW242" i="1"/>
  <c r="V242" i="1" s="1"/>
  <c r="FR242" i="1"/>
  <c r="GL242" i="1"/>
  <c r="GO242" i="1"/>
  <c r="GP242" i="1"/>
  <c r="GV242" i="1"/>
  <c r="HC242" i="1"/>
  <c r="I243" i="1"/>
  <c r="Q81" i="15" s="1"/>
  <c r="AC243" i="1"/>
  <c r="AE243" i="1"/>
  <c r="AD243" i="1" s="1"/>
  <c r="CR243" i="1" s="1"/>
  <c r="AF243" i="1"/>
  <c r="AG243" i="1"/>
  <c r="CU243" i="1" s="1"/>
  <c r="AH243" i="1"/>
  <c r="AI243" i="1"/>
  <c r="CW243" i="1" s="1"/>
  <c r="AJ243" i="1"/>
  <c r="CT243" i="1"/>
  <c r="CV243" i="1"/>
  <c r="CX243" i="1"/>
  <c r="FR243" i="1"/>
  <c r="GL243" i="1"/>
  <c r="GN243" i="1"/>
  <c r="GP243" i="1"/>
  <c r="GV243" i="1"/>
  <c r="HC243" i="1" s="1"/>
  <c r="I244" i="1"/>
  <c r="Q57" i="13" s="1"/>
  <c r="AC244" i="1"/>
  <c r="AD244" i="1"/>
  <c r="AB244" i="1" s="1"/>
  <c r="AE244" i="1"/>
  <c r="AF244" i="1"/>
  <c r="CT244" i="1" s="1"/>
  <c r="AG244" i="1"/>
  <c r="AH244" i="1"/>
  <c r="CV244" i="1" s="1"/>
  <c r="AI244" i="1"/>
  <c r="AJ244" i="1"/>
  <c r="CX244" i="1" s="1"/>
  <c r="CQ244" i="1"/>
  <c r="CS244" i="1"/>
  <c r="CU244" i="1"/>
  <c r="CW244" i="1"/>
  <c r="V244" i="1" s="1"/>
  <c r="FR244" i="1"/>
  <c r="GL244" i="1"/>
  <c r="GN244" i="1"/>
  <c r="GP244" i="1"/>
  <c r="GV244" i="1"/>
  <c r="HC244" i="1" s="1"/>
  <c r="I245" i="1"/>
  <c r="Q79" i="15" s="1"/>
  <c r="AC245" i="1"/>
  <c r="AE245" i="1"/>
  <c r="CS245" i="1" s="1"/>
  <c r="AF245" i="1"/>
  <c r="AG245" i="1"/>
  <c r="CU245" i="1" s="1"/>
  <c r="AH245" i="1"/>
  <c r="AI245" i="1"/>
  <c r="CW245" i="1" s="1"/>
  <c r="AJ245" i="1"/>
  <c r="CT245" i="1"/>
  <c r="CV245" i="1"/>
  <c r="CX245" i="1"/>
  <c r="FR245" i="1"/>
  <c r="GL245" i="1"/>
  <c r="GN245" i="1"/>
  <c r="GP245" i="1"/>
  <c r="GV245" i="1"/>
  <c r="HC245" i="1"/>
  <c r="I246" i="1"/>
  <c r="Q55" i="13" s="1"/>
  <c r="AC246" i="1"/>
  <c r="AD246" i="1"/>
  <c r="CR246" i="1" s="1"/>
  <c r="AE246" i="1"/>
  <c r="AF246" i="1"/>
  <c r="AB246" i="1" s="1"/>
  <c r="AG246" i="1"/>
  <c r="AH246" i="1"/>
  <c r="CV246" i="1" s="1"/>
  <c r="AI246" i="1"/>
  <c r="AJ246" i="1"/>
  <c r="CX246" i="1" s="1"/>
  <c r="CQ246" i="1"/>
  <c r="CS246" i="1"/>
  <c r="CU246" i="1"/>
  <c r="CW246" i="1"/>
  <c r="FR246" i="1"/>
  <c r="GL246" i="1"/>
  <c r="GN246" i="1"/>
  <c r="GP246" i="1"/>
  <c r="GV246" i="1"/>
  <c r="HC246" i="1"/>
  <c r="I247" i="1"/>
  <c r="P83" i="15" s="1"/>
  <c r="O83" i="15" s="1"/>
  <c r="E83" i="15" s="1"/>
  <c r="G83" i="15" s="1"/>
  <c r="AC247" i="1"/>
  <c r="AE247" i="1"/>
  <c r="AD247" i="1" s="1"/>
  <c r="CR247" i="1" s="1"/>
  <c r="AF247" i="1"/>
  <c r="AG247" i="1"/>
  <c r="CU247" i="1" s="1"/>
  <c r="AH247" i="1"/>
  <c r="AI247" i="1"/>
  <c r="CW247" i="1" s="1"/>
  <c r="AJ247" i="1"/>
  <c r="CT247" i="1"/>
  <c r="CV247" i="1"/>
  <c r="CX247" i="1"/>
  <c r="FR247" i="1"/>
  <c r="GL247" i="1"/>
  <c r="GN247" i="1"/>
  <c r="GP247" i="1"/>
  <c r="GV247" i="1"/>
  <c r="HC247" i="1"/>
  <c r="I248" i="1"/>
  <c r="P63" i="13" s="1"/>
  <c r="O63" i="13" s="1"/>
  <c r="E63" i="13" s="1"/>
  <c r="G63" i="13" s="1"/>
  <c r="AC248" i="1"/>
  <c r="AD248" i="1"/>
  <c r="AB248" i="1" s="1"/>
  <c r="AE248" i="1"/>
  <c r="AF248" i="1"/>
  <c r="CT248" i="1" s="1"/>
  <c r="AG248" i="1"/>
  <c r="AH248" i="1"/>
  <c r="CV248" i="1" s="1"/>
  <c r="AI248" i="1"/>
  <c r="AJ248" i="1"/>
  <c r="CX248" i="1" s="1"/>
  <c r="CQ248" i="1"/>
  <c r="CS248" i="1"/>
  <c r="CU248" i="1"/>
  <c r="CW248" i="1"/>
  <c r="FR248" i="1"/>
  <c r="GL248" i="1"/>
  <c r="GN248" i="1"/>
  <c r="GP248" i="1"/>
  <c r="GV248" i="1"/>
  <c r="HC248" i="1" s="1"/>
  <c r="I249" i="1"/>
  <c r="Q106" i="15" s="1"/>
  <c r="AC249" i="1"/>
  <c r="AE249" i="1"/>
  <c r="CS249" i="1" s="1"/>
  <c r="AF249" i="1"/>
  <c r="AG249" i="1"/>
  <c r="CU249" i="1" s="1"/>
  <c r="AH249" i="1"/>
  <c r="AI249" i="1"/>
  <c r="CW249" i="1" s="1"/>
  <c r="AJ249" i="1"/>
  <c r="CT249" i="1"/>
  <c r="CV249" i="1"/>
  <c r="CX249" i="1"/>
  <c r="FR249" i="1"/>
  <c r="GL249" i="1"/>
  <c r="GO249" i="1"/>
  <c r="GP249" i="1"/>
  <c r="GV249" i="1"/>
  <c r="HC249" i="1"/>
  <c r="I250" i="1"/>
  <c r="Q59" i="13" s="1"/>
  <c r="AC250" i="1"/>
  <c r="AD250" i="1"/>
  <c r="CR250" i="1" s="1"/>
  <c r="AE250" i="1"/>
  <c r="AF250" i="1"/>
  <c r="AB250" i="1" s="1"/>
  <c r="AG250" i="1"/>
  <c r="AH250" i="1"/>
  <c r="CV250" i="1" s="1"/>
  <c r="AI250" i="1"/>
  <c r="AJ250" i="1"/>
  <c r="CX250" i="1" s="1"/>
  <c r="CQ250" i="1"/>
  <c r="CS250" i="1"/>
  <c r="CU250" i="1"/>
  <c r="CW250" i="1"/>
  <c r="FR250" i="1"/>
  <c r="GL250" i="1"/>
  <c r="GO250" i="1"/>
  <c r="GP250" i="1"/>
  <c r="GV250" i="1"/>
  <c r="HC250" i="1"/>
  <c r="C251" i="1"/>
  <c r="D251" i="1"/>
  <c r="AC251" i="1"/>
  <c r="CQ251" i="1" s="1"/>
  <c r="P251" i="1" s="1"/>
  <c r="AE251" i="1"/>
  <c r="AD251" i="1" s="1"/>
  <c r="AF251" i="1"/>
  <c r="CT251" i="1" s="1"/>
  <c r="S251" i="1" s="1"/>
  <c r="AG251" i="1"/>
  <c r="AH251" i="1"/>
  <c r="CV251" i="1" s="1"/>
  <c r="U251" i="1" s="1"/>
  <c r="AI251" i="1"/>
  <c r="AJ251" i="1"/>
  <c r="CX251" i="1" s="1"/>
  <c r="W251" i="1" s="1"/>
  <c r="CU251" i="1"/>
  <c r="T251" i="1" s="1"/>
  <c r="CW251" i="1"/>
  <c r="V251" i="1" s="1"/>
  <c r="FR251" i="1"/>
  <c r="GL251" i="1"/>
  <c r="GO251" i="1"/>
  <c r="GP251" i="1"/>
  <c r="GV251" i="1"/>
  <c r="HC251" i="1" s="1"/>
  <c r="GX251" i="1" s="1"/>
  <c r="C252" i="1"/>
  <c r="D252" i="1"/>
  <c r="AC252" i="1"/>
  <c r="CQ252" i="1" s="1"/>
  <c r="P252" i="1" s="1"/>
  <c r="AE252" i="1"/>
  <c r="AF252" i="1"/>
  <c r="AG252" i="1"/>
  <c r="AH252" i="1"/>
  <c r="AI252" i="1"/>
  <c r="AJ252" i="1"/>
  <c r="CX252" i="1" s="1"/>
  <c r="W252" i="1" s="1"/>
  <c r="CU252" i="1"/>
  <c r="T252" i="1" s="1"/>
  <c r="CW252" i="1"/>
  <c r="V252" i="1" s="1"/>
  <c r="FR252" i="1"/>
  <c r="GL252" i="1"/>
  <c r="GO252" i="1"/>
  <c r="GP252" i="1"/>
  <c r="GV252" i="1"/>
  <c r="HC252" i="1"/>
  <c r="GX252" i="1" s="1"/>
  <c r="I253" i="1"/>
  <c r="R102" i="15" s="1"/>
  <c r="AC253" i="1"/>
  <c r="AE253" i="1"/>
  <c r="AD253" i="1" s="1"/>
  <c r="CR253" i="1" s="1"/>
  <c r="AF253" i="1"/>
  <c r="AG253" i="1"/>
  <c r="CU253" i="1" s="1"/>
  <c r="AH253" i="1"/>
  <c r="AI253" i="1"/>
  <c r="CW253" i="1" s="1"/>
  <c r="AJ253" i="1"/>
  <c r="CT253" i="1"/>
  <c r="CV253" i="1"/>
  <c r="CX253" i="1"/>
  <c r="FR253" i="1"/>
  <c r="GL253" i="1"/>
  <c r="GO253" i="1"/>
  <c r="GP253" i="1"/>
  <c r="GV253" i="1"/>
  <c r="HC253" i="1"/>
  <c r="I254" i="1"/>
  <c r="R52" i="13" s="1"/>
  <c r="AC254" i="1"/>
  <c r="AD254" i="1"/>
  <c r="AB254" i="1" s="1"/>
  <c r="AE254" i="1"/>
  <c r="AF254" i="1"/>
  <c r="CT254" i="1" s="1"/>
  <c r="AG254" i="1"/>
  <c r="AH254" i="1"/>
  <c r="CV254" i="1" s="1"/>
  <c r="AI254" i="1"/>
  <c r="AJ254" i="1"/>
  <c r="CX254" i="1" s="1"/>
  <c r="CQ254" i="1"/>
  <c r="CS254" i="1"/>
  <c r="CU254" i="1"/>
  <c r="CW254" i="1"/>
  <c r="FR254" i="1"/>
  <c r="GL254" i="1"/>
  <c r="GO254" i="1"/>
  <c r="GP254" i="1"/>
  <c r="GV254" i="1"/>
  <c r="HC254" i="1" s="1"/>
  <c r="I255" i="1"/>
  <c r="P94" i="15" s="1"/>
  <c r="AC255" i="1"/>
  <c r="AE255" i="1"/>
  <c r="CS255" i="1" s="1"/>
  <c r="AF255" i="1"/>
  <c r="AG255" i="1"/>
  <c r="CU255" i="1" s="1"/>
  <c r="AH255" i="1"/>
  <c r="AI255" i="1"/>
  <c r="CW255" i="1" s="1"/>
  <c r="AJ255" i="1"/>
  <c r="CT255" i="1"/>
  <c r="CV255" i="1"/>
  <c r="CX255" i="1"/>
  <c r="FR255" i="1"/>
  <c r="GL255" i="1"/>
  <c r="GO255" i="1"/>
  <c r="GP255" i="1"/>
  <c r="GV255" i="1"/>
  <c r="HC255" i="1"/>
  <c r="I256" i="1"/>
  <c r="P31" i="13" s="1"/>
  <c r="AC256" i="1"/>
  <c r="AD256" i="1"/>
  <c r="CR256" i="1" s="1"/>
  <c r="AE256" i="1"/>
  <c r="AF256" i="1"/>
  <c r="AB256" i="1" s="1"/>
  <c r="AG256" i="1"/>
  <c r="AH256" i="1"/>
  <c r="CV256" i="1" s="1"/>
  <c r="AI256" i="1"/>
  <c r="AJ256" i="1"/>
  <c r="CX256" i="1" s="1"/>
  <c r="CQ256" i="1"/>
  <c r="CS256" i="1"/>
  <c r="CU256" i="1"/>
  <c r="CW256" i="1"/>
  <c r="FR256" i="1"/>
  <c r="GL256" i="1"/>
  <c r="GO256" i="1"/>
  <c r="GP256" i="1"/>
  <c r="GV256" i="1"/>
  <c r="HC256" i="1"/>
  <c r="I257" i="1"/>
  <c r="P95" i="15" s="1"/>
  <c r="O95" i="15" s="1"/>
  <c r="E95" i="15" s="1"/>
  <c r="G95" i="15" s="1"/>
  <c r="AC257" i="1"/>
  <c r="AE257" i="1"/>
  <c r="AD257" i="1" s="1"/>
  <c r="CR257" i="1" s="1"/>
  <c r="AF257" i="1"/>
  <c r="AG257" i="1"/>
  <c r="CU257" i="1" s="1"/>
  <c r="AH257" i="1"/>
  <c r="AI257" i="1"/>
  <c r="CW257" i="1" s="1"/>
  <c r="AJ257" i="1"/>
  <c r="CT257" i="1"/>
  <c r="CV257" i="1"/>
  <c r="CX257" i="1"/>
  <c r="FR257" i="1"/>
  <c r="GL257" i="1"/>
  <c r="GO257" i="1"/>
  <c r="GP257" i="1"/>
  <c r="GV257" i="1"/>
  <c r="HC257" i="1"/>
  <c r="I258" i="1"/>
  <c r="P32" i="13" s="1"/>
  <c r="O32" i="13" s="1"/>
  <c r="E32" i="13" s="1"/>
  <c r="G32" i="13" s="1"/>
  <c r="AC258" i="1"/>
  <c r="AD258" i="1"/>
  <c r="AB258" i="1" s="1"/>
  <c r="AE258" i="1"/>
  <c r="AF258" i="1"/>
  <c r="CT258" i="1" s="1"/>
  <c r="AG258" i="1"/>
  <c r="AH258" i="1"/>
  <c r="CV258" i="1" s="1"/>
  <c r="AI258" i="1"/>
  <c r="AJ258" i="1"/>
  <c r="CX258" i="1" s="1"/>
  <c r="CQ258" i="1"/>
  <c r="CS258" i="1"/>
  <c r="CU258" i="1"/>
  <c r="CW258" i="1"/>
  <c r="FR258" i="1"/>
  <c r="GL258" i="1"/>
  <c r="GO258" i="1"/>
  <c r="GP258" i="1"/>
  <c r="GV258" i="1"/>
  <c r="HC258" i="1" s="1"/>
  <c r="C259" i="1"/>
  <c r="D259" i="1"/>
  <c r="AC259" i="1"/>
  <c r="CQ259" i="1" s="1"/>
  <c r="P259" i="1" s="1"/>
  <c r="AE259" i="1"/>
  <c r="AD259" i="1" s="1"/>
  <c r="CR259" i="1" s="1"/>
  <c r="Q259" i="1" s="1"/>
  <c r="AF259" i="1"/>
  <c r="AG259" i="1"/>
  <c r="AH259" i="1"/>
  <c r="CV259" i="1" s="1"/>
  <c r="U259" i="1" s="1"/>
  <c r="AI259" i="1"/>
  <c r="AJ259" i="1"/>
  <c r="CX259" i="1" s="1"/>
  <c r="W259" i="1" s="1"/>
  <c r="CU259" i="1"/>
  <c r="T259" i="1" s="1"/>
  <c r="CW259" i="1"/>
  <c r="V259" i="1" s="1"/>
  <c r="FR259" i="1"/>
  <c r="GL259" i="1"/>
  <c r="GO259" i="1"/>
  <c r="GP259" i="1"/>
  <c r="GV259" i="1"/>
  <c r="HC259" i="1"/>
  <c r="GX259" i="1" s="1"/>
  <c r="C260" i="1"/>
  <c r="D260" i="1"/>
  <c r="AC260" i="1"/>
  <c r="CQ260" i="1" s="1"/>
  <c r="P260" i="1" s="1"/>
  <c r="AE260" i="1"/>
  <c r="AD260" i="1" s="1"/>
  <c r="AF260" i="1"/>
  <c r="AG260" i="1"/>
  <c r="AH260" i="1"/>
  <c r="AI260" i="1"/>
  <c r="AJ260" i="1"/>
  <c r="CX260" i="1" s="1"/>
  <c r="W260" i="1" s="1"/>
  <c r="CU260" i="1"/>
  <c r="T260" i="1" s="1"/>
  <c r="CW260" i="1"/>
  <c r="V260" i="1" s="1"/>
  <c r="FR260" i="1"/>
  <c r="GL260" i="1"/>
  <c r="GO260" i="1"/>
  <c r="GP260" i="1"/>
  <c r="GV260" i="1"/>
  <c r="HC260" i="1" s="1"/>
  <c r="GX260" i="1" s="1"/>
  <c r="I261" i="1"/>
  <c r="AC261" i="1"/>
  <c r="AE261" i="1"/>
  <c r="AF261" i="1"/>
  <c r="AG261" i="1"/>
  <c r="CU261" i="1" s="1"/>
  <c r="AH261" i="1"/>
  <c r="AI261" i="1"/>
  <c r="CW261" i="1" s="1"/>
  <c r="AJ261" i="1"/>
  <c r="CT261" i="1"/>
  <c r="CV261" i="1"/>
  <c r="CX261" i="1"/>
  <c r="FR261" i="1"/>
  <c r="GL261" i="1"/>
  <c r="GO261" i="1"/>
  <c r="GP261" i="1"/>
  <c r="GV261" i="1"/>
  <c r="HC261" i="1"/>
  <c r="I262" i="1"/>
  <c r="AC262" i="1"/>
  <c r="AD262" i="1"/>
  <c r="CR262" i="1" s="1"/>
  <c r="AE262" i="1"/>
  <c r="AF262" i="1"/>
  <c r="CT262" i="1" s="1"/>
  <c r="AG262" i="1"/>
  <c r="AH262" i="1"/>
  <c r="CV262" i="1" s="1"/>
  <c r="AI262" i="1"/>
  <c r="AJ262" i="1"/>
  <c r="CX262" i="1" s="1"/>
  <c r="CQ262" i="1"/>
  <c r="CS262" i="1"/>
  <c r="CU262" i="1"/>
  <c r="CW262" i="1"/>
  <c r="FR262" i="1"/>
  <c r="GL262" i="1"/>
  <c r="GO262" i="1"/>
  <c r="GP262" i="1"/>
  <c r="GV262" i="1"/>
  <c r="HC262" i="1"/>
  <c r="I263" i="1"/>
  <c r="AC263" i="1"/>
  <c r="AE263" i="1"/>
  <c r="AF263" i="1"/>
  <c r="AG263" i="1"/>
  <c r="CU263" i="1" s="1"/>
  <c r="AH263" i="1"/>
  <c r="AI263" i="1"/>
  <c r="CW263" i="1" s="1"/>
  <c r="AJ263" i="1"/>
  <c r="CT263" i="1"/>
  <c r="CV263" i="1"/>
  <c r="CX263" i="1"/>
  <c r="FR263" i="1"/>
  <c r="GL263" i="1"/>
  <c r="GO263" i="1"/>
  <c r="GP263" i="1"/>
  <c r="GV263" i="1"/>
  <c r="HC263" i="1"/>
  <c r="I264" i="1"/>
  <c r="Q31" i="13" s="1"/>
  <c r="AC264" i="1"/>
  <c r="AD264" i="1"/>
  <c r="AB264" i="1" s="1"/>
  <c r="AE264" i="1"/>
  <c r="AF264" i="1"/>
  <c r="CT264" i="1" s="1"/>
  <c r="AG264" i="1"/>
  <c r="AH264" i="1"/>
  <c r="CV264" i="1" s="1"/>
  <c r="AI264" i="1"/>
  <c r="AJ264" i="1"/>
  <c r="CX264" i="1" s="1"/>
  <c r="CQ264" i="1"/>
  <c r="CS264" i="1"/>
  <c r="CU264" i="1"/>
  <c r="CW264" i="1"/>
  <c r="V264" i="1" s="1"/>
  <c r="FR264" i="1"/>
  <c r="GL264" i="1"/>
  <c r="GO264" i="1"/>
  <c r="GP264" i="1"/>
  <c r="GV264" i="1"/>
  <c r="HC264" i="1"/>
  <c r="C265" i="1"/>
  <c r="D265" i="1"/>
  <c r="AC265" i="1"/>
  <c r="CQ265" i="1" s="1"/>
  <c r="P265" i="1" s="1"/>
  <c r="AD265" i="1"/>
  <c r="CR265" i="1" s="1"/>
  <c r="Q265" i="1" s="1"/>
  <c r="AE265" i="1"/>
  <c r="AF265" i="1"/>
  <c r="CT265" i="1" s="1"/>
  <c r="S265" i="1" s="1"/>
  <c r="AG265" i="1"/>
  <c r="AH265" i="1"/>
  <c r="CV265" i="1" s="1"/>
  <c r="U265" i="1" s="1"/>
  <c r="AI265" i="1"/>
  <c r="AJ265" i="1"/>
  <c r="CX265" i="1" s="1"/>
  <c r="W265" i="1" s="1"/>
  <c r="CS265" i="1"/>
  <c r="R265" i="1" s="1"/>
  <c r="CU265" i="1"/>
  <c r="T265" i="1" s="1"/>
  <c r="CW265" i="1"/>
  <c r="V265" i="1" s="1"/>
  <c r="FR265" i="1"/>
  <c r="GL265" i="1"/>
  <c r="GO265" i="1"/>
  <c r="GP265" i="1"/>
  <c r="GV265" i="1"/>
  <c r="HC265" i="1"/>
  <c r="GX265" i="1" s="1"/>
  <c r="C266" i="1"/>
  <c r="D266" i="1"/>
  <c r="AC266" i="1"/>
  <c r="AE266" i="1"/>
  <c r="AF266" i="1"/>
  <c r="AG266" i="1"/>
  <c r="AH266" i="1"/>
  <c r="AI266" i="1"/>
  <c r="AJ266" i="1"/>
  <c r="CX266" i="1" s="1"/>
  <c r="W266" i="1" s="1"/>
  <c r="CU266" i="1"/>
  <c r="T266" i="1" s="1"/>
  <c r="CW266" i="1"/>
  <c r="V266" i="1" s="1"/>
  <c r="FR266" i="1"/>
  <c r="GL266" i="1"/>
  <c r="GO266" i="1"/>
  <c r="GP266" i="1"/>
  <c r="GV266" i="1"/>
  <c r="HC266" i="1" s="1"/>
  <c r="GX266" i="1" s="1"/>
  <c r="I267" i="1"/>
  <c r="P108" i="15" s="1"/>
  <c r="AC267" i="1"/>
  <c r="AE267" i="1"/>
  <c r="CS267" i="1" s="1"/>
  <c r="AF267" i="1"/>
  <c r="AG267" i="1"/>
  <c r="CU267" i="1" s="1"/>
  <c r="AH267" i="1"/>
  <c r="AI267" i="1"/>
  <c r="CW267" i="1" s="1"/>
  <c r="AJ267" i="1"/>
  <c r="CT267" i="1"/>
  <c r="CV267" i="1"/>
  <c r="CX267" i="1"/>
  <c r="FR267" i="1"/>
  <c r="GL267" i="1"/>
  <c r="GO267" i="1"/>
  <c r="GP267" i="1"/>
  <c r="GV267" i="1"/>
  <c r="HC267" i="1"/>
  <c r="I268" i="1"/>
  <c r="P64" i="13" s="1"/>
  <c r="AC268" i="1"/>
  <c r="AD268" i="1"/>
  <c r="CR268" i="1" s="1"/>
  <c r="AE268" i="1"/>
  <c r="AF268" i="1"/>
  <c r="AB268" i="1" s="1"/>
  <c r="AG268" i="1"/>
  <c r="AH268" i="1"/>
  <c r="CV268" i="1" s="1"/>
  <c r="AI268" i="1"/>
  <c r="AJ268" i="1"/>
  <c r="CX268" i="1" s="1"/>
  <c r="CQ268" i="1"/>
  <c r="CS268" i="1"/>
  <c r="CU268" i="1"/>
  <c r="CW268" i="1"/>
  <c r="FR268" i="1"/>
  <c r="GL268" i="1"/>
  <c r="GO268" i="1"/>
  <c r="GP268" i="1"/>
  <c r="GV268" i="1"/>
  <c r="HC268" i="1"/>
  <c r="I269" i="1"/>
  <c r="P109" i="15" s="1"/>
  <c r="AC269" i="1"/>
  <c r="AE269" i="1"/>
  <c r="AD269" i="1" s="1"/>
  <c r="CR269" i="1" s="1"/>
  <c r="AF269" i="1"/>
  <c r="AG269" i="1"/>
  <c r="CU269" i="1" s="1"/>
  <c r="AH269" i="1"/>
  <c r="AI269" i="1"/>
  <c r="CW269" i="1" s="1"/>
  <c r="AJ269" i="1"/>
  <c r="CT269" i="1"/>
  <c r="CV269" i="1"/>
  <c r="CX269" i="1"/>
  <c r="FR269" i="1"/>
  <c r="GL269" i="1"/>
  <c r="GO269" i="1"/>
  <c r="GP269" i="1"/>
  <c r="GV269" i="1"/>
  <c r="HC269" i="1" s="1"/>
  <c r="I270" i="1"/>
  <c r="P70" i="13" s="1"/>
  <c r="AC270" i="1"/>
  <c r="AD270" i="1"/>
  <c r="AB270" i="1" s="1"/>
  <c r="AE270" i="1"/>
  <c r="AF270" i="1"/>
  <c r="CT270" i="1" s="1"/>
  <c r="AG270" i="1"/>
  <c r="AH270" i="1"/>
  <c r="CV270" i="1" s="1"/>
  <c r="AI270" i="1"/>
  <c r="AJ270" i="1"/>
  <c r="CX270" i="1" s="1"/>
  <c r="CQ270" i="1"/>
  <c r="CS270" i="1"/>
  <c r="CU270" i="1"/>
  <c r="CW270" i="1"/>
  <c r="FR270" i="1"/>
  <c r="GL270" i="1"/>
  <c r="GO270" i="1"/>
  <c r="GP270" i="1"/>
  <c r="GV270" i="1"/>
  <c r="HC270" i="1"/>
  <c r="AC271" i="1"/>
  <c r="AD271" i="1"/>
  <c r="AB271" i="1" s="1"/>
  <c r="AE271" i="1"/>
  <c r="AF271" i="1"/>
  <c r="CT271" i="1" s="1"/>
  <c r="S271" i="1" s="1"/>
  <c r="AG271" i="1"/>
  <c r="AH271" i="1"/>
  <c r="CV271" i="1" s="1"/>
  <c r="U271" i="1" s="1"/>
  <c r="AI271" i="1"/>
  <c r="AJ271" i="1"/>
  <c r="CX271" i="1" s="1"/>
  <c r="W271" i="1" s="1"/>
  <c r="CQ271" i="1"/>
  <c r="P271" i="1" s="1"/>
  <c r="CS271" i="1"/>
  <c r="R271" i="1" s="1"/>
  <c r="CU271" i="1"/>
  <c r="T271" i="1" s="1"/>
  <c r="CW271" i="1"/>
  <c r="V271" i="1" s="1"/>
  <c r="FR271" i="1"/>
  <c r="GL271" i="1"/>
  <c r="GO271" i="1"/>
  <c r="GP271" i="1"/>
  <c r="GV271" i="1"/>
  <c r="HC271" i="1" s="1"/>
  <c r="GX271" i="1" s="1"/>
  <c r="AC272" i="1"/>
  <c r="AD272" i="1"/>
  <c r="AE272" i="1"/>
  <c r="AF272" i="1"/>
  <c r="CT272" i="1" s="1"/>
  <c r="S272" i="1" s="1"/>
  <c r="AG272" i="1"/>
  <c r="AH272" i="1"/>
  <c r="CV272" i="1" s="1"/>
  <c r="U272" i="1" s="1"/>
  <c r="AI272" i="1"/>
  <c r="AJ272" i="1"/>
  <c r="CX272" i="1" s="1"/>
  <c r="W272" i="1" s="1"/>
  <c r="CQ272" i="1"/>
  <c r="P272" i="1" s="1"/>
  <c r="CS272" i="1"/>
  <c r="R272" i="1" s="1"/>
  <c r="CU272" i="1"/>
  <c r="T272" i="1" s="1"/>
  <c r="CW272" i="1"/>
  <c r="V272" i="1" s="1"/>
  <c r="FR272" i="1"/>
  <c r="GL272" i="1"/>
  <c r="GO272" i="1"/>
  <c r="GP272" i="1"/>
  <c r="GV272" i="1"/>
  <c r="HC272" i="1" s="1"/>
  <c r="GX272" i="1" s="1"/>
  <c r="C273" i="1"/>
  <c r="D273" i="1"/>
  <c r="AC273" i="1"/>
  <c r="AD273" i="1"/>
  <c r="CR273" i="1" s="1"/>
  <c r="Q273" i="1" s="1"/>
  <c r="AE273" i="1"/>
  <c r="AF273" i="1"/>
  <c r="CT273" i="1" s="1"/>
  <c r="S273" i="1" s="1"/>
  <c r="AG273" i="1"/>
  <c r="AH273" i="1"/>
  <c r="CV273" i="1" s="1"/>
  <c r="U273" i="1" s="1"/>
  <c r="AI273" i="1"/>
  <c r="AJ273" i="1"/>
  <c r="CX273" i="1" s="1"/>
  <c r="W273" i="1" s="1"/>
  <c r="CQ273" i="1"/>
  <c r="P273" i="1" s="1"/>
  <c r="CS273" i="1"/>
  <c r="R273" i="1" s="1"/>
  <c r="CU273" i="1"/>
  <c r="T273" i="1" s="1"/>
  <c r="CW273" i="1"/>
  <c r="V273" i="1" s="1"/>
  <c r="FR273" i="1"/>
  <c r="GL273" i="1"/>
  <c r="GO273" i="1"/>
  <c r="GP273" i="1"/>
  <c r="GV273" i="1"/>
  <c r="HC273" i="1"/>
  <c r="GX273" i="1" s="1"/>
  <c r="C274" i="1"/>
  <c r="D274" i="1"/>
  <c r="AC274" i="1"/>
  <c r="AD274" i="1"/>
  <c r="AE274" i="1"/>
  <c r="AF274" i="1"/>
  <c r="AG274" i="1"/>
  <c r="AH274" i="1"/>
  <c r="AI274" i="1"/>
  <c r="AJ274" i="1"/>
  <c r="CX274" i="1" s="1"/>
  <c r="W274" i="1" s="1"/>
  <c r="CQ274" i="1"/>
  <c r="P274" i="1" s="1"/>
  <c r="CS274" i="1"/>
  <c r="R274" i="1" s="1"/>
  <c r="CU274" i="1"/>
  <c r="T274" i="1" s="1"/>
  <c r="CW274" i="1"/>
  <c r="V274" i="1" s="1"/>
  <c r="FR274" i="1"/>
  <c r="GL274" i="1"/>
  <c r="GO274" i="1"/>
  <c r="GP274" i="1"/>
  <c r="GV274" i="1"/>
  <c r="HC274" i="1" s="1"/>
  <c r="GX274" i="1" s="1"/>
  <c r="I275" i="1"/>
  <c r="P107" i="15" s="1"/>
  <c r="AC275" i="1"/>
  <c r="AE275" i="1"/>
  <c r="CS275" i="1" s="1"/>
  <c r="AF275" i="1"/>
  <c r="AG275" i="1"/>
  <c r="CU275" i="1" s="1"/>
  <c r="AH275" i="1"/>
  <c r="AI275" i="1"/>
  <c r="CW275" i="1" s="1"/>
  <c r="AJ275" i="1"/>
  <c r="CT275" i="1"/>
  <c r="CV275" i="1"/>
  <c r="CX275" i="1"/>
  <c r="FR275" i="1"/>
  <c r="GL275" i="1"/>
  <c r="GO275" i="1"/>
  <c r="GP275" i="1"/>
  <c r="GV275" i="1"/>
  <c r="HC275" i="1"/>
  <c r="I276" i="1"/>
  <c r="P60" i="13" s="1"/>
  <c r="AC276" i="1"/>
  <c r="AD276" i="1"/>
  <c r="CR276" i="1" s="1"/>
  <c r="AE276" i="1"/>
  <c r="AF276" i="1"/>
  <c r="AB276" i="1" s="1"/>
  <c r="AG276" i="1"/>
  <c r="AH276" i="1"/>
  <c r="CV276" i="1" s="1"/>
  <c r="AI276" i="1"/>
  <c r="AJ276" i="1"/>
  <c r="CX276" i="1" s="1"/>
  <c r="CQ276" i="1"/>
  <c r="CS276" i="1"/>
  <c r="CU276" i="1"/>
  <c r="CW276" i="1"/>
  <c r="FR276" i="1"/>
  <c r="GL276" i="1"/>
  <c r="GO276" i="1"/>
  <c r="GP276" i="1"/>
  <c r="GV276" i="1"/>
  <c r="HC276" i="1"/>
  <c r="I277" i="1"/>
  <c r="P85" i="15" s="1"/>
  <c r="AC277" i="1"/>
  <c r="AE277" i="1"/>
  <c r="AD277" i="1" s="1"/>
  <c r="CR277" i="1" s="1"/>
  <c r="AF277" i="1"/>
  <c r="AG277" i="1"/>
  <c r="CU277" i="1" s="1"/>
  <c r="AH277" i="1"/>
  <c r="AI277" i="1"/>
  <c r="CW277" i="1" s="1"/>
  <c r="AJ277" i="1"/>
  <c r="CT277" i="1"/>
  <c r="CV277" i="1"/>
  <c r="CX277" i="1"/>
  <c r="FR277" i="1"/>
  <c r="GL277" i="1"/>
  <c r="GN277" i="1"/>
  <c r="GP277" i="1"/>
  <c r="GV277" i="1"/>
  <c r="HC277" i="1"/>
  <c r="I278" i="1"/>
  <c r="P19" i="13" s="1"/>
  <c r="AC278" i="1"/>
  <c r="AD278" i="1"/>
  <c r="AB278" i="1" s="1"/>
  <c r="AE278" i="1"/>
  <c r="AF278" i="1"/>
  <c r="CT278" i="1" s="1"/>
  <c r="AG278" i="1"/>
  <c r="AH278" i="1"/>
  <c r="CV278" i="1" s="1"/>
  <c r="AI278" i="1"/>
  <c r="AJ278" i="1"/>
  <c r="CX278" i="1" s="1"/>
  <c r="CQ278" i="1"/>
  <c r="CS278" i="1"/>
  <c r="CU278" i="1"/>
  <c r="CW278" i="1"/>
  <c r="FR278" i="1"/>
  <c r="GL278" i="1"/>
  <c r="GN278" i="1"/>
  <c r="GP278" i="1"/>
  <c r="GV278" i="1"/>
  <c r="HC278" i="1"/>
  <c r="C279" i="1"/>
  <c r="D279" i="1"/>
  <c r="AC279" i="1"/>
  <c r="AD279" i="1"/>
  <c r="CR279" i="1" s="1"/>
  <c r="Q279" i="1" s="1"/>
  <c r="AE279" i="1"/>
  <c r="AF279" i="1"/>
  <c r="CT279" i="1" s="1"/>
  <c r="S279" i="1" s="1"/>
  <c r="AG279" i="1"/>
  <c r="AH279" i="1"/>
  <c r="CV279" i="1" s="1"/>
  <c r="U279" i="1" s="1"/>
  <c r="AI279" i="1"/>
  <c r="AJ279" i="1"/>
  <c r="CX279" i="1" s="1"/>
  <c r="W279" i="1" s="1"/>
  <c r="CQ279" i="1"/>
  <c r="P279" i="1" s="1"/>
  <c r="CS279" i="1"/>
  <c r="R279" i="1" s="1"/>
  <c r="CU279" i="1"/>
  <c r="T279" i="1" s="1"/>
  <c r="CW279" i="1"/>
  <c r="V279" i="1" s="1"/>
  <c r="FR279" i="1"/>
  <c r="GL279" i="1"/>
  <c r="GO279" i="1"/>
  <c r="GP279" i="1"/>
  <c r="GV279" i="1"/>
  <c r="HC279" i="1" s="1"/>
  <c r="GX279" i="1" s="1"/>
  <c r="C280" i="1"/>
  <c r="D280" i="1"/>
  <c r="AC280" i="1"/>
  <c r="AD280" i="1"/>
  <c r="AE280" i="1"/>
  <c r="AF280" i="1"/>
  <c r="AG280" i="1"/>
  <c r="AH280" i="1"/>
  <c r="AI280" i="1"/>
  <c r="AJ280" i="1"/>
  <c r="CX280" i="1" s="1"/>
  <c r="W280" i="1" s="1"/>
  <c r="CQ280" i="1"/>
  <c r="P280" i="1" s="1"/>
  <c r="CS280" i="1"/>
  <c r="R280" i="1" s="1"/>
  <c r="CU280" i="1"/>
  <c r="T280" i="1" s="1"/>
  <c r="CW280" i="1"/>
  <c r="V280" i="1" s="1"/>
  <c r="FR280" i="1"/>
  <c r="GL280" i="1"/>
  <c r="GO280" i="1"/>
  <c r="GP280" i="1"/>
  <c r="GV280" i="1"/>
  <c r="HC280" i="1"/>
  <c r="GX280" i="1" s="1"/>
  <c r="B282" i="1"/>
  <c r="B117" i="1" s="1"/>
  <c r="C282" i="1"/>
  <c r="C117" i="1" s="1"/>
  <c r="D282" i="1"/>
  <c r="D117" i="1" s="1"/>
  <c r="F282" i="1"/>
  <c r="F117" i="1" s="1"/>
  <c r="G282" i="1"/>
  <c r="G117" i="1" s="1"/>
  <c r="BX282" i="1"/>
  <c r="BX117" i="1" s="1"/>
  <c r="CK282" i="1"/>
  <c r="CK117" i="1" s="1"/>
  <c r="CL282" i="1"/>
  <c r="CL117" i="1" s="1"/>
  <c r="CM282" i="1"/>
  <c r="CM117" i="1" s="1"/>
  <c r="FP282" i="1"/>
  <c r="FP117" i="1" s="1"/>
  <c r="GC282" i="1"/>
  <c r="GC117" i="1" s="1"/>
  <c r="GD282" i="1"/>
  <c r="GD117" i="1" s="1"/>
  <c r="GE282" i="1"/>
  <c r="GE117" i="1" s="1"/>
  <c r="D312" i="1"/>
  <c r="E314" i="1"/>
  <c r="Z314" i="1"/>
  <c r="AA314" i="1"/>
  <c r="AM314" i="1"/>
  <c r="AN314" i="1"/>
  <c r="BE314" i="1"/>
  <c r="BF314" i="1"/>
  <c r="BG314" i="1"/>
  <c r="BH314" i="1"/>
  <c r="BI314" i="1"/>
  <c r="BJ314" i="1"/>
  <c r="BK314" i="1"/>
  <c r="BL314" i="1"/>
  <c r="BM314" i="1"/>
  <c r="BN314" i="1"/>
  <c r="BO314" i="1"/>
  <c r="BP314" i="1"/>
  <c r="BQ314" i="1"/>
  <c r="BR314" i="1"/>
  <c r="BS314" i="1"/>
  <c r="BT314" i="1"/>
  <c r="BU314" i="1"/>
  <c r="BV314" i="1"/>
  <c r="BW314" i="1"/>
  <c r="CN314" i="1"/>
  <c r="CO314" i="1"/>
  <c r="CP314" i="1"/>
  <c r="CQ314" i="1"/>
  <c r="CR314" i="1"/>
  <c r="CS314" i="1"/>
  <c r="CT314" i="1"/>
  <c r="CU314" i="1"/>
  <c r="CV314" i="1"/>
  <c r="CW314" i="1"/>
  <c r="CX314" i="1"/>
  <c r="CY314" i="1"/>
  <c r="CZ314" i="1"/>
  <c r="DA314" i="1"/>
  <c r="DB314" i="1"/>
  <c r="DC314" i="1"/>
  <c r="DD314" i="1"/>
  <c r="DE314" i="1"/>
  <c r="DF314" i="1"/>
  <c r="DR314" i="1"/>
  <c r="DS314" i="1"/>
  <c r="EE314" i="1"/>
  <c r="EF314" i="1"/>
  <c r="EW314" i="1"/>
  <c r="EX314" i="1"/>
  <c r="EY314" i="1"/>
  <c r="EZ314" i="1"/>
  <c r="FA314" i="1"/>
  <c r="FB314" i="1"/>
  <c r="FC314" i="1"/>
  <c r="FD314" i="1"/>
  <c r="FE314" i="1"/>
  <c r="FF314" i="1"/>
  <c r="FG314" i="1"/>
  <c r="FH314" i="1"/>
  <c r="FI314" i="1"/>
  <c r="FJ314" i="1"/>
  <c r="FK314" i="1"/>
  <c r="FL314" i="1"/>
  <c r="FM314" i="1"/>
  <c r="FN314" i="1"/>
  <c r="FO314" i="1"/>
  <c r="GF314" i="1"/>
  <c r="GG314" i="1"/>
  <c r="GH314" i="1"/>
  <c r="GI314" i="1"/>
  <c r="GJ314" i="1"/>
  <c r="GK314" i="1"/>
  <c r="GL314" i="1"/>
  <c r="GM314" i="1"/>
  <c r="GN314" i="1"/>
  <c r="GO314" i="1"/>
  <c r="GP314" i="1"/>
  <c r="GQ314" i="1"/>
  <c r="GR314" i="1"/>
  <c r="GS314" i="1"/>
  <c r="GT314" i="1"/>
  <c r="GU314" i="1"/>
  <c r="GV314" i="1"/>
  <c r="GW314" i="1"/>
  <c r="GX314" i="1"/>
  <c r="C316" i="1"/>
  <c r="D316" i="1"/>
  <c r="AC316" i="1"/>
  <c r="CQ316" i="1" s="1"/>
  <c r="P316" i="1" s="1"/>
  <c r="AE316" i="1"/>
  <c r="AD316" i="1" s="1"/>
  <c r="CR316" i="1" s="1"/>
  <c r="Q316" i="1" s="1"/>
  <c r="AF316" i="1"/>
  <c r="AG316" i="1"/>
  <c r="AH316" i="1"/>
  <c r="CV316" i="1" s="1"/>
  <c r="U316" i="1" s="1"/>
  <c r="AI316" i="1"/>
  <c r="AJ316" i="1"/>
  <c r="CX316" i="1" s="1"/>
  <c r="W316" i="1" s="1"/>
  <c r="CU316" i="1"/>
  <c r="T316" i="1" s="1"/>
  <c r="CW316" i="1"/>
  <c r="V316" i="1" s="1"/>
  <c r="FR316" i="1"/>
  <c r="GL316" i="1"/>
  <c r="GO316" i="1"/>
  <c r="GP316" i="1"/>
  <c r="GV316" i="1"/>
  <c r="HC316" i="1"/>
  <c r="GX316" i="1" s="1"/>
  <c r="C317" i="1"/>
  <c r="D317" i="1"/>
  <c r="AC317" i="1"/>
  <c r="CQ317" i="1" s="1"/>
  <c r="P317" i="1" s="1"/>
  <c r="AE317" i="1"/>
  <c r="AF317" i="1"/>
  <c r="AG317" i="1"/>
  <c r="AH317" i="1"/>
  <c r="AI317" i="1"/>
  <c r="AJ317" i="1"/>
  <c r="CX317" i="1" s="1"/>
  <c r="W317" i="1" s="1"/>
  <c r="CU317" i="1"/>
  <c r="T317" i="1" s="1"/>
  <c r="CW317" i="1"/>
  <c r="V317" i="1" s="1"/>
  <c r="FR317" i="1"/>
  <c r="GL317" i="1"/>
  <c r="GO317" i="1"/>
  <c r="GP317" i="1"/>
  <c r="GV317" i="1"/>
  <c r="HC317" i="1" s="1"/>
  <c r="GX317" i="1" s="1"/>
  <c r="I318" i="1"/>
  <c r="P62" i="15" s="1"/>
  <c r="O62" i="15" s="1"/>
  <c r="E62" i="15" s="1"/>
  <c r="G62" i="15" s="1"/>
  <c r="AC318" i="1"/>
  <c r="AD318" i="1"/>
  <c r="AE318" i="1"/>
  <c r="CS318" i="1" s="1"/>
  <c r="AF318" i="1"/>
  <c r="AG318" i="1"/>
  <c r="CU318" i="1" s="1"/>
  <c r="AH318" i="1"/>
  <c r="AI318" i="1"/>
  <c r="CW318" i="1" s="1"/>
  <c r="AJ318" i="1"/>
  <c r="CR318" i="1"/>
  <c r="CT318" i="1"/>
  <c r="CV318" i="1"/>
  <c r="CX318" i="1"/>
  <c r="W318" i="1" s="1"/>
  <c r="CY318" i="1"/>
  <c r="X318" i="1" s="1"/>
  <c r="CZ318" i="1"/>
  <c r="Y318" i="1" s="1"/>
  <c r="FR318" i="1"/>
  <c r="GL318" i="1"/>
  <c r="GO318" i="1"/>
  <c r="GP318" i="1"/>
  <c r="GV318" i="1"/>
  <c r="HC318" i="1"/>
  <c r="I319" i="1"/>
  <c r="AC319" i="1"/>
  <c r="AD319" i="1"/>
  <c r="CR319" i="1" s="1"/>
  <c r="AE319" i="1"/>
  <c r="AF319" i="1"/>
  <c r="AB319" i="1" s="1"/>
  <c r="AG319" i="1"/>
  <c r="AH319" i="1"/>
  <c r="CV319" i="1" s="1"/>
  <c r="AI319" i="1"/>
  <c r="AJ319" i="1"/>
  <c r="CX319" i="1" s="1"/>
  <c r="CQ319" i="1"/>
  <c r="CS319" i="1"/>
  <c r="CU319" i="1"/>
  <c r="CW319" i="1"/>
  <c r="FR319" i="1"/>
  <c r="GL319" i="1"/>
  <c r="GO319" i="1"/>
  <c r="GP319" i="1"/>
  <c r="GV319" i="1"/>
  <c r="HC319" i="1"/>
  <c r="I320" i="1"/>
  <c r="R58" i="15" s="1"/>
  <c r="AC320" i="1"/>
  <c r="AE320" i="1"/>
  <c r="CS320" i="1" s="1"/>
  <c r="AF320" i="1"/>
  <c r="AG320" i="1"/>
  <c r="CU320" i="1" s="1"/>
  <c r="AH320" i="1"/>
  <c r="AI320" i="1"/>
  <c r="CW320" i="1" s="1"/>
  <c r="AJ320" i="1"/>
  <c r="CT320" i="1"/>
  <c r="CV320" i="1"/>
  <c r="CX320" i="1"/>
  <c r="FR320" i="1"/>
  <c r="GL320" i="1"/>
  <c r="GO320" i="1"/>
  <c r="GP320" i="1"/>
  <c r="GV320" i="1"/>
  <c r="HC320" i="1"/>
  <c r="I321" i="1"/>
  <c r="AC321" i="1"/>
  <c r="AD321" i="1"/>
  <c r="CR321" i="1" s="1"/>
  <c r="AE321" i="1"/>
  <c r="AF321" i="1"/>
  <c r="CT321" i="1" s="1"/>
  <c r="AG321" i="1"/>
  <c r="AH321" i="1"/>
  <c r="CV321" i="1" s="1"/>
  <c r="AI321" i="1"/>
  <c r="AJ321" i="1"/>
  <c r="CX321" i="1" s="1"/>
  <c r="CQ321" i="1"/>
  <c r="CS321" i="1"/>
  <c r="CU321" i="1"/>
  <c r="CW321" i="1"/>
  <c r="FR321" i="1"/>
  <c r="GL321" i="1"/>
  <c r="GO321" i="1"/>
  <c r="GP321" i="1"/>
  <c r="GV321" i="1"/>
  <c r="HC321" i="1" s="1"/>
  <c r="I322" i="1"/>
  <c r="R77" i="15" s="1"/>
  <c r="AC322" i="1"/>
  <c r="AE322" i="1"/>
  <c r="AD322" i="1" s="1"/>
  <c r="CR322" i="1" s="1"/>
  <c r="AF322" i="1"/>
  <c r="AG322" i="1"/>
  <c r="CU322" i="1" s="1"/>
  <c r="AH322" i="1"/>
  <c r="AI322" i="1"/>
  <c r="CW322" i="1" s="1"/>
  <c r="AJ322" i="1"/>
  <c r="CT322" i="1"/>
  <c r="CV322" i="1"/>
  <c r="CX322" i="1"/>
  <c r="FR322" i="1"/>
  <c r="GL322" i="1"/>
  <c r="GO322" i="1"/>
  <c r="GP322" i="1"/>
  <c r="GV322" i="1"/>
  <c r="HC322" i="1"/>
  <c r="I323" i="1"/>
  <c r="AC323" i="1"/>
  <c r="AD323" i="1"/>
  <c r="CR323" i="1" s="1"/>
  <c r="AE323" i="1"/>
  <c r="AF323" i="1"/>
  <c r="AB323" i="1" s="1"/>
  <c r="AG323" i="1"/>
  <c r="AH323" i="1"/>
  <c r="CV323" i="1" s="1"/>
  <c r="AI323" i="1"/>
  <c r="AJ323" i="1"/>
  <c r="CX323" i="1" s="1"/>
  <c r="CQ323" i="1"/>
  <c r="CS323" i="1"/>
  <c r="CU323" i="1"/>
  <c r="CW323" i="1"/>
  <c r="FR323" i="1"/>
  <c r="GL323" i="1"/>
  <c r="GO323" i="1"/>
  <c r="GP323" i="1"/>
  <c r="GV323" i="1"/>
  <c r="HC323" i="1"/>
  <c r="C324" i="1"/>
  <c r="D324" i="1"/>
  <c r="AC324" i="1"/>
  <c r="CQ324" i="1" s="1"/>
  <c r="P324" i="1" s="1"/>
  <c r="AD324" i="1"/>
  <c r="CR324" i="1" s="1"/>
  <c r="Q324" i="1" s="1"/>
  <c r="AE324" i="1"/>
  <c r="AF324" i="1"/>
  <c r="CT324" i="1" s="1"/>
  <c r="S324" i="1" s="1"/>
  <c r="AG324" i="1"/>
  <c r="AH324" i="1"/>
  <c r="CV324" i="1" s="1"/>
  <c r="U324" i="1" s="1"/>
  <c r="AI324" i="1"/>
  <c r="AJ324" i="1"/>
  <c r="CX324" i="1" s="1"/>
  <c r="W324" i="1" s="1"/>
  <c r="CS324" i="1"/>
  <c r="R324" i="1" s="1"/>
  <c r="CU324" i="1"/>
  <c r="T324" i="1" s="1"/>
  <c r="CW324" i="1"/>
  <c r="V324" i="1" s="1"/>
  <c r="FR324" i="1"/>
  <c r="GL324" i="1"/>
  <c r="GO324" i="1"/>
  <c r="GP324" i="1"/>
  <c r="GV324" i="1"/>
  <c r="HC324" i="1" s="1"/>
  <c r="GX324" i="1" s="1"/>
  <c r="C325" i="1"/>
  <c r="D325" i="1"/>
  <c r="AC325" i="1"/>
  <c r="CQ325" i="1" s="1"/>
  <c r="P325" i="1" s="1"/>
  <c r="AD325" i="1"/>
  <c r="AE325" i="1"/>
  <c r="AF325" i="1"/>
  <c r="AG325" i="1"/>
  <c r="AH325" i="1"/>
  <c r="AI325" i="1"/>
  <c r="AJ325" i="1"/>
  <c r="CX325" i="1" s="1"/>
  <c r="W325" i="1" s="1"/>
  <c r="CU325" i="1"/>
  <c r="T325" i="1" s="1"/>
  <c r="CW325" i="1"/>
  <c r="V325" i="1" s="1"/>
  <c r="FR325" i="1"/>
  <c r="GL325" i="1"/>
  <c r="GO325" i="1"/>
  <c r="GP325" i="1"/>
  <c r="GV325" i="1"/>
  <c r="HC325" i="1"/>
  <c r="GX325" i="1" s="1"/>
  <c r="I326" i="1"/>
  <c r="P86" i="15" s="1"/>
  <c r="AC326" i="1"/>
  <c r="AE326" i="1"/>
  <c r="CS326" i="1" s="1"/>
  <c r="AF326" i="1"/>
  <c r="AG326" i="1"/>
  <c r="CU326" i="1" s="1"/>
  <c r="AH326" i="1"/>
  <c r="AI326" i="1"/>
  <c r="CW326" i="1" s="1"/>
  <c r="AJ326" i="1"/>
  <c r="CT326" i="1"/>
  <c r="CV326" i="1"/>
  <c r="CX326" i="1"/>
  <c r="FR326" i="1"/>
  <c r="GL326" i="1"/>
  <c r="GO326" i="1"/>
  <c r="GP326" i="1"/>
  <c r="GV326" i="1"/>
  <c r="HC326" i="1"/>
  <c r="I327" i="1"/>
  <c r="AC327" i="1"/>
  <c r="AD327" i="1"/>
  <c r="CR327" i="1" s="1"/>
  <c r="AE327" i="1"/>
  <c r="AF327" i="1"/>
  <c r="CT327" i="1" s="1"/>
  <c r="AG327" i="1"/>
  <c r="AH327" i="1"/>
  <c r="CV327" i="1" s="1"/>
  <c r="AI327" i="1"/>
  <c r="AJ327" i="1"/>
  <c r="CX327" i="1" s="1"/>
  <c r="CQ327" i="1"/>
  <c r="CS327" i="1"/>
  <c r="CU327" i="1"/>
  <c r="CW327" i="1"/>
  <c r="FR327" i="1"/>
  <c r="GL327" i="1"/>
  <c r="GO327" i="1"/>
  <c r="GP327" i="1"/>
  <c r="GV327" i="1"/>
  <c r="HC327" i="1" s="1"/>
  <c r="I328" i="1"/>
  <c r="P103" i="15" s="1"/>
  <c r="AC328" i="1"/>
  <c r="AE328" i="1"/>
  <c r="AD328" i="1" s="1"/>
  <c r="CR328" i="1" s="1"/>
  <c r="AF328" i="1"/>
  <c r="AG328" i="1"/>
  <c r="CU328" i="1" s="1"/>
  <c r="AH328" i="1"/>
  <c r="AI328" i="1"/>
  <c r="CW328" i="1" s="1"/>
  <c r="AJ328" i="1"/>
  <c r="CT328" i="1"/>
  <c r="CV328" i="1"/>
  <c r="CX328" i="1"/>
  <c r="FR328" i="1"/>
  <c r="GL328" i="1"/>
  <c r="GO328" i="1"/>
  <c r="GP328" i="1"/>
  <c r="GV328" i="1"/>
  <c r="HC328" i="1"/>
  <c r="I329" i="1"/>
  <c r="AC329" i="1"/>
  <c r="AD329" i="1"/>
  <c r="CR329" i="1" s="1"/>
  <c r="AE329" i="1"/>
  <c r="AF329" i="1"/>
  <c r="AB329" i="1" s="1"/>
  <c r="AG329" i="1"/>
  <c r="AH329" i="1"/>
  <c r="CV329" i="1" s="1"/>
  <c r="AI329" i="1"/>
  <c r="AJ329" i="1"/>
  <c r="CX329" i="1" s="1"/>
  <c r="CQ329" i="1"/>
  <c r="CS329" i="1"/>
  <c r="CU329" i="1"/>
  <c r="CW329" i="1"/>
  <c r="V329" i="1" s="1"/>
  <c r="FR329" i="1"/>
  <c r="GL329" i="1"/>
  <c r="GO329" i="1"/>
  <c r="GP329" i="1"/>
  <c r="GV329" i="1"/>
  <c r="HC329" i="1"/>
  <c r="C330" i="1"/>
  <c r="D330" i="1"/>
  <c r="AC330" i="1"/>
  <c r="CQ330" i="1" s="1"/>
  <c r="P330" i="1" s="1"/>
  <c r="AD330" i="1"/>
  <c r="CR330" i="1" s="1"/>
  <c r="Q330" i="1" s="1"/>
  <c r="AE330" i="1"/>
  <c r="AF330" i="1"/>
  <c r="CT330" i="1" s="1"/>
  <c r="S330" i="1" s="1"/>
  <c r="AG330" i="1"/>
  <c r="AH330" i="1"/>
  <c r="CV330" i="1" s="1"/>
  <c r="U330" i="1" s="1"/>
  <c r="AI330" i="1"/>
  <c r="AJ330" i="1"/>
  <c r="CX330" i="1" s="1"/>
  <c r="W330" i="1" s="1"/>
  <c r="CS330" i="1"/>
  <c r="R330" i="1" s="1"/>
  <c r="CU330" i="1"/>
  <c r="T330" i="1" s="1"/>
  <c r="CW330" i="1"/>
  <c r="V330" i="1" s="1"/>
  <c r="FR330" i="1"/>
  <c r="GL330" i="1"/>
  <c r="GO330" i="1"/>
  <c r="GP330" i="1"/>
  <c r="GV330" i="1"/>
  <c r="HC330" i="1" s="1"/>
  <c r="GX330" i="1" s="1"/>
  <c r="C331" i="1"/>
  <c r="D331" i="1"/>
  <c r="AC331" i="1"/>
  <c r="CQ331" i="1" s="1"/>
  <c r="P331" i="1" s="1"/>
  <c r="AD331" i="1"/>
  <c r="AE331" i="1"/>
  <c r="AF331" i="1"/>
  <c r="AG331" i="1"/>
  <c r="AH331" i="1"/>
  <c r="AI331" i="1"/>
  <c r="AJ331" i="1"/>
  <c r="CX331" i="1" s="1"/>
  <c r="W331" i="1" s="1"/>
  <c r="CU331" i="1"/>
  <c r="T331" i="1" s="1"/>
  <c r="CW331" i="1"/>
  <c r="V331" i="1" s="1"/>
  <c r="FR331" i="1"/>
  <c r="GL331" i="1"/>
  <c r="GO331" i="1"/>
  <c r="GP331" i="1"/>
  <c r="GV331" i="1"/>
  <c r="HC331" i="1"/>
  <c r="GX331" i="1" s="1"/>
  <c r="I332" i="1"/>
  <c r="P101" i="15" s="1"/>
  <c r="O101" i="15" s="1"/>
  <c r="E101" i="15" s="1"/>
  <c r="G101" i="15" s="1"/>
  <c r="AC332" i="1"/>
  <c r="AE332" i="1"/>
  <c r="CS332" i="1" s="1"/>
  <c r="AF332" i="1"/>
  <c r="AG332" i="1"/>
  <c r="CU332" i="1" s="1"/>
  <c r="AH332" i="1"/>
  <c r="AI332" i="1"/>
  <c r="CW332" i="1" s="1"/>
  <c r="AJ332" i="1"/>
  <c r="CT332" i="1"/>
  <c r="CV332" i="1"/>
  <c r="CX332" i="1"/>
  <c r="FR332" i="1"/>
  <c r="GL332" i="1"/>
  <c r="GO332" i="1"/>
  <c r="GP332" i="1"/>
  <c r="GV332" i="1"/>
  <c r="HC332" i="1"/>
  <c r="I333" i="1"/>
  <c r="AC333" i="1"/>
  <c r="AD333" i="1"/>
  <c r="CR333" i="1" s="1"/>
  <c r="AE333" i="1"/>
  <c r="AF333" i="1"/>
  <c r="CT333" i="1" s="1"/>
  <c r="AG333" i="1"/>
  <c r="AH333" i="1"/>
  <c r="CV333" i="1" s="1"/>
  <c r="AI333" i="1"/>
  <c r="AJ333" i="1"/>
  <c r="CX333" i="1" s="1"/>
  <c r="CQ333" i="1"/>
  <c r="CS333" i="1"/>
  <c r="CU333" i="1"/>
  <c r="CW333" i="1"/>
  <c r="FR333" i="1"/>
  <c r="GL333" i="1"/>
  <c r="GO333" i="1"/>
  <c r="GP333" i="1"/>
  <c r="GV333" i="1"/>
  <c r="HC333" i="1" s="1"/>
  <c r="I334" i="1"/>
  <c r="Q103" i="15" s="1"/>
  <c r="AC334" i="1"/>
  <c r="AE334" i="1"/>
  <c r="AD334" i="1" s="1"/>
  <c r="CR334" i="1" s="1"/>
  <c r="AF334" i="1"/>
  <c r="AG334" i="1"/>
  <c r="CU334" i="1" s="1"/>
  <c r="AH334" i="1"/>
  <c r="AI334" i="1"/>
  <c r="CW334" i="1" s="1"/>
  <c r="AJ334" i="1"/>
  <c r="CT334" i="1"/>
  <c r="CV334" i="1"/>
  <c r="CX334" i="1"/>
  <c r="FR334" i="1"/>
  <c r="GL334" i="1"/>
  <c r="GO334" i="1"/>
  <c r="GP334" i="1"/>
  <c r="GV334" i="1"/>
  <c r="HC334" i="1"/>
  <c r="I335" i="1"/>
  <c r="AC335" i="1"/>
  <c r="AD335" i="1"/>
  <c r="CR335" i="1" s="1"/>
  <c r="AE335" i="1"/>
  <c r="AF335" i="1"/>
  <c r="AB335" i="1" s="1"/>
  <c r="AG335" i="1"/>
  <c r="AH335" i="1"/>
  <c r="CV335" i="1" s="1"/>
  <c r="AI335" i="1"/>
  <c r="AJ335" i="1"/>
  <c r="CX335" i="1" s="1"/>
  <c r="CQ335" i="1"/>
  <c r="CS335" i="1"/>
  <c r="CU335" i="1"/>
  <c r="CW335" i="1"/>
  <c r="V335" i="1" s="1"/>
  <c r="FR335" i="1"/>
  <c r="GL335" i="1"/>
  <c r="GO335" i="1"/>
  <c r="GP335" i="1"/>
  <c r="GV335" i="1"/>
  <c r="HC335" i="1"/>
  <c r="I336" i="1"/>
  <c r="P104" i="15" s="1"/>
  <c r="O104" i="15" s="1"/>
  <c r="E104" i="15" s="1"/>
  <c r="G104" i="15" s="1"/>
  <c r="AC336" i="1"/>
  <c r="AE336" i="1"/>
  <c r="CS336" i="1" s="1"/>
  <c r="AF336" i="1"/>
  <c r="AG336" i="1"/>
  <c r="CU336" i="1" s="1"/>
  <c r="AH336" i="1"/>
  <c r="AI336" i="1"/>
  <c r="CW336" i="1" s="1"/>
  <c r="AJ336" i="1"/>
  <c r="CT336" i="1"/>
  <c r="CV336" i="1"/>
  <c r="CX336" i="1"/>
  <c r="FR336" i="1"/>
  <c r="GL336" i="1"/>
  <c r="GO336" i="1"/>
  <c r="GP336" i="1"/>
  <c r="GV336" i="1"/>
  <c r="HC336" i="1"/>
  <c r="I337" i="1"/>
  <c r="AC337" i="1"/>
  <c r="AD337" i="1"/>
  <c r="CR337" i="1" s="1"/>
  <c r="AE337" i="1"/>
  <c r="AF337" i="1"/>
  <c r="CT337" i="1" s="1"/>
  <c r="AG337" i="1"/>
  <c r="AH337" i="1"/>
  <c r="CV337" i="1" s="1"/>
  <c r="AI337" i="1"/>
  <c r="AJ337" i="1"/>
  <c r="CX337" i="1" s="1"/>
  <c r="CQ337" i="1"/>
  <c r="CS337" i="1"/>
  <c r="CU337" i="1"/>
  <c r="CW337" i="1"/>
  <c r="FR337" i="1"/>
  <c r="GL337" i="1"/>
  <c r="GO337" i="1"/>
  <c r="GP337" i="1"/>
  <c r="GV337" i="1"/>
  <c r="HC337" i="1" s="1"/>
  <c r="I338" i="1"/>
  <c r="Q86" i="15" s="1"/>
  <c r="AC338" i="1"/>
  <c r="AE338" i="1"/>
  <c r="AD338" i="1" s="1"/>
  <c r="CR338" i="1" s="1"/>
  <c r="AF338" i="1"/>
  <c r="AG338" i="1"/>
  <c r="CU338" i="1" s="1"/>
  <c r="AH338" i="1"/>
  <c r="AI338" i="1"/>
  <c r="CW338" i="1" s="1"/>
  <c r="AJ338" i="1"/>
  <c r="CT338" i="1"/>
  <c r="CV338" i="1"/>
  <c r="CX338" i="1"/>
  <c r="FR338" i="1"/>
  <c r="GL338" i="1"/>
  <c r="GO338" i="1"/>
  <c r="GP338" i="1"/>
  <c r="GV338" i="1"/>
  <c r="HC338" i="1"/>
  <c r="I339" i="1"/>
  <c r="AC339" i="1"/>
  <c r="AD339" i="1"/>
  <c r="CR339" i="1" s="1"/>
  <c r="AE339" i="1"/>
  <c r="AF339" i="1"/>
  <c r="AB339" i="1" s="1"/>
  <c r="AG339" i="1"/>
  <c r="AH339" i="1"/>
  <c r="CV339" i="1" s="1"/>
  <c r="AI339" i="1"/>
  <c r="AJ339" i="1"/>
  <c r="CX339" i="1" s="1"/>
  <c r="CQ339" i="1"/>
  <c r="CS339" i="1"/>
  <c r="CU339" i="1"/>
  <c r="CW339" i="1"/>
  <c r="FR339" i="1"/>
  <c r="GL339" i="1"/>
  <c r="GO339" i="1"/>
  <c r="GP339" i="1"/>
  <c r="GV339" i="1"/>
  <c r="HC339" i="1"/>
  <c r="C340" i="1"/>
  <c r="D340" i="1"/>
  <c r="AC340" i="1"/>
  <c r="CQ340" i="1" s="1"/>
  <c r="P340" i="1" s="1"/>
  <c r="AE340" i="1"/>
  <c r="AD340" i="1" s="1"/>
  <c r="CR340" i="1" s="1"/>
  <c r="Q340" i="1" s="1"/>
  <c r="AF340" i="1"/>
  <c r="CT340" i="1" s="1"/>
  <c r="S340" i="1" s="1"/>
  <c r="AG340" i="1"/>
  <c r="AH340" i="1"/>
  <c r="CV340" i="1" s="1"/>
  <c r="U340" i="1" s="1"/>
  <c r="AI340" i="1"/>
  <c r="AJ340" i="1"/>
  <c r="CX340" i="1" s="1"/>
  <c r="W340" i="1" s="1"/>
  <c r="CU340" i="1"/>
  <c r="T340" i="1" s="1"/>
  <c r="CW340" i="1"/>
  <c r="V340" i="1" s="1"/>
  <c r="FR340" i="1"/>
  <c r="GL340" i="1"/>
  <c r="GO340" i="1"/>
  <c r="GP340" i="1"/>
  <c r="GV340" i="1"/>
  <c r="HC340" i="1" s="1"/>
  <c r="GX340" i="1" s="1"/>
  <c r="C341" i="1"/>
  <c r="D341" i="1"/>
  <c r="AC341" i="1"/>
  <c r="CQ341" i="1" s="1"/>
  <c r="P341" i="1" s="1"/>
  <c r="AE341" i="1"/>
  <c r="AD341" i="1" s="1"/>
  <c r="AF341" i="1"/>
  <c r="AG341" i="1"/>
  <c r="AH341" i="1"/>
  <c r="AI341" i="1"/>
  <c r="AJ341" i="1"/>
  <c r="CX341" i="1" s="1"/>
  <c r="W341" i="1" s="1"/>
  <c r="CU341" i="1"/>
  <c r="T341" i="1" s="1"/>
  <c r="CW341" i="1"/>
  <c r="V341" i="1" s="1"/>
  <c r="FR341" i="1"/>
  <c r="GL341" i="1"/>
  <c r="GO341" i="1"/>
  <c r="GP341" i="1"/>
  <c r="GV341" i="1"/>
  <c r="HC341" i="1"/>
  <c r="GX341" i="1" s="1"/>
  <c r="I342" i="1"/>
  <c r="V96" i="15" s="1"/>
  <c r="AC342" i="1"/>
  <c r="AE342" i="1"/>
  <c r="CS342" i="1" s="1"/>
  <c r="AF342" i="1"/>
  <c r="AG342" i="1"/>
  <c r="CU342" i="1" s="1"/>
  <c r="AH342" i="1"/>
  <c r="AI342" i="1"/>
  <c r="CW342" i="1" s="1"/>
  <c r="AJ342" i="1"/>
  <c r="CT342" i="1"/>
  <c r="CV342" i="1"/>
  <c r="CX342" i="1"/>
  <c r="FR342" i="1"/>
  <c r="GL342" i="1"/>
  <c r="GO342" i="1"/>
  <c r="GP342" i="1"/>
  <c r="GV342" i="1"/>
  <c r="HC342" i="1"/>
  <c r="I343" i="1"/>
  <c r="AC343" i="1"/>
  <c r="AD343" i="1"/>
  <c r="CR343" i="1" s="1"/>
  <c r="AE343" i="1"/>
  <c r="AF343" i="1"/>
  <c r="CT343" i="1" s="1"/>
  <c r="AG343" i="1"/>
  <c r="AH343" i="1"/>
  <c r="CV343" i="1" s="1"/>
  <c r="AI343" i="1"/>
  <c r="AJ343" i="1"/>
  <c r="CX343" i="1" s="1"/>
  <c r="CQ343" i="1"/>
  <c r="CS343" i="1"/>
  <c r="CU343" i="1"/>
  <c r="CW343" i="1"/>
  <c r="V343" i="1" s="1"/>
  <c r="FR343" i="1"/>
  <c r="GL343" i="1"/>
  <c r="GO343" i="1"/>
  <c r="GP343" i="1"/>
  <c r="GV343" i="1"/>
  <c r="HC343" i="1" s="1"/>
  <c r="I344" i="1"/>
  <c r="P75" i="15" s="1"/>
  <c r="O75" i="15" s="1"/>
  <c r="E75" i="15" s="1"/>
  <c r="G75" i="15" s="1"/>
  <c r="AC344" i="1"/>
  <c r="AD344" i="1"/>
  <c r="AE344" i="1"/>
  <c r="CS344" i="1" s="1"/>
  <c r="AF344" i="1"/>
  <c r="AG344" i="1"/>
  <c r="CU344" i="1" s="1"/>
  <c r="AH344" i="1"/>
  <c r="AI344" i="1"/>
  <c r="CW344" i="1" s="1"/>
  <c r="AJ344" i="1"/>
  <c r="CR344" i="1"/>
  <c r="CT344" i="1"/>
  <c r="CV344" i="1"/>
  <c r="CX344" i="1"/>
  <c r="CY344" i="1"/>
  <c r="X344" i="1" s="1"/>
  <c r="CZ344" i="1"/>
  <c r="Y344" i="1" s="1"/>
  <c r="FR344" i="1"/>
  <c r="GL344" i="1"/>
  <c r="GO344" i="1"/>
  <c r="GP344" i="1"/>
  <c r="GV344" i="1"/>
  <c r="HC344" i="1"/>
  <c r="I345" i="1"/>
  <c r="AC345" i="1"/>
  <c r="AD345" i="1"/>
  <c r="CR345" i="1" s="1"/>
  <c r="AE345" i="1"/>
  <c r="AF345" i="1"/>
  <c r="AB345" i="1" s="1"/>
  <c r="AG345" i="1"/>
  <c r="AH345" i="1"/>
  <c r="CV345" i="1" s="1"/>
  <c r="AI345" i="1"/>
  <c r="AJ345" i="1"/>
  <c r="CX345" i="1" s="1"/>
  <c r="CQ345" i="1"/>
  <c r="CS345" i="1"/>
  <c r="CU345" i="1"/>
  <c r="CW345" i="1"/>
  <c r="V345" i="1" s="1"/>
  <c r="FR345" i="1"/>
  <c r="GL345" i="1"/>
  <c r="GO345" i="1"/>
  <c r="GP345" i="1"/>
  <c r="GV345" i="1"/>
  <c r="HC345" i="1"/>
  <c r="I346" i="1"/>
  <c r="P76" i="15" s="1"/>
  <c r="O76" i="15" s="1"/>
  <c r="E76" i="15" s="1"/>
  <c r="G76" i="15" s="1"/>
  <c r="AC346" i="1"/>
  <c r="AD346" i="1"/>
  <c r="AE346" i="1"/>
  <c r="CS346" i="1" s="1"/>
  <c r="AF346" i="1"/>
  <c r="AG346" i="1"/>
  <c r="CU346" i="1" s="1"/>
  <c r="AH346" i="1"/>
  <c r="AI346" i="1"/>
  <c r="CW346" i="1" s="1"/>
  <c r="AJ346" i="1"/>
  <c r="CR346" i="1"/>
  <c r="CT346" i="1"/>
  <c r="CV346" i="1"/>
  <c r="CX346" i="1"/>
  <c r="W346" i="1" s="1"/>
  <c r="CY346" i="1"/>
  <c r="X346" i="1" s="1"/>
  <c r="CZ346" i="1"/>
  <c r="Y346" i="1" s="1"/>
  <c r="FR346" i="1"/>
  <c r="GL346" i="1"/>
  <c r="GO346" i="1"/>
  <c r="GP346" i="1"/>
  <c r="GV346" i="1"/>
  <c r="HC346" i="1"/>
  <c r="I347" i="1"/>
  <c r="AC347" i="1"/>
  <c r="AD347" i="1"/>
  <c r="CR347" i="1" s="1"/>
  <c r="AE347" i="1"/>
  <c r="AF347" i="1"/>
  <c r="CT347" i="1" s="1"/>
  <c r="AG347" i="1"/>
  <c r="AH347" i="1"/>
  <c r="CV347" i="1" s="1"/>
  <c r="AI347" i="1"/>
  <c r="AJ347" i="1"/>
  <c r="CX347" i="1" s="1"/>
  <c r="CQ347" i="1"/>
  <c r="CS347" i="1"/>
  <c r="CU347" i="1"/>
  <c r="CW347" i="1"/>
  <c r="FR347" i="1"/>
  <c r="GL347" i="1"/>
  <c r="GO347" i="1"/>
  <c r="GP347" i="1"/>
  <c r="GV347" i="1"/>
  <c r="HC347" i="1" s="1"/>
  <c r="I348" i="1"/>
  <c r="V89" i="15" s="1"/>
  <c r="AC348" i="1"/>
  <c r="AE348" i="1"/>
  <c r="AD348" i="1" s="1"/>
  <c r="CR348" i="1" s="1"/>
  <c r="AF348" i="1"/>
  <c r="AG348" i="1"/>
  <c r="CU348" i="1" s="1"/>
  <c r="AH348" i="1"/>
  <c r="AI348" i="1"/>
  <c r="CW348" i="1" s="1"/>
  <c r="AJ348" i="1"/>
  <c r="CT348" i="1"/>
  <c r="CV348" i="1"/>
  <c r="CX348" i="1"/>
  <c r="FR348" i="1"/>
  <c r="GL348" i="1"/>
  <c r="GO348" i="1"/>
  <c r="GP348" i="1"/>
  <c r="GV348" i="1"/>
  <c r="HC348" i="1"/>
  <c r="I349" i="1"/>
  <c r="AC349" i="1"/>
  <c r="AD349" i="1"/>
  <c r="CR349" i="1" s="1"/>
  <c r="AE349" i="1"/>
  <c r="AF349" i="1"/>
  <c r="AB349" i="1" s="1"/>
  <c r="AG349" i="1"/>
  <c r="AH349" i="1"/>
  <c r="CV349" i="1" s="1"/>
  <c r="AI349" i="1"/>
  <c r="AJ349" i="1"/>
  <c r="CX349" i="1" s="1"/>
  <c r="CQ349" i="1"/>
  <c r="CS349" i="1"/>
  <c r="CU349" i="1"/>
  <c r="CW349" i="1"/>
  <c r="FR349" i="1"/>
  <c r="GL349" i="1"/>
  <c r="GO349" i="1"/>
  <c r="GP349" i="1"/>
  <c r="GV349" i="1"/>
  <c r="HC349" i="1"/>
  <c r="I350" i="1"/>
  <c r="P63" i="15" s="1"/>
  <c r="O63" i="15" s="1"/>
  <c r="E63" i="15" s="1"/>
  <c r="G63" i="15" s="1"/>
  <c r="AC350" i="1"/>
  <c r="AD350" i="1"/>
  <c r="AE350" i="1"/>
  <c r="CS350" i="1" s="1"/>
  <c r="AF350" i="1"/>
  <c r="AG350" i="1"/>
  <c r="CU350" i="1" s="1"/>
  <c r="AH350" i="1"/>
  <c r="AI350" i="1"/>
  <c r="CW350" i="1" s="1"/>
  <c r="AJ350" i="1"/>
  <c r="CR350" i="1"/>
  <c r="CT350" i="1"/>
  <c r="CV350" i="1"/>
  <c r="CX350" i="1"/>
  <c r="CY350" i="1"/>
  <c r="X350" i="1" s="1"/>
  <c r="CZ350" i="1"/>
  <c r="Y350" i="1" s="1"/>
  <c r="FR350" i="1"/>
  <c r="GL350" i="1"/>
  <c r="GO350" i="1"/>
  <c r="GP350" i="1"/>
  <c r="GV350" i="1"/>
  <c r="HC350" i="1"/>
  <c r="I351" i="1"/>
  <c r="AC351" i="1"/>
  <c r="AD351" i="1"/>
  <c r="CR351" i="1" s="1"/>
  <c r="AE351" i="1"/>
  <c r="AF351" i="1"/>
  <c r="CT351" i="1" s="1"/>
  <c r="AG351" i="1"/>
  <c r="AH351" i="1"/>
  <c r="CV351" i="1" s="1"/>
  <c r="AI351" i="1"/>
  <c r="AJ351" i="1"/>
  <c r="CX351" i="1" s="1"/>
  <c r="CQ351" i="1"/>
  <c r="CS351" i="1"/>
  <c r="CU351" i="1"/>
  <c r="CW351" i="1"/>
  <c r="V351" i="1" s="1"/>
  <c r="FR351" i="1"/>
  <c r="GL351" i="1"/>
  <c r="GO351" i="1"/>
  <c r="GP351" i="1"/>
  <c r="GV351" i="1"/>
  <c r="HC351" i="1" s="1"/>
  <c r="AC352" i="1"/>
  <c r="AD352" i="1"/>
  <c r="CR352" i="1" s="1"/>
  <c r="Q352" i="1" s="1"/>
  <c r="AE352" i="1"/>
  <c r="AF352" i="1"/>
  <c r="CT352" i="1" s="1"/>
  <c r="S352" i="1" s="1"/>
  <c r="AG352" i="1"/>
  <c r="AH352" i="1"/>
  <c r="CV352" i="1" s="1"/>
  <c r="U352" i="1" s="1"/>
  <c r="AI352" i="1"/>
  <c r="AJ352" i="1"/>
  <c r="CX352" i="1" s="1"/>
  <c r="W352" i="1" s="1"/>
  <c r="CQ352" i="1"/>
  <c r="P352" i="1" s="1"/>
  <c r="CS352" i="1"/>
  <c r="R352" i="1" s="1"/>
  <c r="CU352" i="1"/>
  <c r="T352" i="1" s="1"/>
  <c r="CW352" i="1"/>
  <c r="V352" i="1" s="1"/>
  <c r="FR352" i="1"/>
  <c r="GL352" i="1"/>
  <c r="GO352" i="1"/>
  <c r="GP352" i="1"/>
  <c r="GV352" i="1"/>
  <c r="HC352" i="1" s="1"/>
  <c r="GX352" i="1" s="1"/>
  <c r="AC353" i="1"/>
  <c r="AD353" i="1"/>
  <c r="AE353" i="1"/>
  <c r="AF353" i="1"/>
  <c r="CT353" i="1" s="1"/>
  <c r="S353" i="1" s="1"/>
  <c r="AG353" i="1"/>
  <c r="AH353" i="1"/>
  <c r="CV353" i="1" s="1"/>
  <c r="U353" i="1" s="1"/>
  <c r="AI353" i="1"/>
  <c r="AJ353" i="1"/>
  <c r="CX353" i="1" s="1"/>
  <c r="W353" i="1" s="1"/>
  <c r="CQ353" i="1"/>
  <c r="P353" i="1" s="1"/>
  <c r="CS353" i="1"/>
  <c r="R353" i="1" s="1"/>
  <c r="CU353" i="1"/>
  <c r="T353" i="1" s="1"/>
  <c r="CW353" i="1"/>
  <c r="V353" i="1" s="1"/>
  <c r="FR353" i="1"/>
  <c r="GL353" i="1"/>
  <c r="GO353" i="1"/>
  <c r="GP353" i="1"/>
  <c r="GV353" i="1"/>
  <c r="HC353" i="1" s="1"/>
  <c r="GX353" i="1" s="1"/>
  <c r="C354" i="1"/>
  <c r="D354" i="1"/>
  <c r="AC354" i="1"/>
  <c r="CQ354" i="1" s="1"/>
  <c r="P354" i="1" s="1"/>
  <c r="AE354" i="1"/>
  <c r="CS354" i="1" s="1"/>
  <c r="R354" i="1" s="1"/>
  <c r="AF354" i="1"/>
  <c r="CT354" i="1" s="1"/>
  <c r="S354" i="1" s="1"/>
  <c r="AG354" i="1"/>
  <c r="AH354" i="1"/>
  <c r="CV354" i="1" s="1"/>
  <c r="U354" i="1" s="1"/>
  <c r="AI354" i="1"/>
  <c r="AJ354" i="1"/>
  <c r="CX354" i="1" s="1"/>
  <c r="W354" i="1" s="1"/>
  <c r="CU354" i="1"/>
  <c r="T354" i="1" s="1"/>
  <c r="CW354" i="1"/>
  <c r="V354" i="1" s="1"/>
  <c r="FR354" i="1"/>
  <c r="GL354" i="1"/>
  <c r="GO354" i="1"/>
  <c r="GP354" i="1"/>
  <c r="GV354" i="1"/>
  <c r="HC354" i="1"/>
  <c r="GX354" i="1" s="1"/>
  <c r="C355" i="1"/>
  <c r="D355" i="1"/>
  <c r="AC355" i="1"/>
  <c r="CQ355" i="1" s="1"/>
  <c r="P355" i="1" s="1"/>
  <c r="AE355" i="1"/>
  <c r="AF355" i="1"/>
  <c r="AG355" i="1"/>
  <c r="AH355" i="1"/>
  <c r="AI355" i="1"/>
  <c r="AJ355" i="1"/>
  <c r="CX355" i="1" s="1"/>
  <c r="W355" i="1" s="1"/>
  <c r="CU355" i="1"/>
  <c r="T355" i="1" s="1"/>
  <c r="CW355" i="1"/>
  <c r="V355" i="1" s="1"/>
  <c r="FR355" i="1"/>
  <c r="GL355" i="1"/>
  <c r="GO355" i="1"/>
  <c r="GP355" i="1"/>
  <c r="GV355" i="1"/>
  <c r="HC355" i="1" s="1"/>
  <c r="GX355" i="1" s="1"/>
  <c r="I356" i="1"/>
  <c r="T102" i="15" s="1"/>
  <c r="AC356" i="1"/>
  <c r="AE356" i="1"/>
  <c r="AD356" i="1" s="1"/>
  <c r="CR356" i="1" s="1"/>
  <c r="AF356" i="1"/>
  <c r="AG356" i="1"/>
  <c r="CU356" i="1" s="1"/>
  <c r="AH356" i="1"/>
  <c r="AI356" i="1"/>
  <c r="CW356" i="1" s="1"/>
  <c r="AJ356" i="1"/>
  <c r="CT356" i="1"/>
  <c r="CV356" i="1"/>
  <c r="CX356" i="1"/>
  <c r="FR356" i="1"/>
  <c r="GL356" i="1"/>
  <c r="GO356" i="1"/>
  <c r="GP356" i="1"/>
  <c r="GV356" i="1"/>
  <c r="HC356" i="1"/>
  <c r="I357" i="1"/>
  <c r="AC357" i="1"/>
  <c r="AD357" i="1"/>
  <c r="CR357" i="1" s="1"/>
  <c r="AE357" i="1"/>
  <c r="AF357" i="1"/>
  <c r="AB357" i="1" s="1"/>
  <c r="AG357" i="1"/>
  <c r="AH357" i="1"/>
  <c r="CV357" i="1" s="1"/>
  <c r="AI357" i="1"/>
  <c r="AJ357" i="1"/>
  <c r="CX357" i="1" s="1"/>
  <c r="CQ357" i="1"/>
  <c r="CS357" i="1"/>
  <c r="CU357" i="1"/>
  <c r="CW357" i="1"/>
  <c r="V357" i="1" s="1"/>
  <c r="FR357" i="1"/>
  <c r="GL357" i="1"/>
  <c r="GO357" i="1"/>
  <c r="GP357" i="1"/>
  <c r="GV357" i="1"/>
  <c r="HC357" i="1"/>
  <c r="I358" i="1"/>
  <c r="P93" i="15" s="1"/>
  <c r="O93" i="15" s="1"/>
  <c r="E93" i="15" s="1"/>
  <c r="G93" i="15" s="1"/>
  <c r="AC358" i="1"/>
  <c r="AE358" i="1"/>
  <c r="CS358" i="1" s="1"/>
  <c r="AF358" i="1"/>
  <c r="AG358" i="1"/>
  <c r="CU358" i="1" s="1"/>
  <c r="AH358" i="1"/>
  <c r="AI358" i="1"/>
  <c r="CW358" i="1" s="1"/>
  <c r="AJ358" i="1"/>
  <c r="CT358" i="1"/>
  <c r="CV358" i="1"/>
  <c r="CX358" i="1"/>
  <c r="FR358" i="1"/>
  <c r="GL358" i="1"/>
  <c r="GO358" i="1"/>
  <c r="GP358" i="1"/>
  <c r="GV358" i="1"/>
  <c r="HC358" i="1"/>
  <c r="I359" i="1"/>
  <c r="AC359" i="1"/>
  <c r="AD359" i="1"/>
  <c r="CR359" i="1" s="1"/>
  <c r="AE359" i="1"/>
  <c r="AF359" i="1"/>
  <c r="CT359" i="1" s="1"/>
  <c r="AG359" i="1"/>
  <c r="AH359" i="1"/>
  <c r="CV359" i="1" s="1"/>
  <c r="AI359" i="1"/>
  <c r="AJ359" i="1"/>
  <c r="CX359" i="1" s="1"/>
  <c r="CQ359" i="1"/>
  <c r="CS359" i="1"/>
  <c r="CU359" i="1"/>
  <c r="CW359" i="1"/>
  <c r="V359" i="1" s="1"/>
  <c r="FR359" i="1"/>
  <c r="GL359" i="1"/>
  <c r="GO359" i="1"/>
  <c r="GP359" i="1"/>
  <c r="GV359" i="1"/>
  <c r="HC359" i="1" s="1"/>
  <c r="C360" i="1"/>
  <c r="D360" i="1"/>
  <c r="AC360" i="1"/>
  <c r="CQ360" i="1" s="1"/>
  <c r="P360" i="1" s="1"/>
  <c r="AE360" i="1"/>
  <c r="AD360" i="1" s="1"/>
  <c r="AF360" i="1"/>
  <c r="CT360" i="1" s="1"/>
  <c r="S360" i="1" s="1"/>
  <c r="AG360" i="1"/>
  <c r="AH360" i="1"/>
  <c r="CV360" i="1" s="1"/>
  <c r="U360" i="1" s="1"/>
  <c r="AI360" i="1"/>
  <c r="AJ360" i="1"/>
  <c r="CX360" i="1" s="1"/>
  <c r="W360" i="1" s="1"/>
  <c r="CU360" i="1"/>
  <c r="T360" i="1" s="1"/>
  <c r="CW360" i="1"/>
  <c r="V360" i="1" s="1"/>
  <c r="FR360" i="1"/>
  <c r="GL360" i="1"/>
  <c r="GO360" i="1"/>
  <c r="GP360" i="1"/>
  <c r="GV360" i="1"/>
  <c r="HC360" i="1" s="1"/>
  <c r="GX360" i="1" s="1"/>
  <c r="C361" i="1"/>
  <c r="D361" i="1"/>
  <c r="AC361" i="1"/>
  <c r="CQ361" i="1" s="1"/>
  <c r="P361" i="1" s="1"/>
  <c r="AE361" i="1"/>
  <c r="AF361" i="1"/>
  <c r="AG361" i="1"/>
  <c r="AH361" i="1"/>
  <c r="AI361" i="1"/>
  <c r="AJ361" i="1"/>
  <c r="CX361" i="1" s="1"/>
  <c r="W361" i="1" s="1"/>
  <c r="CU361" i="1"/>
  <c r="T361" i="1" s="1"/>
  <c r="CW361" i="1"/>
  <c r="V361" i="1" s="1"/>
  <c r="FR361" i="1"/>
  <c r="GL361" i="1"/>
  <c r="GO361" i="1"/>
  <c r="GP361" i="1"/>
  <c r="GV361" i="1"/>
  <c r="HC361" i="1" s="1"/>
  <c r="GX361" i="1" s="1"/>
  <c r="I362" i="1"/>
  <c r="U102" i="15" s="1"/>
  <c r="AC362" i="1"/>
  <c r="AE362" i="1"/>
  <c r="AD362" i="1" s="1"/>
  <c r="CR362" i="1" s="1"/>
  <c r="AF362" i="1"/>
  <c r="AG362" i="1"/>
  <c r="CU362" i="1" s="1"/>
  <c r="AH362" i="1"/>
  <c r="AI362" i="1"/>
  <c r="CW362" i="1" s="1"/>
  <c r="AJ362" i="1"/>
  <c r="CT362" i="1"/>
  <c r="CV362" i="1"/>
  <c r="CX362" i="1"/>
  <c r="FR362" i="1"/>
  <c r="GL362" i="1"/>
  <c r="GO362" i="1"/>
  <c r="GP362" i="1"/>
  <c r="GV362" i="1"/>
  <c r="HC362" i="1"/>
  <c r="I363" i="1"/>
  <c r="AC363" i="1"/>
  <c r="AD363" i="1"/>
  <c r="CR363" i="1" s="1"/>
  <c r="AE363" i="1"/>
  <c r="AF363" i="1"/>
  <c r="AB363" i="1" s="1"/>
  <c r="AG363" i="1"/>
  <c r="AH363" i="1"/>
  <c r="CV363" i="1" s="1"/>
  <c r="AI363" i="1"/>
  <c r="AJ363" i="1"/>
  <c r="CX363" i="1" s="1"/>
  <c r="CQ363" i="1"/>
  <c r="CS363" i="1"/>
  <c r="CU363" i="1"/>
  <c r="CW363" i="1"/>
  <c r="FR363" i="1"/>
  <c r="GL363" i="1"/>
  <c r="GO363" i="1"/>
  <c r="GP363" i="1"/>
  <c r="GV363" i="1"/>
  <c r="HC363" i="1"/>
  <c r="I364" i="1"/>
  <c r="P90" i="15" s="1"/>
  <c r="O90" i="15" s="1"/>
  <c r="E90" i="15" s="1"/>
  <c r="G90" i="15" s="1"/>
  <c r="AC364" i="1"/>
  <c r="AE364" i="1"/>
  <c r="CS364" i="1" s="1"/>
  <c r="AF364" i="1"/>
  <c r="AG364" i="1"/>
  <c r="CU364" i="1" s="1"/>
  <c r="AH364" i="1"/>
  <c r="AI364" i="1"/>
  <c r="CW364" i="1" s="1"/>
  <c r="AJ364" i="1"/>
  <c r="CT364" i="1"/>
  <c r="CV364" i="1"/>
  <c r="CX364" i="1"/>
  <c r="FR364" i="1"/>
  <c r="GL364" i="1"/>
  <c r="GO364" i="1"/>
  <c r="GP364" i="1"/>
  <c r="GV364" i="1"/>
  <c r="HC364" i="1"/>
  <c r="I365" i="1"/>
  <c r="AC365" i="1"/>
  <c r="AD365" i="1"/>
  <c r="CR365" i="1" s="1"/>
  <c r="AE365" i="1"/>
  <c r="AF365" i="1"/>
  <c r="CT365" i="1" s="1"/>
  <c r="AG365" i="1"/>
  <c r="AH365" i="1"/>
  <c r="CV365" i="1" s="1"/>
  <c r="AI365" i="1"/>
  <c r="AJ365" i="1"/>
  <c r="CX365" i="1" s="1"/>
  <c r="CQ365" i="1"/>
  <c r="CS365" i="1"/>
  <c r="CU365" i="1"/>
  <c r="CW365" i="1"/>
  <c r="FR365" i="1"/>
  <c r="GL365" i="1"/>
  <c r="GO365" i="1"/>
  <c r="GP365" i="1"/>
  <c r="GV365" i="1"/>
  <c r="HC365" i="1"/>
  <c r="I366" i="1"/>
  <c r="P92" i="15" s="1"/>
  <c r="O92" i="15" s="1"/>
  <c r="E92" i="15" s="1"/>
  <c r="G92" i="15" s="1"/>
  <c r="AC366" i="1"/>
  <c r="AE366" i="1"/>
  <c r="AD366" i="1" s="1"/>
  <c r="CR366" i="1" s="1"/>
  <c r="AF366" i="1"/>
  <c r="AG366" i="1"/>
  <c r="CU366" i="1" s="1"/>
  <c r="AH366" i="1"/>
  <c r="AI366" i="1"/>
  <c r="CW366" i="1" s="1"/>
  <c r="AJ366" i="1"/>
  <c r="CT366" i="1"/>
  <c r="CV366" i="1"/>
  <c r="CX366" i="1"/>
  <c r="FR366" i="1"/>
  <c r="GL366" i="1"/>
  <c r="GO366" i="1"/>
  <c r="GP366" i="1"/>
  <c r="GV366" i="1"/>
  <c r="HC366" i="1"/>
  <c r="I367" i="1"/>
  <c r="AC367" i="1"/>
  <c r="AD367" i="1"/>
  <c r="CR367" i="1" s="1"/>
  <c r="AE367" i="1"/>
  <c r="AF367" i="1"/>
  <c r="AB367" i="1" s="1"/>
  <c r="AG367" i="1"/>
  <c r="AH367" i="1"/>
  <c r="CV367" i="1" s="1"/>
  <c r="AI367" i="1"/>
  <c r="AJ367" i="1"/>
  <c r="CX367" i="1" s="1"/>
  <c r="CQ367" i="1"/>
  <c r="CS367" i="1"/>
  <c r="CU367" i="1"/>
  <c r="CW367" i="1"/>
  <c r="FR367" i="1"/>
  <c r="GL367" i="1"/>
  <c r="GO367" i="1"/>
  <c r="GP367" i="1"/>
  <c r="GV367" i="1"/>
  <c r="HC367" i="1"/>
  <c r="C368" i="1"/>
  <c r="D368" i="1"/>
  <c r="AC368" i="1"/>
  <c r="CQ368" i="1" s="1"/>
  <c r="P368" i="1" s="1"/>
  <c r="AD368" i="1"/>
  <c r="CR368" i="1" s="1"/>
  <c r="Q368" i="1" s="1"/>
  <c r="AE368" i="1"/>
  <c r="AF368" i="1"/>
  <c r="CT368" i="1" s="1"/>
  <c r="S368" i="1" s="1"/>
  <c r="AG368" i="1"/>
  <c r="AH368" i="1"/>
  <c r="CV368" i="1" s="1"/>
  <c r="U368" i="1" s="1"/>
  <c r="AI368" i="1"/>
  <c r="AJ368" i="1"/>
  <c r="CX368" i="1" s="1"/>
  <c r="W368" i="1" s="1"/>
  <c r="CS368" i="1"/>
  <c r="R368" i="1" s="1"/>
  <c r="CU368" i="1"/>
  <c r="T368" i="1" s="1"/>
  <c r="CW368" i="1"/>
  <c r="V368" i="1" s="1"/>
  <c r="FR368" i="1"/>
  <c r="GL368" i="1"/>
  <c r="GO368" i="1"/>
  <c r="GP368" i="1"/>
  <c r="GV368" i="1"/>
  <c r="HC368" i="1" s="1"/>
  <c r="GX368" i="1" s="1"/>
  <c r="C369" i="1"/>
  <c r="D369" i="1"/>
  <c r="AC369" i="1"/>
  <c r="CQ369" i="1" s="1"/>
  <c r="P369" i="1" s="1"/>
  <c r="AD369" i="1"/>
  <c r="AE369" i="1"/>
  <c r="AF369" i="1"/>
  <c r="AG369" i="1"/>
  <c r="AH369" i="1"/>
  <c r="AI369" i="1"/>
  <c r="AJ369" i="1"/>
  <c r="CX369" i="1" s="1"/>
  <c r="W369" i="1" s="1"/>
  <c r="CS369" i="1"/>
  <c r="R369" i="1" s="1"/>
  <c r="CU369" i="1"/>
  <c r="T369" i="1" s="1"/>
  <c r="CW369" i="1"/>
  <c r="V369" i="1" s="1"/>
  <c r="FR369" i="1"/>
  <c r="GL369" i="1"/>
  <c r="GO369" i="1"/>
  <c r="GP369" i="1"/>
  <c r="GV369" i="1"/>
  <c r="HC369" i="1"/>
  <c r="GX369" i="1" s="1"/>
  <c r="I370" i="1"/>
  <c r="P60" i="15" s="1"/>
  <c r="O60" i="15" s="1"/>
  <c r="E60" i="15" s="1"/>
  <c r="G60" i="15" s="1"/>
  <c r="AC370" i="1"/>
  <c r="AE370" i="1"/>
  <c r="CS370" i="1" s="1"/>
  <c r="AF370" i="1"/>
  <c r="AG370" i="1"/>
  <c r="CU370" i="1" s="1"/>
  <c r="AH370" i="1"/>
  <c r="AI370" i="1"/>
  <c r="CW370" i="1" s="1"/>
  <c r="AJ370" i="1"/>
  <c r="CT370" i="1"/>
  <c r="CV370" i="1"/>
  <c r="CX370" i="1"/>
  <c r="FR370" i="1"/>
  <c r="GL370" i="1"/>
  <c r="GO370" i="1"/>
  <c r="GP370" i="1"/>
  <c r="GV370" i="1"/>
  <c r="HC370" i="1"/>
  <c r="I371" i="1"/>
  <c r="AC371" i="1"/>
  <c r="AD371" i="1"/>
  <c r="CR371" i="1" s="1"/>
  <c r="AE371" i="1"/>
  <c r="AF371" i="1"/>
  <c r="AB371" i="1" s="1"/>
  <c r="AG371" i="1"/>
  <c r="AH371" i="1"/>
  <c r="CV371" i="1" s="1"/>
  <c r="AI371" i="1"/>
  <c r="AJ371" i="1"/>
  <c r="CX371" i="1" s="1"/>
  <c r="CQ371" i="1"/>
  <c r="CS371" i="1"/>
  <c r="CU371" i="1"/>
  <c r="CW371" i="1"/>
  <c r="FR371" i="1"/>
  <c r="GL371" i="1"/>
  <c r="GO371" i="1"/>
  <c r="GP371" i="1"/>
  <c r="GV371" i="1"/>
  <c r="HC371" i="1"/>
  <c r="I372" i="1"/>
  <c r="P105" i="15" s="1"/>
  <c r="O105" i="15" s="1"/>
  <c r="E105" i="15" s="1"/>
  <c r="G105" i="15" s="1"/>
  <c r="AC372" i="1"/>
  <c r="AE372" i="1"/>
  <c r="AD372" i="1" s="1"/>
  <c r="CR372" i="1" s="1"/>
  <c r="AF372" i="1"/>
  <c r="AG372" i="1"/>
  <c r="CU372" i="1" s="1"/>
  <c r="AH372" i="1"/>
  <c r="AI372" i="1"/>
  <c r="CW372" i="1" s="1"/>
  <c r="AJ372" i="1"/>
  <c r="CT372" i="1"/>
  <c r="CV372" i="1"/>
  <c r="CX372" i="1"/>
  <c r="FR372" i="1"/>
  <c r="GL372" i="1"/>
  <c r="GO372" i="1"/>
  <c r="GP372" i="1"/>
  <c r="GV372" i="1"/>
  <c r="HC372" i="1" s="1"/>
  <c r="I373" i="1"/>
  <c r="AC373" i="1"/>
  <c r="AD373" i="1"/>
  <c r="AB373" i="1" s="1"/>
  <c r="AE373" i="1"/>
  <c r="AF373" i="1"/>
  <c r="CT373" i="1" s="1"/>
  <c r="AG373" i="1"/>
  <c r="AH373" i="1"/>
  <c r="CV373" i="1" s="1"/>
  <c r="AI373" i="1"/>
  <c r="AJ373" i="1"/>
  <c r="CX373" i="1" s="1"/>
  <c r="CQ373" i="1"/>
  <c r="CS373" i="1"/>
  <c r="CU373" i="1"/>
  <c r="CW373" i="1"/>
  <c r="FR373" i="1"/>
  <c r="GL373" i="1"/>
  <c r="GO373" i="1"/>
  <c r="GP373" i="1"/>
  <c r="GV373" i="1"/>
  <c r="HC373" i="1"/>
  <c r="C374" i="1"/>
  <c r="D374" i="1"/>
  <c r="AC374" i="1"/>
  <c r="CQ374" i="1" s="1"/>
  <c r="P374" i="1" s="1"/>
  <c r="AD374" i="1"/>
  <c r="CR374" i="1" s="1"/>
  <c r="Q374" i="1" s="1"/>
  <c r="AE374" i="1"/>
  <c r="AF374" i="1"/>
  <c r="CT374" i="1" s="1"/>
  <c r="S374" i="1" s="1"/>
  <c r="AG374" i="1"/>
  <c r="AH374" i="1"/>
  <c r="CV374" i="1" s="1"/>
  <c r="U374" i="1" s="1"/>
  <c r="AI374" i="1"/>
  <c r="AJ374" i="1"/>
  <c r="CX374" i="1" s="1"/>
  <c r="W374" i="1" s="1"/>
  <c r="CS374" i="1"/>
  <c r="R374" i="1" s="1"/>
  <c r="CU374" i="1"/>
  <c r="T374" i="1" s="1"/>
  <c r="CW374" i="1"/>
  <c r="V374" i="1" s="1"/>
  <c r="FR374" i="1"/>
  <c r="GL374" i="1"/>
  <c r="GO374" i="1"/>
  <c r="GP374" i="1"/>
  <c r="GV374" i="1"/>
  <c r="HC374" i="1" s="1"/>
  <c r="GX374" i="1" s="1"/>
  <c r="C375" i="1"/>
  <c r="D375" i="1"/>
  <c r="AC375" i="1"/>
  <c r="AE375" i="1"/>
  <c r="AF375" i="1"/>
  <c r="AG375" i="1"/>
  <c r="CU375" i="1" s="1"/>
  <c r="T375" i="1" s="1"/>
  <c r="AH375" i="1"/>
  <c r="AI375" i="1"/>
  <c r="AJ375" i="1"/>
  <c r="CW375" i="1"/>
  <c r="V375" i="1" s="1"/>
  <c r="CX375" i="1"/>
  <c r="W375" i="1" s="1"/>
  <c r="FR375" i="1"/>
  <c r="GL375" i="1"/>
  <c r="GO375" i="1"/>
  <c r="GP375" i="1"/>
  <c r="GV375" i="1"/>
  <c r="HC375" i="1" s="1"/>
  <c r="GX375" i="1" s="1"/>
  <c r="I376" i="1"/>
  <c r="Q108" i="15" s="1"/>
  <c r="AC376" i="1"/>
  <c r="AE376" i="1"/>
  <c r="AD376" i="1" s="1"/>
  <c r="AF376" i="1"/>
  <c r="CT376" i="1" s="1"/>
  <c r="AG376" i="1"/>
  <c r="AH376" i="1"/>
  <c r="AI376" i="1"/>
  <c r="AJ376" i="1"/>
  <c r="CX376" i="1" s="1"/>
  <c r="CS376" i="1"/>
  <c r="CU376" i="1"/>
  <c r="CV376" i="1"/>
  <c r="CW376" i="1"/>
  <c r="FR376" i="1"/>
  <c r="GL376" i="1"/>
  <c r="GO376" i="1"/>
  <c r="GP376" i="1"/>
  <c r="GV376" i="1"/>
  <c r="HC376" i="1" s="1"/>
  <c r="I377" i="1"/>
  <c r="GX377" i="1" s="1"/>
  <c r="AC377" i="1"/>
  <c r="CQ377" i="1" s="1"/>
  <c r="AE377" i="1"/>
  <c r="AD377" i="1" s="1"/>
  <c r="CR377" i="1" s="1"/>
  <c r="AF377" i="1"/>
  <c r="AG377" i="1"/>
  <c r="CU377" i="1" s="1"/>
  <c r="AH377" i="1"/>
  <c r="AI377" i="1"/>
  <c r="CW377" i="1" s="1"/>
  <c r="AJ377" i="1"/>
  <c r="CT377" i="1"/>
  <c r="CV377" i="1"/>
  <c r="CX377" i="1"/>
  <c r="FR377" i="1"/>
  <c r="GL377" i="1"/>
  <c r="GO377" i="1"/>
  <c r="GP377" i="1"/>
  <c r="GV377" i="1"/>
  <c r="HC377" i="1"/>
  <c r="I378" i="1"/>
  <c r="Q109" i="15" s="1"/>
  <c r="AC378" i="1"/>
  <c r="AD378" i="1"/>
  <c r="CR378" i="1" s="1"/>
  <c r="AE378" i="1"/>
  <c r="AF378" i="1"/>
  <c r="CT378" i="1" s="1"/>
  <c r="AG378" i="1"/>
  <c r="AH378" i="1"/>
  <c r="CV378" i="1" s="1"/>
  <c r="AI378" i="1"/>
  <c r="AJ378" i="1"/>
  <c r="CX378" i="1" s="1"/>
  <c r="CQ378" i="1"/>
  <c r="CS378" i="1"/>
  <c r="CU378" i="1"/>
  <c r="CW378" i="1"/>
  <c r="FR378" i="1"/>
  <c r="GL378" i="1"/>
  <c r="GO378" i="1"/>
  <c r="GP378" i="1"/>
  <c r="GV378" i="1"/>
  <c r="HC378" i="1"/>
  <c r="I379" i="1"/>
  <c r="AC379" i="1"/>
  <c r="AE379" i="1"/>
  <c r="CS379" i="1" s="1"/>
  <c r="AF379" i="1"/>
  <c r="AG379" i="1"/>
  <c r="CU379" i="1" s="1"/>
  <c r="AH379" i="1"/>
  <c r="AI379" i="1"/>
  <c r="CW379" i="1" s="1"/>
  <c r="AJ379" i="1"/>
  <c r="CT379" i="1"/>
  <c r="CV379" i="1"/>
  <c r="CX379" i="1"/>
  <c r="FR379" i="1"/>
  <c r="GL379" i="1"/>
  <c r="GO379" i="1"/>
  <c r="GP379" i="1"/>
  <c r="GV379" i="1"/>
  <c r="HC379" i="1"/>
  <c r="C380" i="1"/>
  <c r="D380" i="1"/>
  <c r="AC380" i="1"/>
  <c r="CQ380" i="1" s="1"/>
  <c r="P380" i="1" s="1"/>
  <c r="AE380" i="1"/>
  <c r="AD380" i="1" s="1"/>
  <c r="CR380" i="1" s="1"/>
  <c r="Q380" i="1" s="1"/>
  <c r="AF380" i="1"/>
  <c r="AG380" i="1"/>
  <c r="CU380" i="1" s="1"/>
  <c r="T380" i="1" s="1"/>
  <c r="AH380" i="1"/>
  <c r="AI380" i="1"/>
  <c r="CW380" i="1" s="1"/>
  <c r="V380" i="1" s="1"/>
  <c r="AJ380" i="1"/>
  <c r="CT380" i="1"/>
  <c r="S380" i="1" s="1"/>
  <c r="CV380" i="1"/>
  <c r="U380" i="1" s="1"/>
  <c r="CX380" i="1"/>
  <c r="W380" i="1" s="1"/>
  <c r="FR380" i="1"/>
  <c r="GL380" i="1"/>
  <c r="GO380" i="1"/>
  <c r="GP380" i="1"/>
  <c r="GV380" i="1"/>
  <c r="GX380" i="1"/>
  <c r="HC380" i="1"/>
  <c r="C381" i="1"/>
  <c r="D381" i="1"/>
  <c r="AC381" i="1"/>
  <c r="AE381" i="1"/>
  <c r="CS381" i="1" s="1"/>
  <c r="R381" i="1" s="1"/>
  <c r="AF381" i="1"/>
  <c r="AG381" i="1"/>
  <c r="CU381" i="1" s="1"/>
  <c r="T381" i="1" s="1"/>
  <c r="AH381" i="1"/>
  <c r="AI381" i="1"/>
  <c r="CW381" i="1" s="1"/>
  <c r="V381" i="1" s="1"/>
  <c r="AJ381" i="1"/>
  <c r="CX381" i="1"/>
  <c r="W381" i="1" s="1"/>
  <c r="FR381" i="1"/>
  <c r="GL381" i="1"/>
  <c r="GO381" i="1"/>
  <c r="GP381" i="1"/>
  <c r="GV381" i="1"/>
  <c r="GX381" i="1"/>
  <c r="HC381" i="1"/>
  <c r="I382" i="1"/>
  <c r="P99" i="15" s="1"/>
  <c r="O99" i="15" s="1"/>
  <c r="E99" i="15" s="1"/>
  <c r="G99" i="15" s="1"/>
  <c r="AC382" i="1"/>
  <c r="AD382" i="1"/>
  <c r="CR382" i="1" s="1"/>
  <c r="AE382" i="1"/>
  <c r="AF382" i="1"/>
  <c r="AG382" i="1"/>
  <c r="AH382" i="1"/>
  <c r="CV382" i="1" s="1"/>
  <c r="AI382" i="1"/>
  <c r="AJ382" i="1"/>
  <c r="CX382" i="1" s="1"/>
  <c r="CQ382" i="1"/>
  <c r="CS382" i="1"/>
  <c r="CU382" i="1"/>
  <c r="CW382" i="1"/>
  <c r="FR382" i="1"/>
  <c r="GL382" i="1"/>
  <c r="GO382" i="1"/>
  <c r="GP382" i="1"/>
  <c r="GV382" i="1"/>
  <c r="HC382" i="1"/>
  <c r="I383" i="1"/>
  <c r="AC383" i="1"/>
  <c r="CQ383" i="1" s="1"/>
  <c r="AE383" i="1"/>
  <c r="AD383" i="1" s="1"/>
  <c r="CR383" i="1" s="1"/>
  <c r="AF383" i="1"/>
  <c r="AG383" i="1"/>
  <c r="CU383" i="1" s="1"/>
  <c r="AH383" i="1"/>
  <c r="AI383" i="1"/>
  <c r="CW383" i="1" s="1"/>
  <c r="AJ383" i="1"/>
  <c r="CT383" i="1"/>
  <c r="CV383" i="1"/>
  <c r="CX383" i="1"/>
  <c r="FR383" i="1"/>
  <c r="GL383" i="1"/>
  <c r="GO383" i="1"/>
  <c r="GP383" i="1"/>
  <c r="GV383" i="1"/>
  <c r="HC383" i="1"/>
  <c r="C384" i="1"/>
  <c r="D384" i="1"/>
  <c r="AC384" i="1"/>
  <c r="AE384" i="1"/>
  <c r="CS384" i="1" s="1"/>
  <c r="R384" i="1" s="1"/>
  <c r="AF384" i="1"/>
  <c r="AG384" i="1"/>
  <c r="CU384" i="1" s="1"/>
  <c r="T384" i="1" s="1"/>
  <c r="AH384" i="1"/>
  <c r="AI384" i="1"/>
  <c r="CW384" i="1" s="1"/>
  <c r="V384" i="1" s="1"/>
  <c r="AJ384" i="1"/>
  <c r="CT384" i="1"/>
  <c r="S384" i="1" s="1"/>
  <c r="CV384" i="1"/>
  <c r="U384" i="1" s="1"/>
  <c r="CX384" i="1"/>
  <c r="W384" i="1" s="1"/>
  <c r="FR384" i="1"/>
  <c r="GL384" i="1"/>
  <c r="GN384" i="1"/>
  <c r="GP384" i="1"/>
  <c r="GV384" i="1"/>
  <c r="HC384" i="1" s="1"/>
  <c r="GX384" i="1" s="1"/>
  <c r="C385" i="1"/>
  <c r="D385" i="1"/>
  <c r="AC385" i="1"/>
  <c r="CQ385" i="1" s="1"/>
  <c r="P385" i="1" s="1"/>
  <c r="AE385" i="1"/>
  <c r="AF385" i="1"/>
  <c r="AG385" i="1"/>
  <c r="CU385" i="1" s="1"/>
  <c r="T385" i="1" s="1"/>
  <c r="AH385" i="1"/>
  <c r="AI385" i="1"/>
  <c r="CW385" i="1" s="1"/>
  <c r="V385" i="1" s="1"/>
  <c r="AJ385" i="1"/>
  <c r="CX385" i="1"/>
  <c r="W385" i="1" s="1"/>
  <c r="FR385" i="1"/>
  <c r="GL385" i="1"/>
  <c r="GN385" i="1"/>
  <c r="GP385" i="1"/>
  <c r="GV385" i="1"/>
  <c r="GX385" i="1"/>
  <c r="HC385" i="1"/>
  <c r="I386" i="1"/>
  <c r="V102" i="15" s="1"/>
  <c r="AC386" i="1"/>
  <c r="CQ386" i="1" s="1"/>
  <c r="AD386" i="1"/>
  <c r="CR386" i="1" s="1"/>
  <c r="AE386" i="1"/>
  <c r="AF386" i="1"/>
  <c r="CT386" i="1" s="1"/>
  <c r="AG386" i="1"/>
  <c r="AH386" i="1"/>
  <c r="CV386" i="1" s="1"/>
  <c r="AI386" i="1"/>
  <c r="AJ386" i="1"/>
  <c r="CX386" i="1" s="1"/>
  <c r="CS386" i="1"/>
  <c r="CU386" i="1"/>
  <c r="CW386" i="1"/>
  <c r="FR386" i="1"/>
  <c r="GL386" i="1"/>
  <c r="GO386" i="1"/>
  <c r="GP386" i="1"/>
  <c r="GV386" i="1"/>
  <c r="HC386" i="1"/>
  <c r="I387" i="1"/>
  <c r="GX387" i="1" s="1"/>
  <c r="AC387" i="1"/>
  <c r="AE387" i="1"/>
  <c r="CS387" i="1" s="1"/>
  <c r="AF387" i="1"/>
  <c r="AG387" i="1"/>
  <c r="CU387" i="1" s="1"/>
  <c r="AH387" i="1"/>
  <c r="AI387" i="1"/>
  <c r="CW387" i="1" s="1"/>
  <c r="AJ387" i="1"/>
  <c r="CT387" i="1"/>
  <c r="CV387" i="1"/>
  <c r="CX387" i="1"/>
  <c r="FR387" i="1"/>
  <c r="GL387" i="1"/>
  <c r="GO387" i="1"/>
  <c r="GP387" i="1"/>
  <c r="GV387" i="1"/>
  <c r="HC387" i="1"/>
  <c r="I388" i="1"/>
  <c r="P80" i="15" s="1"/>
  <c r="O80" i="15" s="1"/>
  <c r="E80" i="15" s="1"/>
  <c r="G80" i="15" s="1"/>
  <c r="AC388" i="1"/>
  <c r="AD388" i="1"/>
  <c r="CR388" i="1" s="1"/>
  <c r="AE388" i="1"/>
  <c r="AF388" i="1"/>
  <c r="AG388" i="1"/>
  <c r="AH388" i="1"/>
  <c r="CV388" i="1" s="1"/>
  <c r="AI388" i="1"/>
  <c r="AJ388" i="1"/>
  <c r="CX388" i="1" s="1"/>
  <c r="CQ388" i="1"/>
  <c r="CS388" i="1"/>
  <c r="CU388" i="1"/>
  <c r="CW388" i="1"/>
  <c r="FR388" i="1"/>
  <c r="GL388" i="1"/>
  <c r="GN388" i="1"/>
  <c r="GP388" i="1"/>
  <c r="GV388" i="1"/>
  <c r="HC388" i="1"/>
  <c r="I389" i="1"/>
  <c r="GX389" i="1" s="1"/>
  <c r="AC389" i="1"/>
  <c r="CQ389" i="1" s="1"/>
  <c r="AE389" i="1"/>
  <c r="AD389" i="1" s="1"/>
  <c r="CR389" i="1" s="1"/>
  <c r="AF389" i="1"/>
  <c r="AG389" i="1"/>
  <c r="CU389" i="1" s="1"/>
  <c r="AH389" i="1"/>
  <c r="AI389" i="1"/>
  <c r="CW389" i="1" s="1"/>
  <c r="AJ389" i="1"/>
  <c r="CT389" i="1"/>
  <c r="CV389" i="1"/>
  <c r="CX389" i="1"/>
  <c r="FR389" i="1"/>
  <c r="GL389" i="1"/>
  <c r="GN389" i="1"/>
  <c r="GP389" i="1"/>
  <c r="GV389" i="1"/>
  <c r="HC389" i="1"/>
  <c r="I390" i="1"/>
  <c r="R79" i="15" s="1"/>
  <c r="AC390" i="1"/>
  <c r="CQ390" i="1" s="1"/>
  <c r="AD390" i="1"/>
  <c r="AE390" i="1"/>
  <c r="AF390" i="1"/>
  <c r="AG390" i="1"/>
  <c r="AH390" i="1"/>
  <c r="AI390" i="1"/>
  <c r="CW390" i="1" s="1"/>
  <c r="AJ390" i="1"/>
  <c r="CX390" i="1" s="1"/>
  <c r="CR390" i="1"/>
  <c r="CS390" i="1"/>
  <c r="CU390" i="1"/>
  <c r="CV390" i="1"/>
  <c r="FR390" i="1"/>
  <c r="GL390" i="1"/>
  <c r="GN390" i="1"/>
  <c r="GP390" i="1"/>
  <c r="GV390" i="1"/>
  <c r="HC390" i="1"/>
  <c r="I391" i="1"/>
  <c r="AC391" i="1"/>
  <c r="AB391" i="1" s="1"/>
  <c r="AD391" i="1"/>
  <c r="CR391" i="1" s="1"/>
  <c r="AE391" i="1"/>
  <c r="CS391" i="1" s="1"/>
  <c r="AF391" i="1"/>
  <c r="AG391" i="1"/>
  <c r="AH391" i="1"/>
  <c r="CV391" i="1" s="1"/>
  <c r="AI391" i="1"/>
  <c r="CW391" i="1" s="1"/>
  <c r="AJ391" i="1"/>
  <c r="CQ391" i="1"/>
  <c r="CT391" i="1"/>
  <c r="CU391" i="1"/>
  <c r="CX391" i="1"/>
  <c r="W391" i="1" s="1"/>
  <c r="FR391" i="1"/>
  <c r="GL391" i="1"/>
  <c r="GN391" i="1"/>
  <c r="GP391" i="1"/>
  <c r="GV391" i="1"/>
  <c r="HC391" i="1" s="1"/>
  <c r="I392" i="1"/>
  <c r="Q82" i="15" s="1"/>
  <c r="AC392" i="1"/>
  <c r="AD392" i="1"/>
  <c r="CR392" i="1" s="1"/>
  <c r="AE392" i="1"/>
  <c r="AF392" i="1"/>
  <c r="AG392" i="1"/>
  <c r="CU392" i="1" s="1"/>
  <c r="AH392" i="1"/>
  <c r="CV392" i="1" s="1"/>
  <c r="AI392" i="1"/>
  <c r="AJ392" i="1"/>
  <c r="CS392" i="1"/>
  <c r="CT392" i="1"/>
  <c r="CW392" i="1"/>
  <c r="CX392" i="1"/>
  <c r="FR392" i="1"/>
  <c r="GL392" i="1"/>
  <c r="GN392" i="1"/>
  <c r="GP392" i="1"/>
  <c r="GV392" i="1"/>
  <c r="HC392" i="1" s="1"/>
  <c r="I393" i="1"/>
  <c r="AC393" i="1"/>
  <c r="CQ393" i="1" s="1"/>
  <c r="AE393" i="1"/>
  <c r="AD393" i="1" s="1"/>
  <c r="AF393" i="1"/>
  <c r="CT393" i="1" s="1"/>
  <c r="AG393" i="1"/>
  <c r="CU393" i="1" s="1"/>
  <c r="AH393" i="1"/>
  <c r="AI393" i="1"/>
  <c r="AJ393" i="1"/>
  <c r="CX393" i="1" s="1"/>
  <c r="CS393" i="1"/>
  <c r="CV393" i="1"/>
  <c r="CW393" i="1"/>
  <c r="FR393" i="1"/>
  <c r="GL393" i="1"/>
  <c r="GN393" i="1"/>
  <c r="GP393" i="1"/>
  <c r="GV393" i="1"/>
  <c r="HC393" i="1"/>
  <c r="I394" i="1"/>
  <c r="AC394" i="1"/>
  <c r="AE394" i="1"/>
  <c r="AD394" i="1" s="1"/>
  <c r="AF394" i="1"/>
  <c r="CT394" i="1" s="1"/>
  <c r="AG394" i="1"/>
  <c r="AH394" i="1"/>
  <c r="AI394" i="1"/>
  <c r="CW394" i="1" s="1"/>
  <c r="AJ394" i="1"/>
  <c r="CX394" i="1" s="1"/>
  <c r="CU394" i="1"/>
  <c r="CV394" i="1"/>
  <c r="FR394" i="1"/>
  <c r="GL394" i="1"/>
  <c r="GO394" i="1"/>
  <c r="GP394" i="1"/>
  <c r="GV394" i="1"/>
  <c r="HC394" i="1"/>
  <c r="I395" i="1"/>
  <c r="AC395" i="1"/>
  <c r="AB395" i="1" s="1"/>
  <c r="AD395" i="1"/>
  <c r="CR395" i="1" s="1"/>
  <c r="AE395" i="1"/>
  <c r="CS395" i="1" s="1"/>
  <c r="AF395" i="1"/>
  <c r="AG395" i="1"/>
  <c r="AH395" i="1"/>
  <c r="CV395" i="1" s="1"/>
  <c r="AI395" i="1"/>
  <c r="CW395" i="1" s="1"/>
  <c r="AJ395" i="1"/>
  <c r="CQ395" i="1"/>
  <c r="CT395" i="1"/>
  <c r="CU395" i="1"/>
  <c r="CX395" i="1"/>
  <c r="W395" i="1" s="1"/>
  <c r="FR395" i="1"/>
  <c r="GL395" i="1"/>
  <c r="GO395" i="1"/>
  <c r="GP395" i="1"/>
  <c r="GV395" i="1"/>
  <c r="HC395" i="1" s="1"/>
  <c r="I396" i="1"/>
  <c r="R106" i="15" s="1"/>
  <c r="AC396" i="1"/>
  <c r="AD396" i="1"/>
  <c r="CR396" i="1" s="1"/>
  <c r="AE396" i="1"/>
  <c r="AF396" i="1"/>
  <c r="AG396" i="1"/>
  <c r="CU396" i="1" s="1"/>
  <c r="AH396" i="1"/>
  <c r="CV396" i="1" s="1"/>
  <c r="AI396" i="1"/>
  <c r="AJ396" i="1"/>
  <c r="CS396" i="1"/>
  <c r="CT396" i="1"/>
  <c r="CW396" i="1"/>
  <c r="CX396" i="1"/>
  <c r="W396" i="1" s="1"/>
  <c r="FR396" i="1"/>
  <c r="GL396" i="1"/>
  <c r="GO396" i="1"/>
  <c r="GP396" i="1"/>
  <c r="GV396" i="1"/>
  <c r="HC396" i="1" s="1"/>
  <c r="I397" i="1"/>
  <c r="AC397" i="1"/>
  <c r="CQ397" i="1" s="1"/>
  <c r="AE397" i="1"/>
  <c r="AD397" i="1" s="1"/>
  <c r="AF397" i="1"/>
  <c r="CT397" i="1" s="1"/>
  <c r="AG397" i="1"/>
  <c r="CU397" i="1" s="1"/>
  <c r="AH397" i="1"/>
  <c r="AI397" i="1"/>
  <c r="AJ397" i="1"/>
  <c r="CX397" i="1" s="1"/>
  <c r="CS397" i="1"/>
  <c r="CV397" i="1"/>
  <c r="CW397" i="1"/>
  <c r="FR397" i="1"/>
  <c r="GL397" i="1"/>
  <c r="GO397" i="1"/>
  <c r="GP397" i="1"/>
  <c r="GV397" i="1"/>
  <c r="HC397" i="1"/>
  <c r="C398" i="1"/>
  <c r="D398" i="1"/>
  <c r="AC398" i="1"/>
  <c r="AB398" i="1" s="1"/>
  <c r="AD398" i="1"/>
  <c r="CR398" i="1" s="1"/>
  <c r="Q398" i="1" s="1"/>
  <c r="AE398" i="1"/>
  <c r="CS398" i="1" s="1"/>
  <c r="R398" i="1" s="1"/>
  <c r="AF398" i="1"/>
  <c r="AG398" i="1"/>
  <c r="AH398" i="1"/>
  <c r="CV398" i="1" s="1"/>
  <c r="U398" i="1" s="1"/>
  <c r="AI398" i="1"/>
  <c r="CW398" i="1" s="1"/>
  <c r="V398" i="1" s="1"/>
  <c r="AJ398" i="1"/>
  <c r="CQ398" i="1"/>
  <c r="P398" i="1" s="1"/>
  <c r="CT398" i="1"/>
  <c r="S398" i="1" s="1"/>
  <c r="CU398" i="1"/>
  <c r="T398" i="1" s="1"/>
  <c r="CX398" i="1"/>
  <c r="W398" i="1" s="1"/>
  <c r="FR398" i="1"/>
  <c r="GL398" i="1"/>
  <c r="GO398" i="1"/>
  <c r="GP398" i="1"/>
  <c r="GV398" i="1"/>
  <c r="HC398" i="1" s="1"/>
  <c r="GX398" i="1" s="1"/>
  <c r="C399" i="1"/>
  <c r="D399" i="1"/>
  <c r="AC399" i="1"/>
  <c r="CQ399" i="1" s="1"/>
  <c r="P399" i="1" s="1"/>
  <c r="AE399" i="1"/>
  <c r="AD399" i="1" s="1"/>
  <c r="AF399" i="1"/>
  <c r="AG399" i="1"/>
  <c r="CU399" i="1" s="1"/>
  <c r="T399" i="1" s="1"/>
  <c r="AH399" i="1"/>
  <c r="H740" i="8" s="1"/>
  <c r="AI399" i="1"/>
  <c r="AJ399" i="1"/>
  <c r="CX399" i="1" s="1"/>
  <c r="W399" i="1" s="1"/>
  <c r="CS399" i="1"/>
  <c r="R399" i="1" s="1"/>
  <c r="CW399" i="1"/>
  <c r="V399" i="1" s="1"/>
  <c r="FR399" i="1"/>
  <c r="GL399" i="1"/>
  <c r="GO399" i="1"/>
  <c r="GP399" i="1"/>
  <c r="GV399" i="1"/>
  <c r="HC399" i="1"/>
  <c r="GX399" i="1" s="1"/>
  <c r="I400" i="1"/>
  <c r="AC400" i="1"/>
  <c r="AE400" i="1"/>
  <c r="AD400" i="1" s="1"/>
  <c r="AF400" i="1"/>
  <c r="CT400" i="1" s="1"/>
  <c r="AG400" i="1"/>
  <c r="AH400" i="1"/>
  <c r="AI400" i="1"/>
  <c r="CW400" i="1" s="1"/>
  <c r="AJ400" i="1"/>
  <c r="CX400" i="1" s="1"/>
  <c r="CU400" i="1"/>
  <c r="CV400" i="1"/>
  <c r="FR400" i="1"/>
  <c r="GL400" i="1"/>
  <c r="GO400" i="1"/>
  <c r="GP400" i="1"/>
  <c r="GV400" i="1"/>
  <c r="HC400" i="1"/>
  <c r="I401" i="1"/>
  <c r="AC401" i="1"/>
  <c r="AB401" i="1" s="1"/>
  <c r="AD401" i="1"/>
  <c r="CR401" i="1" s="1"/>
  <c r="AE401" i="1"/>
  <c r="CS401" i="1" s="1"/>
  <c r="AF401" i="1"/>
  <c r="AG401" i="1"/>
  <c r="AH401" i="1"/>
  <c r="CV401" i="1" s="1"/>
  <c r="AI401" i="1"/>
  <c r="CW401" i="1" s="1"/>
  <c r="AJ401" i="1"/>
  <c r="CQ401" i="1"/>
  <c r="CT401" i="1"/>
  <c r="CU401" i="1"/>
  <c r="CX401" i="1"/>
  <c r="FR401" i="1"/>
  <c r="GL401" i="1"/>
  <c r="GO401" i="1"/>
  <c r="GP401" i="1"/>
  <c r="GV401" i="1"/>
  <c r="HC401" i="1" s="1"/>
  <c r="I402" i="1"/>
  <c r="Q85" i="15" s="1"/>
  <c r="AC402" i="1"/>
  <c r="AD402" i="1"/>
  <c r="CR402" i="1" s="1"/>
  <c r="AE402" i="1"/>
  <c r="AF402" i="1"/>
  <c r="AG402" i="1"/>
  <c r="CU402" i="1" s="1"/>
  <c r="AH402" i="1"/>
  <c r="CV402" i="1" s="1"/>
  <c r="AI402" i="1"/>
  <c r="AJ402" i="1"/>
  <c r="CS402" i="1"/>
  <c r="CT402" i="1"/>
  <c r="CW402" i="1"/>
  <c r="CX402" i="1"/>
  <c r="FR402" i="1"/>
  <c r="GL402" i="1"/>
  <c r="GN402" i="1"/>
  <c r="GP402" i="1"/>
  <c r="GV402" i="1"/>
  <c r="HC402" i="1" s="1"/>
  <c r="I403" i="1"/>
  <c r="AC403" i="1"/>
  <c r="CQ403" i="1" s="1"/>
  <c r="AE403" i="1"/>
  <c r="AD403" i="1" s="1"/>
  <c r="AF403" i="1"/>
  <c r="CT403" i="1" s="1"/>
  <c r="AG403" i="1"/>
  <c r="CU403" i="1" s="1"/>
  <c r="AH403" i="1"/>
  <c r="AI403" i="1"/>
  <c r="AJ403" i="1"/>
  <c r="CX403" i="1" s="1"/>
  <c r="CS403" i="1"/>
  <c r="CV403" i="1"/>
  <c r="CW403" i="1"/>
  <c r="FR403" i="1"/>
  <c r="GL403" i="1"/>
  <c r="GN403" i="1"/>
  <c r="GP403" i="1"/>
  <c r="GV403" i="1"/>
  <c r="HC403" i="1"/>
  <c r="C404" i="1"/>
  <c r="D404" i="1"/>
  <c r="AC404" i="1"/>
  <c r="AB404" i="1" s="1"/>
  <c r="AD404" i="1"/>
  <c r="CR404" i="1" s="1"/>
  <c r="Q404" i="1" s="1"/>
  <c r="AE404" i="1"/>
  <c r="CS404" i="1" s="1"/>
  <c r="R404" i="1" s="1"/>
  <c r="AF404" i="1"/>
  <c r="AG404" i="1"/>
  <c r="AH404" i="1"/>
  <c r="CV404" i="1" s="1"/>
  <c r="U404" i="1" s="1"/>
  <c r="AI404" i="1"/>
  <c r="CW404" i="1" s="1"/>
  <c r="V404" i="1" s="1"/>
  <c r="AJ404" i="1"/>
  <c r="CQ404" i="1"/>
  <c r="P404" i="1" s="1"/>
  <c r="CT404" i="1"/>
  <c r="S404" i="1" s="1"/>
  <c r="CU404" i="1"/>
  <c r="T404" i="1" s="1"/>
  <c r="CX404" i="1"/>
  <c r="W404" i="1" s="1"/>
  <c r="FR404" i="1"/>
  <c r="GL404" i="1"/>
  <c r="GO404" i="1"/>
  <c r="GP404" i="1"/>
  <c r="GV404" i="1"/>
  <c r="HC404" i="1" s="1"/>
  <c r="GX404" i="1" s="1"/>
  <c r="C405" i="1"/>
  <c r="D405" i="1"/>
  <c r="AC405" i="1"/>
  <c r="CQ405" i="1" s="1"/>
  <c r="P405" i="1" s="1"/>
  <c r="AE405" i="1"/>
  <c r="AD405" i="1" s="1"/>
  <c r="AF405" i="1"/>
  <c r="AG405" i="1"/>
  <c r="CU405" i="1" s="1"/>
  <c r="T405" i="1" s="1"/>
  <c r="AH405" i="1"/>
  <c r="H753" i="8" s="1"/>
  <c r="AI405" i="1"/>
  <c r="AJ405" i="1"/>
  <c r="CX405" i="1" s="1"/>
  <c r="W405" i="1" s="1"/>
  <c r="CS405" i="1"/>
  <c r="R405" i="1" s="1"/>
  <c r="CW405" i="1"/>
  <c r="V405" i="1" s="1"/>
  <c r="FR405" i="1"/>
  <c r="GL405" i="1"/>
  <c r="GO405" i="1"/>
  <c r="GP405" i="1"/>
  <c r="GV405" i="1"/>
  <c r="HC405" i="1"/>
  <c r="GX405" i="1" s="1"/>
  <c r="B407" i="1"/>
  <c r="B314" i="1" s="1"/>
  <c r="C407" i="1"/>
  <c r="C314" i="1" s="1"/>
  <c r="D407" i="1"/>
  <c r="D314" i="1" s="1"/>
  <c r="F407" i="1"/>
  <c r="F314" i="1" s="1"/>
  <c r="G407" i="1"/>
  <c r="G314" i="1" s="1"/>
  <c r="BX407" i="1"/>
  <c r="BX314" i="1" s="1"/>
  <c r="CK407" i="1"/>
  <c r="CK314" i="1" s="1"/>
  <c r="CL407" i="1"/>
  <c r="CL314" i="1" s="1"/>
  <c r="CM407" i="1"/>
  <c r="CM314" i="1" s="1"/>
  <c r="FP407" i="1"/>
  <c r="FP314" i="1" s="1"/>
  <c r="GC407" i="1"/>
  <c r="GC314" i="1" s="1"/>
  <c r="GD407" i="1"/>
  <c r="GD314" i="1" s="1"/>
  <c r="GE407" i="1"/>
  <c r="GE314" i="1" s="1"/>
  <c r="B437" i="1"/>
  <c r="B22" i="1" s="1"/>
  <c r="C437" i="1"/>
  <c r="C22" i="1" s="1"/>
  <c r="D437" i="1"/>
  <c r="D22" i="1" s="1"/>
  <c r="F437" i="1"/>
  <c r="F22" i="1" s="1"/>
  <c r="G437" i="1"/>
  <c r="G22" i="1" s="1"/>
  <c r="B473" i="1"/>
  <c r="B18" i="1" s="1"/>
  <c r="C473" i="1"/>
  <c r="C18" i="1" s="1"/>
  <c r="D473" i="1"/>
  <c r="D18" i="1" s="1"/>
  <c r="F473" i="1"/>
  <c r="F18" i="1" s="1"/>
  <c r="G473" i="1"/>
  <c r="G18" i="1" s="1"/>
  <c r="AB251" i="1" l="1"/>
  <c r="G177" i="17"/>
  <c r="W219" i="1"/>
  <c r="V214" i="1"/>
  <c r="CS259" i="1"/>
  <c r="R259" i="1" s="1"/>
  <c r="CS360" i="1"/>
  <c r="R360" i="1" s="1"/>
  <c r="CY360" i="1" s="1"/>
  <c r="X360" i="1" s="1"/>
  <c r="V333" i="1"/>
  <c r="W69" i="1"/>
  <c r="GX241" i="1"/>
  <c r="T241" i="1"/>
  <c r="V339" i="1"/>
  <c r="GX318" i="1"/>
  <c r="S241" i="1"/>
  <c r="V208" i="1"/>
  <c r="V323" i="1"/>
  <c r="W49" i="1"/>
  <c r="V319" i="1"/>
  <c r="W392" i="1"/>
  <c r="W170" i="1"/>
  <c r="V250" i="1"/>
  <c r="V216" i="1"/>
  <c r="W344" i="1"/>
  <c r="S123" i="1"/>
  <c r="V371" i="1"/>
  <c r="G150" i="17"/>
  <c r="H150" i="17" s="1"/>
  <c r="I150" i="17" s="1"/>
  <c r="W55" i="1"/>
  <c r="G165" i="17"/>
  <c r="S166" i="1"/>
  <c r="W165" i="1"/>
  <c r="GX166" i="1"/>
  <c r="T166" i="1"/>
  <c r="S165" i="1"/>
  <c r="W123" i="1"/>
  <c r="S370" i="1"/>
  <c r="V327" i="1"/>
  <c r="V363" i="1"/>
  <c r="V230" i="1"/>
  <c r="GX221" i="1"/>
  <c r="G137" i="17"/>
  <c r="H137" i="17" s="1"/>
  <c r="J137" i="17" s="1"/>
  <c r="S50" i="1"/>
  <c r="W402" i="1"/>
  <c r="GX201" i="1"/>
  <c r="W167" i="1"/>
  <c r="V373" i="1"/>
  <c r="V365" i="1"/>
  <c r="G52" i="17"/>
  <c r="H52" i="17" s="1"/>
  <c r="J52" i="17" s="1"/>
  <c r="G51" i="17"/>
  <c r="H51" i="17" s="1"/>
  <c r="J51" i="17" s="1"/>
  <c r="G104" i="17"/>
  <c r="H104" i="17" s="1"/>
  <c r="I104" i="17" s="1"/>
  <c r="G105" i="17"/>
  <c r="H105" i="17" s="1"/>
  <c r="J105" i="17" s="1"/>
  <c r="V388" i="1"/>
  <c r="S373" i="1"/>
  <c r="GX362" i="1"/>
  <c r="T362" i="1"/>
  <c r="GX247" i="1"/>
  <c r="G48" i="17"/>
  <c r="H48" i="17" s="1"/>
  <c r="I48" i="17" s="1"/>
  <c r="G46" i="17"/>
  <c r="H46" i="17" s="1"/>
  <c r="J46" i="17" s="1"/>
  <c r="G45" i="17"/>
  <c r="G102" i="17"/>
  <c r="H102" i="17" s="1"/>
  <c r="I102" i="17" s="1"/>
  <c r="G103" i="17"/>
  <c r="H103" i="17" s="1"/>
  <c r="J103" i="17" s="1"/>
  <c r="G98" i="17"/>
  <c r="H98" i="17" s="1"/>
  <c r="I98" i="17" s="1"/>
  <c r="G99" i="17"/>
  <c r="H99" i="17" s="1"/>
  <c r="J99" i="17" s="1"/>
  <c r="W350" i="1"/>
  <c r="G49" i="17"/>
  <c r="V321" i="1"/>
  <c r="V206" i="1"/>
  <c r="W373" i="1"/>
  <c r="W365" i="1"/>
  <c r="S362" i="1"/>
  <c r="S247" i="1"/>
  <c r="S225" i="1"/>
  <c r="G50" i="17"/>
  <c r="H50" i="17" s="1"/>
  <c r="J50" i="17" s="1"/>
  <c r="V347" i="1"/>
  <c r="V248" i="1"/>
  <c r="G44" i="17"/>
  <c r="H44" i="17" s="1"/>
  <c r="I44" i="17" s="1"/>
  <c r="W363" i="1"/>
  <c r="GX185" i="1"/>
  <c r="GX356" i="1"/>
  <c r="T201" i="1"/>
  <c r="S200" i="1"/>
  <c r="W135" i="1"/>
  <c r="S358" i="1"/>
  <c r="GX350" i="1"/>
  <c r="GX249" i="1"/>
  <c r="T249" i="1"/>
  <c r="S248" i="1"/>
  <c r="T247" i="1"/>
  <c r="S174" i="1"/>
  <c r="T128" i="1"/>
  <c r="GX403" i="1"/>
  <c r="W359" i="1"/>
  <c r="S356" i="1"/>
  <c r="S213" i="1"/>
  <c r="GX344" i="1"/>
  <c r="W343" i="1"/>
  <c r="W264" i="1"/>
  <c r="W250" i="1"/>
  <c r="S249" i="1"/>
  <c r="W248" i="1"/>
  <c r="W127" i="1"/>
  <c r="R403" i="1"/>
  <c r="S364" i="1"/>
  <c r="S135" i="1"/>
  <c r="J151" i="17"/>
  <c r="E651" i="8"/>
  <c r="T52" i="13"/>
  <c r="GX334" i="1"/>
  <c r="T334" i="1"/>
  <c r="S333" i="1"/>
  <c r="GX332" i="1"/>
  <c r="T332" i="1"/>
  <c r="O57" i="13"/>
  <c r="E57" i="13" s="1"/>
  <c r="G57" i="13" s="1"/>
  <c r="O42" i="13"/>
  <c r="E42" i="13" s="1"/>
  <c r="G42" i="13" s="1"/>
  <c r="GX154" i="1"/>
  <c r="GX152" i="1"/>
  <c r="GX136" i="1"/>
  <c r="GX132" i="1"/>
  <c r="S131" i="1"/>
  <c r="GX130" i="1"/>
  <c r="S128" i="1"/>
  <c r="DG483" i="3"/>
  <c r="G101" i="17"/>
  <c r="G100" i="17"/>
  <c r="T403" i="1"/>
  <c r="GX393" i="1"/>
  <c r="W378" i="1"/>
  <c r="S377" i="1"/>
  <c r="S359" i="1"/>
  <c r="GX358" i="1"/>
  <c r="T358" i="1"/>
  <c r="W345" i="1"/>
  <c r="S338" i="1"/>
  <c r="S336" i="1"/>
  <c r="S322" i="1"/>
  <c r="S255" i="1"/>
  <c r="S253" i="1"/>
  <c r="S245" i="1"/>
  <c r="W244" i="1"/>
  <c r="GX81" i="1"/>
  <c r="S80" i="1"/>
  <c r="S61" i="1"/>
  <c r="GX53" i="1"/>
  <c r="S51" i="1"/>
  <c r="W50" i="1"/>
  <c r="G152" i="17"/>
  <c r="H152" i="17" s="1"/>
  <c r="J152" i="17" s="1"/>
  <c r="GX370" i="1"/>
  <c r="T356" i="1"/>
  <c r="W319" i="1"/>
  <c r="GX277" i="1"/>
  <c r="GX231" i="1"/>
  <c r="T231" i="1"/>
  <c r="GX229" i="1"/>
  <c r="GX225" i="1"/>
  <c r="W208" i="1"/>
  <c r="GX199" i="1"/>
  <c r="S154" i="1"/>
  <c r="W153" i="1"/>
  <c r="S152" i="1"/>
  <c r="S136" i="1"/>
  <c r="W129" i="1"/>
  <c r="G138" i="17"/>
  <c r="H138" i="17" s="1"/>
  <c r="J138" i="17" s="1"/>
  <c r="S81" i="1"/>
  <c r="W80" i="1"/>
  <c r="W68" i="1"/>
  <c r="W58" i="1"/>
  <c r="W54" i="1"/>
  <c r="V378" i="1"/>
  <c r="GX73" i="1"/>
  <c r="GX71" i="1"/>
  <c r="T71" i="1"/>
  <c r="G149" i="17"/>
  <c r="H149" i="17" s="1"/>
  <c r="J149" i="17" s="1"/>
  <c r="G148" i="17"/>
  <c r="H148" i="17" s="1"/>
  <c r="J148" i="17" s="1"/>
  <c r="G154" i="17"/>
  <c r="G155" i="17"/>
  <c r="T377" i="1"/>
  <c r="E653" i="8"/>
  <c r="P27" i="13"/>
  <c r="O27" i="13" s="1"/>
  <c r="E27" i="13" s="1"/>
  <c r="G27" i="13" s="1"/>
  <c r="GX336" i="1"/>
  <c r="GX320" i="1"/>
  <c r="GX255" i="1"/>
  <c r="T255" i="1"/>
  <c r="GX253" i="1"/>
  <c r="GX245" i="1"/>
  <c r="GX215" i="1"/>
  <c r="GX151" i="1"/>
  <c r="GX140" i="1"/>
  <c r="CV399" i="1"/>
  <c r="U399" i="1" s="1"/>
  <c r="I740" i="8" s="1"/>
  <c r="T400" i="1"/>
  <c r="E730" i="8"/>
  <c r="R59" i="13"/>
  <c r="O59" i="13" s="1"/>
  <c r="E59" i="13" s="1"/>
  <c r="G59" i="13" s="1"/>
  <c r="E728" i="8"/>
  <c r="P23" i="13"/>
  <c r="O23" i="13" s="1"/>
  <c r="E23" i="13" s="1"/>
  <c r="G23" i="13" s="1"/>
  <c r="T389" i="1"/>
  <c r="T387" i="1"/>
  <c r="G174" i="17"/>
  <c r="G169" i="17"/>
  <c r="G170" i="17"/>
  <c r="G173" i="17"/>
  <c r="G171" i="17"/>
  <c r="G172" i="17"/>
  <c r="E720" i="8"/>
  <c r="V52" i="13"/>
  <c r="GX397" i="1"/>
  <c r="T397" i="1"/>
  <c r="S389" i="1"/>
  <c r="DG500" i="3"/>
  <c r="AO29" i="15"/>
  <c r="E726" i="8"/>
  <c r="Q62" i="13"/>
  <c r="O62" i="13" s="1"/>
  <c r="E62" i="13" s="1"/>
  <c r="G62" i="13" s="1"/>
  <c r="E724" i="8"/>
  <c r="R55" i="13"/>
  <c r="O55" i="13" s="1"/>
  <c r="E55" i="13" s="1"/>
  <c r="G55" i="13" s="1"/>
  <c r="W388" i="1"/>
  <c r="S387" i="1"/>
  <c r="R397" i="1"/>
  <c r="E722" i="8"/>
  <c r="P56" i="13"/>
  <c r="O56" i="13" s="1"/>
  <c r="E56" i="13" s="1"/>
  <c r="G56" i="13" s="1"/>
  <c r="J167" i="17"/>
  <c r="S372" i="1"/>
  <c r="W371" i="1"/>
  <c r="DF467" i="3"/>
  <c r="AG50" i="15"/>
  <c r="E680" i="8"/>
  <c r="P69" i="13"/>
  <c r="O69" i="13" s="1"/>
  <c r="E69" i="13" s="1"/>
  <c r="G69" i="13" s="1"/>
  <c r="H161" i="17"/>
  <c r="J161" i="17" s="1"/>
  <c r="E682" i="8"/>
  <c r="P58" i="13"/>
  <c r="O58" i="13" s="1"/>
  <c r="E58" i="13" s="1"/>
  <c r="G58" i="13" s="1"/>
  <c r="T372" i="1"/>
  <c r="DG466" i="3"/>
  <c r="P43" i="15"/>
  <c r="O43" i="15" s="1"/>
  <c r="E43" i="15" s="1"/>
  <c r="G43" i="15" s="1"/>
  <c r="H162" i="17"/>
  <c r="I162" i="17" s="1"/>
  <c r="GX364" i="1"/>
  <c r="T364" i="1"/>
  <c r="E669" i="8"/>
  <c r="P26" i="13"/>
  <c r="O26" i="13" s="1"/>
  <c r="E26" i="13" s="1"/>
  <c r="G26" i="13" s="1"/>
  <c r="S366" i="1"/>
  <c r="DF450" i="3"/>
  <c r="AM29" i="15"/>
  <c r="G157" i="17"/>
  <c r="G158" i="17"/>
  <c r="G159" i="17"/>
  <c r="E667" i="8"/>
  <c r="P21" i="13"/>
  <c r="O21" i="13" s="1"/>
  <c r="E21" i="13" s="1"/>
  <c r="G21" i="13" s="1"/>
  <c r="DG449" i="3"/>
  <c r="S20" i="15"/>
  <c r="GX366" i="1"/>
  <c r="T366" i="1"/>
  <c r="E665" i="8"/>
  <c r="U52" i="13"/>
  <c r="E634" i="8"/>
  <c r="V20" i="13"/>
  <c r="E636" i="8"/>
  <c r="P68" i="13"/>
  <c r="O68" i="13" s="1"/>
  <c r="E68" i="13" s="1"/>
  <c r="G68" i="13" s="1"/>
  <c r="DG418" i="3"/>
  <c r="AK29" i="15"/>
  <c r="E632" i="8"/>
  <c r="P36" i="13"/>
  <c r="O36" i="13" s="1"/>
  <c r="E36" i="13" s="1"/>
  <c r="G36" i="13" s="1"/>
  <c r="GX348" i="1"/>
  <c r="T348" i="1"/>
  <c r="GX346" i="1"/>
  <c r="V349" i="1"/>
  <c r="S351" i="1"/>
  <c r="E628" i="8"/>
  <c r="V33" i="13"/>
  <c r="W349" i="1"/>
  <c r="S348" i="1"/>
  <c r="W351" i="1"/>
  <c r="E630" i="8"/>
  <c r="P35" i="13"/>
  <c r="O35" i="13" s="1"/>
  <c r="E35" i="13" s="1"/>
  <c r="G35" i="13" s="1"/>
  <c r="S343" i="1"/>
  <c r="GX342" i="1"/>
  <c r="E612" i="8"/>
  <c r="Q53" i="13"/>
  <c r="E610" i="8"/>
  <c r="P50" i="13"/>
  <c r="O50" i="13" s="1"/>
  <c r="E50" i="13" s="1"/>
  <c r="G50" i="13" s="1"/>
  <c r="GX338" i="1"/>
  <c r="T338" i="1"/>
  <c r="DG399" i="3"/>
  <c r="U28" i="15"/>
  <c r="W335" i="1"/>
  <c r="S334" i="1"/>
  <c r="W333" i="1"/>
  <c r="S332" i="1"/>
  <c r="G143" i="17"/>
  <c r="G144" i="17"/>
  <c r="G145" i="17"/>
  <c r="G146" i="17"/>
  <c r="DF400" i="3"/>
  <c r="AJ29" i="15"/>
  <c r="E616" i="8"/>
  <c r="Q29" i="13"/>
  <c r="E614" i="8"/>
  <c r="P54" i="13"/>
  <c r="O54" i="13" s="1"/>
  <c r="E54" i="13" s="1"/>
  <c r="G54" i="13" s="1"/>
  <c r="DF402" i="3"/>
  <c r="U36" i="15"/>
  <c r="E598" i="8"/>
  <c r="P53" i="13"/>
  <c r="E596" i="8"/>
  <c r="P29" i="13"/>
  <c r="DF388" i="3"/>
  <c r="T36" i="15"/>
  <c r="GX328" i="1"/>
  <c r="GX326" i="1"/>
  <c r="DF386" i="3"/>
  <c r="AI29" i="15"/>
  <c r="H140" i="17"/>
  <c r="J140" i="17" s="1"/>
  <c r="W329" i="1"/>
  <c r="W327" i="1"/>
  <c r="S326" i="1"/>
  <c r="H141" i="17"/>
  <c r="I141" i="17" s="1"/>
  <c r="W321" i="1"/>
  <c r="S320" i="1"/>
  <c r="E584" i="8"/>
  <c r="R24" i="13"/>
  <c r="E582" i="8"/>
  <c r="R22" i="13"/>
  <c r="DF369" i="3"/>
  <c r="X51" i="15"/>
  <c r="E580" i="8"/>
  <c r="P65" i="13"/>
  <c r="O65" i="13" s="1"/>
  <c r="E65" i="13" s="1"/>
  <c r="G65" i="13" s="1"/>
  <c r="I136" i="17"/>
  <c r="GX322" i="1"/>
  <c r="S321" i="1"/>
  <c r="T320" i="1"/>
  <c r="DF371" i="3"/>
  <c r="S41" i="15"/>
  <c r="W268" i="1"/>
  <c r="FI20" i="7"/>
  <c r="GX267" i="1"/>
  <c r="V268" i="1"/>
  <c r="S277" i="1"/>
  <c r="S275" i="1"/>
  <c r="S52" i="13"/>
  <c r="DG322" i="3"/>
  <c r="AF29" i="15"/>
  <c r="G125" i="17"/>
  <c r="G126" i="17"/>
  <c r="O31" i="13"/>
  <c r="E31" i="13" s="1"/>
  <c r="G31" i="13" s="1"/>
  <c r="DG324" i="3"/>
  <c r="T37" i="15"/>
  <c r="DG307" i="3"/>
  <c r="DJ307" i="3" s="1"/>
  <c r="V51" i="15"/>
  <c r="GX257" i="1"/>
  <c r="DF306" i="3"/>
  <c r="AE29" i="15"/>
  <c r="G121" i="17"/>
  <c r="G122" i="17"/>
  <c r="G123" i="17"/>
  <c r="DG309" i="3"/>
  <c r="Y50" i="15"/>
  <c r="DG286" i="3"/>
  <c r="AD29" i="15"/>
  <c r="G119" i="17"/>
  <c r="G115" i="17"/>
  <c r="G118" i="17"/>
  <c r="G116" i="17"/>
  <c r="G117" i="17"/>
  <c r="DF287" i="3"/>
  <c r="Q35" i="15"/>
  <c r="O35" i="15" s="1"/>
  <c r="E35" i="15" s="1"/>
  <c r="G35" i="15" s="1"/>
  <c r="GX237" i="1"/>
  <c r="H110" i="17"/>
  <c r="J110" i="17" s="1"/>
  <c r="GX235" i="1"/>
  <c r="GX233" i="1"/>
  <c r="T233" i="1"/>
  <c r="DF268" i="3"/>
  <c r="P47" i="15"/>
  <c r="H109" i="17"/>
  <c r="I109" i="17" s="1"/>
  <c r="V236" i="1"/>
  <c r="W238" i="1"/>
  <c r="H113" i="17"/>
  <c r="I113" i="17" s="1"/>
  <c r="W236" i="1"/>
  <c r="S235" i="1"/>
  <c r="S233" i="1"/>
  <c r="H112" i="17"/>
  <c r="J112" i="17" s="1"/>
  <c r="DF266" i="3"/>
  <c r="AC29" i="15"/>
  <c r="S231" i="1"/>
  <c r="W230" i="1"/>
  <c r="H111" i="17"/>
  <c r="J111" i="17" s="1"/>
  <c r="I107" i="17"/>
  <c r="GX219" i="1"/>
  <c r="W218" i="1"/>
  <c r="GX213" i="1"/>
  <c r="GX207" i="1"/>
  <c r="GX211" i="1"/>
  <c r="GX209" i="1"/>
  <c r="GX205" i="1"/>
  <c r="DF233" i="3"/>
  <c r="R33" i="15"/>
  <c r="H97" i="17"/>
  <c r="I97" i="17" s="1"/>
  <c r="T20" i="13"/>
  <c r="T61" i="13"/>
  <c r="O61" i="13" s="1"/>
  <c r="E61" i="13" s="1"/>
  <c r="G61" i="13" s="1"/>
  <c r="P44" i="13"/>
  <c r="O44" i="13" s="1"/>
  <c r="E44" i="13" s="1"/>
  <c r="G44" i="13" s="1"/>
  <c r="DG208" i="3"/>
  <c r="T45" i="15"/>
  <c r="G93" i="17"/>
  <c r="G87" i="17"/>
  <c r="G90" i="17"/>
  <c r="G94" i="17"/>
  <c r="G88" i="17"/>
  <c r="G95" i="17"/>
  <c r="G89" i="17"/>
  <c r="G91" i="17"/>
  <c r="G92" i="17"/>
  <c r="W202" i="1"/>
  <c r="S201" i="1"/>
  <c r="W200" i="1"/>
  <c r="T33" i="13"/>
  <c r="H84" i="17"/>
  <c r="J84" i="17" s="1"/>
  <c r="W175" i="1"/>
  <c r="W173" i="1"/>
  <c r="H77" i="17"/>
  <c r="I77" i="17" s="1"/>
  <c r="H80" i="17"/>
  <c r="I80" i="17" s="1"/>
  <c r="GX182" i="1"/>
  <c r="T182" i="1"/>
  <c r="H82" i="17"/>
  <c r="J82" i="17" s="1"/>
  <c r="H78" i="17"/>
  <c r="J78" i="17" s="1"/>
  <c r="O39" i="13"/>
  <c r="E39" i="13" s="1"/>
  <c r="G39" i="13" s="1"/>
  <c r="DG180" i="3"/>
  <c r="Z29" i="15"/>
  <c r="H83" i="17"/>
  <c r="I83" i="17" s="1"/>
  <c r="H79" i="17"/>
  <c r="I79" i="17" s="1"/>
  <c r="S182" i="1"/>
  <c r="W181" i="1"/>
  <c r="GX174" i="1"/>
  <c r="H81" i="17"/>
  <c r="I81" i="17" s="1"/>
  <c r="H85" i="17"/>
  <c r="J85" i="17" s="1"/>
  <c r="R66" i="13"/>
  <c r="R51" i="13"/>
  <c r="T162" i="1"/>
  <c r="W149" i="1"/>
  <c r="S162" i="1"/>
  <c r="R67" i="13"/>
  <c r="G71" i="17"/>
  <c r="G72" i="17"/>
  <c r="G73" i="17"/>
  <c r="G67" i="17"/>
  <c r="G74" i="17"/>
  <c r="G68" i="17"/>
  <c r="G75" i="17"/>
  <c r="G69" i="17"/>
  <c r="G70" i="17"/>
  <c r="G64" i="17"/>
  <c r="G65" i="17"/>
  <c r="GX142" i="1"/>
  <c r="O30" i="13"/>
  <c r="E30" i="13" s="1"/>
  <c r="G30" i="13" s="1"/>
  <c r="H62" i="17"/>
  <c r="I62" i="17" s="1"/>
  <c r="DG128" i="3"/>
  <c r="W29" i="15"/>
  <c r="DF112" i="3"/>
  <c r="R37" i="15"/>
  <c r="G59" i="17"/>
  <c r="G60" i="17"/>
  <c r="G58" i="17"/>
  <c r="W131" i="1"/>
  <c r="S130" i="1"/>
  <c r="DF114" i="3"/>
  <c r="T50" i="15"/>
  <c r="Q24" i="13"/>
  <c r="H56" i="17"/>
  <c r="I56" i="17" s="1"/>
  <c r="H55" i="17"/>
  <c r="J55" i="17" s="1"/>
  <c r="Q67" i="13"/>
  <c r="GX65" i="1"/>
  <c r="H45" i="17"/>
  <c r="J45" i="17" s="1"/>
  <c r="DF70" i="3"/>
  <c r="Q45" i="15"/>
  <c r="O45" i="13"/>
  <c r="E45" i="13" s="1"/>
  <c r="G45" i="13" s="1"/>
  <c r="DF68" i="3"/>
  <c r="T29" i="15"/>
  <c r="H49" i="17"/>
  <c r="I49" i="17" s="1"/>
  <c r="W66" i="1"/>
  <c r="W64" i="1"/>
  <c r="O38" i="13"/>
  <c r="E38" i="13" s="1"/>
  <c r="G38" i="13" s="1"/>
  <c r="I47" i="17"/>
  <c r="Q51" i="13"/>
  <c r="S71" i="1"/>
  <c r="P37" i="13"/>
  <c r="O37" i="13" s="1"/>
  <c r="E37" i="13" s="1"/>
  <c r="G37" i="13" s="1"/>
  <c r="P66" i="13"/>
  <c r="DG43" i="3"/>
  <c r="DJ43" i="3" s="1"/>
  <c r="Q51" i="15"/>
  <c r="S46" i="1"/>
  <c r="G39" i="17"/>
  <c r="G40" i="17"/>
  <c r="G34" i="17"/>
  <c r="G41" i="17"/>
  <c r="G35" i="17"/>
  <c r="G42" i="17"/>
  <c r="G36" i="17"/>
  <c r="G38" i="17"/>
  <c r="G37" i="17"/>
  <c r="GX61" i="1"/>
  <c r="T61" i="1"/>
  <c r="T51" i="1"/>
  <c r="W56" i="1"/>
  <c r="W46" i="1"/>
  <c r="DF41" i="3"/>
  <c r="P22" i="15"/>
  <c r="H32" i="17"/>
  <c r="I32" i="17" s="1"/>
  <c r="GX41" i="1"/>
  <c r="DG30" i="3"/>
  <c r="R29" i="15"/>
  <c r="S41" i="1"/>
  <c r="DG32" i="3"/>
  <c r="Q36" i="15"/>
  <c r="H30" i="17"/>
  <c r="I30" i="17" s="1"/>
  <c r="P28" i="13"/>
  <c r="O28" i="13" s="1"/>
  <c r="E28" i="13" s="1"/>
  <c r="G28" i="13" s="1"/>
  <c r="P24" i="13"/>
  <c r="DG3" i="3"/>
  <c r="DJ3" i="3" s="1"/>
  <c r="P51" i="15"/>
  <c r="G27" i="17"/>
  <c r="G28" i="17"/>
  <c r="DF1" i="3"/>
  <c r="P19" i="15"/>
  <c r="DG5" i="3"/>
  <c r="P41" i="15"/>
  <c r="AB227" i="1"/>
  <c r="AB203" i="1"/>
  <c r="DF532" i="3"/>
  <c r="S44" i="15"/>
  <c r="DF523" i="3"/>
  <c r="U47" i="15"/>
  <c r="H177" i="17"/>
  <c r="I177" i="17" s="1"/>
  <c r="I176" i="17"/>
  <c r="E743" i="8"/>
  <c r="Q19" i="13"/>
  <c r="O19" i="13" s="1"/>
  <c r="E19" i="13" s="1"/>
  <c r="G19" i="13" s="1"/>
  <c r="E741" i="8"/>
  <c r="Q60" i="13"/>
  <c r="O60" i="13" s="1"/>
  <c r="E60" i="13" s="1"/>
  <c r="G60" i="13" s="1"/>
  <c r="E708" i="8"/>
  <c r="P47" i="13"/>
  <c r="O47" i="13" s="1"/>
  <c r="E47" i="13" s="1"/>
  <c r="G47" i="13" s="1"/>
  <c r="GX383" i="1"/>
  <c r="T383" i="1"/>
  <c r="S383" i="1"/>
  <c r="DF493" i="3"/>
  <c r="AI50" i="15"/>
  <c r="S379" i="1"/>
  <c r="DF476" i="3"/>
  <c r="AN29" i="15"/>
  <c r="E697" i="8"/>
  <c r="Q70" i="13"/>
  <c r="O70" i="13" s="1"/>
  <c r="E70" i="13" s="1"/>
  <c r="G70" i="13" s="1"/>
  <c r="E695" i="8"/>
  <c r="Q64" i="13"/>
  <c r="O64" i="13" s="1"/>
  <c r="E64" i="13" s="1"/>
  <c r="G64" i="13" s="1"/>
  <c r="DF480" i="3"/>
  <c r="AH50" i="15"/>
  <c r="GX379" i="1"/>
  <c r="T379" i="1"/>
  <c r="I164" i="17"/>
  <c r="DF478" i="3"/>
  <c r="Q39" i="15"/>
  <c r="H165" i="17"/>
  <c r="J165" i="17" s="1"/>
  <c r="DG361" i="3"/>
  <c r="Q21" i="15"/>
  <c r="DG363" i="3"/>
  <c r="S47" i="15"/>
  <c r="DG352" i="3"/>
  <c r="P44" i="15"/>
  <c r="G131" i="17"/>
  <c r="G132" i="17"/>
  <c r="GX275" i="1"/>
  <c r="G128" i="17"/>
  <c r="G129" i="17"/>
  <c r="S269" i="1"/>
  <c r="DF340" i="3"/>
  <c r="AA50" i="15"/>
  <c r="DG336" i="3"/>
  <c r="AG29" i="15"/>
  <c r="DF338" i="3"/>
  <c r="P39" i="15"/>
  <c r="AD354" i="1"/>
  <c r="AB354" i="1" s="1"/>
  <c r="CS251" i="1"/>
  <c r="R251" i="1" s="1"/>
  <c r="CY251" i="1" s="1"/>
  <c r="X251" i="1" s="1"/>
  <c r="AB360" i="1"/>
  <c r="O85" i="15"/>
  <c r="E85" i="15" s="1"/>
  <c r="G85" i="15" s="1"/>
  <c r="GX400" i="1"/>
  <c r="Q107" i="15"/>
  <c r="O107" i="15" s="1"/>
  <c r="E107" i="15" s="1"/>
  <c r="G107" i="15" s="1"/>
  <c r="GX394" i="1"/>
  <c r="P91" i="15"/>
  <c r="O91" i="15" s="1"/>
  <c r="E91" i="15" s="1"/>
  <c r="G91" i="15" s="1"/>
  <c r="O82" i="15"/>
  <c r="E82" i="15" s="1"/>
  <c r="G82" i="15" s="1"/>
  <c r="O109" i="15"/>
  <c r="E109" i="15" s="1"/>
  <c r="G109" i="15" s="1"/>
  <c r="O108" i="15"/>
  <c r="E108" i="15" s="1"/>
  <c r="G108" i="15" s="1"/>
  <c r="O86" i="15"/>
  <c r="E86" i="15" s="1"/>
  <c r="G86" i="15" s="1"/>
  <c r="O103" i="15"/>
  <c r="E103" i="15" s="1"/>
  <c r="G103" i="15" s="1"/>
  <c r="S263" i="1"/>
  <c r="Q94" i="15"/>
  <c r="O94" i="15" s="1"/>
  <c r="E94" i="15" s="1"/>
  <c r="G94" i="15" s="1"/>
  <c r="U261" i="1"/>
  <c r="S102" i="15"/>
  <c r="O102" i="15" s="1"/>
  <c r="E102" i="15" s="1"/>
  <c r="G102" i="15" s="1"/>
  <c r="O106" i="15"/>
  <c r="E106" i="15" s="1"/>
  <c r="G106" i="15" s="1"/>
  <c r="O79" i="15"/>
  <c r="E79" i="15" s="1"/>
  <c r="G79" i="15" s="1"/>
  <c r="O81" i="15"/>
  <c r="E81" i="15" s="1"/>
  <c r="G81" i="15" s="1"/>
  <c r="GX217" i="1"/>
  <c r="U64" i="15"/>
  <c r="T197" i="1"/>
  <c r="T64" i="15"/>
  <c r="T193" i="1"/>
  <c r="T84" i="15"/>
  <c r="O84" i="15" s="1"/>
  <c r="E84" i="15" s="1"/>
  <c r="G84" i="15" s="1"/>
  <c r="T191" i="1"/>
  <c r="T89" i="15"/>
  <c r="O89" i="15" s="1"/>
  <c r="E89" i="15" s="1"/>
  <c r="G89" i="15" s="1"/>
  <c r="T189" i="1"/>
  <c r="P74" i="15"/>
  <c r="O74" i="15" s="1"/>
  <c r="E74" i="15" s="1"/>
  <c r="G74" i="15" s="1"/>
  <c r="T185" i="1"/>
  <c r="T96" i="15"/>
  <c r="O96" i="15" s="1"/>
  <c r="E96" i="15" s="1"/>
  <c r="G96" i="15" s="1"/>
  <c r="O72" i="15"/>
  <c r="E72" i="15" s="1"/>
  <c r="G72" i="15" s="1"/>
  <c r="O68" i="15"/>
  <c r="E68" i="15" s="1"/>
  <c r="G68" i="15" s="1"/>
  <c r="O88" i="15"/>
  <c r="E88" i="15" s="1"/>
  <c r="G88" i="15" s="1"/>
  <c r="O77" i="15"/>
  <c r="E77" i="15" s="1"/>
  <c r="G77" i="15" s="1"/>
  <c r="O97" i="15"/>
  <c r="E97" i="15" s="1"/>
  <c r="G97" i="15" s="1"/>
  <c r="O65" i="15"/>
  <c r="E65" i="15" s="1"/>
  <c r="G65" i="15" s="1"/>
  <c r="O66" i="15"/>
  <c r="E66" i="15" s="1"/>
  <c r="G66" i="15" s="1"/>
  <c r="R48" i="1"/>
  <c r="P71" i="15"/>
  <c r="O71" i="15" s="1"/>
  <c r="E71" i="15" s="1"/>
  <c r="G71" i="15" s="1"/>
  <c r="T46" i="1"/>
  <c r="P67" i="15"/>
  <c r="O67" i="15" s="1"/>
  <c r="E67" i="15" s="1"/>
  <c r="G67" i="15" s="1"/>
  <c r="V36" i="1"/>
  <c r="P87" i="15"/>
  <c r="O87" i="15" s="1"/>
  <c r="E87" i="15" s="1"/>
  <c r="G87" i="15" s="1"/>
  <c r="T30" i="1"/>
  <c r="P58" i="15"/>
  <c r="O58" i="15" s="1"/>
  <c r="E58" i="15" s="1"/>
  <c r="G58" i="15" s="1"/>
  <c r="CV405" i="1"/>
  <c r="U405" i="1" s="1"/>
  <c r="S257" i="1"/>
  <c r="T245" i="1"/>
  <c r="U387" i="8"/>
  <c r="DM387" i="8" s="1"/>
  <c r="E379" i="8"/>
  <c r="E309" i="8"/>
  <c r="E253" i="8"/>
  <c r="V278" i="1"/>
  <c r="E313" i="8"/>
  <c r="S142" i="1"/>
  <c r="E241" i="8"/>
  <c r="E239" i="8"/>
  <c r="W60" i="1"/>
  <c r="E490" i="8"/>
  <c r="E431" i="8"/>
  <c r="E429" i="8"/>
  <c r="E423" i="8"/>
  <c r="E377" i="8"/>
  <c r="E375" i="8"/>
  <c r="E373" i="8"/>
  <c r="E371" i="8"/>
  <c r="E351" i="8"/>
  <c r="E349" i="8"/>
  <c r="GX196" i="1"/>
  <c r="GX188" i="1"/>
  <c r="E323" i="8"/>
  <c r="E319" i="8"/>
  <c r="E315" i="8"/>
  <c r="E311" i="8"/>
  <c r="E492" i="8"/>
  <c r="T257" i="1"/>
  <c r="E405" i="8"/>
  <c r="E403" i="8"/>
  <c r="W168" i="1"/>
  <c r="E267" i="8"/>
  <c r="E474" i="8"/>
  <c r="E461" i="8"/>
  <c r="E447" i="8"/>
  <c r="E427" i="8"/>
  <c r="E425" i="8"/>
  <c r="E411" i="8"/>
  <c r="E391" i="8"/>
  <c r="E369" i="8"/>
  <c r="E367" i="8"/>
  <c r="S198" i="1"/>
  <c r="E321" i="8"/>
  <c r="E307" i="8"/>
  <c r="E295" i="8"/>
  <c r="E281" i="8"/>
  <c r="E279" i="8"/>
  <c r="E237" i="8"/>
  <c r="E476" i="8"/>
  <c r="E445" i="8"/>
  <c r="E443" i="8"/>
  <c r="E409" i="8"/>
  <c r="E407" i="8"/>
  <c r="E365" i="8"/>
  <c r="E363" i="8"/>
  <c r="E317" i="8"/>
  <c r="E287" i="8"/>
  <c r="E285" i="8"/>
  <c r="E283" i="8"/>
  <c r="E265" i="8"/>
  <c r="E139" i="8"/>
  <c r="E125" i="8"/>
  <c r="E111" i="8"/>
  <c r="E103" i="8"/>
  <c r="E137" i="8"/>
  <c r="E131" i="8"/>
  <c r="E129" i="8"/>
  <c r="S45" i="1"/>
  <c r="E127" i="8"/>
  <c r="E123" i="8"/>
  <c r="E105" i="8"/>
  <c r="E101" i="8"/>
  <c r="S31" i="1"/>
  <c r="E107" i="8"/>
  <c r="Q49" i="1"/>
  <c r="E83" i="8"/>
  <c r="V386" i="1"/>
  <c r="V270" i="1"/>
  <c r="V382" i="1"/>
  <c r="V367" i="1"/>
  <c r="CT405" i="1"/>
  <c r="S405" i="1" s="1"/>
  <c r="CZ405" i="1" s="1"/>
  <c r="Y405" i="1" s="1"/>
  <c r="H749" i="8"/>
  <c r="H751" i="8"/>
  <c r="T749" i="8"/>
  <c r="T752" i="8"/>
  <c r="H752" i="8"/>
  <c r="T751" i="8"/>
  <c r="T388" i="1"/>
  <c r="T393" i="1"/>
  <c r="T750" i="8"/>
  <c r="H750" i="8"/>
  <c r="R393" i="1"/>
  <c r="W382" i="1"/>
  <c r="W367" i="1"/>
  <c r="DF534" i="3"/>
  <c r="DG532" i="3"/>
  <c r="S378" i="1"/>
  <c r="T130" i="1"/>
  <c r="W403" i="1"/>
  <c r="W78" i="1"/>
  <c r="W401" i="1"/>
  <c r="W232" i="1"/>
  <c r="T225" i="1"/>
  <c r="S328" i="1"/>
  <c r="S386" i="1"/>
  <c r="T328" i="1"/>
  <c r="V403" i="1"/>
  <c r="S401" i="1"/>
  <c r="GX388" i="1"/>
  <c r="R388" i="1"/>
  <c r="W386" i="1"/>
  <c r="T336" i="1"/>
  <c r="U403" i="1"/>
  <c r="GX401" i="1"/>
  <c r="GX391" i="1"/>
  <c r="P388" i="1"/>
  <c r="V400" i="1"/>
  <c r="U400" i="1"/>
  <c r="GX402" i="1"/>
  <c r="DF524" i="3"/>
  <c r="DJ524" i="3" s="1"/>
  <c r="CT399" i="1"/>
  <c r="S399" i="1" s="1"/>
  <c r="CZ399" i="1" s="1"/>
  <c r="Y399" i="1" s="1"/>
  <c r="H738" i="8"/>
  <c r="T736" i="8"/>
  <c r="H736" i="8"/>
  <c r="T739" i="8"/>
  <c r="H739" i="8"/>
  <c r="T738" i="8"/>
  <c r="U393" i="1"/>
  <c r="CQ400" i="1"/>
  <c r="P400" i="1" s="1"/>
  <c r="T741" i="8"/>
  <c r="H741" i="8"/>
  <c r="T737" i="8"/>
  <c r="H737" i="8"/>
  <c r="AB402" i="1"/>
  <c r="T743" i="8"/>
  <c r="H743" i="8"/>
  <c r="W400" i="1"/>
  <c r="T401" i="1"/>
  <c r="V401" i="1"/>
  <c r="U401" i="1"/>
  <c r="P401" i="1"/>
  <c r="P403" i="1"/>
  <c r="S403" i="1"/>
  <c r="R401" i="1"/>
  <c r="DF526" i="3"/>
  <c r="Q401" i="1"/>
  <c r="V402" i="1"/>
  <c r="S400" i="1"/>
  <c r="S402" i="1"/>
  <c r="U402" i="1"/>
  <c r="Q402" i="1"/>
  <c r="R402" i="1"/>
  <c r="T402" i="1"/>
  <c r="DG523" i="3"/>
  <c r="T142" i="1"/>
  <c r="W121" i="1"/>
  <c r="W389" i="1"/>
  <c r="V389" i="1"/>
  <c r="Q389" i="1"/>
  <c r="GX386" i="1"/>
  <c r="S342" i="1"/>
  <c r="S32" i="1"/>
  <c r="T342" i="1"/>
  <c r="T253" i="1"/>
  <c r="GX172" i="1"/>
  <c r="T136" i="1"/>
  <c r="W32" i="1"/>
  <c r="R386" i="1"/>
  <c r="U386" i="1"/>
  <c r="GX395" i="1"/>
  <c r="AB396" i="1"/>
  <c r="T730" i="8"/>
  <c r="H730" i="8"/>
  <c r="H724" i="8"/>
  <c r="T724" i="8"/>
  <c r="CT385" i="1"/>
  <c r="S385" i="1" s="1"/>
  <c r="H717" i="8"/>
  <c r="H714" i="8"/>
  <c r="T714" i="8"/>
  <c r="T718" i="8"/>
  <c r="H718" i="8"/>
  <c r="T717" i="8"/>
  <c r="W394" i="1"/>
  <c r="S394" i="1"/>
  <c r="T722" i="8"/>
  <c r="H722" i="8"/>
  <c r="Q386" i="1"/>
  <c r="AD385" i="1"/>
  <c r="CR385" i="1" s="1"/>
  <c r="Q385" i="1" s="1"/>
  <c r="GM716" i="8"/>
  <c r="H716" i="8"/>
  <c r="V396" i="1"/>
  <c r="V394" i="1"/>
  <c r="W393" i="1"/>
  <c r="S393" i="1"/>
  <c r="CY393" i="1" s="1"/>
  <c r="X393" i="1" s="1"/>
  <c r="GX392" i="1"/>
  <c r="AB392" i="1"/>
  <c r="T726" i="8"/>
  <c r="H726" i="8"/>
  <c r="T720" i="8"/>
  <c r="H720" i="8"/>
  <c r="CV385" i="1"/>
  <c r="U385" i="1" s="1"/>
  <c r="H719" i="8"/>
  <c r="S396" i="1"/>
  <c r="U396" i="1"/>
  <c r="U394" i="1"/>
  <c r="CQ394" i="1"/>
  <c r="P394" i="1" s="1"/>
  <c r="T728" i="8"/>
  <c r="H728" i="8"/>
  <c r="V393" i="1"/>
  <c r="AB390" i="1"/>
  <c r="P390" i="1"/>
  <c r="AB388" i="1"/>
  <c r="GX396" i="1"/>
  <c r="R396" i="1"/>
  <c r="T396" i="1"/>
  <c r="T394" i="1"/>
  <c r="GX390" i="1"/>
  <c r="R390" i="1"/>
  <c r="V390" i="1"/>
  <c r="U389" i="1"/>
  <c r="P386" i="1"/>
  <c r="V397" i="1"/>
  <c r="S395" i="1"/>
  <c r="U395" i="1"/>
  <c r="P393" i="1"/>
  <c r="U397" i="1"/>
  <c r="P397" i="1"/>
  <c r="P395" i="1"/>
  <c r="Q396" i="1"/>
  <c r="T391" i="1"/>
  <c r="V391" i="1"/>
  <c r="R391" i="1"/>
  <c r="DF520" i="3"/>
  <c r="DJ520" i="3" s="1"/>
  <c r="DF516" i="3"/>
  <c r="DJ516" i="3" s="1"/>
  <c r="DF511" i="3"/>
  <c r="W397" i="1"/>
  <c r="S397" i="1"/>
  <c r="T395" i="1"/>
  <c r="V395" i="1"/>
  <c r="R395" i="1"/>
  <c r="S391" i="1"/>
  <c r="U391" i="1"/>
  <c r="Q391" i="1"/>
  <c r="P389" i="1"/>
  <c r="W387" i="1"/>
  <c r="V387" i="1"/>
  <c r="R387" i="1"/>
  <c r="Q395" i="1"/>
  <c r="P391" i="1"/>
  <c r="U387" i="1"/>
  <c r="V392" i="1"/>
  <c r="Q390" i="1"/>
  <c r="S392" i="1"/>
  <c r="U392" i="1"/>
  <c r="Q392" i="1"/>
  <c r="U390" i="1"/>
  <c r="R392" i="1"/>
  <c r="T392" i="1"/>
  <c r="T390" i="1"/>
  <c r="W390" i="1"/>
  <c r="U388" i="1"/>
  <c r="Q388" i="1"/>
  <c r="T386" i="1"/>
  <c r="DF509" i="3"/>
  <c r="DJ509" i="3" s="1"/>
  <c r="DF505" i="3"/>
  <c r="DJ505" i="3" s="1"/>
  <c r="DF500" i="3"/>
  <c r="GX378" i="1"/>
  <c r="R378" i="1"/>
  <c r="U378" i="1"/>
  <c r="Q378" i="1"/>
  <c r="GX382" i="1"/>
  <c r="T708" i="8"/>
  <c r="H708" i="8"/>
  <c r="CV381" i="1"/>
  <c r="U381" i="1" s="1"/>
  <c r="H707" i="8"/>
  <c r="T382" i="1"/>
  <c r="CT381" i="1"/>
  <c r="S381" i="1" s="1"/>
  <c r="CY381" i="1" s="1"/>
  <c r="X381" i="1" s="1"/>
  <c r="H703" i="8"/>
  <c r="T705" i="8"/>
  <c r="T706" i="8"/>
  <c r="H706" i="8"/>
  <c r="H705" i="8"/>
  <c r="T703" i="8"/>
  <c r="R382" i="1"/>
  <c r="U382" i="1"/>
  <c r="AB382" i="1"/>
  <c r="U383" i="1"/>
  <c r="P383" i="1"/>
  <c r="W383" i="1"/>
  <c r="V383" i="1"/>
  <c r="Q383" i="1"/>
  <c r="DF498" i="3"/>
  <c r="DJ498" i="3" s="1"/>
  <c r="DG497" i="3"/>
  <c r="CP380" i="1"/>
  <c r="O380" i="1" s="1"/>
  <c r="DG493" i="3"/>
  <c r="Q382" i="1"/>
  <c r="P382" i="1"/>
  <c r="DF494" i="3"/>
  <c r="DJ494" i="3" s="1"/>
  <c r="T371" i="1"/>
  <c r="DF474" i="3"/>
  <c r="DJ474" i="3" s="1"/>
  <c r="W379" i="1"/>
  <c r="V379" i="1"/>
  <c r="CV375" i="1"/>
  <c r="U375" i="1" s="1"/>
  <c r="H694" i="8"/>
  <c r="H691" i="8"/>
  <c r="T691" i="8"/>
  <c r="T376" i="1"/>
  <c r="CQ376" i="1"/>
  <c r="P376" i="1" s="1"/>
  <c r="T695" i="8"/>
  <c r="H695" i="8"/>
  <c r="T697" i="8"/>
  <c r="H697" i="8"/>
  <c r="CT375" i="1"/>
  <c r="S375" i="1" s="1"/>
  <c r="H692" i="8"/>
  <c r="T688" i="8"/>
  <c r="H688" i="8"/>
  <c r="T693" i="8"/>
  <c r="H693" i="8"/>
  <c r="T692" i="8"/>
  <c r="DG475" i="3"/>
  <c r="U379" i="1"/>
  <c r="V376" i="1"/>
  <c r="CS375" i="1"/>
  <c r="R375" i="1" s="1"/>
  <c r="H690" i="8"/>
  <c r="GM690" i="8"/>
  <c r="AD375" i="1"/>
  <c r="AB375" i="1" s="1"/>
  <c r="P378" i="1"/>
  <c r="GX376" i="1"/>
  <c r="R376" i="1"/>
  <c r="W377" i="1"/>
  <c r="V377" i="1"/>
  <c r="Q377" i="1"/>
  <c r="U377" i="1"/>
  <c r="P377" i="1"/>
  <c r="U376" i="1"/>
  <c r="W376" i="1"/>
  <c r="DF490" i="3"/>
  <c r="R379" i="1"/>
  <c r="T378" i="1"/>
  <c r="S376" i="1"/>
  <c r="GX371" i="1"/>
  <c r="DF457" i="3"/>
  <c r="R371" i="1"/>
  <c r="U371" i="1"/>
  <c r="Q371" i="1"/>
  <c r="P371" i="1"/>
  <c r="U680" i="8" s="1"/>
  <c r="K680" i="8" s="1"/>
  <c r="U372" i="1"/>
  <c r="CQ372" i="1"/>
  <c r="P372" i="1" s="1"/>
  <c r="T682" i="8"/>
  <c r="H682" i="8"/>
  <c r="P363" i="1"/>
  <c r="U665" i="8" s="1"/>
  <c r="K665" i="8" s="1"/>
  <c r="T680" i="8"/>
  <c r="H680" i="8"/>
  <c r="CT369" i="1"/>
  <c r="S369" i="1" s="1"/>
  <c r="CZ369" i="1" s="1"/>
  <c r="Y369" i="1" s="1"/>
  <c r="H677" i="8"/>
  <c r="T675" i="8"/>
  <c r="H675" i="8"/>
  <c r="T677" i="8"/>
  <c r="T678" i="8"/>
  <c r="H678" i="8"/>
  <c r="T373" i="1"/>
  <c r="GX372" i="1"/>
  <c r="GX373" i="1"/>
  <c r="R373" i="1"/>
  <c r="CY373" i="1" s="1"/>
  <c r="X373" i="1" s="1"/>
  <c r="U373" i="1"/>
  <c r="W372" i="1"/>
  <c r="V372" i="1"/>
  <c r="CV369" i="1"/>
  <c r="U369" i="1" s="1"/>
  <c r="H679" i="8"/>
  <c r="H676" i="8"/>
  <c r="T676" i="8"/>
  <c r="AB369" i="1"/>
  <c r="T370" i="1"/>
  <c r="P373" i="1"/>
  <c r="DG467" i="3"/>
  <c r="Q372" i="1"/>
  <c r="W370" i="1"/>
  <c r="V370" i="1"/>
  <c r="R370" i="1"/>
  <c r="U370" i="1"/>
  <c r="DG465" i="3"/>
  <c r="W347" i="1"/>
  <c r="GX363" i="1"/>
  <c r="R363" i="1"/>
  <c r="GX54" i="1"/>
  <c r="W364" i="1"/>
  <c r="V364" i="1"/>
  <c r="S347" i="1"/>
  <c r="U364" i="1"/>
  <c r="U363" i="1"/>
  <c r="CQ366" i="1"/>
  <c r="P366" i="1" s="1"/>
  <c r="T669" i="8"/>
  <c r="H669" i="8"/>
  <c r="CT361" i="1"/>
  <c r="S361" i="1" s="1"/>
  <c r="H663" i="8"/>
  <c r="T662" i="8"/>
  <c r="T659" i="8"/>
  <c r="H662" i="8"/>
  <c r="H659" i="8"/>
  <c r="T663" i="8"/>
  <c r="T667" i="8"/>
  <c r="H667" i="8"/>
  <c r="AD361" i="1"/>
  <c r="CR361" i="1" s="1"/>
  <c r="Q361" i="1" s="1"/>
  <c r="H661" i="8"/>
  <c r="GM661" i="8"/>
  <c r="T363" i="1"/>
  <c r="CQ362" i="1"/>
  <c r="P362" i="1" s="1"/>
  <c r="T665" i="8"/>
  <c r="H665" i="8"/>
  <c r="CV361" i="1"/>
  <c r="U361" i="1" s="1"/>
  <c r="H664" i="8"/>
  <c r="Q363" i="1"/>
  <c r="W362" i="1"/>
  <c r="V362" i="1"/>
  <c r="Q362" i="1"/>
  <c r="GX365" i="1"/>
  <c r="U362" i="1"/>
  <c r="S365" i="1"/>
  <c r="P365" i="1"/>
  <c r="GX367" i="1"/>
  <c r="R367" i="1"/>
  <c r="U367" i="1"/>
  <c r="Q367" i="1"/>
  <c r="T365" i="1"/>
  <c r="DG459" i="3"/>
  <c r="DJ459" i="3" s="1"/>
  <c r="P367" i="1"/>
  <c r="R365" i="1"/>
  <c r="U365" i="1"/>
  <c r="Q365" i="1"/>
  <c r="DG460" i="3"/>
  <c r="T367" i="1"/>
  <c r="W366" i="1"/>
  <c r="V366" i="1"/>
  <c r="Q366" i="1"/>
  <c r="DF453" i="3"/>
  <c r="U366" i="1"/>
  <c r="R364" i="1"/>
  <c r="W358" i="1"/>
  <c r="S350" i="1"/>
  <c r="GX345" i="1"/>
  <c r="R345" i="1"/>
  <c r="U345" i="1"/>
  <c r="Q345" i="1"/>
  <c r="R343" i="1"/>
  <c r="U343" i="1"/>
  <c r="Q350" i="1"/>
  <c r="T350" i="1"/>
  <c r="GX343" i="1"/>
  <c r="U350" i="1"/>
  <c r="V350" i="1"/>
  <c r="R350" i="1"/>
  <c r="T343" i="1"/>
  <c r="V171" i="1"/>
  <c r="T359" i="1"/>
  <c r="U358" i="1"/>
  <c r="T653" i="8"/>
  <c r="H653" i="8"/>
  <c r="CT355" i="1"/>
  <c r="S355" i="1" s="1"/>
  <c r="H648" i="8"/>
  <c r="H645" i="8"/>
  <c r="H649" i="8"/>
  <c r="T645" i="8"/>
  <c r="T649" i="8"/>
  <c r="T648" i="8"/>
  <c r="R359" i="1"/>
  <c r="U359" i="1"/>
  <c r="Q359" i="1"/>
  <c r="CQ356" i="1"/>
  <c r="P356" i="1" s="1"/>
  <c r="T651" i="8"/>
  <c r="H651" i="8"/>
  <c r="AD355" i="1"/>
  <c r="T646" i="8" s="1"/>
  <c r="H647" i="8"/>
  <c r="GM647" i="8"/>
  <c r="GX359" i="1"/>
  <c r="P359" i="1"/>
  <c r="CS355" i="1"/>
  <c r="R355" i="1" s="1"/>
  <c r="CV355" i="1"/>
  <c r="U355" i="1" s="1"/>
  <c r="I650" i="8" s="1"/>
  <c r="H650" i="8"/>
  <c r="W357" i="1"/>
  <c r="T357" i="1"/>
  <c r="GX357" i="1"/>
  <c r="R357" i="1"/>
  <c r="U357" i="1"/>
  <c r="Q357" i="1"/>
  <c r="P357" i="1"/>
  <c r="DG447" i="3"/>
  <c r="V358" i="1"/>
  <c r="R358" i="1"/>
  <c r="CZ358" i="1" s="1"/>
  <c r="Y358" i="1" s="1"/>
  <c r="W356" i="1"/>
  <c r="V356" i="1"/>
  <c r="Q356" i="1"/>
  <c r="U356" i="1"/>
  <c r="V54" i="1"/>
  <c r="W258" i="1"/>
  <c r="T221" i="1"/>
  <c r="S65" i="1"/>
  <c r="W246" i="1"/>
  <c r="GX349" i="1"/>
  <c r="V258" i="1"/>
  <c r="S221" i="1"/>
  <c r="W141" i="1"/>
  <c r="S68" i="1"/>
  <c r="CR353" i="1"/>
  <c r="Q353" i="1" s="1"/>
  <c r="CP353" i="1" s="1"/>
  <c r="O353" i="1" s="1"/>
  <c r="H641" i="8"/>
  <c r="T641" i="8"/>
  <c r="GX347" i="1"/>
  <c r="P347" i="1"/>
  <c r="P349" i="1"/>
  <c r="P345" i="1"/>
  <c r="V46" i="1"/>
  <c r="DF406" i="3"/>
  <c r="DJ406" i="3" s="1"/>
  <c r="U346" i="1"/>
  <c r="V346" i="1"/>
  <c r="R346" i="1"/>
  <c r="P343" i="1"/>
  <c r="CQ344" i="1"/>
  <c r="H630" i="8"/>
  <c r="T630" i="8"/>
  <c r="T628" i="8"/>
  <c r="H628" i="8"/>
  <c r="T626" i="8"/>
  <c r="H626" i="8"/>
  <c r="T625" i="8"/>
  <c r="T622" i="8"/>
  <c r="H625" i="8"/>
  <c r="H622" i="8"/>
  <c r="P335" i="1"/>
  <c r="GX333" i="1"/>
  <c r="P333" i="1"/>
  <c r="U320" i="1"/>
  <c r="T322" i="1"/>
  <c r="V256" i="1"/>
  <c r="W234" i="1"/>
  <c r="V210" i="1"/>
  <c r="W179" i="1"/>
  <c r="S155" i="1"/>
  <c r="W139" i="1"/>
  <c r="AB350" i="1"/>
  <c r="T636" i="8"/>
  <c r="H636" i="8"/>
  <c r="S346" i="1"/>
  <c r="CS341" i="1"/>
  <c r="R341" i="1" s="1"/>
  <c r="CV341" i="1"/>
  <c r="U341" i="1" s="1"/>
  <c r="H627" i="8"/>
  <c r="GX169" i="1"/>
  <c r="V169" i="1"/>
  <c r="V139" i="1"/>
  <c r="GM624" i="8"/>
  <c r="H624" i="8"/>
  <c r="T269" i="1"/>
  <c r="W256" i="1"/>
  <c r="V234" i="1"/>
  <c r="S234" i="1"/>
  <c r="W210" i="1"/>
  <c r="W155" i="1"/>
  <c r="S141" i="1"/>
  <c r="CQ348" i="1"/>
  <c r="P348" i="1" s="1"/>
  <c r="T634" i="8"/>
  <c r="H634" i="8"/>
  <c r="Q346" i="1"/>
  <c r="T346" i="1"/>
  <c r="AB346" i="1"/>
  <c r="T632" i="8"/>
  <c r="H632" i="8"/>
  <c r="GX335" i="1"/>
  <c r="R335" i="1"/>
  <c r="U335" i="1"/>
  <c r="Q335" i="1"/>
  <c r="R333" i="1"/>
  <c r="U333" i="1"/>
  <c r="Q333" i="1"/>
  <c r="W322" i="1"/>
  <c r="V322" i="1"/>
  <c r="Q322" i="1"/>
  <c r="W320" i="1"/>
  <c r="V320" i="1"/>
  <c r="R320" i="1"/>
  <c r="CR341" i="1"/>
  <c r="Q341" i="1" s="1"/>
  <c r="T623" i="8"/>
  <c r="H623" i="8"/>
  <c r="T351" i="1"/>
  <c r="GX351" i="1"/>
  <c r="P351" i="1"/>
  <c r="R349" i="1"/>
  <c r="U349" i="1"/>
  <c r="Q349" i="1"/>
  <c r="R347" i="1"/>
  <c r="U347" i="1"/>
  <c r="Q347" i="1"/>
  <c r="T345" i="1"/>
  <c r="DF432" i="3"/>
  <c r="DJ432" i="3" s="1"/>
  <c r="Q343" i="1"/>
  <c r="DG428" i="3"/>
  <c r="DJ428" i="3" s="1"/>
  <c r="DF426" i="3"/>
  <c r="R351" i="1"/>
  <c r="CY351" i="1" s="1"/>
  <c r="X351" i="1" s="1"/>
  <c r="U351" i="1"/>
  <c r="Q351" i="1"/>
  <c r="T349" i="1"/>
  <c r="T347" i="1"/>
  <c r="W348" i="1"/>
  <c r="V348" i="1"/>
  <c r="Q348" i="1"/>
  <c r="U344" i="1"/>
  <c r="V344" i="1"/>
  <c r="R344" i="1"/>
  <c r="DF418" i="3"/>
  <c r="U348" i="1"/>
  <c r="S344" i="1"/>
  <c r="W342" i="1"/>
  <c r="V342" i="1"/>
  <c r="R342" i="1"/>
  <c r="Q344" i="1"/>
  <c r="T344" i="1"/>
  <c r="P344" i="1"/>
  <c r="U342" i="1"/>
  <c r="DF424" i="3"/>
  <c r="DJ424" i="3" s="1"/>
  <c r="W336" i="1"/>
  <c r="W339" i="1"/>
  <c r="S337" i="1"/>
  <c r="V337" i="1"/>
  <c r="CQ338" i="1"/>
  <c r="P338" i="1" s="1"/>
  <c r="T616" i="8"/>
  <c r="H616" i="8"/>
  <c r="T614" i="8"/>
  <c r="H614" i="8"/>
  <c r="T608" i="8"/>
  <c r="H608" i="8"/>
  <c r="T607" i="8"/>
  <c r="H607" i="8"/>
  <c r="T604" i="8"/>
  <c r="H604" i="8"/>
  <c r="GX167" i="1"/>
  <c r="V167" i="1"/>
  <c r="S327" i="1"/>
  <c r="CQ334" i="1"/>
  <c r="T612" i="8"/>
  <c r="H612" i="8"/>
  <c r="H610" i="8"/>
  <c r="T610" i="8"/>
  <c r="CS331" i="1"/>
  <c r="R331" i="1" s="1"/>
  <c r="GM606" i="8"/>
  <c r="H606" i="8"/>
  <c r="DG385" i="3"/>
  <c r="W337" i="1"/>
  <c r="GX337" i="1"/>
  <c r="P337" i="1"/>
  <c r="CV331" i="1"/>
  <c r="U331" i="1" s="1"/>
  <c r="H609" i="8"/>
  <c r="CR331" i="1"/>
  <c r="Q331" i="1" s="1"/>
  <c r="T605" i="8"/>
  <c r="H605" i="8"/>
  <c r="FI17" i="7"/>
  <c r="T333" i="1"/>
  <c r="T339" i="1"/>
  <c r="T337" i="1"/>
  <c r="GX339" i="1"/>
  <c r="R339" i="1"/>
  <c r="U339" i="1"/>
  <c r="Q339" i="1"/>
  <c r="R337" i="1"/>
  <c r="U337" i="1"/>
  <c r="Q337" i="1"/>
  <c r="T335" i="1"/>
  <c r="DF416" i="3"/>
  <c r="DJ416" i="3" s="1"/>
  <c r="P339" i="1"/>
  <c r="U334" i="1"/>
  <c r="P334" i="1"/>
  <c r="U332" i="1"/>
  <c r="DG405" i="3"/>
  <c r="W338" i="1"/>
  <c r="V338" i="1"/>
  <c r="Q338" i="1"/>
  <c r="V336" i="1"/>
  <c r="R336" i="1"/>
  <c r="U338" i="1"/>
  <c r="U336" i="1"/>
  <c r="W334" i="1"/>
  <c r="V334" i="1"/>
  <c r="Q334" i="1"/>
  <c r="W332" i="1"/>
  <c r="V332" i="1"/>
  <c r="R332" i="1"/>
  <c r="DG369" i="3"/>
  <c r="DJ369" i="3" s="1"/>
  <c r="CV325" i="1"/>
  <c r="U325" i="1" s="1"/>
  <c r="H595" i="8"/>
  <c r="S237" i="1"/>
  <c r="S230" i="1"/>
  <c r="W206" i="1"/>
  <c r="GX146" i="1"/>
  <c r="CR325" i="1"/>
  <c r="Q325" i="1" s="1"/>
  <c r="T591" i="8"/>
  <c r="H591" i="8"/>
  <c r="W222" i="1"/>
  <c r="T154" i="1"/>
  <c r="T152" i="1"/>
  <c r="U318" i="1"/>
  <c r="V318" i="1"/>
  <c r="T326" i="1"/>
  <c r="T237" i="1"/>
  <c r="S222" i="1"/>
  <c r="S206" i="1"/>
  <c r="S181" i="1"/>
  <c r="H593" i="8"/>
  <c r="T590" i="8"/>
  <c r="T594" i="8"/>
  <c r="H590" i="8"/>
  <c r="H594" i="8"/>
  <c r="T593" i="8"/>
  <c r="V222" i="1"/>
  <c r="T213" i="1"/>
  <c r="S173" i="1"/>
  <c r="CQ328" i="1"/>
  <c r="T598" i="8"/>
  <c r="H598" i="8"/>
  <c r="H596" i="8"/>
  <c r="T596" i="8"/>
  <c r="CS325" i="1"/>
  <c r="R325" i="1" s="1"/>
  <c r="H592" i="8"/>
  <c r="GM592" i="8"/>
  <c r="DG398" i="3"/>
  <c r="T329" i="1"/>
  <c r="T327" i="1"/>
  <c r="GX329" i="1"/>
  <c r="R329" i="1"/>
  <c r="U329" i="1"/>
  <c r="Q329" i="1"/>
  <c r="R327" i="1"/>
  <c r="U327" i="1"/>
  <c r="Q327" i="1"/>
  <c r="P329" i="1"/>
  <c r="GX327" i="1"/>
  <c r="P327" i="1"/>
  <c r="U328" i="1"/>
  <c r="P328" i="1"/>
  <c r="U326" i="1"/>
  <c r="DG391" i="3"/>
  <c r="W328" i="1"/>
  <c r="V328" i="1"/>
  <c r="Q328" i="1"/>
  <c r="W326" i="1"/>
  <c r="V326" i="1"/>
  <c r="R326" i="1"/>
  <c r="FV407" i="1"/>
  <c r="FV314" i="1" s="1"/>
  <c r="P319" i="1"/>
  <c r="CT317" i="1"/>
  <c r="S317" i="1" s="1"/>
  <c r="H578" i="8"/>
  <c r="T577" i="8"/>
  <c r="T574" i="8"/>
  <c r="H577" i="8"/>
  <c r="H574" i="8"/>
  <c r="T578" i="8"/>
  <c r="CQ322" i="1"/>
  <c r="P322" i="1" s="1"/>
  <c r="T584" i="8"/>
  <c r="H584" i="8"/>
  <c r="T582" i="8"/>
  <c r="H582" i="8"/>
  <c r="AD317" i="1"/>
  <c r="CR317" i="1" s="1"/>
  <c r="Q317" i="1" s="1"/>
  <c r="H576" i="8"/>
  <c r="GM576" i="8"/>
  <c r="T319" i="1"/>
  <c r="CQ318" i="1"/>
  <c r="P318" i="1" s="1"/>
  <c r="H580" i="8"/>
  <c r="T580" i="8"/>
  <c r="CV317" i="1"/>
  <c r="U317" i="1" s="1"/>
  <c r="H579" i="8"/>
  <c r="GX319" i="1"/>
  <c r="R319" i="1"/>
  <c r="U319" i="1"/>
  <c r="Q319" i="1"/>
  <c r="CD407" i="1"/>
  <c r="CD314" i="1" s="1"/>
  <c r="W323" i="1"/>
  <c r="DF384" i="3"/>
  <c r="DF377" i="3"/>
  <c r="DG376" i="3"/>
  <c r="BY407" i="1"/>
  <c r="BY314" i="1" s="1"/>
  <c r="P323" i="1"/>
  <c r="GX321" i="1"/>
  <c r="P321" i="1"/>
  <c r="DF374" i="3"/>
  <c r="DJ374" i="3" s="1"/>
  <c r="FQ407" i="1"/>
  <c r="FQ314" i="1" s="1"/>
  <c r="T323" i="1"/>
  <c r="T321" i="1"/>
  <c r="GX323" i="1"/>
  <c r="R323" i="1"/>
  <c r="U323" i="1"/>
  <c r="Q323" i="1"/>
  <c r="R321" i="1"/>
  <c r="U321" i="1"/>
  <c r="Q321" i="1"/>
  <c r="FR407" i="1"/>
  <c r="FR314" i="1" s="1"/>
  <c r="U322" i="1"/>
  <c r="S318" i="1"/>
  <c r="DF375" i="3"/>
  <c r="BZ407" i="1"/>
  <c r="BZ314" i="1" s="1"/>
  <c r="Q318" i="1"/>
  <c r="T318" i="1"/>
  <c r="R318" i="1"/>
  <c r="T275" i="1"/>
  <c r="V254" i="1"/>
  <c r="W217" i="1"/>
  <c r="W180" i="1"/>
  <c r="S132" i="1"/>
  <c r="W270" i="1"/>
  <c r="W254" i="1"/>
  <c r="W157" i="1"/>
  <c r="T132" i="1"/>
  <c r="S127" i="1"/>
  <c r="S78" i="1"/>
  <c r="S53" i="1"/>
  <c r="CV280" i="1"/>
  <c r="U280" i="1" s="1"/>
  <c r="H502" i="8"/>
  <c r="CT280" i="1"/>
  <c r="S280" i="1" s="1"/>
  <c r="H498" i="8"/>
  <c r="H500" i="8"/>
  <c r="T501" i="8"/>
  <c r="T498" i="8"/>
  <c r="H501" i="8"/>
  <c r="T500" i="8"/>
  <c r="T499" i="8"/>
  <c r="H499" i="8"/>
  <c r="AB280" i="1"/>
  <c r="DG365" i="3"/>
  <c r="W276" i="1"/>
  <c r="GX278" i="1"/>
  <c r="R278" i="1"/>
  <c r="U278" i="1"/>
  <c r="W278" i="1"/>
  <c r="S267" i="1"/>
  <c r="T278" i="1"/>
  <c r="V276" i="1"/>
  <c r="W242" i="1"/>
  <c r="P278" i="1"/>
  <c r="GX276" i="1"/>
  <c r="R276" i="1"/>
  <c r="U276" i="1"/>
  <c r="Q276" i="1"/>
  <c r="S278" i="1"/>
  <c r="T267" i="1"/>
  <c r="S264" i="1"/>
  <c r="S229" i="1"/>
  <c r="W226" i="1"/>
  <c r="S205" i="1"/>
  <c r="W147" i="1"/>
  <c r="T277" i="1"/>
  <c r="V262" i="1"/>
  <c r="V246" i="1"/>
  <c r="S244" i="1"/>
  <c r="T205" i="1"/>
  <c r="S147" i="1"/>
  <c r="CP279" i="1"/>
  <c r="O279" i="1" s="1"/>
  <c r="CV274" i="1"/>
  <c r="U274" i="1" s="1"/>
  <c r="H489" i="8"/>
  <c r="H486" i="8"/>
  <c r="T486" i="8"/>
  <c r="T490" i="8"/>
  <c r="H490" i="8"/>
  <c r="S258" i="1"/>
  <c r="V226" i="1"/>
  <c r="W214" i="1"/>
  <c r="W277" i="1"/>
  <c r="V277" i="1"/>
  <c r="DF235" i="3"/>
  <c r="T229" i="1"/>
  <c r="U277" i="1"/>
  <c r="CQ277" i="1"/>
  <c r="P277" i="1" s="1"/>
  <c r="T492" i="8"/>
  <c r="H492" i="8"/>
  <c r="CT274" i="1"/>
  <c r="S274" i="1" s="1"/>
  <c r="CZ274" i="1" s="1"/>
  <c r="Y274" i="1" s="1"/>
  <c r="H487" i="8"/>
  <c r="T485" i="8"/>
  <c r="H488" i="8"/>
  <c r="H485" i="8"/>
  <c r="T488" i="8"/>
  <c r="T487" i="8"/>
  <c r="AB274" i="1"/>
  <c r="P276" i="1"/>
  <c r="T276" i="1"/>
  <c r="W275" i="1"/>
  <c r="V275" i="1"/>
  <c r="R275" i="1"/>
  <c r="U275" i="1"/>
  <c r="Q277" i="1"/>
  <c r="AB272" i="1"/>
  <c r="H481" i="8"/>
  <c r="T481" i="8"/>
  <c r="CS260" i="1"/>
  <c r="R260" i="1" s="1"/>
  <c r="S243" i="1"/>
  <c r="W216" i="1"/>
  <c r="T174" i="1"/>
  <c r="W156" i="1"/>
  <c r="S270" i="1"/>
  <c r="T243" i="1"/>
  <c r="S238" i="1"/>
  <c r="W145" i="1"/>
  <c r="T81" i="1"/>
  <c r="W67" i="1"/>
  <c r="S214" i="1"/>
  <c r="DG331" i="3"/>
  <c r="P268" i="1"/>
  <c r="W169" i="1"/>
  <c r="T270" i="1"/>
  <c r="GX269" i="1"/>
  <c r="GX268" i="1"/>
  <c r="R268" i="1"/>
  <c r="U268" i="1"/>
  <c r="Q268" i="1"/>
  <c r="CT266" i="1"/>
  <c r="S266" i="1" s="1"/>
  <c r="H471" i="8"/>
  <c r="T467" i="8"/>
  <c r="T472" i="8"/>
  <c r="H472" i="8"/>
  <c r="T471" i="8"/>
  <c r="H467" i="8"/>
  <c r="GX270" i="1"/>
  <c r="W269" i="1"/>
  <c r="V269" i="1"/>
  <c r="Q269" i="1"/>
  <c r="AD266" i="1"/>
  <c r="T468" i="8" s="1"/>
  <c r="H469" i="8"/>
  <c r="GM469" i="8"/>
  <c r="H474" i="8"/>
  <c r="T474" i="8"/>
  <c r="T45" i="1"/>
  <c r="U269" i="1"/>
  <c r="CQ269" i="1"/>
  <c r="P269" i="1" s="1"/>
  <c r="T476" i="8"/>
  <c r="H476" i="8"/>
  <c r="CV266" i="1"/>
  <c r="U266" i="1" s="1"/>
  <c r="H473" i="8"/>
  <c r="CQ266" i="1"/>
  <c r="P266" i="1" s="1"/>
  <c r="H470" i="8"/>
  <c r="T470" i="8"/>
  <c r="CS266" i="1"/>
  <c r="R266" i="1" s="1"/>
  <c r="R270" i="1"/>
  <c r="U270" i="1"/>
  <c r="P270" i="1"/>
  <c r="DF349" i="3"/>
  <c r="T268" i="1"/>
  <c r="W267" i="1"/>
  <c r="V267" i="1"/>
  <c r="R267" i="1"/>
  <c r="U267" i="1"/>
  <c r="GX264" i="1"/>
  <c r="CV260" i="1"/>
  <c r="U260" i="1" s="1"/>
  <c r="H458" i="8"/>
  <c r="T461" i="8"/>
  <c r="H461" i="8"/>
  <c r="CT260" i="1"/>
  <c r="S260" i="1" s="1"/>
  <c r="H456" i="8"/>
  <c r="H453" i="8"/>
  <c r="T457" i="8"/>
  <c r="H457" i="8"/>
  <c r="T456" i="8"/>
  <c r="T453" i="8"/>
  <c r="GX263" i="1"/>
  <c r="T263" i="1"/>
  <c r="W263" i="1"/>
  <c r="T262" i="1"/>
  <c r="E459" i="8"/>
  <c r="T459" i="8"/>
  <c r="H459" i="8"/>
  <c r="GM455" i="8"/>
  <c r="H455" i="8"/>
  <c r="T454" i="8"/>
  <c r="H454" i="8"/>
  <c r="S262" i="1"/>
  <c r="V263" i="1"/>
  <c r="GX262" i="1"/>
  <c r="R262" i="1"/>
  <c r="U262" i="1"/>
  <c r="Q262" i="1"/>
  <c r="W262" i="1"/>
  <c r="U263" i="1"/>
  <c r="P262" i="1"/>
  <c r="P264" i="1"/>
  <c r="T264" i="1"/>
  <c r="R264" i="1"/>
  <c r="U264" i="1"/>
  <c r="W261" i="1"/>
  <c r="V261" i="1"/>
  <c r="GX261" i="1"/>
  <c r="S261" i="1"/>
  <c r="T261" i="1"/>
  <c r="W171" i="1"/>
  <c r="W161" i="1"/>
  <c r="W74" i="1"/>
  <c r="S70" i="1"/>
  <c r="W253" i="1"/>
  <c r="V253" i="1"/>
  <c r="T235" i="1"/>
  <c r="S218" i="1"/>
  <c r="S161" i="1"/>
  <c r="W75" i="1"/>
  <c r="W70" i="1"/>
  <c r="R258" i="1"/>
  <c r="CY258" i="1" s="1"/>
  <c r="X258" i="1" s="1"/>
  <c r="U258" i="1"/>
  <c r="V135" i="1"/>
  <c r="DG317" i="3"/>
  <c r="U257" i="1"/>
  <c r="CQ257" i="1"/>
  <c r="P257" i="1" s="1"/>
  <c r="T447" i="8"/>
  <c r="H447" i="8"/>
  <c r="H441" i="8"/>
  <c r="T440" i="8"/>
  <c r="T437" i="8"/>
  <c r="H440" i="8"/>
  <c r="H437" i="8"/>
  <c r="T441" i="8"/>
  <c r="T445" i="8"/>
  <c r="H445" i="8"/>
  <c r="CQ253" i="1"/>
  <c r="P253" i="1" s="1"/>
  <c r="T443" i="8"/>
  <c r="H443" i="8"/>
  <c r="AD252" i="1"/>
  <c r="H438" i="8" s="1"/>
  <c r="H439" i="8"/>
  <c r="GM439" i="8"/>
  <c r="GX258" i="1"/>
  <c r="P258" i="1"/>
  <c r="CV252" i="1"/>
  <c r="U252" i="1" s="1"/>
  <c r="H442" i="8"/>
  <c r="W257" i="1"/>
  <c r="V257" i="1"/>
  <c r="T256" i="1"/>
  <c r="T254" i="1"/>
  <c r="DF311" i="3"/>
  <c r="DJ311" i="3" s="1"/>
  <c r="S254" i="1"/>
  <c r="GX256" i="1"/>
  <c r="R256" i="1"/>
  <c r="U256" i="1"/>
  <c r="Q256" i="1"/>
  <c r="R254" i="1"/>
  <c r="U254" i="1"/>
  <c r="DG305" i="3"/>
  <c r="P256" i="1"/>
  <c r="GX254" i="1"/>
  <c r="P254" i="1"/>
  <c r="DF318" i="3"/>
  <c r="DG315" i="3"/>
  <c r="DJ315" i="3" s="1"/>
  <c r="T258" i="1"/>
  <c r="W255" i="1"/>
  <c r="V255" i="1"/>
  <c r="R255" i="1"/>
  <c r="Q253" i="1"/>
  <c r="U255" i="1"/>
  <c r="U253" i="1"/>
  <c r="DF305" i="3"/>
  <c r="Q257" i="1"/>
  <c r="DG310" i="3"/>
  <c r="T250" i="1"/>
  <c r="T248" i="1"/>
  <c r="T242" i="1"/>
  <c r="GX179" i="1"/>
  <c r="V179" i="1"/>
  <c r="GX157" i="1"/>
  <c r="V157" i="1"/>
  <c r="GX236" i="1"/>
  <c r="W245" i="1"/>
  <c r="V245" i="1"/>
  <c r="R245" i="1"/>
  <c r="GX234" i="1"/>
  <c r="P234" i="1"/>
  <c r="P250" i="1"/>
  <c r="GX248" i="1"/>
  <c r="P248" i="1"/>
  <c r="GX246" i="1"/>
  <c r="W243" i="1"/>
  <c r="V243" i="1"/>
  <c r="P242" i="1"/>
  <c r="GX250" i="1"/>
  <c r="R250" i="1"/>
  <c r="U250" i="1"/>
  <c r="Q250" i="1"/>
  <c r="R248" i="1"/>
  <c r="U248" i="1"/>
  <c r="GX242" i="1"/>
  <c r="R242" i="1"/>
  <c r="U242" i="1"/>
  <c r="Q242" i="1"/>
  <c r="GX58" i="1"/>
  <c r="GX244" i="1"/>
  <c r="U243" i="1"/>
  <c r="CQ243" i="1"/>
  <c r="P243" i="1" s="1"/>
  <c r="H425" i="8"/>
  <c r="T425" i="8"/>
  <c r="AD240" i="1"/>
  <c r="AB240" i="1" s="1"/>
  <c r="GM419" i="8"/>
  <c r="H419" i="8"/>
  <c r="V181" i="1"/>
  <c r="GX68" i="1"/>
  <c r="V68" i="1"/>
  <c r="T431" i="8"/>
  <c r="H431" i="8"/>
  <c r="CQ247" i="1"/>
  <c r="P247" i="1" s="1"/>
  <c r="T429" i="8"/>
  <c r="H429" i="8"/>
  <c r="T423" i="8"/>
  <c r="H423" i="8"/>
  <c r="CV240" i="1"/>
  <c r="U240" i="1" s="1"/>
  <c r="H422" i="8"/>
  <c r="T246" i="1"/>
  <c r="U245" i="1"/>
  <c r="T427" i="8"/>
  <c r="H427" i="8"/>
  <c r="T244" i="1"/>
  <c r="GX243" i="1"/>
  <c r="DG302" i="3"/>
  <c r="CT240" i="1"/>
  <c r="S240" i="1" s="1"/>
  <c r="T421" i="8"/>
  <c r="H421" i="8"/>
  <c r="T420" i="8"/>
  <c r="T417" i="8"/>
  <c r="H420" i="8"/>
  <c r="H417" i="8"/>
  <c r="DF302" i="3"/>
  <c r="DJ302" i="3" s="1"/>
  <c r="DF292" i="3"/>
  <c r="DJ292" i="3" s="1"/>
  <c r="CS240" i="1"/>
  <c r="R240" i="1" s="1"/>
  <c r="R246" i="1"/>
  <c r="R244" i="1"/>
  <c r="U246" i="1"/>
  <c r="Q246" i="1"/>
  <c r="U244" i="1"/>
  <c r="DF303" i="3"/>
  <c r="DJ303" i="3" s="1"/>
  <c r="P246" i="1"/>
  <c r="P244" i="1"/>
  <c r="U249" i="1"/>
  <c r="U247" i="1"/>
  <c r="U241" i="1"/>
  <c r="Q243" i="1"/>
  <c r="W249" i="1"/>
  <c r="V249" i="1"/>
  <c r="R249" i="1"/>
  <c r="W247" i="1"/>
  <c r="V247" i="1"/>
  <c r="Q247" i="1"/>
  <c r="W241" i="1"/>
  <c r="V241" i="1"/>
  <c r="R241" i="1"/>
  <c r="T211" i="1"/>
  <c r="S177" i="1"/>
  <c r="V220" i="1"/>
  <c r="S211" i="1"/>
  <c r="W209" i="1"/>
  <c r="W177" i="1"/>
  <c r="S140" i="1"/>
  <c r="S169" i="1"/>
  <c r="W151" i="1"/>
  <c r="T53" i="1"/>
  <c r="W220" i="1"/>
  <c r="S74" i="1"/>
  <c r="DF281" i="3"/>
  <c r="DJ281" i="3" s="1"/>
  <c r="GX195" i="1"/>
  <c r="V147" i="1"/>
  <c r="T230" i="1"/>
  <c r="GX159" i="1"/>
  <c r="V64" i="1"/>
  <c r="V129" i="1"/>
  <c r="H405" i="8"/>
  <c r="T405" i="8"/>
  <c r="AD228" i="1"/>
  <c r="CR228" i="1" s="1"/>
  <c r="Q228" i="1" s="1"/>
  <c r="GM399" i="8"/>
  <c r="H399" i="8"/>
  <c r="W57" i="1"/>
  <c r="W52" i="1"/>
  <c r="W237" i="1"/>
  <c r="V237" i="1"/>
  <c r="Q237" i="1"/>
  <c r="GX232" i="1"/>
  <c r="R232" i="1"/>
  <c r="U232" i="1"/>
  <c r="Q232" i="1"/>
  <c r="R230" i="1"/>
  <c r="U230" i="1"/>
  <c r="CV228" i="1"/>
  <c r="U228" i="1" s="1"/>
  <c r="H402" i="8"/>
  <c r="GX155" i="1"/>
  <c r="V155" i="1"/>
  <c r="V131" i="1"/>
  <c r="CQ229" i="1"/>
  <c r="P229" i="1" s="1"/>
  <c r="T403" i="8"/>
  <c r="H403" i="8"/>
  <c r="T140" i="1"/>
  <c r="CQ237" i="1"/>
  <c r="P237" i="1" s="1"/>
  <c r="T411" i="8"/>
  <c r="H411" i="8"/>
  <c r="W233" i="1"/>
  <c r="V233" i="1"/>
  <c r="P232" i="1"/>
  <c r="GX230" i="1"/>
  <c r="P230" i="1"/>
  <c r="T409" i="8"/>
  <c r="H409" i="8"/>
  <c r="U233" i="1"/>
  <c r="CQ233" i="1"/>
  <c r="P233" i="1" s="1"/>
  <c r="T407" i="8"/>
  <c r="H407" i="8"/>
  <c r="T401" i="8"/>
  <c r="H401" i="8"/>
  <c r="T400" i="8"/>
  <c r="T397" i="8"/>
  <c r="H400" i="8"/>
  <c r="H397" i="8"/>
  <c r="CS228" i="1"/>
  <c r="R228" i="1" s="1"/>
  <c r="GX238" i="1"/>
  <c r="P238" i="1"/>
  <c r="DF270" i="3"/>
  <c r="DJ270" i="3" s="1"/>
  <c r="T238" i="1"/>
  <c r="DF274" i="3"/>
  <c r="DJ274" i="3" s="1"/>
  <c r="R238" i="1"/>
  <c r="U238" i="1"/>
  <c r="U235" i="1"/>
  <c r="W229" i="1"/>
  <c r="T236" i="1"/>
  <c r="T234" i="1"/>
  <c r="DF276" i="3"/>
  <c r="R236" i="1"/>
  <c r="U236" i="1"/>
  <c r="Q236" i="1"/>
  <c r="R234" i="1"/>
  <c r="U234" i="1"/>
  <c r="T232" i="1"/>
  <c r="P236" i="1"/>
  <c r="U231" i="1"/>
  <c r="U229" i="1"/>
  <c r="U237" i="1"/>
  <c r="W235" i="1"/>
  <c r="V235" i="1"/>
  <c r="R235" i="1"/>
  <c r="Q233" i="1"/>
  <c r="W231" i="1"/>
  <c r="V231" i="1"/>
  <c r="R231" i="1"/>
  <c r="V229" i="1"/>
  <c r="Q229" i="1"/>
  <c r="V159" i="1"/>
  <c r="V161" i="1"/>
  <c r="V50" i="1"/>
  <c r="S146" i="1"/>
  <c r="T65" i="1"/>
  <c r="T226" i="1"/>
  <c r="V153" i="1"/>
  <c r="V121" i="1"/>
  <c r="GX78" i="1"/>
  <c r="S151" i="1"/>
  <c r="T146" i="1"/>
  <c r="GX226" i="1"/>
  <c r="R226" i="1"/>
  <c r="U226" i="1"/>
  <c r="Q226" i="1"/>
  <c r="GX220" i="1"/>
  <c r="R220" i="1"/>
  <c r="U220" i="1"/>
  <c r="Q220" i="1"/>
  <c r="R218" i="1"/>
  <c r="U218" i="1"/>
  <c r="U185" i="1"/>
  <c r="Q185" i="1"/>
  <c r="V145" i="1"/>
  <c r="W221" i="1"/>
  <c r="V221" i="1"/>
  <c r="Q221" i="1"/>
  <c r="GX216" i="1"/>
  <c r="GX202" i="1"/>
  <c r="U193" i="1"/>
  <c r="Q193" i="1"/>
  <c r="GX74" i="1"/>
  <c r="U69" i="1"/>
  <c r="V69" i="1"/>
  <c r="V58" i="1"/>
  <c r="GX48" i="1"/>
  <c r="GX193" i="1"/>
  <c r="R193" i="1"/>
  <c r="P193" i="1"/>
  <c r="U162" i="1"/>
  <c r="T387" i="8"/>
  <c r="H387" i="8"/>
  <c r="V173" i="1"/>
  <c r="CT224" i="1"/>
  <c r="S224" i="1" s="1"/>
  <c r="T385" i="8"/>
  <c r="T389" i="8"/>
  <c r="H385" i="8"/>
  <c r="H389" i="8"/>
  <c r="T388" i="8"/>
  <c r="H388" i="8"/>
  <c r="V177" i="1"/>
  <c r="V165" i="1"/>
  <c r="V151" i="1"/>
  <c r="T391" i="8"/>
  <c r="H391" i="8"/>
  <c r="CV224" i="1"/>
  <c r="U224" i="1" s="1"/>
  <c r="H390" i="8"/>
  <c r="T386" i="8"/>
  <c r="H386" i="8"/>
  <c r="V32" i="1"/>
  <c r="AB224" i="1"/>
  <c r="P226" i="1"/>
  <c r="W225" i="1"/>
  <c r="V225" i="1"/>
  <c r="R225" i="1"/>
  <c r="U225" i="1"/>
  <c r="R222" i="1"/>
  <c r="U222" i="1"/>
  <c r="S215" i="1"/>
  <c r="W213" i="1"/>
  <c r="V213" i="1"/>
  <c r="Q213" i="1"/>
  <c r="GX208" i="1"/>
  <c r="GX168" i="1"/>
  <c r="GX149" i="1"/>
  <c r="V149" i="1"/>
  <c r="V74" i="1"/>
  <c r="S159" i="1"/>
  <c r="V72" i="1"/>
  <c r="V212" i="1"/>
  <c r="S210" i="1"/>
  <c r="W76" i="1"/>
  <c r="P220" i="1"/>
  <c r="DM377" i="8" s="1"/>
  <c r="U219" i="1"/>
  <c r="V219" i="1"/>
  <c r="R219" i="1"/>
  <c r="GX218" i="1"/>
  <c r="P218" i="1"/>
  <c r="DM375" i="8" s="1"/>
  <c r="U217" i="1"/>
  <c r="V217" i="1"/>
  <c r="R217" i="1"/>
  <c r="Q209" i="1"/>
  <c r="T209" i="1"/>
  <c r="GX197" i="1"/>
  <c r="GX191" i="1"/>
  <c r="R185" i="1"/>
  <c r="P185" i="1"/>
  <c r="GX175" i="1"/>
  <c r="V175" i="1"/>
  <c r="Q168" i="1"/>
  <c r="V127" i="1"/>
  <c r="W176" i="1"/>
  <c r="W72" i="1"/>
  <c r="S217" i="1"/>
  <c r="W212" i="1"/>
  <c r="W159" i="1"/>
  <c r="T220" i="1"/>
  <c r="Q219" i="1"/>
  <c r="T219" i="1"/>
  <c r="T218" i="1"/>
  <c r="Q217" i="1"/>
  <c r="T217" i="1"/>
  <c r="GX210" i="1"/>
  <c r="P210" i="1"/>
  <c r="U209" i="1"/>
  <c r="V209" i="1"/>
  <c r="R209" i="1"/>
  <c r="U168" i="1"/>
  <c r="V168" i="1"/>
  <c r="P147" i="1"/>
  <c r="GX135" i="1"/>
  <c r="DF255" i="3"/>
  <c r="DJ255" i="3" s="1"/>
  <c r="R208" i="1"/>
  <c r="U208" i="1"/>
  <c r="Q208" i="1"/>
  <c r="GX76" i="1"/>
  <c r="T74" i="1"/>
  <c r="AB219" i="1"/>
  <c r="T377" i="8"/>
  <c r="H377" i="8"/>
  <c r="CQ217" i="1"/>
  <c r="P217" i="1" s="1"/>
  <c r="T375" i="8"/>
  <c r="H375" i="8"/>
  <c r="R206" i="1"/>
  <c r="CV204" i="1"/>
  <c r="U204" i="1" s="1"/>
  <c r="H362" i="8"/>
  <c r="P197" i="1"/>
  <c r="T169" i="1"/>
  <c r="R168" i="1"/>
  <c r="V141" i="1"/>
  <c r="GX128" i="1"/>
  <c r="AB215" i="1"/>
  <c r="H373" i="8"/>
  <c r="T373" i="8"/>
  <c r="U213" i="1"/>
  <c r="CQ213" i="1"/>
  <c r="P213" i="1" s="1"/>
  <c r="T371" i="8"/>
  <c r="H371" i="8"/>
  <c r="P208" i="1"/>
  <c r="GX206" i="1"/>
  <c r="P206" i="1"/>
  <c r="T369" i="8"/>
  <c r="H369" i="8"/>
  <c r="CQ209" i="1"/>
  <c r="P209" i="1" s="1"/>
  <c r="T367" i="8"/>
  <c r="H367" i="8"/>
  <c r="T361" i="8"/>
  <c r="H361" i="8"/>
  <c r="T360" i="8"/>
  <c r="T357" i="8"/>
  <c r="H360" i="8"/>
  <c r="H357" i="8"/>
  <c r="R195" i="1"/>
  <c r="U195" i="1"/>
  <c r="Q195" i="1"/>
  <c r="GX187" i="1"/>
  <c r="T168" i="1"/>
  <c r="V76" i="1"/>
  <c r="CQ221" i="1"/>
  <c r="P221" i="1" s="1"/>
  <c r="T379" i="8"/>
  <c r="H379" i="8"/>
  <c r="U215" i="1"/>
  <c r="V215" i="1"/>
  <c r="R215" i="1"/>
  <c r="AB207" i="1"/>
  <c r="H365" i="8"/>
  <c r="T365" i="8"/>
  <c r="CQ205" i="1"/>
  <c r="P205" i="1" s="1"/>
  <c r="T363" i="8"/>
  <c r="H363" i="8"/>
  <c r="AD204" i="1"/>
  <c r="T358" i="8" s="1"/>
  <c r="GM359" i="8"/>
  <c r="H359" i="8"/>
  <c r="DF243" i="3"/>
  <c r="DJ243" i="3" s="1"/>
  <c r="CS204" i="1"/>
  <c r="R204" i="1" s="1"/>
  <c r="R216" i="1"/>
  <c r="U216" i="1"/>
  <c r="T222" i="1"/>
  <c r="U221" i="1"/>
  <c r="S219" i="1"/>
  <c r="P216" i="1"/>
  <c r="GX214" i="1"/>
  <c r="GX222" i="1"/>
  <c r="P222" i="1"/>
  <c r="T216" i="1"/>
  <c r="T214" i="1"/>
  <c r="DF239" i="3"/>
  <c r="DJ239" i="3" s="1"/>
  <c r="Q216" i="1"/>
  <c r="R214" i="1"/>
  <c r="U214" i="1"/>
  <c r="T212" i="1"/>
  <c r="T210" i="1"/>
  <c r="DF251" i="3"/>
  <c r="DJ251" i="3" s="1"/>
  <c r="DF245" i="3"/>
  <c r="P214" i="1"/>
  <c r="GX212" i="1"/>
  <c r="R212" i="1"/>
  <c r="U212" i="1"/>
  <c r="Q212" i="1"/>
  <c r="R210" i="1"/>
  <c r="U210" i="1"/>
  <c r="T208" i="1"/>
  <c r="T206" i="1"/>
  <c r="P212" i="1"/>
  <c r="U206" i="1"/>
  <c r="Q207" i="1"/>
  <c r="T207" i="1"/>
  <c r="U205" i="1"/>
  <c r="Q215" i="1"/>
  <c r="T215" i="1"/>
  <c r="W211" i="1"/>
  <c r="V211" i="1"/>
  <c r="R211" i="1"/>
  <c r="S209" i="1"/>
  <c r="U207" i="1"/>
  <c r="V207" i="1"/>
  <c r="R207" i="1"/>
  <c r="U211" i="1"/>
  <c r="S207" i="1"/>
  <c r="W205" i="1"/>
  <c r="V205" i="1"/>
  <c r="Q205" i="1"/>
  <c r="V123" i="1"/>
  <c r="T187" i="1"/>
  <c r="U128" i="1"/>
  <c r="GX45" i="1"/>
  <c r="U189" i="1"/>
  <c r="Q189" i="1"/>
  <c r="S188" i="1"/>
  <c r="P139" i="1"/>
  <c r="U132" i="1"/>
  <c r="V78" i="1"/>
  <c r="V45" i="1"/>
  <c r="R189" i="1"/>
  <c r="Q188" i="1"/>
  <c r="T188" i="1"/>
  <c r="FQ282" i="1"/>
  <c r="FQ117" i="1" s="1"/>
  <c r="V80" i="1"/>
  <c r="V44" i="1"/>
  <c r="S172" i="1"/>
  <c r="T172" i="1"/>
  <c r="S56" i="1"/>
  <c r="Q196" i="1"/>
  <c r="T196" i="1"/>
  <c r="R187" i="1"/>
  <c r="U187" i="1"/>
  <c r="Q187" i="1"/>
  <c r="R66" i="1"/>
  <c r="P66" i="1"/>
  <c r="DF170" i="3"/>
  <c r="V198" i="1"/>
  <c r="R198" i="1"/>
  <c r="GX173" i="1"/>
  <c r="GX200" i="1"/>
  <c r="P200" i="1"/>
  <c r="R197" i="1"/>
  <c r="U197" i="1"/>
  <c r="Q197" i="1"/>
  <c r="S196" i="1"/>
  <c r="T181" i="1"/>
  <c r="T351" i="8"/>
  <c r="H351" i="8"/>
  <c r="CQ199" i="1"/>
  <c r="P199" i="1" s="1"/>
  <c r="T349" i="8"/>
  <c r="H349" i="8"/>
  <c r="U192" i="1"/>
  <c r="V190" i="1"/>
  <c r="U188" i="1"/>
  <c r="E337" i="8"/>
  <c r="W182" i="1"/>
  <c r="V182" i="1"/>
  <c r="P181" i="1"/>
  <c r="GX178" i="1"/>
  <c r="R177" i="1"/>
  <c r="GX176" i="1"/>
  <c r="P168" i="1"/>
  <c r="W194" i="1"/>
  <c r="E343" i="8"/>
  <c r="S192" i="1"/>
  <c r="E341" i="8"/>
  <c r="CT184" i="1"/>
  <c r="S184" i="1" s="1"/>
  <c r="T333" i="8"/>
  <c r="H333" i="8"/>
  <c r="T332" i="8"/>
  <c r="T329" i="8"/>
  <c r="H332" i="8"/>
  <c r="H329" i="8"/>
  <c r="U198" i="1"/>
  <c r="E347" i="8"/>
  <c r="T347" i="8"/>
  <c r="H347" i="8"/>
  <c r="H345" i="8"/>
  <c r="T345" i="8"/>
  <c r="U186" i="1"/>
  <c r="E335" i="8"/>
  <c r="GM331" i="8"/>
  <c r="H331" i="8"/>
  <c r="GX198" i="1"/>
  <c r="U196" i="1"/>
  <c r="E345" i="8"/>
  <c r="T343" i="8"/>
  <c r="H343" i="8"/>
  <c r="V192" i="1"/>
  <c r="T341" i="8"/>
  <c r="H341" i="8"/>
  <c r="U190" i="1"/>
  <c r="E339" i="8"/>
  <c r="T339" i="8"/>
  <c r="H339" i="8"/>
  <c r="H337" i="8"/>
  <c r="T337" i="8"/>
  <c r="T335" i="8"/>
  <c r="H335" i="8"/>
  <c r="CV184" i="1"/>
  <c r="U184" i="1" s="1"/>
  <c r="H334" i="8"/>
  <c r="GX181" i="1"/>
  <c r="GX180" i="1"/>
  <c r="GX177" i="1"/>
  <c r="U176" i="1"/>
  <c r="R169" i="1"/>
  <c r="P195" i="1"/>
  <c r="P187" i="1"/>
  <c r="W201" i="1"/>
  <c r="V201" i="1"/>
  <c r="S199" i="1"/>
  <c r="V194" i="1"/>
  <c r="Q199" i="1"/>
  <c r="R190" i="1"/>
  <c r="P202" i="1"/>
  <c r="U199" i="1"/>
  <c r="V199" i="1"/>
  <c r="R199" i="1"/>
  <c r="U191" i="1"/>
  <c r="Q191" i="1"/>
  <c r="GX190" i="1"/>
  <c r="V187" i="1"/>
  <c r="S194" i="1"/>
  <c r="S190" i="1"/>
  <c r="GX186" i="1"/>
  <c r="S186" i="1"/>
  <c r="T186" i="1"/>
  <c r="T202" i="1"/>
  <c r="T200" i="1"/>
  <c r="Q198" i="1"/>
  <c r="T198" i="1"/>
  <c r="W196" i="1"/>
  <c r="U194" i="1"/>
  <c r="GX192" i="1"/>
  <c r="T192" i="1"/>
  <c r="W192" i="1"/>
  <c r="Q190" i="1"/>
  <c r="T190" i="1"/>
  <c r="W188" i="1"/>
  <c r="W186" i="1"/>
  <c r="V186" i="1"/>
  <c r="R202" i="1"/>
  <c r="U202" i="1"/>
  <c r="Q202" i="1"/>
  <c r="R200" i="1"/>
  <c r="U200" i="1"/>
  <c r="W198" i="1"/>
  <c r="V196" i="1"/>
  <c r="R196" i="1"/>
  <c r="GX194" i="1"/>
  <c r="T194" i="1"/>
  <c r="W190" i="1"/>
  <c r="V188" i="1"/>
  <c r="R188" i="1"/>
  <c r="R201" i="1"/>
  <c r="U201" i="1"/>
  <c r="T199" i="1"/>
  <c r="V197" i="1"/>
  <c r="T195" i="1"/>
  <c r="V195" i="1"/>
  <c r="V193" i="1"/>
  <c r="P191" i="1"/>
  <c r="P189" i="1"/>
  <c r="V185" i="1"/>
  <c r="V191" i="1"/>
  <c r="W191" i="1"/>
  <c r="S191" i="1"/>
  <c r="R191" i="1"/>
  <c r="GX189" i="1"/>
  <c r="V189" i="1"/>
  <c r="DG209" i="3"/>
  <c r="DF214" i="3"/>
  <c r="DJ214" i="3" s="1"/>
  <c r="Q180" i="1"/>
  <c r="R181" i="1"/>
  <c r="T180" i="1"/>
  <c r="R173" i="1"/>
  <c r="U173" i="1"/>
  <c r="Q176" i="1"/>
  <c r="T173" i="1"/>
  <c r="U181" i="1"/>
  <c r="U178" i="1"/>
  <c r="T177" i="1"/>
  <c r="V176" i="1"/>
  <c r="P173" i="1"/>
  <c r="U166" i="1"/>
  <c r="V178" i="1"/>
  <c r="W174" i="1"/>
  <c r="V174" i="1"/>
  <c r="T315" i="8"/>
  <c r="H315" i="8"/>
  <c r="GX171" i="1"/>
  <c r="R171" i="1"/>
  <c r="U171" i="1"/>
  <c r="Q171" i="1"/>
  <c r="GX170" i="1"/>
  <c r="W166" i="1"/>
  <c r="V166" i="1"/>
  <c r="R166" i="1"/>
  <c r="P165" i="1"/>
  <c r="T307" i="8"/>
  <c r="H307" i="8"/>
  <c r="CT164" i="1"/>
  <c r="S164" i="1" s="1"/>
  <c r="T305" i="8"/>
  <c r="H305" i="8"/>
  <c r="T304" i="8"/>
  <c r="T301" i="8"/>
  <c r="H304" i="8"/>
  <c r="H301" i="8"/>
  <c r="T323" i="8"/>
  <c r="H323" i="8"/>
  <c r="P180" i="1"/>
  <c r="T313" i="8"/>
  <c r="H313" i="8"/>
  <c r="AD164" i="1"/>
  <c r="CR164" i="1" s="1"/>
  <c r="Q164" i="1" s="1"/>
  <c r="GM303" i="8"/>
  <c r="H303" i="8"/>
  <c r="T321" i="8"/>
  <c r="H321" i="8"/>
  <c r="T319" i="8"/>
  <c r="H319" i="8"/>
  <c r="T311" i="8"/>
  <c r="H311" i="8"/>
  <c r="CV164" i="1"/>
  <c r="U164" i="1" s="1"/>
  <c r="H306" i="8"/>
  <c r="H317" i="8"/>
  <c r="T317" i="8"/>
  <c r="T171" i="1"/>
  <c r="H309" i="8"/>
  <c r="T309" i="8"/>
  <c r="GX165" i="1"/>
  <c r="R165" i="1"/>
  <c r="DF198" i="3"/>
  <c r="DJ198" i="3" s="1"/>
  <c r="AB181" i="1"/>
  <c r="AB179" i="1"/>
  <c r="AB177" i="1"/>
  <c r="AB175" i="1"/>
  <c r="AB173" i="1"/>
  <c r="AB171" i="1"/>
  <c r="AB169" i="1"/>
  <c r="AB167" i="1"/>
  <c r="AB165" i="1"/>
  <c r="R182" i="1"/>
  <c r="S178" i="1"/>
  <c r="U177" i="1"/>
  <c r="S176" i="1"/>
  <c r="T175" i="1"/>
  <c r="W172" i="1"/>
  <c r="V172" i="1"/>
  <c r="Q172" i="1"/>
  <c r="P171" i="1"/>
  <c r="S168" i="1"/>
  <c r="U182" i="1"/>
  <c r="Q178" i="1"/>
  <c r="T178" i="1"/>
  <c r="P177" i="1"/>
  <c r="T176" i="1"/>
  <c r="P176" i="1"/>
  <c r="R175" i="1"/>
  <c r="U175" i="1"/>
  <c r="U172" i="1"/>
  <c r="P172" i="1"/>
  <c r="T165" i="1"/>
  <c r="P175" i="1"/>
  <c r="P167" i="1"/>
  <c r="U165" i="1"/>
  <c r="U174" i="1"/>
  <c r="Q170" i="1"/>
  <c r="T170" i="1"/>
  <c r="DF202" i="3"/>
  <c r="DJ202" i="3" s="1"/>
  <c r="U180" i="1"/>
  <c r="V180" i="1"/>
  <c r="R180" i="1"/>
  <c r="U170" i="1"/>
  <c r="V170" i="1"/>
  <c r="R170" i="1"/>
  <c r="S180" i="1"/>
  <c r="R178" i="1"/>
  <c r="R176" i="1"/>
  <c r="R174" i="1"/>
  <c r="CZ174" i="1" s="1"/>
  <c r="Y174" i="1" s="1"/>
  <c r="S170" i="1"/>
  <c r="P179" i="1"/>
  <c r="Q175" i="1"/>
  <c r="P169" i="1"/>
  <c r="R167" i="1"/>
  <c r="U167" i="1"/>
  <c r="Q167" i="1"/>
  <c r="DF190" i="3"/>
  <c r="DJ190" i="3" s="1"/>
  <c r="DF186" i="3"/>
  <c r="DJ186" i="3" s="1"/>
  <c r="DF180" i="3"/>
  <c r="T179" i="1"/>
  <c r="R179" i="1"/>
  <c r="U179" i="1"/>
  <c r="Q179" i="1"/>
  <c r="U169" i="1"/>
  <c r="T167" i="1"/>
  <c r="P155" i="1"/>
  <c r="GX153" i="1"/>
  <c r="R153" i="1"/>
  <c r="U153" i="1"/>
  <c r="GX148" i="1"/>
  <c r="GX139" i="1"/>
  <c r="R139" i="1"/>
  <c r="U139" i="1"/>
  <c r="U150" i="1"/>
  <c r="V150" i="1"/>
  <c r="R155" i="1"/>
  <c r="U155" i="1"/>
  <c r="GX147" i="1"/>
  <c r="T153" i="1"/>
  <c r="T151" i="1"/>
  <c r="U146" i="1"/>
  <c r="T155" i="1"/>
  <c r="W146" i="1"/>
  <c r="V146" i="1"/>
  <c r="U66" i="1"/>
  <c r="GX145" i="1"/>
  <c r="R145" i="1"/>
  <c r="U145" i="1"/>
  <c r="GX66" i="1"/>
  <c r="U154" i="1"/>
  <c r="T283" i="8"/>
  <c r="H283" i="8"/>
  <c r="H281" i="8"/>
  <c r="T281" i="8"/>
  <c r="CS144" i="1"/>
  <c r="R144" i="1" s="1"/>
  <c r="GM275" i="8"/>
  <c r="H275" i="8"/>
  <c r="GX161" i="1"/>
  <c r="Q158" i="1"/>
  <c r="P145" i="1"/>
  <c r="T279" i="8"/>
  <c r="H279" i="8"/>
  <c r="CV144" i="1"/>
  <c r="U144" i="1" s="1"/>
  <c r="H278" i="8"/>
  <c r="DF178" i="3"/>
  <c r="DJ178" i="3" s="1"/>
  <c r="T295" i="8"/>
  <c r="H295" i="8"/>
  <c r="GX160" i="1"/>
  <c r="E293" i="8"/>
  <c r="T293" i="8"/>
  <c r="H293" i="8"/>
  <c r="GX158" i="1"/>
  <c r="E291" i="8"/>
  <c r="T291" i="8"/>
  <c r="H291" i="8"/>
  <c r="GX156" i="1"/>
  <c r="E289" i="8"/>
  <c r="H289" i="8"/>
  <c r="T289" i="8"/>
  <c r="R151" i="1"/>
  <c r="U151" i="1"/>
  <c r="GX150" i="1"/>
  <c r="U160" i="1"/>
  <c r="V160" i="1"/>
  <c r="T287" i="8"/>
  <c r="H287" i="8"/>
  <c r="T285" i="8"/>
  <c r="H285" i="8"/>
  <c r="Q150" i="1"/>
  <c r="T150" i="1"/>
  <c r="P150" i="1"/>
  <c r="CT144" i="1"/>
  <c r="S144" i="1" s="1"/>
  <c r="T277" i="8"/>
  <c r="H277" i="8"/>
  <c r="T276" i="8"/>
  <c r="T273" i="8"/>
  <c r="H276" i="8"/>
  <c r="H273" i="8"/>
  <c r="AB159" i="1"/>
  <c r="AB157" i="1"/>
  <c r="AB155" i="1"/>
  <c r="AB153" i="1"/>
  <c r="AB151" i="1"/>
  <c r="AB149" i="1"/>
  <c r="AB147" i="1"/>
  <c r="AB145" i="1"/>
  <c r="P161" i="1"/>
  <c r="P159" i="1"/>
  <c r="P157" i="1"/>
  <c r="Q156" i="1"/>
  <c r="T156" i="1"/>
  <c r="DF174" i="3"/>
  <c r="DJ174" i="3" s="1"/>
  <c r="DF162" i="3"/>
  <c r="DJ162" i="3" s="1"/>
  <c r="S150" i="1"/>
  <c r="U148" i="1"/>
  <c r="T161" i="1"/>
  <c r="T159" i="1"/>
  <c r="T157" i="1"/>
  <c r="U156" i="1"/>
  <c r="V156" i="1"/>
  <c r="W154" i="1"/>
  <c r="V154" i="1"/>
  <c r="S148" i="1"/>
  <c r="R161" i="1"/>
  <c r="U161" i="1"/>
  <c r="R159" i="1"/>
  <c r="U159" i="1"/>
  <c r="R157" i="1"/>
  <c r="S156" i="1"/>
  <c r="P154" i="1"/>
  <c r="W152" i="1"/>
  <c r="Q148" i="1"/>
  <c r="T148" i="1"/>
  <c r="GX162" i="1"/>
  <c r="S160" i="1"/>
  <c r="U158" i="1"/>
  <c r="V158" i="1"/>
  <c r="R158" i="1"/>
  <c r="V148" i="1"/>
  <c r="R148" i="1"/>
  <c r="P146" i="1"/>
  <c r="W162" i="1"/>
  <c r="V162" i="1"/>
  <c r="Q162" i="1"/>
  <c r="Q160" i="1"/>
  <c r="T160" i="1"/>
  <c r="S158" i="1"/>
  <c r="R156" i="1"/>
  <c r="Q154" i="1"/>
  <c r="P162" i="1"/>
  <c r="T158" i="1"/>
  <c r="P158" i="1"/>
  <c r="V152" i="1"/>
  <c r="R152" i="1"/>
  <c r="R160" i="1"/>
  <c r="U152" i="1"/>
  <c r="R150" i="1"/>
  <c r="Q146" i="1"/>
  <c r="P153" i="1"/>
  <c r="P151" i="1"/>
  <c r="R149" i="1"/>
  <c r="U149" i="1"/>
  <c r="Q149" i="1"/>
  <c r="R147" i="1"/>
  <c r="U147" i="1"/>
  <c r="T145" i="1"/>
  <c r="U157" i="1"/>
  <c r="Q157" i="1"/>
  <c r="P149" i="1"/>
  <c r="Q145" i="1"/>
  <c r="Q161" i="1"/>
  <c r="Q153" i="1"/>
  <c r="T149" i="1"/>
  <c r="T147" i="1"/>
  <c r="T48" i="1"/>
  <c r="V48" i="1"/>
  <c r="W48" i="1"/>
  <c r="S48" i="1"/>
  <c r="U48" i="1"/>
  <c r="Q48" i="1"/>
  <c r="P48" i="1"/>
  <c r="P128" i="1"/>
  <c r="V66" i="1"/>
  <c r="GX56" i="1"/>
  <c r="R141" i="1"/>
  <c r="T139" i="1"/>
  <c r="CT138" i="1"/>
  <c r="S138" i="1" s="1"/>
  <c r="H262" i="8"/>
  <c r="T259" i="8"/>
  <c r="H259" i="8"/>
  <c r="T263" i="8"/>
  <c r="H263" i="8"/>
  <c r="T262" i="8"/>
  <c r="GX141" i="1"/>
  <c r="P141" i="1"/>
  <c r="T267" i="8"/>
  <c r="H267" i="8"/>
  <c r="Q139" i="1"/>
  <c r="CS138" i="1"/>
  <c r="R138" i="1" s="1"/>
  <c r="GM261" i="8"/>
  <c r="H261" i="8"/>
  <c r="T265" i="8"/>
  <c r="H265" i="8"/>
  <c r="CV138" i="1"/>
  <c r="U138" i="1" s="1"/>
  <c r="H264" i="8"/>
  <c r="CR138" i="1"/>
  <c r="Q138" i="1" s="1"/>
  <c r="T260" i="8"/>
  <c r="H260" i="8"/>
  <c r="AB141" i="1"/>
  <c r="AB139" i="1"/>
  <c r="AB138" i="1"/>
  <c r="W140" i="1"/>
  <c r="T141" i="1"/>
  <c r="W142" i="1"/>
  <c r="V142" i="1"/>
  <c r="R142" i="1"/>
  <c r="V140" i="1"/>
  <c r="Q140" i="1"/>
  <c r="U142" i="1"/>
  <c r="U140" i="1"/>
  <c r="P140" i="1"/>
  <c r="U141" i="1"/>
  <c r="R135" i="1"/>
  <c r="P132" i="1"/>
  <c r="W130" i="1"/>
  <c r="P129" i="1"/>
  <c r="W132" i="1"/>
  <c r="T135" i="1"/>
  <c r="CT134" i="1"/>
  <c r="S134" i="1" s="1"/>
  <c r="H247" i="8"/>
  <c r="T251" i="8"/>
  <c r="H251" i="8"/>
  <c r="T250" i="8"/>
  <c r="H250" i="8"/>
  <c r="T247" i="8"/>
  <c r="CS134" i="1"/>
  <c r="R134" i="1" s="1"/>
  <c r="GM249" i="8"/>
  <c r="H249" i="8"/>
  <c r="T253" i="8"/>
  <c r="H253" i="8"/>
  <c r="CV134" i="1"/>
  <c r="U134" i="1" s="1"/>
  <c r="H252" i="8"/>
  <c r="CR134" i="1"/>
  <c r="Q134" i="1" s="1"/>
  <c r="T248" i="8"/>
  <c r="H248" i="8"/>
  <c r="AB135" i="1"/>
  <c r="W136" i="1"/>
  <c r="V136" i="1"/>
  <c r="R136" i="1"/>
  <c r="U136" i="1"/>
  <c r="DF128" i="3"/>
  <c r="U135" i="1"/>
  <c r="P135" i="1"/>
  <c r="V132" i="1"/>
  <c r="GX129" i="1"/>
  <c r="R129" i="1"/>
  <c r="U129" i="1"/>
  <c r="W128" i="1"/>
  <c r="V128" i="1"/>
  <c r="P127" i="1"/>
  <c r="GX131" i="1"/>
  <c r="R131" i="1"/>
  <c r="U131" i="1"/>
  <c r="T129" i="1"/>
  <c r="GX127" i="1"/>
  <c r="R127" i="1"/>
  <c r="U127" i="1"/>
  <c r="V70" i="1"/>
  <c r="V60" i="1"/>
  <c r="T241" i="8"/>
  <c r="H241" i="8"/>
  <c r="T237" i="8"/>
  <c r="H237" i="8"/>
  <c r="CV126" i="1"/>
  <c r="U126" i="1" s="1"/>
  <c r="H236" i="8"/>
  <c r="T239" i="8"/>
  <c r="H239" i="8"/>
  <c r="V56" i="1"/>
  <c r="T127" i="1"/>
  <c r="CT126" i="1"/>
  <c r="S126" i="1" s="1"/>
  <c r="H235" i="8"/>
  <c r="T234" i="8"/>
  <c r="T231" i="8"/>
  <c r="H234" i="8"/>
  <c r="H231" i="8"/>
  <c r="T235" i="8"/>
  <c r="CS126" i="1"/>
  <c r="R126" i="1" s="1"/>
  <c r="H233" i="8"/>
  <c r="GM233" i="8"/>
  <c r="AB129" i="1"/>
  <c r="P131" i="1"/>
  <c r="Q129" i="1"/>
  <c r="Q132" i="1"/>
  <c r="Q128" i="1"/>
  <c r="V130" i="1"/>
  <c r="R130" i="1"/>
  <c r="U130" i="1"/>
  <c r="DF126" i="3"/>
  <c r="DJ126" i="3" s="1"/>
  <c r="T131" i="1"/>
  <c r="Q131" i="1"/>
  <c r="Q127" i="1"/>
  <c r="DG112" i="3"/>
  <c r="DG114" i="3"/>
  <c r="DF109" i="3"/>
  <c r="S73" i="1"/>
  <c r="T73" i="1"/>
  <c r="GX69" i="1"/>
  <c r="GX70" i="1"/>
  <c r="W124" i="1"/>
  <c r="V124" i="1"/>
  <c r="R124" i="1"/>
  <c r="BY282" i="1"/>
  <c r="BY117" i="1" s="1"/>
  <c r="T223" i="8"/>
  <c r="H223" i="8"/>
  <c r="CV120" i="1"/>
  <c r="U120" i="1" s="1"/>
  <c r="H222" i="8"/>
  <c r="R123" i="1"/>
  <c r="U123" i="1"/>
  <c r="T225" i="8"/>
  <c r="H225" i="8"/>
  <c r="CT120" i="1"/>
  <c r="S120" i="1" s="1"/>
  <c r="H220" i="8"/>
  <c r="H217" i="8"/>
  <c r="T221" i="8"/>
  <c r="H221" i="8"/>
  <c r="T220" i="8"/>
  <c r="T217" i="8"/>
  <c r="GX124" i="1"/>
  <c r="E225" i="8"/>
  <c r="CS120" i="1"/>
  <c r="R120" i="1" s="1"/>
  <c r="GM219" i="8"/>
  <c r="H219" i="8"/>
  <c r="AB123" i="1"/>
  <c r="AB121" i="1"/>
  <c r="FR282" i="1"/>
  <c r="FR117" i="1" s="1"/>
  <c r="FV282" i="1"/>
  <c r="FV117" i="1" s="1"/>
  <c r="GX123" i="1"/>
  <c r="P123" i="1"/>
  <c r="T121" i="1"/>
  <c r="CD282" i="1"/>
  <c r="CD117" i="1" s="1"/>
  <c r="GX121" i="1"/>
  <c r="R121" i="1"/>
  <c r="U121" i="1"/>
  <c r="Q121" i="1"/>
  <c r="T123" i="1"/>
  <c r="P121" i="1"/>
  <c r="BZ282" i="1"/>
  <c r="BZ117" i="1" s="1"/>
  <c r="V52" i="1"/>
  <c r="CR83" i="1"/>
  <c r="Q83" i="1" s="1"/>
  <c r="H144" i="8"/>
  <c r="T144" i="8"/>
  <c r="CP82" i="1"/>
  <c r="O82" i="1" s="1"/>
  <c r="W44" i="1"/>
  <c r="P74" i="1"/>
  <c r="U65" i="1"/>
  <c r="P65" i="1"/>
  <c r="U123" i="8" s="1"/>
  <c r="K123" i="8" s="1"/>
  <c r="R46" i="1"/>
  <c r="U46" i="1"/>
  <c r="GX44" i="1"/>
  <c r="R44" i="1"/>
  <c r="U44" i="1"/>
  <c r="Q44" i="1"/>
  <c r="S60" i="1"/>
  <c r="R74" i="1"/>
  <c r="U74" i="1"/>
  <c r="W65" i="1"/>
  <c r="V65" i="1"/>
  <c r="Q65" i="1"/>
  <c r="U79" i="1"/>
  <c r="V79" i="1"/>
  <c r="R79" i="1"/>
  <c r="U77" i="1"/>
  <c r="V77" i="1"/>
  <c r="T68" i="1"/>
  <c r="GX80" i="1"/>
  <c r="GX79" i="1"/>
  <c r="R68" i="1"/>
  <c r="U68" i="1"/>
  <c r="Q68" i="1"/>
  <c r="GX64" i="1"/>
  <c r="R64" i="1"/>
  <c r="U64" i="1"/>
  <c r="Q64" i="1"/>
  <c r="W61" i="1"/>
  <c r="DG68" i="3"/>
  <c r="DG67" i="3"/>
  <c r="Q75" i="1"/>
  <c r="P68" i="1"/>
  <c r="P64" i="1"/>
  <c r="DF71" i="3"/>
  <c r="DF43" i="3"/>
  <c r="T137" i="8"/>
  <c r="H137" i="8"/>
  <c r="GX77" i="1"/>
  <c r="E135" i="8"/>
  <c r="T135" i="8"/>
  <c r="H135" i="8"/>
  <c r="GX75" i="1"/>
  <c r="E133" i="8"/>
  <c r="H133" i="8"/>
  <c r="T133" i="8"/>
  <c r="T70" i="1"/>
  <c r="R69" i="1"/>
  <c r="T66" i="1"/>
  <c r="T131" i="8"/>
  <c r="H131" i="8"/>
  <c r="GX67" i="1"/>
  <c r="CT63" i="1"/>
  <c r="S63" i="1" s="1"/>
  <c r="T121" i="8"/>
  <c r="H121" i="8"/>
  <c r="T120" i="8"/>
  <c r="T117" i="8"/>
  <c r="H120" i="8"/>
  <c r="H117" i="8"/>
  <c r="R80" i="1"/>
  <c r="U80" i="1"/>
  <c r="Q80" i="1"/>
  <c r="T129" i="8"/>
  <c r="H129" i="8"/>
  <c r="H125" i="8"/>
  <c r="T125" i="8"/>
  <c r="CS63" i="1"/>
  <c r="R63" i="1" s="1"/>
  <c r="GM119" i="8"/>
  <c r="H119" i="8"/>
  <c r="DF79" i="3"/>
  <c r="DJ79" i="3" s="1"/>
  <c r="DG78" i="3"/>
  <c r="T139" i="8"/>
  <c r="H139" i="8"/>
  <c r="T127" i="8"/>
  <c r="H127" i="8"/>
  <c r="U67" i="1"/>
  <c r="V67" i="1"/>
  <c r="R67" i="1"/>
  <c r="T123" i="8"/>
  <c r="H123" i="8"/>
  <c r="CV63" i="1"/>
  <c r="U63" i="1" s="1"/>
  <c r="H122" i="8"/>
  <c r="AB78" i="1"/>
  <c r="AB76" i="1"/>
  <c r="AB74" i="1"/>
  <c r="AB72" i="1"/>
  <c r="AB70" i="1"/>
  <c r="AB66" i="1"/>
  <c r="AB64" i="1"/>
  <c r="W73" i="1"/>
  <c r="V73" i="1"/>
  <c r="R70" i="1"/>
  <c r="U70" i="1"/>
  <c r="Q67" i="1"/>
  <c r="T67" i="1"/>
  <c r="Q66" i="1"/>
  <c r="T64" i="1"/>
  <c r="DF86" i="3"/>
  <c r="DJ86" i="3" s="1"/>
  <c r="S79" i="1"/>
  <c r="T78" i="1"/>
  <c r="U73" i="1"/>
  <c r="W71" i="1"/>
  <c r="P70" i="1"/>
  <c r="Q69" i="1"/>
  <c r="Q79" i="1"/>
  <c r="T79" i="1"/>
  <c r="R78" i="1"/>
  <c r="U78" i="1"/>
  <c r="DG80" i="3"/>
  <c r="DF75" i="3"/>
  <c r="DJ75" i="3" s="1"/>
  <c r="DG74" i="3"/>
  <c r="P78" i="1"/>
  <c r="S67" i="1"/>
  <c r="DG88" i="3"/>
  <c r="DG86" i="3"/>
  <c r="DG82" i="3"/>
  <c r="DJ82" i="3" s="1"/>
  <c r="T75" i="1"/>
  <c r="U71" i="1"/>
  <c r="R77" i="1"/>
  <c r="W81" i="1"/>
  <c r="V81" i="1"/>
  <c r="Q81" i="1"/>
  <c r="S77" i="1"/>
  <c r="U75" i="1"/>
  <c r="V75" i="1"/>
  <c r="R75" i="1"/>
  <c r="Q73" i="1"/>
  <c r="S69" i="1"/>
  <c r="DF80" i="3"/>
  <c r="U81" i="1"/>
  <c r="P81" i="1"/>
  <c r="Q77" i="1"/>
  <c r="T77" i="1"/>
  <c r="P77" i="1"/>
  <c r="S75" i="1"/>
  <c r="P73" i="1"/>
  <c r="V71" i="1"/>
  <c r="R71" i="1"/>
  <c r="T69" i="1"/>
  <c r="P69" i="1"/>
  <c r="DF91" i="3"/>
  <c r="DJ91" i="3" s="1"/>
  <c r="DF87" i="3"/>
  <c r="DJ87" i="3" s="1"/>
  <c r="DF81" i="3"/>
  <c r="GX72" i="1"/>
  <c r="R72" i="1"/>
  <c r="U72" i="1"/>
  <c r="Q72" i="1"/>
  <c r="P80" i="1"/>
  <c r="T76" i="1"/>
  <c r="P72" i="1"/>
  <c r="R76" i="1"/>
  <c r="U76" i="1"/>
  <c r="Q76" i="1"/>
  <c r="T80" i="1"/>
  <c r="P76" i="1"/>
  <c r="T72" i="1"/>
  <c r="R58" i="1"/>
  <c r="U58" i="1"/>
  <c r="Q58" i="1"/>
  <c r="GX57" i="1"/>
  <c r="W53" i="1"/>
  <c r="V53" i="1"/>
  <c r="R53" i="1"/>
  <c r="U49" i="1"/>
  <c r="V49" i="1"/>
  <c r="R49" i="1"/>
  <c r="GX55" i="1"/>
  <c r="U53" i="1"/>
  <c r="V61" i="1"/>
  <c r="DF59" i="3"/>
  <c r="DJ59" i="3" s="1"/>
  <c r="T111" i="8"/>
  <c r="H111" i="8"/>
  <c r="GX59" i="1"/>
  <c r="E109" i="8"/>
  <c r="T109" i="8"/>
  <c r="H109" i="8"/>
  <c r="R56" i="1"/>
  <c r="U56" i="1"/>
  <c r="S55" i="1"/>
  <c r="GX47" i="1"/>
  <c r="E97" i="8"/>
  <c r="T107" i="8"/>
  <c r="H107" i="8"/>
  <c r="GX50" i="1"/>
  <c r="U47" i="1"/>
  <c r="V47" i="1"/>
  <c r="R47" i="1"/>
  <c r="W45" i="1"/>
  <c r="E95" i="8"/>
  <c r="CT43" i="1"/>
  <c r="S43" i="1" s="1"/>
  <c r="T93" i="8"/>
  <c r="H93" i="8"/>
  <c r="T92" i="8"/>
  <c r="T89" i="8"/>
  <c r="H92" i="8"/>
  <c r="H89" i="8"/>
  <c r="H105" i="8"/>
  <c r="T105" i="8"/>
  <c r="T101" i="8"/>
  <c r="H101" i="8"/>
  <c r="GM91" i="8"/>
  <c r="H91" i="8"/>
  <c r="T103" i="8"/>
  <c r="H103" i="8"/>
  <c r="GX49" i="1"/>
  <c r="E99" i="8"/>
  <c r="T99" i="8"/>
  <c r="H99" i="8"/>
  <c r="H97" i="8"/>
  <c r="T97" i="8"/>
  <c r="T95" i="8"/>
  <c r="H95" i="8"/>
  <c r="CV43" i="1"/>
  <c r="U43" i="1" s="1"/>
  <c r="H94" i="8"/>
  <c r="AB60" i="1"/>
  <c r="AB58" i="1"/>
  <c r="AB56" i="1"/>
  <c r="AB54" i="1"/>
  <c r="AB52" i="1"/>
  <c r="P50" i="1"/>
  <c r="P44" i="1"/>
  <c r="U61" i="1"/>
  <c r="T60" i="1"/>
  <c r="U59" i="1"/>
  <c r="V59" i="1"/>
  <c r="R59" i="1"/>
  <c r="P56" i="1"/>
  <c r="Q55" i="1"/>
  <c r="T55" i="1"/>
  <c r="P55" i="1"/>
  <c r="T52" i="1"/>
  <c r="R50" i="1"/>
  <c r="U50" i="1"/>
  <c r="W47" i="1"/>
  <c r="S47" i="1"/>
  <c r="P46" i="1"/>
  <c r="U45" i="1"/>
  <c r="R60" i="1"/>
  <c r="U60" i="1"/>
  <c r="GX52" i="1"/>
  <c r="R52" i="1"/>
  <c r="U52" i="1"/>
  <c r="GX60" i="1"/>
  <c r="P60" i="1"/>
  <c r="Q59" i="1"/>
  <c r="T59" i="1"/>
  <c r="P59" i="1"/>
  <c r="T56" i="1"/>
  <c r="U55" i="1"/>
  <c r="V55" i="1"/>
  <c r="R55" i="1"/>
  <c r="P52" i="1"/>
  <c r="U51" i="1"/>
  <c r="P51" i="1"/>
  <c r="GX46" i="1"/>
  <c r="T44" i="1"/>
  <c r="DF63" i="3"/>
  <c r="DJ63" i="3" s="1"/>
  <c r="DF42" i="3"/>
  <c r="S59" i="1"/>
  <c r="U57" i="1"/>
  <c r="V57" i="1"/>
  <c r="R57" i="1"/>
  <c r="W51" i="1"/>
  <c r="V51" i="1"/>
  <c r="Q51" i="1"/>
  <c r="T49" i="1"/>
  <c r="Q47" i="1"/>
  <c r="T47" i="1"/>
  <c r="S57" i="1"/>
  <c r="R61" i="1"/>
  <c r="Q57" i="1"/>
  <c r="T57" i="1"/>
  <c r="GX51" i="1"/>
  <c r="S49" i="1"/>
  <c r="DG57" i="3"/>
  <c r="R54" i="1"/>
  <c r="U54" i="1"/>
  <c r="Q54" i="1"/>
  <c r="Q50" i="1"/>
  <c r="DF51" i="3"/>
  <c r="DJ51" i="3" s="1"/>
  <c r="T58" i="1"/>
  <c r="P54" i="1"/>
  <c r="Q52" i="1"/>
  <c r="Q46" i="1"/>
  <c r="DF46" i="3"/>
  <c r="DJ46" i="3" s="1"/>
  <c r="DG45" i="3"/>
  <c r="DF45" i="3"/>
  <c r="P58" i="1"/>
  <c r="T54" i="1"/>
  <c r="T50" i="1"/>
  <c r="DG35" i="3"/>
  <c r="CT39" i="1"/>
  <c r="S39" i="1" s="1"/>
  <c r="H77" i="8"/>
  <c r="T81" i="8"/>
  <c r="H81" i="8"/>
  <c r="T80" i="8"/>
  <c r="H80" i="8"/>
  <c r="T77" i="8"/>
  <c r="T41" i="1"/>
  <c r="U41" i="1"/>
  <c r="CS39" i="1"/>
  <c r="R39" i="1" s="1"/>
  <c r="GM79" i="8"/>
  <c r="H79" i="8"/>
  <c r="CV39" i="1"/>
  <c r="U39" i="1" s="1"/>
  <c r="H82" i="8"/>
  <c r="CR39" i="1"/>
  <c r="Q39" i="1" s="1"/>
  <c r="T78" i="8"/>
  <c r="H78" i="8"/>
  <c r="T83" i="8"/>
  <c r="H83" i="8"/>
  <c r="P40" i="1"/>
  <c r="DG29" i="3"/>
  <c r="W41" i="1"/>
  <c r="V41" i="1"/>
  <c r="GX40" i="1"/>
  <c r="DG33" i="3"/>
  <c r="DG39" i="3"/>
  <c r="DF38" i="3"/>
  <c r="DG38" i="3"/>
  <c r="V40" i="1"/>
  <c r="W40" i="1"/>
  <c r="S40" i="1"/>
  <c r="T40" i="1"/>
  <c r="R40" i="1"/>
  <c r="DF29" i="3"/>
  <c r="U40" i="1"/>
  <c r="Q40" i="1"/>
  <c r="DF30" i="3"/>
  <c r="R36" i="1"/>
  <c r="U36" i="1"/>
  <c r="Q36" i="1"/>
  <c r="GX36" i="1"/>
  <c r="T36" i="1"/>
  <c r="CT35" i="1"/>
  <c r="S35" i="1" s="1"/>
  <c r="H65" i="8"/>
  <c r="T69" i="8"/>
  <c r="H69" i="8"/>
  <c r="T68" i="8"/>
  <c r="H68" i="8"/>
  <c r="T65" i="8"/>
  <c r="U37" i="1"/>
  <c r="E71" i="8"/>
  <c r="CS35" i="1"/>
  <c r="R35" i="1" s="1"/>
  <c r="GM67" i="8"/>
  <c r="H67" i="8"/>
  <c r="T71" i="8"/>
  <c r="H71" i="8"/>
  <c r="CV35" i="1"/>
  <c r="U35" i="1" s="1"/>
  <c r="H70" i="8"/>
  <c r="CR35" i="1"/>
  <c r="Q35" i="1" s="1"/>
  <c r="T66" i="8"/>
  <c r="H66" i="8"/>
  <c r="DF27" i="3"/>
  <c r="DF28" i="3"/>
  <c r="DJ28" i="3" s="1"/>
  <c r="W37" i="1"/>
  <c r="V37" i="1"/>
  <c r="S37" i="1"/>
  <c r="T37" i="1"/>
  <c r="P36" i="1"/>
  <c r="DG6" i="3"/>
  <c r="DG13" i="3"/>
  <c r="W33" i="1"/>
  <c r="V33" i="1"/>
  <c r="DF2" i="3"/>
  <c r="T59" i="8"/>
  <c r="H59" i="8"/>
  <c r="V31" i="1"/>
  <c r="T57" i="8"/>
  <c r="H57" i="8"/>
  <c r="CT29" i="1"/>
  <c r="S29" i="1" s="1"/>
  <c r="H54" i="8"/>
  <c r="H51" i="8"/>
  <c r="T55" i="8"/>
  <c r="H55" i="8"/>
  <c r="T54" i="8"/>
  <c r="T51" i="8"/>
  <c r="GM53" i="8"/>
  <c r="H53" i="8"/>
  <c r="U33" i="1"/>
  <c r="E59" i="8"/>
  <c r="W31" i="1"/>
  <c r="E57" i="8"/>
  <c r="CV29" i="1"/>
  <c r="U29" i="1" s="1"/>
  <c r="H56" i="8"/>
  <c r="P32" i="1"/>
  <c r="BZ85" i="1"/>
  <c r="CG85" i="1" s="1"/>
  <c r="CG26" i="1" s="1"/>
  <c r="BY85" i="1"/>
  <c r="BY26" i="1" s="1"/>
  <c r="DF8" i="3"/>
  <c r="GX30" i="1"/>
  <c r="R30" i="1"/>
  <c r="U30" i="1"/>
  <c r="DG9" i="3"/>
  <c r="S33" i="1"/>
  <c r="T33" i="1"/>
  <c r="U31" i="1"/>
  <c r="DF10" i="3"/>
  <c r="GX31" i="1"/>
  <c r="T31" i="1"/>
  <c r="FQ85" i="1"/>
  <c r="FQ26" i="1" s="1"/>
  <c r="DF9" i="3"/>
  <c r="Q30" i="1"/>
  <c r="T32" i="1"/>
  <c r="R32" i="1"/>
  <c r="P30" i="1"/>
  <c r="DF3" i="3"/>
  <c r="GX32" i="1"/>
  <c r="U32" i="1"/>
  <c r="Q32" i="1"/>
  <c r="V30" i="1"/>
  <c r="W30" i="1"/>
  <c r="S30" i="1"/>
  <c r="FR85" i="1"/>
  <c r="FY85" i="1" s="1"/>
  <c r="FY26" i="1" s="1"/>
  <c r="CS361" i="1"/>
  <c r="R361" i="1" s="1"/>
  <c r="CS317" i="1"/>
  <c r="R317" i="1" s="1"/>
  <c r="CS316" i="1"/>
  <c r="R316" i="1" s="1"/>
  <c r="CS252" i="1"/>
  <c r="R252" i="1" s="1"/>
  <c r="CP183" i="1"/>
  <c r="O183" i="1" s="1"/>
  <c r="FV85" i="1"/>
  <c r="EM85" i="1" s="1"/>
  <c r="AB341" i="1"/>
  <c r="AB259" i="1"/>
  <c r="AB239" i="1"/>
  <c r="CD85" i="1"/>
  <c r="CD26" i="1" s="1"/>
  <c r="CS340" i="1"/>
  <c r="R340" i="1" s="1"/>
  <c r="CY340" i="1" s="1"/>
  <c r="X340" i="1" s="1"/>
  <c r="AB331" i="1"/>
  <c r="AB325" i="1"/>
  <c r="AB316" i="1"/>
  <c r="AB266" i="1"/>
  <c r="AB223" i="1"/>
  <c r="AB204" i="1"/>
  <c r="CY398" i="1"/>
  <c r="X398" i="1" s="1"/>
  <c r="CZ398" i="1"/>
  <c r="Y398" i="1" s="1"/>
  <c r="CR405" i="1"/>
  <c r="Q405" i="1" s="1"/>
  <c r="AB405" i="1"/>
  <c r="CP404" i="1"/>
  <c r="O404" i="1" s="1"/>
  <c r="CR399" i="1"/>
  <c r="Q399" i="1" s="1"/>
  <c r="AB399" i="1"/>
  <c r="CR403" i="1"/>
  <c r="Q403" i="1" s="1"/>
  <c r="AB403" i="1"/>
  <c r="CR397" i="1"/>
  <c r="Q397" i="1" s="1"/>
  <c r="AB397" i="1"/>
  <c r="CR400" i="1"/>
  <c r="Q400" i="1" s="1"/>
  <c r="AB400" i="1"/>
  <c r="CR394" i="1"/>
  <c r="Q394" i="1" s="1"/>
  <c r="AB394" i="1"/>
  <c r="CY404" i="1"/>
  <c r="X404" i="1" s="1"/>
  <c r="CZ404" i="1"/>
  <c r="Y404" i="1" s="1"/>
  <c r="CP398" i="1"/>
  <c r="O398" i="1" s="1"/>
  <c r="CR393" i="1"/>
  <c r="Q393" i="1" s="1"/>
  <c r="AB393" i="1"/>
  <c r="EG407" i="1"/>
  <c r="BC407" i="1"/>
  <c r="CT390" i="1"/>
  <c r="S390" i="1" s="1"/>
  <c r="CY384" i="1"/>
  <c r="X384" i="1" s="1"/>
  <c r="CZ384" i="1"/>
  <c r="Y384" i="1" s="1"/>
  <c r="CP368" i="1"/>
  <c r="O368" i="1" s="1"/>
  <c r="CP340" i="1"/>
  <c r="O340" i="1" s="1"/>
  <c r="CY280" i="1"/>
  <c r="X280" i="1" s="1"/>
  <c r="CY273" i="1"/>
  <c r="X273" i="1" s="1"/>
  <c r="CZ273" i="1"/>
  <c r="Y273" i="1" s="1"/>
  <c r="CY271" i="1"/>
  <c r="X271" i="1" s="1"/>
  <c r="CZ271" i="1"/>
  <c r="Y271" i="1" s="1"/>
  <c r="CP265" i="1"/>
  <c r="O265" i="1" s="1"/>
  <c r="EV407" i="1"/>
  <c r="BB407" i="1"/>
  <c r="CQ402" i="1"/>
  <c r="P402" i="1" s="1"/>
  <c r="CS400" i="1"/>
  <c r="R400" i="1" s="1"/>
  <c r="CQ396" i="1"/>
  <c r="P396" i="1" s="1"/>
  <c r="CS394" i="1"/>
  <c r="R394" i="1" s="1"/>
  <c r="CQ392" i="1"/>
  <c r="P392" i="1" s="1"/>
  <c r="CP374" i="1"/>
  <c r="O374" i="1" s="1"/>
  <c r="CY368" i="1"/>
  <c r="X368" i="1" s="1"/>
  <c r="CZ368" i="1"/>
  <c r="Y368" i="1" s="1"/>
  <c r="CY353" i="1"/>
  <c r="X353" i="1" s="1"/>
  <c r="CZ353" i="1"/>
  <c r="Y353" i="1" s="1"/>
  <c r="CP352" i="1"/>
  <c r="O352" i="1" s="1"/>
  <c r="CP330" i="1"/>
  <c r="O330" i="1" s="1"/>
  <c r="CP324" i="1"/>
  <c r="O324" i="1" s="1"/>
  <c r="CY265" i="1"/>
  <c r="X265" i="1" s="1"/>
  <c r="CZ265" i="1"/>
  <c r="Y265" i="1" s="1"/>
  <c r="EU407" i="1"/>
  <c r="AO407" i="1"/>
  <c r="CY374" i="1"/>
  <c r="X374" i="1" s="1"/>
  <c r="CZ374" i="1"/>
  <c r="Y374" i="1" s="1"/>
  <c r="CY354" i="1"/>
  <c r="X354" i="1" s="1"/>
  <c r="CZ354" i="1"/>
  <c r="Y354" i="1" s="1"/>
  <c r="CY352" i="1"/>
  <c r="X352" i="1" s="1"/>
  <c r="CZ352" i="1"/>
  <c r="Y352" i="1" s="1"/>
  <c r="CY330" i="1"/>
  <c r="X330" i="1" s="1"/>
  <c r="CZ330" i="1"/>
  <c r="Y330" i="1" s="1"/>
  <c r="CY324" i="1"/>
  <c r="X324" i="1" s="1"/>
  <c r="CZ324" i="1"/>
  <c r="Y324" i="1" s="1"/>
  <c r="ET407" i="1"/>
  <c r="BD407" i="1"/>
  <c r="CR376" i="1"/>
  <c r="Q376" i="1" s="1"/>
  <c r="AB376" i="1"/>
  <c r="AB364" i="1"/>
  <c r="CY279" i="1"/>
  <c r="X279" i="1" s="1"/>
  <c r="CZ279" i="1"/>
  <c r="Y279" i="1" s="1"/>
  <c r="CP273" i="1"/>
  <c r="O273" i="1" s="1"/>
  <c r="CY272" i="1"/>
  <c r="X272" i="1" s="1"/>
  <c r="CZ272" i="1"/>
  <c r="Y272" i="1" s="1"/>
  <c r="AB386" i="1"/>
  <c r="AB378" i="1"/>
  <c r="CR373" i="1"/>
  <c r="Q373" i="1" s="1"/>
  <c r="CS372" i="1"/>
  <c r="R372" i="1" s="1"/>
  <c r="AB372" i="1"/>
  <c r="CT371" i="1"/>
  <c r="S371" i="1" s="1"/>
  <c r="CQ370" i="1"/>
  <c r="P370" i="1" s="1"/>
  <c r="AD370" i="1"/>
  <c r="CR370" i="1" s="1"/>
  <c r="Q370" i="1" s="1"/>
  <c r="CR369" i="1"/>
  <c r="Q369" i="1" s="1"/>
  <c r="CS366" i="1"/>
  <c r="R366" i="1" s="1"/>
  <c r="AB366" i="1"/>
  <c r="CQ364" i="1"/>
  <c r="P364" i="1" s="1"/>
  <c r="AD364" i="1"/>
  <c r="CR364" i="1" s="1"/>
  <c r="Q364" i="1" s="1"/>
  <c r="CS362" i="1"/>
  <c r="R362" i="1" s="1"/>
  <c r="AB362" i="1"/>
  <c r="CR360" i="1"/>
  <c r="Q360" i="1" s="1"/>
  <c r="CP360" i="1" s="1"/>
  <c r="O360" i="1" s="1"/>
  <c r="CQ358" i="1"/>
  <c r="P358" i="1" s="1"/>
  <c r="AD358" i="1"/>
  <c r="CR358" i="1" s="1"/>
  <c r="Q358" i="1" s="1"/>
  <c r="CS356" i="1"/>
  <c r="R356" i="1" s="1"/>
  <c r="AB356" i="1"/>
  <c r="CQ350" i="1"/>
  <c r="P350" i="1" s="1"/>
  <c r="CS348" i="1"/>
  <c r="R348" i="1" s="1"/>
  <c r="AB348" i="1"/>
  <c r="CQ346" i="1"/>
  <c r="P346" i="1" s="1"/>
  <c r="AB344" i="1"/>
  <c r="CQ342" i="1"/>
  <c r="P342" i="1" s="1"/>
  <c r="AD342" i="1"/>
  <c r="CR342" i="1" s="1"/>
  <c r="Q342" i="1" s="1"/>
  <c r="CS338" i="1"/>
  <c r="R338" i="1" s="1"/>
  <c r="AB338" i="1"/>
  <c r="CQ336" i="1"/>
  <c r="P336" i="1" s="1"/>
  <c r="AD336" i="1"/>
  <c r="CR336" i="1" s="1"/>
  <c r="Q336" i="1" s="1"/>
  <c r="CS334" i="1"/>
  <c r="R334" i="1" s="1"/>
  <c r="AB334" i="1"/>
  <c r="CQ332" i="1"/>
  <c r="P332" i="1" s="1"/>
  <c r="AD332" i="1"/>
  <c r="CR332" i="1" s="1"/>
  <c r="Q332" i="1" s="1"/>
  <c r="CS328" i="1"/>
  <c r="R328" i="1" s="1"/>
  <c r="AB328" i="1"/>
  <c r="CQ326" i="1"/>
  <c r="P326" i="1" s="1"/>
  <c r="AD326" i="1"/>
  <c r="CR326" i="1" s="1"/>
  <c r="Q326" i="1" s="1"/>
  <c r="CS322" i="1"/>
  <c r="R322" i="1" s="1"/>
  <c r="AB322" i="1"/>
  <c r="CQ320" i="1"/>
  <c r="P320" i="1" s="1"/>
  <c r="AD320" i="1"/>
  <c r="CR320" i="1" s="1"/>
  <c r="Q320" i="1" s="1"/>
  <c r="AB318" i="1"/>
  <c r="ET282" i="1"/>
  <c r="BD282" i="1"/>
  <c r="CR280" i="1"/>
  <c r="Q280" i="1" s="1"/>
  <c r="CR278" i="1"/>
  <c r="Q278" i="1" s="1"/>
  <c r="CS277" i="1"/>
  <c r="R277" i="1" s="1"/>
  <c r="AB277" i="1"/>
  <c r="CT276" i="1"/>
  <c r="S276" i="1" s="1"/>
  <c r="CQ275" i="1"/>
  <c r="P275" i="1" s="1"/>
  <c r="AD275" i="1"/>
  <c r="CR275" i="1" s="1"/>
  <c r="Q275" i="1" s="1"/>
  <c r="CR274" i="1"/>
  <c r="Q274" i="1" s="1"/>
  <c r="CR272" i="1"/>
  <c r="Q272" i="1" s="1"/>
  <c r="CR271" i="1"/>
  <c r="Q271" i="1" s="1"/>
  <c r="CP271" i="1" s="1"/>
  <c r="O271" i="1" s="1"/>
  <c r="CR270" i="1"/>
  <c r="Q270" i="1" s="1"/>
  <c r="CS269" i="1"/>
  <c r="R269" i="1" s="1"/>
  <c r="AB269" i="1"/>
  <c r="CT268" i="1"/>
  <c r="S268" i="1" s="1"/>
  <c r="CQ267" i="1"/>
  <c r="P267" i="1" s="1"/>
  <c r="AD267" i="1"/>
  <c r="CR267" i="1" s="1"/>
  <c r="Q267" i="1" s="1"/>
  <c r="CR264" i="1"/>
  <c r="Q264" i="1" s="1"/>
  <c r="CS389" i="1"/>
  <c r="R389" i="1" s="1"/>
  <c r="AB389" i="1"/>
  <c r="CT388" i="1"/>
  <c r="S388" i="1" s="1"/>
  <c r="CQ387" i="1"/>
  <c r="P387" i="1" s="1"/>
  <c r="AD387" i="1"/>
  <c r="CR387" i="1" s="1"/>
  <c r="Q387" i="1" s="1"/>
  <c r="CS385" i="1"/>
  <c r="R385" i="1" s="1"/>
  <c r="AB385" i="1"/>
  <c r="CQ384" i="1"/>
  <c r="P384" i="1" s="1"/>
  <c r="AD384" i="1"/>
  <c r="CR384" i="1" s="1"/>
  <c r="Q384" i="1" s="1"/>
  <c r="CS383" i="1"/>
  <c r="R383" i="1" s="1"/>
  <c r="AB383" i="1"/>
  <c r="CT382" i="1"/>
  <c r="S382" i="1" s="1"/>
  <c r="CQ381" i="1"/>
  <c r="P381" i="1" s="1"/>
  <c r="AD381" i="1"/>
  <c r="CS380" i="1"/>
  <c r="R380" i="1" s="1"/>
  <c r="CY380" i="1" s="1"/>
  <c r="X380" i="1" s="1"/>
  <c r="AB380" i="1"/>
  <c r="CQ379" i="1"/>
  <c r="P379" i="1" s="1"/>
  <c r="AD379" i="1"/>
  <c r="CR379" i="1" s="1"/>
  <c r="Q379" i="1" s="1"/>
  <c r="CS377" i="1"/>
  <c r="R377" i="1" s="1"/>
  <c r="AB377" i="1"/>
  <c r="CQ375" i="1"/>
  <c r="P375" i="1" s="1"/>
  <c r="AB374" i="1"/>
  <c r="AB368" i="1"/>
  <c r="AB365" i="1"/>
  <c r="AB359" i="1"/>
  <c r="AB353" i="1"/>
  <c r="AB352" i="1"/>
  <c r="AB351" i="1"/>
  <c r="AB347" i="1"/>
  <c r="AB343" i="1"/>
  <c r="AB340" i="1"/>
  <c r="AB337" i="1"/>
  <c r="AB333" i="1"/>
  <c r="AB330" i="1"/>
  <c r="AB327" i="1"/>
  <c r="AB324" i="1"/>
  <c r="AB321" i="1"/>
  <c r="EG282" i="1"/>
  <c r="BC282" i="1"/>
  <c r="AB279" i="1"/>
  <c r="AB273" i="1"/>
  <c r="AB265" i="1"/>
  <c r="CS261" i="1"/>
  <c r="R261" i="1" s="1"/>
  <c r="AD261" i="1"/>
  <c r="CR261" i="1" s="1"/>
  <c r="Q261" i="1" s="1"/>
  <c r="CT367" i="1"/>
  <c r="S367" i="1" s="1"/>
  <c r="CT363" i="1"/>
  <c r="S363" i="1" s="1"/>
  <c r="CT357" i="1"/>
  <c r="S357" i="1" s="1"/>
  <c r="CT349" i="1"/>
  <c r="S349" i="1" s="1"/>
  <c r="CT345" i="1"/>
  <c r="S345" i="1" s="1"/>
  <c r="CT341" i="1"/>
  <c r="S341" i="1" s="1"/>
  <c r="CT339" i="1"/>
  <c r="S339" i="1" s="1"/>
  <c r="CT335" i="1"/>
  <c r="S335" i="1" s="1"/>
  <c r="CT331" i="1"/>
  <c r="S331" i="1" s="1"/>
  <c r="CT329" i="1"/>
  <c r="S329" i="1" s="1"/>
  <c r="CT325" i="1"/>
  <c r="S325" i="1" s="1"/>
  <c r="CT323" i="1"/>
  <c r="S323" i="1" s="1"/>
  <c r="CT319" i="1"/>
  <c r="S319" i="1" s="1"/>
  <c r="CT316" i="1"/>
  <c r="S316" i="1" s="1"/>
  <c r="CP316" i="1" s="1"/>
  <c r="O316" i="1" s="1"/>
  <c r="EV282" i="1"/>
  <c r="BB282" i="1"/>
  <c r="AD263" i="1"/>
  <c r="CR263" i="1" s="1"/>
  <c r="Q263" i="1" s="1"/>
  <c r="CS263" i="1"/>
  <c r="R263" i="1" s="1"/>
  <c r="AB261" i="1"/>
  <c r="CQ261" i="1"/>
  <c r="P261" i="1" s="1"/>
  <c r="AB260" i="1"/>
  <c r="CR260" i="1"/>
  <c r="Q260" i="1" s="1"/>
  <c r="CY203" i="1"/>
  <c r="X203" i="1" s="1"/>
  <c r="CZ203" i="1"/>
  <c r="Y203" i="1" s="1"/>
  <c r="EU282" i="1"/>
  <c r="AO282" i="1"/>
  <c r="CQ263" i="1"/>
  <c r="P263" i="1" s="1"/>
  <c r="AB263" i="1"/>
  <c r="AB262" i="1"/>
  <c r="AB235" i="1"/>
  <c r="CY227" i="1"/>
  <c r="X227" i="1" s="1"/>
  <c r="CZ227" i="1"/>
  <c r="Y227" i="1" s="1"/>
  <c r="CY224" i="1"/>
  <c r="X224" i="1" s="1"/>
  <c r="CT259" i="1"/>
  <c r="S259" i="1" s="1"/>
  <c r="CR258" i="1"/>
  <c r="Q258" i="1" s="1"/>
  <c r="CS257" i="1"/>
  <c r="R257" i="1" s="1"/>
  <c r="AB257" i="1"/>
  <c r="CT256" i="1"/>
  <c r="S256" i="1" s="1"/>
  <c r="CQ255" i="1"/>
  <c r="P255" i="1" s="1"/>
  <c r="AD255" i="1"/>
  <c r="CR255" i="1" s="1"/>
  <c r="Q255" i="1" s="1"/>
  <c r="CR254" i="1"/>
  <c r="Q254" i="1" s="1"/>
  <c r="CS253" i="1"/>
  <c r="R253" i="1" s="1"/>
  <c r="AB253" i="1"/>
  <c r="CT252" i="1"/>
  <c r="S252" i="1" s="1"/>
  <c r="CR251" i="1"/>
  <c r="Q251" i="1" s="1"/>
  <c r="CP251" i="1" s="1"/>
  <c r="O251" i="1" s="1"/>
  <c r="CT250" i="1"/>
  <c r="S250" i="1" s="1"/>
  <c r="CQ249" i="1"/>
  <c r="P249" i="1" s="1"/>
  <c r="AD249" i="1"/>
  <c r="CR249" i="1" s="1"/>
  <c r="Q249" i="1" s="1"/>
  <c r="CR248" i="1"/>
  <c r="Q248" i="1" s="1"/>
  <c r="CS247" i="1"/>
  <c r="R247" i="1" s="1"/>
  <c r="CY247" i="1" s="1"/>
  <c r="X247" i="1" s="1"/>
  <c r="AB247" i="1"/>
  <c r="CT246" i="1"/>
  <c r="S246" i="1" s="1"/>
  <c r="CQ245" i="1"/>
  <c r="P245" i="1" s="1"/>
  <c r="AD245" i="1"/>
  <c r="CR245" i="1" s="1"/>
  <c r="Q245" i="1" s="1"/>
  <c r="CR244" i="1"/>
  <c r="Q244" i="1" s="1"/>
  <c r="CS243" i="1"/>
  <c r="R243" i="1" s="1"/>
  <c r="AB243" i="1"/>
  <c r="CT242" i="1"/>
  <c r="S242" i="1" s="1"/>
  <c r="CQ241" i="1"/>
  <c r="P241" i="1" s="1"/>
  <c r="AD241" i="1"/>
  <c r="CR241" i="1" s="1"/>
  <c r="Q241" i="1" s="1"/>
  <c r="CT239" i="1"/>
  <c r="S239" i="1" s="1"/>
  <c r="CR238" i="1"/>
  <c r="Q238" i="1" s="1"/>
  <c r="CS237" i="1"/>
  <c r="R237" i="1" s="1"/>
  <c r="AB237" i="1"/>
  <c r="CT236" i="1"/>
  <c r="S236" i="1" s="1"/>
  <c r="CQ235" i="1"/>
  <c r="P235" i="1" s="1"/>
  <c r="AD235" i="1"/>
  <c r="CR235" i="1" s="1"/>
  <c r="Q235" i="1" s="1"/>
  <c r="CR234" i="1"/>
  <c r="Q234" i="1" s="1"/>
  <c r="CS233" i="1"/>
  <c r="R233" i="1" s="1"/>
  <c r="AB233" i="1"/>
  <c r="CT232" i="1"/>
  <c r="S232" i="1" s="1"/>
  <c r="CQ231" i="1"/>
  <c r="P231" i="1" s="1"/>
  <c r="AD231" i="1"/>
  <c r="CR231" i="1" s="1"/>
  <c r="Q231" i="1" s="1"/>
  <c r="CR230" i="1"/>
  <c r="Q230" i="1" s="1"/>
  <c r="CS229" i="1"/>
  <c r="R229" i="1" s="1"/>
  <c r="AB229" i="1"/>
  <c r="CT228" i="1"/>
  <c r="S228" i="1" s="1"/>
  <c r="CR227" i="1"/>
  <c r="Q227" i="1" s="1"/>
  <c r="CP227" i="1" s="1"/>
  <c r="O227" i="1" s="1"/>
  <c r="CT226" i="1"/>
  <c r="S226" i="1" s="1"/>
  <c r="CQ225" i="1"/>
  <c r="P225" i="1" s="1"/>
  <c r="AD225" i="1"/>
  <c r="CR225" i="1" s="1"/>
  <c r="Q225" i="1" s="1"/>
  <c r="CR224" i="1"/>
  <c r="Q224" i="1" s="1"/>
  <c r="CT223" i="1"/>
  <c r="S223" i="1" s="1"/>
  <c r="CR222" i="1"/>
  <c r="Q222" i="1" s="1"/>
  <c r="CS221" i="1"/>
  <c r="R221" i="1" s="1"/>
  <c r="AB221" i="1"/>
  <c r="CT220" i="1"/>
  <c r="S220" i="1" s="1"/>
  <c r="CQ219" i="1"/>
  <c r="P219" i="1" s="1"/>
  <c r="CR218" i="1"/>
  <c r="Q218" i="1" s="1"/>
  <c r="AB217" i="1"/>
  <c r="CT216" i="1"/>
  <c r="S216" i="1" s="1"/>
  <c r="CQ215" i="1"/>
  <c r="P215" i="1" s="1"/>
  <c r="CR214" i="1"/>
  <c r="Q214" i="1" s="1"/>
  <c r="CS213" i="1"/>
  <c r="R213" i="1" s="1"/>
  <c r="AB213" i="1"/>
  <c r="CT212" i="1"/>
  <c r="S212" i="1" s="1"/>
  <c r="CQ211" i="1"/>
  <c r="P211" i="1" s="1"/>
  <c r="AD211" i="1"/>
  <c r="CR211" i="1" s="1"/>
  <c r="Q211" i="1" s="1"/>
  <c r="CR210" i="1"/>
  <c r="Q210" i="1" s="1"/>
  <c r="AB209" i="1"/>
  <c r="CT208" i="1"/>
  <c r="S208" i="1" s="1"/>
  <c r="CQ207" i="1"/>
  <c r="P207" i="1" s="1"/>
  <c r="CR206" i="1"/>
  <c r="Q206" i="1" s="1"/>
  <c r="CS205" i="1"/>
  <c r="R205" i="1" s="1"/>
  <c r="AB205" i="1"/>
  <c r="CT204" i="1"/>
  <c r="S204" i="1" s="1"/>
  <c r="CR203" i="1"/>
  <c r="Q203" i="1" s="1"/>
  <c r="CP203" i="1" s="1"/>
  <c r="O203" i="1" s="1"/>
  <c r="CT202" i="1"/>
  <c r="S202" i="1" s="1"/>
  <c r="CQ201" i="1"/>
  <c r="P201" i="1" s="1"/>
  <c r="AD201" i="1"/>
  <c r="CR201" i="1" s="1"/>
  <c r="Q201" i="1" s="1"/>
  <c r="CR200" i="1"/>
  <c r="Q200" i="1" s="1"/>
  <c r="AB199" i="1"/>
  <c r="AD194" i="1"/>
  <c r="CR194" i="1" s="1"/>
  <c r="Q194" i="1" s="1"/>
  <c r="CS194" i="1"/>
  <c r="R194" i="1" s="1"/>
  <c r="CS192" i="1"/>
  <c r="R192" i="1" s="1"/>
  <c r="AD192" i="1"/>
  <c r="CR192" i="1" s="1"/>
  <c r="Q192" i="1" s="1"/>
  <c r="CS184" i="1"/>
  <c r="R184" i="1" s="1"/>
  <c r="AD184" i="1"/>
  <c r="CP125" i="1"/>
  <c r="O125" i="1" s="1"/>
  <c r="CQ198" i="1"/>
  <c r="P198" i="1" s="1"/>
  <c r="AB198" i="1"/>
  <c r="CQ194" i="1"/>
  <c r="P194" i="1" s="1"/>
  <c r="AB192" i="1"/>
  <c r="CQ192" i="1"/>
  <c r="P192" i="1" s="1"/>
  <c r="AB191" i="1"/>
  <c r="CQ190" i="1"/>
  <c r="P190" i="1" s="1"/>
  <c r="AB190" i="1"/>
  <c r="AD186" i="1"/>
  <c r="CR186" i="1" s="1"/>
  <c r="Q186" i="1" s="1"/>
  <c r="CS186" i="1"/>
  <c r="R186" i="1" s="1"/>
  <c r="CQ184" i="1"/>
  <c r="P184" i="1" s="1"/>
  <c r="CZ119" i="1"/>
  <c r="Y119" i="1" s="1"/>
  <c r="CY119" i="1"/>
  <c r="X119" i="1" s="1"/>
  <c r="W197" i="1"/>
  <c r="S197" i="1"/>
  <c r="AB197" i="1"/>
  <c r="AB196" i="1"/>
  <c r="CQ196" i="1"/>
  <c r="P196" i="1" s="1"/>
  <c r="W193" i="1"/>
  <c r="S193" i="1"/>
  <c r="AB193" i="1"/>
  <c r="W189" i="1"/>
  <c r="S189" i="1"/>
  <c r="AB189" i="1"/>
  <c r="AB188" i="1"/>
  <c r="CQ188" i="1"/>
  <c r="P188" i="1" s="1"/>
  <c r="CQ186" i="1"/>
  <c r="P186" i="1" s="1"/>
  <c r="W185" i="1"/>
  <c r="S185" i="1"/>
  <c r="AB185" i="1"/>
  <c r="CZ163" i="1"/>
  <c r="Y163" i="1" s="1"/>
  <c r="CY163" i="1"/>
  <c r="X163" i="1" s="1"/>
  <c r="CP143" i="1"/>
  <c r="O143" i="1" s="1"/>
  <c r="CY137" i="1"/>
  <c r="X137" i="1" s="1"/>
  <c r="CZ137" i="1"/>
  <c r="Y137" i="1" s="1"/>
  <c r="CZ133" i="1"/>
  <c r="Y133" i="1" s="1"/>
  <c r="CY133" i="1"/>
  <c r="X133" i="1" s="1"/>
  <c r="U124" i="1"/>
  <c r="AB124" i="1"/>
  <c r="W195" i="1"/>
  <c r="S195" i="1"/>
  <c r="AB195" i="1"/>
  <c r="W187" i="1"/>
  <c r="S187" i="1"/>
  <c r="AB187" i="1"/>
  <c r="CP137" i="1"/>
  <c r="O137" i="1" s="1"/>
  <c r="AB130" i="1"/>
  <c r="S124" i="1"/>
  <c r="T124" i="1"/>
  <c r="CS183" i="1"/>
  <c r="R183" i="1" s="1"/>
  <c r="CY183" i="1" s="1"/>
  <c r="X183" i="1" s="1"/>
  <c r="AB183" i="1"/>
  <c r="CQ182" i="1"/>
  <c r="P182" i="1" s="1"/>
  <c r="AD182" i="1"/>
  <c r="CR182" i="1" s="1"/>
  <c r="Q182" i="1" s="1"/>
  <c r="CR181" i="1"/>
  <c r="Q181" i="1" s="1"/>
  <c r="AB180" i="1"/>
  <c r="CT179" i="1"/>
  <c r="S179" i="1" s="1"/>
  <c r="CQ178" i="1"/>
  <c r="P178" i="1" s="1"/>
  <c r="CR177" i="1"/>
  <c r="Q177" i="1" s="1"/>
  <c r="AB176" i="1"/>
  <c r="CT175" i="1"/>
  <c r="S175" i="1" s="1"/>
  <c r="CQ174" i="1"/>
  <c r="P174" i="1" s="1"/>
  <c r="AD174" i="1"/>
  <c r="CR174" i="1" s="1"/>
  <c r="Q174" i="1" s="1"/>
  <c r="CR173" i="1"/>
  <c r="Q173" i="1" s="1"/>
  <c r="CS172" i="1"/>
  <c r="R172" i="1" s="1"/>
  <c r="AB172" i="1"/>
  <c r="CT171" i="1"/>
  <c r="S171" i="1" s="1"/>
  <c r="CQ170" i="1"/>
  <c r="P170" i="1" s="1"/>
  <c r="CR169" i="1"/>
  <c r="Q169" i="1" s="1"/>
  <c r="AB168" i="1"/>
  <c r="CT167" i="1"/>
  <c r="S167" i="1" s="1"/>
  <c r="CQ166" i="1"/>
  <c r="P166" i="1" s="1"/>
  <c r="AD166" i="1"/>
  <c r="CR166" i="1" s="1"/>
  <c r="Q166" i="1" s="1"/>
  <c r="CR165" i="1"/>
  <c r="Q165" i="1" s="1"/>
  <c r="CS164" i="1"/>
  <c r="R164" i="1" s="1"/>
  <c r="AB164" i="1"/>
  <c r="CQ163" i="1"/>
  <c r="P163" i="1" s="1"/>
  <c r="AD163" i="1"/>
  <c r="CR163" i="1" s="1"/>
  <c r="Q163" i="1" s="1"/>
  <c r="CS162" i="1"/>
  <c r="R162" i="1" s="1"/>
  <c r="AB162" i="1"/>
  <c r="CQ160" i="1"/>
  <c r="P160" i="1" s="1"/>
  <c r="CR159" i="1"/>
  <c r="Q159" i="1" s="1"/>
  <c r="AB158" i="1"/>
  <c r="CT157" i="1"/>
  <c r="S157" i="1" s="1"/>
  <c r="CQ156" i="1"/>
  <c r="P156" i="1" s="1"/>
  <c r="CR155" i="1"/>
  <c r="Q155" i="1" s="1"/>
  <c r="CS154" i="1"/>
  <c r="R154" i="1" s="1"/>
  <c r="AB154" i="1"/>
  <c r="CT153" i="1"/>
  <c r="S153" i="1" s="1"/>
  <c r="CQ152" i="1"/>
  <c r="P152" i="1" s="1"/>
  <c r="AD152" i="1"/>
  <c r="CR152" i="1" s="1"/>
  <c r="Q152" i="1" s="1"/>
  <c r="CR151" i="1"/>
  <c r="Q151" i="1" s="1"/>
  <c r="AB150" i="1"/>
  <c r="CT149" i="1"/>
  <c r="S149" i="1" s="1"/>
  <c r="CQ148" i="1"/>
  <c r="P148" i="1" s="1"/>
  <c r="CR147" i="1"/>
  <c r="Q147" i="1" s="1"/>
  <c r="CS146" i="1"/>
  <c r="R146" i="1" s="1"/>
  <c r="AB146" i="1"/>
  <c r="CT145" i="1"/>
  <c r="S145" i="1" s="1"/>
  <c r="CQ144" i="1"/>
  <c r="P144" i="1" s="1"/>
  <c r="AD144" i="1"/>
  <c r="CS143" i="1"/>
  <c r="R143" i="1" s="1"/>
  <c r="CZ143" i="1" s="1"/>
  <c r="Y143" i="1" s="1"/>
  <c r="AB143" i="1"/>
  <c r="CQ142" i="1"/>
  <c r="P142" i="1" s="1"/>
  <c r="AD142" i="1"/>
  <c r="CR142" i="1" s="1"/>
  <c r="Q142" i="1" s="1"/>
  <c r="CR141" i="1"/>
  <c r="Q141" i="1" s="1"/>
  <c r="CS140" i="1"/>
  <c r="R140" i="1" s="1"/>
  <c r="AB140" i="1"/>
  <c r="CT139" i="1"/>
  <c r="S139" i="1" s="1"/>
  <c r="CQ138" i="1"/>
  <c r="P138" i="1" s="1"/>
  <c r="AB137" i="1"/>
  <c r="CQ136" i="1"/>
  <c r="P136" i="1" s="1"/>
  <c r="AD136" i="1"/>
  <c r="CR136" i="1" s="1"/>
  <c r="Q136" i="1" s="1"/>
  <c r="CR135" i="1"/>
  <c r="Q135" i="1" s="1"/>
  <c r="AB134" i="1"/>
  <c r="CQ133" i="1"/>
  <c r="P133" i="1" s="1"/>
  <c r="CP133" i="1" s="1"/>
  <c r="O133" i="1" s="1"/>
  <c r="CS132" i="1"/>
  <c r="R132" i="1" s="1"/>
  <c r="AB132" i="1"/>
  <c r="CQ130" i="1"/>
  <c r="P130" i="1" s="1"/>
  <c r="AD130" i="1"/>
  <c r="CR130" i="1" s="1"/>
  <c r="Q130" i="1" s="1"/>
  <c r="CS128" i="1"/>
  <c r="R128" i="1" s="1"/>
  <c r="AB128" i="1"/>
  <c r="CQ126" i="1"/>
  <c r="P126" i="1" s="1"/>
  <c r="AD126" i="1"/>
  <c r="CS125" i="1"/>
  <c r="R125" i="1" s="1"/>
  <c r="AB125" i="1"/>
  <c r="CQ124" i="1"/>
  <c r="P124" i="1" s="1"/>
  <c r="AD124" i="1"/>
  <c r="CR124" i="1" s="1"/>
  <c r="Q124" i="1" s="1"/>
  <c r="CR123" i="1"/>
  <c r="Q123" i="1" s="1"/>
  <c r="CS122" i="1"/>
  <c r="AB122" i="1"/>
  <c r="I122" i="1"/>
  <c r="CT121" i="1"/>
  <c r="S121" i="1" s="1"/>
  <c r="CQ120" i="1"/>
  <c r="P120" i="1" s="1"/>
  <c r="AD120" i="1"/>
  <c r="CQ119" i="1"/>
  <c r="P119" i="1" s="1"/>
  <c r="AD119" i="1"/>
  <c r="CR119" i="1" s="1"/>
  <c r="Q119" i="1" s="1"/>
  <c r="CP62" i="1"/>
  <c r="O62" i="1" s="1"/>
  <c r="AB161" i="1"/>
  <c r="AB131" i="1"/>
  <c r="AB127" i="1"/>
  <c r="EV85" i="1"/>
  <c r="CY38" i="1"/>
  <c r="X38" i="1" s="1"/>
  <c r="CZ38" i="1"/>
  <c r="Y38" i="1" s="1"/>
  <c r="CT129" i="1"/>
  <c r="S129" i="1" s="1"/>
  <c r="CW96" i="3"/>
  <c r="CX98" i="3"/>
  <c r="S50" i="15" s="1"/>
  <c r="CU93" i="3"/>
  <c r="CW95" i="3"/>
  <c r="CX96" i="3"/>
  <c r="Q37" i="15" s="1"/>
  <c r="CX99" i="3"/>
  <c r="CW98" i="3"/>
  <c r="ET85" i="1"/>
  <c r="CV101" i="3"/>
  <c r="CX103" i="3"/>
  <c r="CX105" i="3"/>
  <c r="CX101" i="3"/>
  <c r="CW104" i="3"/>
  <c r="CW106" i="3"/>
  <c r="CU101" i="3"/>
  <c r="CW103" i="3"/>
  <c r="CW105" i="3"/>
  <c r="CX107" i="3"/>
  <c r="BB26" i="1"/>
  <c r="F98" i="1"/>
  <c r="AB61" i="1"/>
  <c r="CY34" i="1"/>
  <c r="X34" i="1" s="1"/>
  <c r="CZ34" i="1"/>
  <c r="Y34" i="1" s="1"/>
  <c r="EU85" i="1"/>
  <c r="AO85" i="1"/>
  <c r="CS83" i="1"/>
  <c r="R83" i="1" s="1"/>
  <c r="CZ83" i="1" s="1"/>
  <c r="Y83" i="1" s="1"/>
  <c r="AB83" i="1"/>
  <c r="CS82" i="1"/>
  <c r="R82" i="1" s="1"/>
  <c r="CY82" i="1" s="1"/>
  <c r="X82" i="1" s="1"/>
  <c r="AB82" i="1"/>
  <c r="CS81" i="1"/>
  <c r="R81" i="1" s="1"/>
  <c r="AB81" i="1"/>
  <c r="CQ79" i="1"/>
  <c r="P79" i="1" s="1"/>
  <c r="CR78" i="1"/>
  <c r="Q78" i="1" s="1"/>
  <c r="AB77" i="1"/>
  <c r="CT76" i="1"/>
  <c r="S76" i="1" s="1"/>
  <c r="CQ75" i="1"/>
  <c r="P75" i="1" s="1"/>
  <c r="CR74" i="1"/>
  <c r="Q74" i="1" s="1"/>
  <c r="CS73" i="1"/>
  <c r="R73" i="1" s="1"/>
  <c r="AB73" i="1"/>
  <c r="CT72" i="1"/>
  <c r="S72" i="1" s="1"/>
  <c r="CQ71" i="1"/>
  <c r="P71" i="1" s="1"/>
  <c r="AD71" i="1"/>
  <c r="CR71" i="1" s="1"/>
  <c r="Q71" i="1" s="1"/>
  <c r="CR70" i="1"/>
  <c r="Q70" i="1" s="1"/>
  <c r="AB69" i="1"/>
  <c r="CQ67" i="1"/>
  <c r="P67" i="1" s="1"/>
  <c r="CS65" i="1"/>
  <c r="R65" i="1" s="1"/>
  <c r="AB65" i="1"/>
  <c r="CT64" i="1"/>
  <c r="S64" i="1" s="1"/>
  <c r="CQ63" i="1"/>
  <c r="P63" i="1" s="1"/>
  <c r="AD63" i="1"/>
  <c r="CS62" i="1"/>
  <c r="R62" i="1" s="1"/>
  <c r="CY62" i="1" s="1"/>
  <c r="X62" i="1" s="1"/>
  <c r="AB62" i="1"/>
  <c r="CQ61" i="1"/>
  <c r="P61" i="1" s="1"/>
  <c r="AD61" i="1"/>
  <c r="CR61" i="1" s="1"/>
  <c r="Q61" i="1" s="1"/>
  <c r="CR60" i="1"/>
  <c r="Q60" i="1" s="1"/>
  <c r="AB59" i="1"/>
  <c r="CT58" i="1"/>
  <c r="S58" i="1" s="1"/>
  <c r="CQ57" i="1"/>
  <c r="P57" i="1" s="1"/>
  <c r="CR56" i="1"/>
  <c r="Q56" i="1" s="1"/>
  <c r="AB55" i="1"/>
  <c r="CT54" i="1"/>
  <c r="S54" i="1" s="1"/>
  <c r="CQ53" i="1"/>
  <c r="P53" i="1" s="1"/>
  <c r="AD53" i="1"/>
  <c r="CR53" i="1" s="1"/>
  <c r="Q53" i="1" s="1"/>
  <c r="CS51" i="1"/>
  <c r="R51" i="1" s="1"/>
  <c r="AB51" i="1"/>
  <c r="AD45" i="1"/>
  <c r="CR45" i="1" s="1"/>
  <c r="Q45" i="1" s="1"/>
  <c r="CS45" i="1"/>
  <c r="R45" i="1" s="1"/>
  <c r="CZ45" i="1" s="1"/>
  <c r="Y45" i="1" s="1"/>
  <c r="CQ43" i="1"/>
  <c r="P43" i="1" s="1"/>
  <c r="AD42" i="1"/>
  <c r="CR42" i="1" s="1"/>
  <c r="Q42" i="1" s="1"/>
  <c r="CS42" i="1"/>
  <c r="R42" i="1" s="1"/>
  <c r="CZ42" i="1" s="1"/>
  <c r="Y42" i="1" s="1"/>
  <c r="CQ37" i="1"/>
  <c r="P37" i="1" s="1"/>
  <c r="W36" i="1"/>
  <c r="S36" i="1"/>
  <c r="AB36" i="1"/>
  <c r="AD31" i="1"/>
  <c r="CR31" i="1" s="1"/>
  <c r="Q31" i="1" s="1"/>
  <c r="CS31" i="1"/>
  <c r="R31" i="1" s="1"/>
  <c r="DF529" i="3"/>
  <c r="DJ529" i="3" s="1"/>
  <c r="DG529" i="3"/>
  <c r="DF525" i="3"/>
  <c r="DJ525" i="3" s="1"/>
  <c r="DG525" i="3"/>
  <c r="DG499" i="3"/>
  <c r="DF499" i="3"/>
  <c r="DG491" i="3"/>
  <c r="DF491" i="3"/>
  <c r="BD85" i="1"/>
  <c r="AB80" i="1"/>
  <c r="AB68" i="1"/>
  <c r="AB50" i="1"/>
  <c r="CQ49" i="1"/>
  <c r="P49" i="1" s="1"/>
  <c r="AB49" i="1"/>
  <c r="CQ45" i="1"/>
  <c r="P45" i="1" s="1"/>
  <c r="S44" i="1"/>
  <c r="AB44" i="1"/>
  <c r="CQ42" i="1"/>
  <c r="P42" i="1" s="1"/>
  <c r="CS41" i="1"/>
  <c r="R41" i="1" s="1"/>
  <c r="AD41" i="1"/>
  <c r="CR41" i="1" s="1"/>
  <c r="Q41" i="1" s="1"/>
  <c r="CQ39" i="1"/>
  <c r="P39" i="1" s="1"/>
  <c r="AB39" i="1"/>
  <c r="CQ34" i="1"/>
  <c r="P34" i="1" s="1"/>
  <c r="CP34" i="1" s="1"/>
  <c r="O34" i="1" s="1"/>
  <c r="AB34" i="1"/>
  <c r="CS33" i="1"/>
  <c r="R33" i="1" s="1"/>
  <c r="AD33" i="1"/>
  <c r="CR33" i="1" s="1"/>
  <c r="Q33" i="1" s="1"/>
  <c r="CQ31" i="1"/>
  <c r="P31" i="1" s="1"/>
  <c r="AB31" i="1"/>
  <c r="AB30" i="1"/>
  <c r="DF522" i="3"/>
  <c r="DG522" i="3"/>
  <c r="DG510" i="3"/>
  <c r="DF510" i="3"/>
  <c r="DF506" i="3"/>
  <c r="DJ506" i="3" s="1"/>
  <c r="DG506" i="3"/>
  <c r="DF496" i="3"/>
  <c r="DG496" i="3"/>
  <c r="DG489" i="3"/>
  <c r="DF489" i="3"/>
  <c r="DF484" i="3"/>
  <c r="DG484" i="3"/>
  <c r="EG85" i="1"/>
  <c r="BC85" i="1"/>
  <c r="CT66" i="1"/>
  <c r="S66" i="1" s="1"/>
  <c r="CT52" i="1"/>
  <c r="S52" i="1" s="1"/>
  <c r="AB48" i="1"/>
  <c r="AB47" i="1"/>
  <c r="CQ47" i="1"/>
  <c r="P47" i="1" s="1"/>
  <c r="AB41" i="1"/>
  <c r="CQ41" i="1"/>
  <c r="P41" i="1" s="1"/>
  <c r="AB40" i="1"/>
  <c r="AB33" i="1"/>
  <c r="CQ33" i="1"/>
  <c r="P33" i="1" s="1"/>
  <c r="AB32" i="1"/>
  <c r="DF533" i="3"/>
  <c r="DG533" i="3"/>
  <c r="DG521" i="3"/>
  <c r="DF521" i="3"/>
  <c r="DF517" i="3"/>
  <c r="DJ517" i="3" s="1"/>
  <c r="DG517" i="3"/>
  <c r="DG508" i="3"/>
  <c r="DF508" i="3"/>
  <c r="DJ508" i="3" s="1"/>
  <c r="DG504" i="3"/>
  <c r="DF504" i="3"/>
  <c r="DJ504" i="3" s="1"/>
  <c r="DG495" i="3"/>
  <c r="DF495" i="3"/>
  <c r="AB46" i="1"/>
  <c r="CS43" i="1"/>
  <c r="R43" i="1" s="1"/>
  <c r="AD43" i="1"/>
  <c r="AB38" i="1"/>
  <c r="CQ38" i="1"/>
  <c r="P38" i="1" s="1"/>
  <c r="CP38" i="1" s="1"/>
  <c r="O38" i="1" s="1"/>
  <c r="AD37" i="1"/>
  <c r="CR37" i="1" s="1"/>
  <c r="Q37" i="1" s="1"/>
  <c r="CS37" i="1"/>
  <c r="R37" i="1" s="1"/>
  <c r="AB35" i="1"/>
  <c r="CQ35" i="1"/>
  <c r="P35" i="1" s="1"/>
  <c r="CS29" i="1"/>
  <c r="R29" i="1" s="1"/>
  <c r="AD29" i="1"/>
  <c r="CQ28" i="1"/>
  <c r="P28" i="1" s="1"/>
  <c r="AB28" i="1"/>
  <c r="DG519" i="3"/>
  <c r="DF519" i="3"/>
  <c r="DJ519" i="3" s="1"/>
  <c r="DG515" i="3"/>
  <c r="DF515" i="3"/>
  <c r="DJ515" i="3" s="1"/>
  <c r="DF492" i="3"/>
  <c r="DG492" i="3"/>
  <c r="CQ29" i="1"/>
  <c r="P29" i="1" s="1"/>
  <c r="CS28" i="1"/>
  <c r="R28" i="1" s="1"/>
  <c r="DG535" i="3"/>
  <c r="CX531" i="3"/>
  <c r="S21" i="15" s="1"/>
  <c r="DG530" i="3"/>
  <c r="DG527" i="3"/>
  <c r="DG518" i="3"/>
  <c r="DG514" i="3"/>
  <c r="DG512" i="3"/>
  <c r="DG507" i="3"/>
  <c r="DG503" i="3"/>
  <c r="DG501" i="3"/>
  <c r="DG488" i="3"/>
  <c r="DG486" i="3"/>
  <c r="CX485" i="3"/>
  <c r="CX477" i="3"/>
  <c r="Q38" i="15" s="1"/>
  <c r="CV475" i="3"/>
  <c r="DG474" i="3"/>
  <c r="DF469" i="3"/>
  <c r="DJ469" i="3" s="1"/>
  <c r="DF466" i="3"/>
  <c r="DF459" i="3"/>
  <c r="DG455" i="3"/>
  <c r="DG450" i="3"/>
  <c r="CX446" i="3"/>
  <c r="CW437" i="3"/>
  <c r="CX437" i="3"/>
  <c r="Z51" i="15" s="1"/>
  <c r="DF436" i="3"/>
  <c r="DG436" i="3"/>
  <c r="DF429" i="3"/>
  <c r="DG429" i="3"/>
  <c r="CX536" i="3"/>
  <c r="DF535" i="3"/>
  <c r="DF530" i="3"/>
  <c r="DJ530" i="3" s="1"/>
  <c r="CX528" i="3"/>
  <c r="DF527" i="3"/>
  <c r="DF518" i="3"/>
  <c r="DJ518" i="3" s="1"/>
  <c r="DF514" i="3"/>
  <c r="CX513" i="3"/>
  <c r="DF512" i="3"/>
  <c r="DF507" i="3"/>
  <c r="DJ507" i="3" s="1"/>
  <c r="DF503" i="3"/>
  <c r="CX502" i="3"/>
  <c r="T47" i="15" s="1"/>
  <c r="DF501" i="3"/>
  <c r="DF488" i="3"/>
  <c r="CX487" i="3"/>
  <c r="DF486" i="3"/>
  <c r="DF481" i="3"/>
  <c r="DG478" i="3"/>
  <c r="DF473" i="3"/>
  <c r="DJ473" i="3" s="1"/>
  <c r="DG470" i="3"/>
  <c r="CV465" i="3"/>
  <c r="DG464" i="3"/>
  <c r="DG462" i="3"/>
  <c r="DF458" i="3"/>
  <c r="DF454" i="3"/>
  <c r="DG451" i="3"/>
  <c r="DJ451" i="3" s="1"/>
  <c r="DG448" i="3"/>
  <c r="DF445" i="3"/>
  <c r="DG445" i="3"/>
  <c r="CV435" i="3"/>
  <c r="CX435" i="3"/>
  <c r="R20" i="15" s="1"/>
  <c r="DF434" i="3"/>
  <c r="DJ434" i="3" s="1"/>
  <c r="DG434" i="3"/>
  <c r="DF433" i="3"/>
  <c r="DJ433" i="3" s="1"/>
  <c r="DG433" i="3"/>
  <c r="DF425" i="3"/>
  <c r="DJ425" i="3" s="1"/>
  <c r="DG425" i="3"/>
  <c r="DF421" i="3"/>
  <c r="DG421" i="3"/>
  <c r="CX479" i="3"/>
  <c r="Q48" i="15" s="1"/>
  <c r="O48" i="15" s="1"/>
  <c r="E48" i="15" s="1"/>
  <c r="G48" i="15" s="1"/>
  <c r="DF475" i="3"/>
  <c r="CX471" i="3"/>
  <c r="DG468" i="3"/>
  <c r="DF456" i="3"/>
  <c r="DJ456" i="3" s="1"/>
  <c r="CX452" i="3"/>
  <c r="W37" i="15" s="1"/>
  <c r="DF447" i="3"/>
  <c r="CW444" i="3"/>
  <c r="CX444" i="3"/>
  <c r="DF443" i="3"/>
  <c r="DG443" i="3"/>
  <c r="DG423" i="3"/>
  <c r="DF423" i="3"/>
  <c r="DJ423" i="3" s="1"/>
  <c r="DG417" i="3"/>
  <c r="DF417" i="3"/>
  <c r="DF413" i="3"/>
  <c r="DJ413" i="3" s="1"/>
  <c r="DG413" i="3"/>
  <c r="DG482" i="3"/>
  <c r="DG480" i="3"/>
  <c r="DG476" i="3"/>
  <c r="DG472" i="3"/>
  <c r="DF465" i="3"/>
  <c r="DF463" i="3"/>
  <c r="DJ463" i="3" s="1"/>
  <c r="DF461" i="3"/>
  <c r="DG457" i="3"/>
  <c r="DG453" i="3"/>
  <c r="DF451" i="3"/>
  <c r="DF449" i="3"/>
  <c r="DF448" i="3"/>
  <c r="DJ448" i="3" s="1"/>
  <c r="CV442" i="3"/>
  <c r="CX442" i="3"/>
  <c r="DF441" i="3"/>
  <c r="DJ441" i="3" s="1"/>
  <c r="DG441" i="3"/>
  <c r="DF440" i="3"/>
  <c r="DG440" i="3"/>
  <c r="CW439" i="3"/>
  <c r="CX439" i="3"/>
  <c r="AE50" i="15" s="1"/>
  <c r="DF438" i="3"/>
  <c r="DG438" i="3"/>
  <c r="DF431" i="3"/>
  <c r="DJ431" i="3" s="1"/>
  <c r="DF430" i="3"/>
  <c r="DG430" i="3"/>
  <c r="DF427" i="3"/>
  <c r="DG427" i="3"/>
  <c r="DG415" i="3"/>
  <c r="DF415" i="3"/>
  <c r="DJ415" i="3" s="1"/>
  <c r="DG422" i="3"/>
  <c r="DG419" i="3"/>
  <c r="DJ419" i="3" s="1"/>
  <c r="DG414" i="3"/>
  <c r="DG411" i="3"/>
  <c r="DG409" i="3"/>
  <c r="DG402" i="3"/>
  <c r="DF401" i="3"/>
  <c r="DG401" i="3"/>
  <c r="DF399" i="3"/>
  <c r="DG395" i="3"/>
  <c r="DF394" i="3"/>
  <c r="DG394" i="3"/>
  <c r="DF392" i="3"/>
  <c r="DG388" i="3"/>
  <c r="DF387" i="3"/>
  <c r="DG387" i="3"/>
  <c r="DF385" i="3"/>
  <c r="CW371" i="3"/>
  <c r="DF360" i="3"/>
  <c r="DJ360" i="3" s="1"/>
  <c r="DF348" i="3"/>
  <c r="DG348" i="3"/>
  <c r="DF342" i="3"/>
  <c r="DG342" i="3"/>
  <c r="DF329" i="3"/>
  <c r="DG329" i="3"/>
  <c r="DF422" i="3"/>
  <c r="DJ422" i="3" s="1"/>
  <c r="CX420" i="3"/>
  <c r="P46" i="15" s="1"/>
  <c r="O46" i="15" s="1"/>
  <c r="E46" i="15" s="1"/>
  <c r="G46" i="15" s="1"/>
  <c r="DF419" i="3"/>
  <c r="DF414" i="3"/>
  <c r="DJ414" i="3" s="1"/>
  <c r="CX412" i="3"/>
  <c r="DF411" i="3"/>
  <c r="CX410" i="3"/>
  <c r="DF409" i="3"/>
  <c r="DF408" i="3"/>
  <c r="DG407" i="3"/>
  <c r="DF404" i="3"/>
  <c r="DJ404" i="3" s="1"/>
  <c r="DG400" i="3"/>
  <c r="DF397" i="3"/>
  <c r="DJ397" i="3" s="1"/>
  <c r="DG393" i="3"/>
  <c r="DF390" i="3"/>
  <c r="DJ390" i="3" s="1"/>
  <c r="DG386" i="3"/>
  <c r="DF383" i="3"/>
  <c r="DJ383" i="3" s="1"/>
  <c r="CW381" i="3"/>
  <c r="CX381" i="3"/>
  <c r="CW379" i="3"/>
  <c r="CX379" i="3"/>
  <c r="DF372" i="3"/>
  <c r="DG372" i="3"/>
  <c r="CW362" i="3"/>
  <c r="CX362" i="3"/>
  <c r="Q44" i="15" s="1"/>
  <c r="DF300" i="3"/>
  <c r="DJ300" i="3" s="1"/>
  <c r="DG300" i="3"/>
  <c r="CW402" i="3"/>
  <c r="CW395" i="3"/>
  <c r="CW388" i="3"/>
  <c r="DF380" i="3"/>
  <c r="DF378" i="3"/>
  <c r="DG371" i="3"/>
  <c r="DF370" i="3"/>
  <c r="DG370" i="3"/>
  <c r="CV367" i="3"/>
  <c r="CX367" i="3"/>
  <c r="S19" i="15" s="1"/>
  <c r="DF363" i="3"/>
  <c r="DF361" i="3"/>
  <c r="DF357" i="3"/>
  <c r="DG357" i="3"/>
  <c r="DF356" i="3"/>
  <c r="DG356" i="3"/>
  <c r="DF346" i="3"/>
  <c r="DG346" i="3"/>
  <c r="DF334" i="3"/>
  <c r="DJ334" i="3" s="1"/>
  <c r="DG334" i="3"/>
  <c r="DF403" i="3"/>
  <c r="DG403" i="3"/>
  <c r="DF396" i="3"/>
  <c r="DG396" i="3"/>
  <c r="DF389" i="3"/>
  <c r="DG389" i="3"/>
  <c r="DF382" i="3"/>
  <c r="DJ382" i="3" s="1"/>
  <c r="DG382" i="3"/>
  <c r="DF373" i="3"/>
  <c r="DJ373" i="3" s="1"/>
  <c r="DF368" i="3"/>
  <c r="DG368" i="3"/>
  <c r="DF366" i="3"/>
  <c r="DG366" i="3"/>
  <c r="CX364" i="3"/>
  <c r="DF344" i="3"/>
  <c r="DG344" i="3"/>
  <c r="DF339" i="3"/>
  <c r="DG339" i="3"/>
  <c r="DF320" i="3"/>
  <c r="DJ320" i="3" s="1"/>
  <c r="DG320" i="3"/>
  <c r="DF359" i="3"/>
  <c r="DJ359" i="3" s="1"/>
  <c r="DG358" i="3"/>
  <c r="CV356" i="3"/>
  <c r="DF355" i="3"/>
  <c r="DJ355" i="3" s="1"/>
  <c r="DG354" i="3"/>
  <c r="CX353" i="3"/>
  <c r="R47" i="15" s="1"/>
  <c r="DF352" i="3"/>
  <c r="CX351" i="3"/>
  <c r="P21" i="15" s="1"/>
  <c r="DG350" i="3"/>
  <c r="DG347" i="3"/>
  <c r="DG345" i="3"/>
  <c r="DF343" i="3"/>
  <c r="DF341" i="3"/>
  <c r="DG340" i="3"/>
  <c r="DG338" i="3"/>
  <c r="CW332" i="3"/>
  <c r="CX332" i="3"/>
  <c r="CW330" i="3"/>
  <c r="CX330" i="3"/>
  <c r="DF326" i="3"/>
  <c r="DG326" i="3"/>
  <c r="CW315" i="3"/>
  <c r="DG311" i="3"/>
  <c r="DF298" i="3"/>
  <c r="CV295" i="3"/>
  <c r="CX295" i="3"/>
  <c r="DF294" i="3"/>
  <c r="DJ294" i="3" s="1"/>
  <c r="DF293" i="3"/>
  <c r="DJ293" i="3" s="1"/>
  <c r="DG293" i="3"/>
  <c r="DF284" i="3"/>
  <c r="DJ284" i="3" s="1"/>
  <c r="DG284" i="3"/>
  <c r="CX335" i="3"/>
  <c r="P23" i="15" s="1"/>
  <c r="O23" i="15" s="1"/>
  <c r="E23" i="15" s="1"/>
  <c r="G23" i="15" s="1"/>
  <c r="DF331" i="3"/>
  <c r="CX321" i="3"/>
  <c r="Q20" i="15" s="1"/>
  <c r="O20" i="15" s="1"/>
  <c r="E20" i="15" s="1"/>
  <c r="G20" i="15" s="1"/>
  <c r="DF316" i="3"/>
  <c r="DG316" i="3"/>
  <c r="CV313" i="3"/>
  <c r="CX313" i="3"/>
  <c r="CW308" i="3"/>
  <c r="CX308" i="3"/>
  <c r="S37" i="15" s="1"/>
  <c r="DG306" i="3"/>
  <c r="DF296" i="3"/>
  <c r="DG296" i="3"/>
  <c r="CX288" i="3"/>
  <c r="Q47" i="15" s="1"/>
  <c r="CW288" i="3"/>
  <c r="CW337" i="3"/>
  <c r="CX337" i="3"/>
  <c r="P38" i="15" s="1"/>
  <c r="DF333" i="3"/>
  <c r="DG333" i="3"/>
  <c r="DF327" i="3"/>
  <c r="DJ327" i="3" s="1"/>
  <c r="CW325" i="3"/>
  <c r="CX325" i="3"/>
  <c r="Z50" i="15" s="1"/>
  <c r="CW323" i="3"/>
  <c r="CX323" i="3"/>
  <c r="W51" i="15" s="1"/>
  <c r="DF319" i="3"/>
  <c r="DJ319" i="3" s="1"/>
  <c r="DG319" i="3"/>
  <c r="DF314" i="3"/>
  <c r="DG314" i="3"/>
  <c r="DF312" i="3"/>
  <c r="DJ312" i="3" s="1"/>
  <c r="DG312" i="3"/>
  <c r="DF309" i="3"/>
  <c r="DF307" i="3"/>
  <c r="DF301" i="3"/>
  <c r="DJ301" i="3" s="1"/>
  <c r="DG301" i="3"/>
  <c r="CX299" i="3"/>
  <c r="CW297" i="3"/>
  <c r="CX297" i="3"/>
  <c r="DF336" i="3"/>
  <c r="DF328" i="3"/>
  <c r="DG328" i="3"/>
  <c r="DF324" i="3"/>
  <c r="DF322" i="3"/>
  <c r="DG304" i="3"/>
  <c r="DG291" i="3"/>
  <c r="DF290" i="3"/>
  <c r="DJ290" i="3" s="1"/>
  <c r="DF289" i="3"/>
  <c r="DG289" i="3"/>
  <c r="DF286" i="3"/>
  <c r="DF285" i="3"/>
  <c r="DG285" i="3"/>
  <c r="DF269" i="3"/>
  <c r="DG269" i="3"/>
  <c r="DF254" i="3"/>
  <c r="DJ254" i="3" s="1"/>
  <c r="DG254" i="3"/>
  <c r="DF250" i="3"/>
  <c r="DJ250" i="3" s="1"/>
  <c r="DG250" i="3"/>
  <c r="DF234" i="3"/>
  <c r="DG234" i="3"/>
  <c r="DF222" i="3"/>
  <c r="DG222" i="3"/>
  <c r="CW278" i="3"/>
  <c r="CX278" i="3"/>
  <c r="DF232" i="3"/>
  <c r="DG232" i="3"/>
  <c r="DF226" i="3"/>
  <c r="DJ226" i="3" s="1"/>
  <c r="DG226" i="3"/>
  <c r="DF283" i="3"/>
  <c r="DJ283" i="3" s="1"/>
  <c r="DG283" i="3"/>
  <c r="DF275" i="3"/>
  <c r="DG275" i="3"/>
  <c r="DF267" i="3"/>
  <c r="DG267" i="3"/>
  <c r="DF244" i="3"/>
  <c r="DG244" i="3"/>
  <c r="DF230" i="3"/>
  <c r="DJ230" i="3" s="1"/>
  <c r="DG230" i="3"/>
  <c r="DG223" i="3"/>
  <c r="DF223" i="3"/>
  <c r="DJ223" i="3" s="1"/>
  <c r="DG215" i="3"/>
  <c r="DF215" i="3"/>
  <c r="DJ215" i="3" s="1"/>
  <c r="DF280" i="3"/>
  <c r="DJ280" i="3" s="1"/>
  <c r="DF279" i="3"/>
  <c r="DG279" i="3"/>
  <c r="DF273" i="3"/>
  <c r="DJ273" i="3" s="1"/>
  <c r="DG273" i="3"/>
  <c r="DF242" i="3"/>
  <c r="DJ242" i="3" s="1"/>
  <c r="DG242" i="3"/>
  <c r="DF238" i="3"/>
  <c r="DJ238" i="3" s="1"/>
  <c r="DG238" i="3"/>
  <c r="DG227" i="3"/>
  <c r="DF227" i="3"/>
  <c r="DJ227" i="3" s="1"/>
  <c r="DF206" i="3"/>
  <c r="DG206" i="3"/>
  <c r="DF204" i="3"/>
  <c r="DJ204" i="3" s="1"/>
  <c r="DG167" i="3"/>
  <c r="DF167" i="3"/>
  <c r="DG157" i="3"/>
  <c r="DF157" i="3"/>
  <c r="DG136" i="3"/>
  <c r="DF136" i="3"/>
  <c r="DG277" i="3"/>
  <c r="DG272" i="3"/>
  <c r="DG262" i="3"/>
  <c r="DG258" i="3"/>
  <c r="DG253" i="3"/>
  <c r="DG249" i="3"/>
  <c r="DG246" i="3"/>
  <c r="DG241" i="3"/>
  <c r="DG237" i="3"/>
  <c r="DG231" i="3"/>
  <c r="DG229" i="3"/>
  <c r="DG225" i="3"/>
  <c r="DG221" i="3"/>
  <c r="DG219" i="3"/>
  <c r="CX218" i="3"/>
  <c r="DG217" i="3"/>
  <c r="DF212" i="3"/>
  <c r="DJ212" i="3" s="1"/>
  <c r="DG210" i="3"/>
  <c r="DF205" i="3"/>
  <c r="DG205" i="3"/>
  <c r="DG179" i="3"/>
  <c r="DF179" i="3"/>
  <c r="DG165" i="3"/>
  <c r="DF165" i="3"/>
  <c r="DJ165" i="3" s="1"/>
  <c r="DG161" i="3"/>
  <c r="DF161" i="3"/>
  <c r="DJ161" i="3" s="1"/>
  <c r="DG134" i="3"/>
  <c r="DF134" i="3"/>
  <c r="DG287" i="3"/>
  <c r="DG282" i="3"/>
  <c r="DF277" i="3"/>
  <c r="DF272" i="3"/>
  <c r="DJ272" i="3" s="1"/>
  <c r="DG271" i="3"/>
  <c r="DG268" i="3"/>
  <c r="DG266" i="3"/>
  <c r="CX265" i="3"/>
  <c r="P26" i="15" s="1"/>
  <c r="O26" i="15" s="1"/>
  <c r="E26" i="15" s="1"/>
  <c r="G26" i="15" s="1"/>
  <c r="DG264" i="3"/>
  <c r="CX263" i="3"/>
  <c r="DF262" i="3"/>
  <c r="CX261" i="3"/>
  <c r="DG260" i="3"/>
  <c r="CX259" i="3"/>
  <c r="P49" i="15" s="1"/>
  <c r="O49" i="15" s="1"/>
  <c r="E49" i="15" s="1"/>
  <c r="G49" i="15" s="1"/>
  <c r="DF258" i="3"/>
  <c r="CX257" i="3"/>
  <c r="P27" i="15" s="1"/>
  <c r="O27" i="15" s="1"/>
  <c r="E27" i="15" s="1"/>
  <c r="G27" i="15" s="1"/>
  <c r="DG256" i="3"/>
  <c r="DF253" i="3"/>
  <c r="DJ253" i="3" s="1"/>
  <c r="DG252" i="3"/>
  <c r="DF249" i="3"/>
  <c r="DJ249" i="3" s="1"/>
  <c r="DG248" i="3"/>
  <c r="CX247" i="3"/>
  <c r="DF246" i="3"/>
  <c r="DF241" i="3"/>
  <c r="DJ241" i="3" s="1"/>
  <c r="DG240" i="3"/>
  <c r="DF237" i="3"/>
  <c r="DJ237" i="3" s="1"/>
  <c r="DG236" i="3"/>
  <c r="DG233" i="3"/>
  <c r="DF231" i="3"/>
  <c r="DF229" i="3"/>
  <c r="DJ229" i="3" s="1"/>
  <c r="DG228" i="3"/>
  <c r="DF225" i="3"/>
  <c r="DJ225" i="3" s="1"/>
  <c r="DG224" i="3"/>
  <c r="DF221" i="3"/>
  <c r="CX220" i="3"/>
  <c r="DF219" i="3"/>
  <c r="DF217" i="3"/>
  <c r="DJ217" i="3" s="1"/>
  <c r="DG216" i="3"/>
  <c r="DG213" i="3"/>
  <c r="CW207" i="3"/>
  <c r="CX207" i="3"/>
  <c r="U51" i="15" s="1"/>
  <c r="DG204" i="3"/>
  <c r="DF203" i="3"/>
  <c r="DJ203" i="3" s="1"/>
  <c r="DG203" i="3"/>
  <c r="DF201" i="3"/>
  <c r="DJ201" i="3" s="1"/>
  <c r="DF200" i="3"/>
  <c r="DJ200" i="3" s="1"/>
  <c r="DG200" i="3"/>
  <c r="DF189" i="3"/>
  <c r="DJ189" i="3" s="1"/>
  <c r="DF188" i="3"/>
  <c r="DJ188" i="3" s="1"/>
  <c r="DG188" i="3"/>
  <c r="DG177" i="3"/>
  <c r="DF177" i="3"/>
  <c r="DJ177" i="3" s="1"/>
  <c r="DG173" i="3"/>
  <c r="DF173" i="3"/>
  <c r="DJ173" i="3" s="1"/>
  <c r="DF158" i="3"/>
  <c r="DJ158" i="3" s="1"/>
  <c r="DG158" i="3"/>
  <c r="DG132" i="3"/>
  <c r="DF132" i="3"/>
  <c r="DJ132" i="3" s="1"/>
  <c r="DF213" i="3"/>
  <c r="DJ213" i="3" s="1"/>
  <c r="DG212" i="3"/>
  <c r="DF211" i="3"/>
  <c r="DJ211" i="3" s="1"/>
  <c r="DG211" i="3"/>
  <c r="DF208" i="3"/>
  <c r="DF197" i="3"/>
  <c r="DJ197" i="3" s="1"/>
  <c r="DF196" i="3"/>
  <c r="DG196" i="3"/>
  <c r="DF194" i="3"/>
  <c r="DF185" i="3"/>
  <c r="DJ185" i="3" s="1"/>
  <c r="DF184" i="3"/>
  <c r="DJ184" i="3" s="1"/>
  <c r="DG184" i="3"/>
  <c r="DG169" i="3"/>
  <c r="DF169" i="3"/>
  <c r="DG127" i="3"/>
  <c r="DF127" i="3"/>
  <c r="DG181" i="3"/>
  <c r="DG176" i="3"/>
  <c r="DG172" i="3"/>
  <c r="DG166" i="3"/>
  <c r="DG164" i="3"/>
  <c r="DG160" i="3"/>
  <c r="DG156" i="3"/>
  <c r="DG154" i="3"/>
  <c r="CX153" i="3"/>
  <c r="R22" i="15" s="1"/>
  <c r="DG152" i="3"/>
  <c r="DG149" i="3"/>
  <c r="DG147" i="3"/>
  <c r="CX146" i="3"/>
  <c r="DG145" i="3"/>
  <c r="DG142" i="3"/>
  <c r="DG140" i="3"/>
  <c r="CX139" i="3"/>
  <c r="S28" i="15" s="1"/>
  <c r="DG138" i="3"/>
  <c r="DG133" i="3"/>
  <c r="DG131" i="3"/>
  <c r="DG129" i="3"/>
  <c r="DG122" i="3"/>
  <c r="DF118" i="3"/>
  <c r="DF111" i="3"/>
  <c r="DG111" i="3"/>
  <c r="DJ111" i="3" s="1"/>
  <c r="CX108" i="3"/>
  <c r="CX106" i="3"/>
  <c r="DF92" i="3"/>
  <c r="DJ92" i="3" s="1"/>
  <c r="DG92" i="3"/>
  <c r="DF89" i="3"/>
  <c r="DJ89" i="3" s="1"/>
  <c r="DG89" i="3"/>
  <c r="DF84" i="3"/>
  <c r="DG84" i="3"/>
  <c r="DG199" i="3"/>
  <c r="DG195" i="3"/>
  <c r="DG193" i="3"/>
  <c r="CX192" i="3"/>
  <c r="DG191" i="3"/>
  <c r="DG187" i="3"/>
  <c r="DG183" i="3"/>
  <c r="CX182" i="3"/>
  <c r="S45" i="15" s="1"/>
  <c r="DF181" i="3"/>
  <c r="DF176" i="3"/>
  <c r="DJ176" i="3" s="1"/>
  <c r="DG175" i="3"/>
  <c r="DF172" i="3"/>
  <c r="DJ172" i="3" s="1"/>
  <c r="DG171" i="3"/>
  <c r="DG168" i="3"/>
  <c r="DF166" i="3"/>
  <c r="DF164" i="3"/>
  <c r="DJ164" i="3" s="1"/>
  <c r="DG163" i="3"/>
  <c r="DF160" i="3"/>
  <c r="DJ160" i="3" s="1"/>
  <c r="DG159" i="3"/>
  <c r="DF156" i="3"/>
  <c r="CX155" i="3"/>
  <c r="P33" i="15" s="1"/>
  <c r="DF154" i="3"/>
  <c r="DF152" i="3"/>
  <c r="DJ152" i="3" s="1"/>
  <c r="DG151" i="3"/>
  <c r="CX150" i="3"/>
  <c r="DF149" i="3"/>
  <c r="CX148" i="3"/>
  <c r="DF147" i="3"/>
  <c r="DF145" i="3"/>
  <c r="DJ145" i="3" s="1"/>
  <c r="DG144" i="3"/>
  <c r="CX143" i="3"/>
  <c r="V50" i="15" s="1"/>
  <c r="DF142" i="3"/>
  <c r="CX141" i="3"/>
  <c r="S34" i="15" s="1"/>
  <c r="DF140" i="3"/>
  <c r="DF138" i="3"/>
  <c r="DJ138" i="3" s="1"/>
  <c r="DG137" i="3"/>
  <c r="DG135" i="3"/>
  <c r="DF133" i="3"/>
  <c r="DF131" i="3"/>
  <c r="CX130" i="3"/>
  <c r="R36" i="15" s="1"/>
  <c r="DF129" i="3"/>
  <c r="DG125" i="3"/>
  <c r="DG124" i="3"/>
  <c r="DF123" i="3"/>
  <c r="DF122" i="3"/>
  <c r="DG119" i="3"/>
  <c r="DG118" i="3"/>
  <c r="DG115" i="3"/>
  <c r="DF113" i="3"/>
  <c r="DG113" i="3"/>
  <c r="CX104" i="3"/>
  <c r="CX93" i="3"/>
  <c r="Q19" i="15" s="1"/>
  <c r="DF125" i="3"/>
  <c r="DJ125" i="3" s="1"/>
  <c r="CX120" i="3"/>
  <c r="CV118" i="3"/>
  <c r="DG117" i="3"/>
  <c r="CX102" i="3"/>
  <c r="CX121" i="3"/>
  <c r="DF116" i="3"/>
  <c r="DJ116" i="3" s="1"/>
  <c r="DF110" i="3"/>
  <c r="DG110" i="3"/>
  <c r="CX100" i="3"/>
  <c r="CX94" i="3"/>
  <c r="U29" i="15" s="1"/>
  <c r="CX97" i="3"/>
  <c r="Q41" i="15" s="1"/>
  <c r="DF76" i="3"/>
  <c r="DJ76" i="3" s="1"/>
  <c r="DG76" i="3"/>
  <c r="DF72" i="3"/>
  <c r="DJ72" i="3" s="1"/>
  <c r="DG72" i="3"/>
  <c r="DF55" i="3"/>
  <c r="DF54" i="3"/>
  <c r="DG54" i="3"/>
  <c r="DF50" i="3"/>
  <c r="DJ50" i="3" s="1"/>
  <c r="DG50" i="3"/>
  <c r="DF24" i="3"/>
  <c r="DG24" i="3"/>
  <c r="DF18" i="3"/>
  <c r="DG18" i="3"/>
  <c r="DG109" i="3"/>
  <c r="DG85" i="3"/>
  <c r="DF82" i="3"/>
  <c r="CW70" i="3"/>
  <c r="DF47" i="3"/>
  <c r="DJ47" i="3" s="1"/>
  <c r="DG47" i="3"/>
  <c r="DF40" i="3"/>
  <c r="DJ40" i="3" s="1"/>
  <c r="DG40" i="3"/>
  <c r="DF17" i="3"/>
  <c r="DG17" i="3"/>
  <c r="DF15" i="3"/>
  <c r="DJ15" i="3" s="1"/>
  <c r="DG15" i="3"/>
  <c r="DG90" i="3"/>
  <c r="DF85" i="3"/>
  <c r="DJ85" i="3" s="1"/>
  <c r="DF77" i="3"/>
  <c r="DJ77" i="3" s="1"/>
  <c r="DF73" i="3"/>
  <c r="DJ73" i="3" s="1"/>
  <c r="DG66" i="3"/>
  <c r="DF65" i="3"/>
  <c r="DJ65" i="3" s="1"/>
  <c r="DF64" i="3"/>
  <c r="DJ64" i="3" s="1"/>
  <c r="DG64" i="3"/>
  <c r="DG62" i="3"/>
  <c r="DF61" i="3"/>
  <c r="DJ61" i="3" s="1"/>
  <c r="DF60" i="3"/>
  <c r="DJ60" i="3" s="1"/>
  <c r="DG60" i="3"/>
  <c r="DG58" i="3"/>
  <c r="DG55" i="3"/>
  <c r="DF53" i="3"/>
  <c r="DJ53" i="3" s="1"/>
  <c r="DF48" i="3"/>
  <c r="DJ48" i="3" s="1"/>
  <c r="DG48" i="3"/>
  <c r="DF22" i="3"/>
  <c r="DJ22" i="3" s="1"/>
  <c r="DG22" i="3"/>
  <c r="DF20" i="3"/>
  <c r="DG20" i="3"/>
  <c r="CW97" i="3"/>
  <c r="CX95" i="3"/>
  <c r="S51" i="15" s="1"/>
  <c r="CV93" i="3"/>
  <c r="DF90" i="3"/>
  <c r="DJ90" i="3" s="1"/>
  <c r="CX83" i="3"/>
  <c r="DG70" i="3"/>
  <c r="DF69" i="3"/>
  <c r="DG69" i="3"/>
  <c r="DJ69" i="3" s="1"/>
  <c r="DF49" i="3"/>
  <c r="DJ49" i="3" s="1"/>
  <c r="DG49" i="3"/>
  <c r="DF36" i="3"/>
  <c r="DF34" i="3"/>
  <c r="DJ34" i="3" s="1"/>
  <c r="CW25" i="3"/>
  <c r="CW20" i="3"/>
  <c r="CX19" i="3"/>
  <c r="P34" i="15" s="1"/>
  <c r="CX14" i="3"/>
  <c r="DF7" i="3"/>
  <c r="DJ7" i="3" s="1"/>
  <c r="DF67" i="3"/>
  <c r="DF57" i="3"/>
  <c r="CX56" i="3"/>
  <c r="DG52" i="3"/>
  <c r="DG44" i="3"/>
  <c r="DF35" i="3"/>
  <c r="DF33" i="3"/>
  <c r="DG31" i="3"/>
  <c r="DG26" i="3"/>
  <c r="DG25" i="3"/>
  <c r="DG16" i="3"/>
  <c r="DF13" i="3"/>
  <c r="DG11" i="3"/>
  <c r="DJ11" i="3" s="1"/>
  <c r="DF6" i="3"/>
  <c r="DG4" i="3"/>
  <c r="DF44" i="3"/>
  <c r="DG42" i="3"/>
  <c r="DG41" i="3"/>
  <c r="DG37" i="3"/>
  <c r="DG36" i="3"/>
  <c r="DG34" i="3"/>
  <c r="DF32" i="3"/>
  <c r="DF31" i="3"/>
  <c r="DG27" i="3"/>
  <c r="DF25" i="3"/>
  <c r="CX23" i="3"/>
  <c r="CX21" i="3"/>
  <c r="Q50" i="15" s="1"/>
  <c r="DF16" i="3"/>
  <c r="DF12" i="3"/>
  <c r="DF11" i="3"/>
  <c r="DG7" i="3"/>
  <c r="DF5" i="3"/>
  <c r="DF4" i="3"/>
  <c r="DG2" i="3"/>
  <c r="DG1" i="3"/>
  <c r="CZ355" i="1" l="1"/>
  <c r="Y355" i="1" s="1"/>
  <c r="CZ360" i="1"/>
  <c r="Y360" i="1" s="1"/>
  <c r="CZ338" i="1"/>
  <c r="Y338" i="1" s="1"/>
  <c r="CY205" i="1"/>
  <c r="X205" i="1" s="1"/>
  <c r="CY358" i="1"/>
  <c r="X358" i="1" s="1"/>
  <c r="CY123" i="1"/>
  <c r="X123" i="1" s="1"/>
  <c r="CY81" i="1"/>
  <c r="X81" i="1" s="1"/>
  <c r="CZ154" i="1"/>
  <c r="Y154" i="1" s="1"/>
  <c r="CY328" i="1"/>
  <c r="X328" i="1" s="1"/>
  <c r="CP373" i="1"/>
  <c r="O373" i="1" s="1"/>
  <c r="CY128" i="1"/>
  <c r="X128" i="1" s="1"/>
  <c r="CZ393" i="1"/>
  <c r="Y393" i="1" s="1"/>
  <c r="CZ237" i="1"/>
  <c r="Y237" i="1" s="1"/>
  <c r="CZ337" i="1"/>
  <c r="Y337" i="1" s="1"/>
  <c r="CY343" i="1"/>
  <c r="X343" i="1" s="1"/>
  <c r="CY51" i="1"/>
  <c r="X51" i="1" s="1"/>
  <c r="AB42" i="1"/>
  <c r="CR354" i="1"/>
  <c r="Q354" i="1" s="1"/>
  <c r="CP354" i="1" s="1"/>
  <c r="O354" i="1" s="1"/>
  <c r="GM354" i="1" s="1"/>
  <c r="GN354" i="1" s="1"/>
  <c r="CY244" i="1"/>
  <c r="X244" i="1" s="1"/>
  <c r="CY71" i="1"/>
  <c r="X71" i="1" s="1"/>
  <c r="CY401" i="1"/>
  <c r="X401" i="1" s="1"/>
  <c r="CY369" i="1"/>
  <c r="X369" i="1" s="1"/>
  <c r="CZ244" i="1"/>
  <c r="Y244" i="1" s="1"/>
  <c r="CZ351" i="1"/>
  <c r="Y351" i="1" s="1"/>
  <c r="CZ142" i="1"/>
  <c r="Y142" i="1" s="1"/>
  <c r="CZ234" i="1"/>
  <c r="Y234" i="1" s="1"/>
  <c r="CY372" i="1"/>
  <c r="X372" i="1" s="1"/>
  <c r="CZ381" i="1"/>
  <c r="Y381" i="1" s="1"/>
  <c r="K387" i="8"/>
  <c r="CY387" i="1"/>
  <c r="X387" i="1" s="1"/>
  <c r="CZ387" i="1"/>
  <c r="Y387" i="1" s="1"/>
  <c r="CZ136" i="1"/>
  <c r="Y136" i="1" s="1"/>
  <c r="CZ241" i="1"/>
  <c r="Y241" i="1" s="1"/>
  <c r="CZ359" i="1"/>
  <c r="Y359" i="1" s="1"/>
  <c r="CZ255" i="1"/>
  <c r="Y255" i="1" s="1"/>
  <c r="CY41" i="1"/>
  <c r="X41" i="1" s="1"/>
  <c r="CZ61" i="1"/>
  <c r="Y61" i="1" s="1"/>
  <c r="CY269" i="1"/>
  <c r="X269" i="1" s="1"/>
  <c r="CY348" i="1"/>
  <c r="X348" i="1" s="1"/>
  <c r="CY336" i="1"/>
  <c r="X336" i="1" s="1"/>
  <c r="CY264" i="1"/>
  <c r="X264" i="1" s="1"/>
  <c r="CY162" i="1"/>
  <c r="X162" i="1" s="1"/>
  <c r="CZ356" i="1"/>
  <c r="Y356" i="1" s="1"/>
  <c r="CP391" i="1"/>
  <c r="O391" i="1" s="1"/>
  <c r="CP402" i="1"/>
  <c r="O402" i="1" s="1"/>
  <c r="CZ130" i="1"/>
  <c r="Y130" i="1" s="1"/>
  <c r="CY362" i="1"/>
  <c r="X362" i="1" s="1"/>
  <c r="CZ211" i="1"/>
  <c r="Y211" i="1" s="1"/>
  <c r="CY378" i="1"/>
  <c r="X378" i="1" s="1"/>
  <c r="CZ365" i="1"/>
  <c r="Y365" i="1" s="1"/>
  <c r="CY395" i="1"/>
  <c r="X395" i="1" s="1"/>
  <c r="CZ375" i="1"/>
  <c r="Y375" i="1" s="1"/>
  <c r="CY403" i="1"/>
  <c r="X403" i="1" s="1"/>
  <c r="CZ370" i="1"/>
  <c r="Y370" i="1" s="1"/>
  <c r="CY166" i="1"/>
  <c r="X166" i="1" s="1"/>
  <c r="O34" i="15"/>
  <c r="E34" i="15" s="1"/>
  <c r="G34" i="15" s="1"/>
  <c r="CZ71" i="1"/>
  <c r="Y71" i="1" s="1"/>
  <c r="CP128" i="1"/>
  <c r="O128" i="1" s="1"/>
  <c r="CZ397" i="1"/>
  <c r="Y397" i="1" s="1"/>
  <c r="CY386" i="1"/>
  <c r="X386" i="1" s="1"/>
  <c r="CY405" i="1"/>
  <c r="X405" i="1" s="1"/>
  <c r="U751" i="8" s="1"/>
  <c r="K751" i="8" s="1"/>
  <c r="CY241" i="1"/>
  <c r="X241" i="1" s="1"/>
  <c r="CP392" i="1"/>
  <c r="O392" i="1" s="1"/>
  <c r="CY50" i="1"/>
  <c r="X50" i="1" s="1"/>
  <c r="CZ166" i="1"/>
  <c r="Y166" i="1" s="1"/>
  <c r="CY370" i="1"/>
  <c r="X370" i="1" s="1"/>
  <c r="CZ30" i="1"/>
  <c r="Y30" i="1" s="1"/>
  <c r="CZ262" i="1"/>
  <c r="Y262" i="1" s="1"/>
  <c r="CP378" i="1"/>
  <c r="O378" i="1" s="1"/>
  <c r="CZ386" i="1"/>
  <c r="Y386" i="1" s="1"/>
  <c r="CY253" i="1"/>
  <c r="X253" i="1" s="1"/>
  <c r="CZ131" i="1"/>
  <c r="Y131" i="1" s="1"/>
  <c r="CZ403" i="1"/>
  <c r="Y403" i="1" s="1"/>
  <c r="CZ225" i="1"/>
  <c r="Y225" i="1" s="1"/>
  <c r="CZ401" i="1"/>
  <c r="Y401" i="1" s="1"/>
  <c r="CY80" i="1"/>
  <c r="X80" i="1" s="1"/>
  <c r="CY359" i="1"/>
  <c r="X359" i="1" s="1"/>
  <c r="CZ343" i="1"/>
  <c r="Y343" i="1" s="1"/>
  <c r="CZ395" i="1"/>
  <c r="Y395" i="1" s="1"/>
  <c r="CZ152" i="1"/>
  <c r="Y152" i="1" s="1"/>
  <c r="CY165" i="1"/>
  <c r="X165" i="1" s="1"/>
  <c r="CZ332" i="1"/>
  <c r="Y332" i="1" s="1"/>
  <c r="CP66" i="1"/>
  <c r="O66" i="1" s="1"/>
  <c r="GM66" i="1" s="1"/>
  <c r="GN66" i="1" s="1"/>
  <c r="CY213" i="1"/>
  <c r="X213" i="1" s="1"/>
  <c r="CZ322" i="1"/>
  <c r="Y322" i="1" s="1"/>
  <c r="CP390" i="1"/>
  <c r="O390" i="1" s="1"/>
  <c r="CZ80" i="1"/>
  <c r="Y80" i="1" s="1"/>
  <c r="O45" i="15"/>
  <c r="E45" i="15" s="1"/>
  <c r="G45" i="15" s="1"/>
  <c r="CY211" i="1"/>
  <c r="X211" i="1" s="1"/>
  <c r="CP389" i="1"/>
  <c r="O389" i="1" s="1"/>
  <c r="CP359" i="1"/>
  <c r="O359" i="1" s="1"/>
  <c r="CY392" i="1"/>
  <c r="X392" i="1" s="1"/>
  <c r="CP146" i="1"/>
  <c r="O146" i="1" s="1"/>
  <c r="O33" i="13"/>
  <c r="E33" i="13" s="1"/>
  <c r="G33" i="13" s="1"/>
  <c r="CZ235" i="1"/>
  <c r="Y235" i="1" s="1"/>
  <c r="CZ238" i="1"/>
  <c r="Y238" i="1" s="1"/>
  <c r="CZ264" i="1"/>
  <c r="Y264" i="1" s="1"/>
  <c r="CY156" i="1"/>
  <c r="X156" i="1" s="1"/>
  <c r="CP343" i="1"/>
  <c r="O343" i="1" s="1"/>
  <c r="CP372" i="1"/>
  <c r="O372" i="1" s="1"/>
  <c r="CY376" i="1"/>
  <c r="X376" i="1" s="1"/>
  <c r="CZ391" i="1"/>
  <c r="Y391" i="1" s="1"/>
  <c r="CP151" i="1"/>
  <c r="O151" i="1" s="1"/>
  <c r="CY375" i="1"/>
  <c r="X375" i="1" s="1"/>
  <c r="O36" i="15"/>
  <c r="E36" i="15" s="1"/>
  <c r="G36" i="15" s="1"/>
  <c r="CZ251" i="1"/>
  <c r="Y251" i="1" s="1"/>
  <c r="GM251" i="1" s="1"/>
  <c r="GN251" i="1" s="1"/>
  <c r="CZ263" i="1"/>
  <c r="Y263" i="1" s="1"/>
  <c r="CY366" i="1"/>
  <c r="X366" i="1" s="1"/>
  <c r="CY135" i="1"/>
  <c r="X135" i="1" s="1"/>
  <c r="CZ379" i="1"/>
  <c r="Y379" i="1" s="1"/>
  <c r="O28" i="15"/>
  <c r="E28" i="15" s="1"/>
  <c r="G28" i="15" s="1"/>
  <c r="CY233" i="1"/>
  <c r="X233" i="1" s="1"/>
  <c r="CP396" i="1"/>
  <c r="O396" i="1" s="1"/>
  <c r="CZ396" i="1"/>
  <c r="Y396" i="1" s="1"/>
  <c r="J141" i="17"/>
  <c r="I112" i="17"/>
  <c r="CZ201" i="1"/>
  <c r="Y201" i="1" s="1"/>
  <c r="CY235" i="1"/>
  <c r="X235" i="1" s="1"/>
  <c r="J62" i="17"/>
  <c r="CY391" i="1"/>
  <c r="X391" i="1" s="1"/>
  <c r="CZ245" i="1"/>
  <c r="Y245" i="1" s="1"/>
  <c r="O67" i="13"/>
  <c r="E67" i="13" s="1"/>
  <c r="G67" i="13" s="1"/>
  <c r="CP329" i="1"/>
  <c r="O329" i="1" s="1"/>
  <c r="CY201" i="1"/>
  <c r="X201" i="1" s="1"/>
  <c r="CZ376" i="1"/>
  <c r="Y376" i="1" s="1"/>
  <c r="CZ320" i="1"/>
  <c r="Y320" i="1" s="1"/>
  <c r="CY365" i="1"/>
  <c r="X365" i="1" s="1"/>
  <c r="CZ277" i="1"/>
  <c r="Y277" i="1" s="1"/>
  <c r="CZ364" i="1"/>
  <c r="Y364" i="1" s="1"/>
  <c r="CY326" i="1"/>
  <c r="X326" i="1" s="1"/>
  <c r="I138" i="17"/>
  <c r="CZ231" i="1"/>
  <c r="Y231" i="1" s="1"/>
  <c r="J44" i="17"/>
  <c r="CZ336" i="1"/>
  <c r="Y336" i="1" s="1"/>
  <c r="CP333" i="1"/>
  <c r="O333" i="1" s="1"/>
  <c r="O29" i="13"/>
  <c r="E29" i="13" s="1"/>
  <c r="G29" i="13" s="1"/>
  <c r="J162" i="17"/>
  <c r="CZ73" i="1"/>
  <c r="Y73" i="1" s="1"/>
  <c r="CY136" i="1"/>
  <c r="X136" i="1" s="1"/>
  <c r="CY394" i="1"/>
  <c r="X394" i="1" s="1"/>
  <c r="CP400" i="1"/>
  <c r="O400" i="1" s="1"/>
  <c r="CZ249" i="1"/>
  <c r="Y249" i="1" s="1"/>
  <c r="O33" i="15"/>
  <c r="E33" i="15" s="1"/>
  <c r="G33" i="15" s="1"/>
  <c r="CP248" i="1"/>
  <c r="O248" i="1" s="1"/>
  <c r="CY261" i="1"/>
  <c r="X261" i="1" s="1"/>
  <c r="CY389" i="1"/>
  <c r="X389" i="1" s="1"/>
  <c r="CZ378" i="1"/>
  <c r="Y378" i="1" s="1"/>
  <c r="CZ200" i="1"/>
  <c r="Y200" i="1" s="1"/>
  <c r="CZ194" i="1"/>
  <c r="Y194" i="1" s="1"/>
  <c r="CY257" i="1"/>
  <c r="X257" i="1" s="1"/>
  <c r="CY400" i="1"/>
  <c r="X400" i="1" s="1"/>
  <c r="CY60" i="1"/>
  <c r="X60" i="1" s="1"/>
  <c r="CY231" i="1"/>
  <c r="X231" i="1" s="1"/>
  <c r="J49" i="17"/>
  <c r="J79" i="17"/>
  <c r="I140" i="17"/>
  <c r="CP258" i="1"/>
  <c r="O258" i="1" s="1"/>
  <c r="CY225" i="1"/>
  <c r="X225" i="1" s="1"/>
  <c r="CZ141" i="1"/>
  <c r="Y141" i="1" s="1"/>
  <c r="CY222" i="1"/>
  <c r="X222" i="1" s="1"/>
  <c r="CZ31" i="1"/>
  <c r="Y31" i="1" s="1"/>
  <c r="CY383" i="1"/>
  <c r="X383" i="1" s="1"/>
  <c r="CP403" i="1"/>
  <c r="O403" i="1" s="1"/>
  <c r="CY248" i="1"/>
  <c r="X248" i="1" s="1"/>
  <c r="CY333" i="1"/>
  <c r="X333" i="1" s="1"/>
  <c r="I165" i="17"/>
  <c r="I103" i="17"/>
  <c r="CY188" i="1"/>
  <c r="X188" i="1" s="1"/>
  <c r="CZ392" i="1"/>
  <c r="Y392" i="1" s="1"/>
  <c r="CP386" i="1"/>
  <c r="O386" i="1" s="1"/>
  <c r="CY396" i="1"/>
  <c r="X396" i="1" s="1"/>
  <c r="J56" i="17"/>
  <c r="J98" i="17"/>
  <c r="I105" i="17"/>
  <c r="O47" i="15"/>
  <c r="E47" i="15" s="1"/>
  <c r="G47" i="15" s="1"/>
  <c r="CZ138" i="1"/>
  <c r="Y138" i="1" s="1"/>
  <c r="U263" i="8" s="1"/>
  <c r="DS263" i="8" s="1"/>
  <c r="CZ178" i="1"/>
  <c r="Y178" i="1" s="1"/>
  <c r="CP395" i="1"/>
  <c r="O395" i="1" s="1"/>
  <c r="O66" i="13"/>
  <c r="E66" i="13" s="1"/>
  <c r="G66" i="13" s="1"/>
  <c r="I55" i="17"/>
  <c r="O20" i="13"/>
  <c r="E20" i="13" s="1"/>
  <c r="G20" i="13" s="1"/>
  <c r="J83" i="17"/>
  <c r="I82" i="17"/>
  <c r="J104" i="17"/>
  <c r="J109" i="17"/>
  <c r="O52" i="13"/>
  <c r="E52" i="13" s="1"/>
  <c r="G52" i="13" s="1"/>
  <c r="DM680" i="8"/>
  <c r="CZ402" i="1"/>
  <c r="Y402" i="1" s="1"/>
  <c r="CY397" i="1"/>
  <c r="X397" i="1" s="1"/>
  <c r="CZ342" i="1"/>
  <c r="Y342" i="1" s="1"/>
  <c r="J32" i="17"/>
  <c r="J80" i="17"/>
  <c r="I84" i="17"/>
  <c r="J102" i="17"/>
  <c r="I99" i="17"/>
  <c r="H155" i="17"/>
  <c r="J155" i="17" s="1"/>
  <c r="CY200" i="1"/>
  <c r="X200" i="1" s="1"/>
  <c r="CY127" i="1"/>
  <c r="X127" i="1" s="1"/>
  <c r="CY198" i="1"/>
  <c r="X198" i="1" s="1"/>
  <c r="CP257" i="1"/>
  <c r="O257" i="1" s="1"/>
  <c r="CZ222" i="1"/>
  <c r="Y222" i="1" s="1"/>
  <c r="CY347" i="1"/>
  <c r="X347" i="1" s="1"/>
  <c r="H154" i="17"/>
  <c r="J154" i="17" s="1"/>
  <c r="J48" i="17"/>
  <c r="J77" i="17"/>
  <c r="H100" i="17"/>
  <c r="J100" i="17" s="1"/>
  <c r="O38" i="15"/>
  <c r="E38" i="15" s="1"/>
  <c r="G38" i="15" s="1"/>
  <c r="CP328" i="1"/>
  <c r="O328" i="1" s="1"/>
  <c r="O64" i="15"/>
  <c r="E64" i="15" s="1"/>
  <c r="G64" i="15" s="1"/>
  <c r="G110" i="15" s="1"/>
  <c r="M110" i="15" s="1"/>
  <c r="G116" i="15" s="1"/>
  <c r="J30" i="17"/>
  <c r="O51" i="13"/>
  <c r="E51" i="13" s="1"/>
  <c r="G51" i="13" s="1"/>
  <c r="CY321" i="1"/>
  <c r="X321" i="1" s="1"/>
  <c r="H101" i="17"/>
  <c r="J101" i="17" s="1"/>
  <c r="CY402" i="1"/>
  <c r="X402" i="1" s="1"/>
  <c r="CY399" i="1"/>
  <c r="X399" i="1" s="1"/>
  <c r="CP388" i="1"/>
  <c r="O388" i="1" s="1"/>
  <c r="H174" i="17"/>
  <c r="I174" i="17" s="1"/>
  <c r="CP397" i="1"/>
  <c r="O397" i="1" s="1"/>
  <c r="I719" i="8"/>
  <c r="H172" i="17"/>
  <c r="J172" i="17" s="1"/>
  <c r="CP393" i="1"/>
  <c r="O393" i="1" s="1"/>
  <c r="H173" i="17"/>
  <c r="J173" i="17" s="1"/>
  <c r="H171" i="17"/>
  <c r="J171" i="17" s="1"/>
  <c r="CP394" i="1"/>
  <c r="O394" i="1" s="1"/>
  <c r="H170" i="17"/>
  <c r="I170" i="17" s="1"/>
  <c r="H169" i="17"/>
  <c r="J169" i="17" s="1"/>
  <c r="CY379" i="1"/>
  <c r="X379" i="1" s="1"/>
  <c r="CP377" i="1"/>
  <c r="O377" i="1" s="1"/>
  <c r="O39" i="15"/>
  <c r="E39" i="15" s="1"/>
  <c r="G39" i="15" s="1"/>
  <c r="CP382" i="1"/>
  <c r="O382" i="1" s="1"/>
  <c r="CP376" i="1"/>
  <c r="O376" i="1" s="1"/>
  <c r="U678" i="8"/>
  <c r="DS678" i="8" s="1"/>
  <c r="I161" i="17"/>
  <c r="I679" i="8"/>
  <c r="H159" i="17"/>
  <c r="I159" i="17" s="1"/>
  <c r="H158" i="17"/>
  <c r="J158" i="17" s="1"/>
  <c r="H157" i="17"/>
  <c r="I157" i="17" s="1"/>
  <c r="I664" i="8"/>
  <c r="DM665" i="8"/>
  <c r="U641" i="8"/>
  <c r="S642" i="8" s="1"/>
  <c r="J642" i="8" s="1"/>
  <c r="I149" i="17"/>
  <c r="J150" i="17"/>
  <c r="I152" i="17"/>
  <c r="CP346" i="1"/>
  <c r="O346" i="1" s="1"/>
  <c r="GM346" i="1" s="1"/>
  <c r="GN346" i="1" s="1"/>
  <c r="CZ347" i="1"/>
  <c r="Y347" i="1" s="1"/>
  <c r="U628" i="8"/>
  <c r="K628" i="8" s="1"/>
  <c r="DM630" i="8"/>
  <c r="U634" i="8"/>
  <c r="K634" i="8" s="1"/>
  <c r="I148" i="17"/>
  <c r="I627" i="8"/>
  <c r="DM632" i="8"/>
  <c r="H145" i="17"/>
  <c r="I145" i="17" s="1"/>
  <c r="H146" i="17"/>
  <c r="J146" i="17" s="1"/>
  <c r="K606" i="8"/>
  <c r="CY332" i="1"/>
  <c r="X332" i="1" s="1"/>
  <c r="H144" i="17"/>
  <c r="J144" i="17" s="1"/>
  <c r="H143" i="17"/>
  <c r="J143" i="17" s="1"/>
  <c r="DM612" i="8"/>
  <c r="CY334" i="1"/>
  <c r="X334" i="1" s="1"/>
  <c r="U605" i="8"/>
  <c r="K605" i="8" s="1"/>
  <c r="DM610" i="8"/>
  <c r="I609" i="8"/>
  <c r="CP335" i="1"/>
  <c r="O335" i="1" s="1"/>
  <c r="EB407" i="1"/>
  <c r="EB314" i="1" s="1"/>
  <c r="O53" i="13"/>
  <c r="E53" i="13" s="1"/>
  <c r="G53" i="13" s="1"/>
  <c r="U591" i="8"/>
  <c r="K591" i="8" s="1"/>
  <c r="I595" i="8"/>
  <c r="CZ326" i="1"/>
  <c r="Y326" i="1" s="1"/>
  <c r="CP327" i="1"/>
  <c r="O327" i="1" s="1"/>
  <c r="K592" i="8"/>
  <c r="I579" i="8"/>
  <c r="I137" i="17"/>
  <c r="CZ321" i="1"/>
  <c r="Y321" i="1" s="1"/>
  <c r="O24" i="13"/>
  <c r="E24" i="13" s="1"/>
  <c r="G24" i="13" s="1"/>
  <c r="CP278" i="1"/>
  <c r="O278" i="1" s="1"/>
  <c r="CZ275" i="1"/>
  <c r="Y275" i="1" s="1"/>
  <c r="H126" i="17"/>
  <c r="J126" i="17" s="1"/>
  <c r="H125" i="17"/>
  <c r="J125" i="17" s="1"/>
  <c r="H121" i="17"/>
  <c r="I121" i="17" s="1"/>
  <c r="O37" i="15"/>
  <c r="E37" i="15" s="1"/>
  <c r="G37" i="15" s="1"/>
  <c r="H123" i="17"/>
  <c r="J123" i="17" s="1"/>
  <c r="CY255" i="1"/>
  <c r="X255" i="1" s="1"/>
  <c r="CP256" i="1"/>
  <c r="O256" i="1" s="1"/>
  <c r="H122" i="17"/>
  <c r="J122" i="17" s="1"/>
  <c r="H115" i="17"/>
  <c r="I115" i="17" s="1"/>
  <c r="H119" i="17"/>
  <c r="J119" i="17" s="1"/>
  <c r="CY243" i="1"/>
  <c r="X243" i="1" s="1"/>
  <c r="H117" i="17"/>
  <c r="I117" i="17" s="1"/>
  <c r="H118" i="17"/>
  <c r="I118" i="17" s="1"/>
  <c r="H116" i="17"/>
  <c r="I116" i="17" s="1"/>
  <c r="I111" i="17"/>
  <c r="J113" i="17"/>
  <c r="I110" i="17"/>
  <c r="CP215" i="1"/>
  <c r="O215" i="1" s="1"/>
  <c r="GM215" i="1" s="1"/>
  <c r="GN215" i="1" s="1"/>
  <c r="J97" i="17"/>
  <c r="CP222" i="1"/>
  <c r="O222" i="1" s="1"/>
  <c r="H94" i="17"/>
  <c r="J94" i="17" s="1"/>
  <c r="H92" i="17"/>
  <c r="I92" i="17" s="1"/>
  <c r="H90" i="17"/>
  <c r="J90" i="17" s="1"/>
  <c r="CZ188" i="1"/>
  <c r="Y188" i="1" s="1"/>
  <c r="H89" i="17"/>
  <c r="J89" i="17" s="1"/>
  <c r="H93" i="17"/>
  <c r="J93" i="17" s="1"/>
  <c r="H91" i="17"/>
  <c r="I91" i="17" s="1"/>
  <c r="H95" i="17"/>
  <c r="I95" i="17" s="1"/>
  <c r="H87" i="17"/>
  <c r="J87" i="17" s="1"/>
  <c r="H88" i="17"/>
  <c r="I88" i="17" s="1"/>
  <c r="J81" i="17"/>
  <c r="CY182" i="1"/>
  <c r="X182" i="1" s="1"/>
  <c r="CY174" i="1"/>
  <c r="X174" i="1" s="1"/>
  <c r="I85" i="17"/>
  <c r="I78" i="17"/>
  <c r="CP173" i="1"/>
  <c r="O173" i="1" s="1"/>
  <c r="CZ180" i="1"/>
  <c r="Y180" i="1" s="1"/>
  <c r="CZ181" i="1"/>
  <c r="Y181" i="1" s="1"/>
  <c r="H69" i="17"/>
  <c r="I69" i="17" s="1"/>
  <c r="H72" i="17"/>
  <c r="J72" i="17" s="1"/>
  <c r="H70" i="17"/>
  <c r="J70" i="17" s="1"/>
  <c r="H75" i="17"/>
  <c r="J75" i="17" s="1"/>
  <c r="H71" i="17"/>
  <c r="J71" i="17" s="1"/>
  <c r="H68" i="17"/>
  <c r="J68" i="17" s="1"/>
  <c r="H73" i="17"/>
  <c r="J73" i="17" s="1"/>
  <c r="H74" i="17"/>
  <c r="J74" i="17" s="1"/>
  <c r="CP147" i="1"/>
  <c r="O147" i="1" s="1"/>
  <c r="GM147" i="1" s="1"/>
  <c r="GN147" i="1" s="1"/>
  <c r="CP157" i="1"/>
  <c r="O157" i="1" s="1"/>
  <c r="GM157" i="1" s="1"/>
  <c r="GN157" i="1" s="1"/>
  <c r="O22" i="15"/>
  <c r="E22" i="15" s="1"/>
  <c r="G22" i="15" s="1"/>
  <c r="H67" i="17"/>
  <c r="I67" i="17" s="1"/>
  <c r="CP141" i="1"/>
  <c r="O141" i="1" s="1"/>
  <c r="H65" i="17"/>
  <c r="I65" i="17" s="1"/>
  <c r="H64" i="17"/>
  <c r="J64" i="17" s="1"/>
  <c r="H58" i="17"/>
  <c r="J58" i="17" s="1"/>
  <c r="H60" i="17"/>
  <c r="J60" i="17" s="1"/>
  <c r="H59" i="17"/>
  <c r="J59" i="17" s="1"/>
  <c r="Q22" i="13"/>
  <c r="O22" i="13" s="1"/>
  <c r="E22" i="13" s="1"/>
  <c r="G22" i="13" s="1"/>
  <c r="O41" i="15"/>
  <c r="E41" i="15" s="1"/>
  <c r="G41" i="15" s="1"/>
  <c r="O29" i="15"/>
  <c r="E29" i="15" s="1"/>
  <c r="G29" i="15" s="1"/>
  <c r="O19" i="15"/>
  <c r="E19" i="15" s="1"/>
  <c r="G19" i="15" s="1"/>
  <c r="I45" i="17"/>
  <c r="I51" i="17"/>
  <c r="CZ75" i="1"/>
  <c r="Y75" i="1" s="1"/>
  <c r="I50" i="17"/>
  <c r="I46" i="17"/>
  <c r="I52" i="17"/>
  <c r="H41" i="17"/>
  <c r="I41" i="17" s="1"/>
  <c r="O51" i="15"/>
  <c r="E51" i="15" s="1"/>
  <c r="G51" i="15" s="1"/>
  <c r="H37" i="17"/>
  <c r="I37" i="17" s="1"/>
  <c r="H34" i="17"/>
  <c r="I34" i="17" s="1"/>
  <c r="H38" i="17"/>
  <c r="J38" i="17" s="1"/>
  <c r="H40" i="17"/>
  <c r="I40" i="17" s="1"/>
  <c r="H36" i="17"/>
  <c r="J36" i="17" s="1"/>
  <c r="H39" i="17"/>
  <c r="J39" i="17" s="1"/>
  <c r="H35" i="17"/>
  <c r="J35" i="17" s="1"/>
  <c r="H42" i="17"/>
  <c r="I42" i="17" s="1"/>
  <c r="H28" i="17"/>
  <c r="J28" i="17" s="1"/>
  <c r="H27" i="17"/>
  <c r="I27" i="17" s="1"/>
  <c r="CY32" i="1"/>
  <c r="X32" i="1" s="1"/>
  <c r="AB317" i="1"/>
  <c r="U752" i="8"/>
  <c r="K752" i="8" s="1"/>
  <c r="O21" i="15"/>
  <c r="E21" i="15" s="1"/>
  <c r="G21" i="15" s="1"/>
  <c r="I753" i="8"/>
  <c r="J177" i="17"/>
  <c r="U739" i="8"/>
  <c r="K739" i="8" s="1"/>
  <c r="CP401" i="1"/>
  <c r="O401" i="1" s="1"/>
  <c r="GM401" i="1" s="1"/>
  <c r="GN401" i="1" s="1"/>
  <c r="U706" i="8"/>
  <c r="DS706" i="8" s="1"/>
  <c r="CJ407" i="1"/>
  <c r="BA407" i="1" s="1"/>
  <c r="I707" i="8"/>
  <c r="O50" i="15"/>
  <c r="E50" i="15" s="1"/>
  <c r="G50" i="15" s="1"/>
  <c r="K690" i="8"/>
  <c r="U693" i="8"/>
  <c r="K693" i="8" s="1"/>
  <c r="I694" i="8"/>
  <c r="O44" i="15"/>
  <c r="E44" i="15" s="1"/>
  <c r="G44" i="15" s="1"/>
  <c r="H132" i="17"/>
  <c r="J132" i="17" s="1"/>
  <c r="H131" i="17"/>
  <c r="J131" i="17" s="1"/>
  <c r="CP277" i="1"/>
  <c r="O277" i="1" s="1"/>
  <c r="CP269" i="1"/>
  <c r="O269" i="1" s="1"/>
  <c r="H129" i="17"/>
  <c r="I129" i="17" s="1"/>
  <c r="H128" i="17"/>
  <c r="I128" i="17" s="1"/>
  <c r="U691" i="8"/>
  <c r="K691" i="8" s="1"/>
  <c r="K576" i="8"/>
  <c r="U649" i="8"/>
  <c r="K649" i="8" s="1"/>
  <c r="CY361" i="1"/>
  <c r="X361" i="1" s="1"/>
  <c r="AB361" i="1"/>
  <c r="AB252" i="1"/>
  <c r="U623" i="8"/>
  <c r="DS623" i="8" s="1"/>
  <c r="K624" i="8"/>
  <c r="K647" i="8"/>
  <c r="CP233" i="1"/>
  <c r="O233" i="1" s="1"/>
  <c r="CZ165" i="1"/>
  <c r="Y165" i="1" s="1"/>
  <c r="CP135" i="1"/>
  <c r="O135" i="1" s="1"/>
  <c r="U705" i="8"/>
  <c r="DS705" i="8" s="1"/>
  <c r="U677" i="8"/>
  <c r="K677" i="8" s="1"/>
  <c r="I781" i="8"/>
  <c r="EY19" i="7"/>
  <c r="U248" i="8"/>
  <c r="DS248" i="8" s="1"/>
  <c r="I264" i="8"/>
  <c r="DM349" i="8"/>
  <c r="K359" i="8"/>
  <c r="I362" i="8"/>
  <c r="I390" i="8"/>
  <c r="CZ224" i="1"/>
  <c r="Y224" i="1" s="1"/>
  <c r="I402" i="8"/>
  <c r="K419" i="8"/>
  <c r="U431" i="8"/>
  <c r="K431" i="8" s="1"/>
  <c r="K469" i="8"/>
  <c r="U492" i="8"/>
  <c r="K492" i="8" s="1"/>
  <c r="CZ280" i="1"/>
  <c r="Y280" i="1" s="1"/>
  <c r="K261" i="8"/>
  <c r="I306" i="8"/>
  <c r="DM407" i="8"/>
  <c r="I442" i="8"/>
  <c r="I473" i="8"/>
  <c r="I489" i="8"/>
  <c r="U488" i="8"/>
  <c r="DS488" i="8" s="1"/>
  <c r="I222" i="8"/>
  <c r="K233" i="8"/>
  <c r="I252" i="8"/>
  <c r="U260" i="8"/>
  <c r="U237" i="8"/>
  <c r="K237" i="8" s="1"/>
  <c r="I278" i="8"/>
  <c r="U367" i="8"/>
  <c r="K367" i="8" s="1"/>
  <c r="U375" i="8"/>
  <c r="K375" i="8" s="1"/>
  <c r="U398" i="8"/>
  <c r="K398" i="8" s="1"/>
  <c r="U423" i="8"/>
  <c r="K423" i="8" s="1"/>
  <c r="DM429" i="8"/>
  <c r="I502" i="8"/>
  <c r="K439" i="8"/>
  <c r="K219" i="8"/>
  <c r="I236" i="8"/>
  <c r="K249" i="8"/>
  <c r="U241" i="8"/>
  <c r="K241" i="8" s="1"/>
  <c r="K275" i="8"/>
  <c r="I334" i="8"/>
  <c r="DM309" i="8"/>
  <c r="U377" i="8"/>
  <c r="K377" i="8" s="1"/>
  <c r="K399" i="8"/>
  <c r="I422" i="8"/>
  <c r="CZ260" i="1"/>
  <c r="Y260" i="1" s="1"/>
  <c r="I458" i="8"/>
  <c r="U470" i="8"/>
  <c r="DM470" i="8" s="1"/>
  <c r="U474" i="8"/>
  <c r="K474" i="8" s="1"/>
  <c r="K455" i="8"/>
  <c r="CY274" i="1"/>
  <c r="X274" i="1" s="1"/>
  <c r="U487" i="8" s="1"/>
  <c r="U500" i="8"/>
  <c r="DS500" i="8" s="1"/>
  <c r="U388" i="8"/>
  <c r="K388" i="8" s="1"/>
  <c r="I70" i="8"/>
  <c r="I94" i="8"/>
  <c r="U144" i="8"/>
  <c r="S145" i="8" s="1"/>
  <c r="J145" i="8" s="1"/>
  <c r="DT15" i="10"/>
  <c r="K67" i="8"/>
  <c r="U78" i="8"/>
  <c r="DS78" i="8" s="1"/>
  <c r="K119" i="8"/>
  <c r="DM123" i="8"/>
  <c r="K53" i="8"/>
  <c r="U66" i="8"/>
  <c r="K66" i="8" s="1"/>
  <c r="K79" i="8"/>
  <c r="I56" i="8"/>
  <c r="I82" i="8"/>
  <c r="CP81" i="1"/>
  <c r="O81" i="1" s="1"/>
  <c r="I122" i="8"/>
  <c r="EY20" i="7"/>
  <c r="I846" i="8"/>
  <c r="HF752" i="8"/>
  <c r="I752" i="8"/>
  <c r="HB752" i="8"/>
  <c r="HL752" i="8"/>
  <c r="HN752" i="8"/>
  <c r="GZ752" i="8"/>
  <c r="DQ752" i="8"/>
  <c r="U749" i="8"/>
  <c r="DG749" i="8"/>
  <c r="CP405" i="1"/>
  <c r="O405" i="1" s="1"/>
  <c r="U750" i="8"/>
  <c r="R754" i="8"/>
  <c r="HF749" i="8"/>
  <c r="GJ749" i="8"/>
  <c r="HL749" i="8"/>
  <c r="HB749" i="8"/>
  <c r="DQ749" i="8"/>
  <c r="HN749" i="8"/>
  <c r="HX749" i="8"/>
  <c r="I749" i="8"/>
  <c r="GK749" i="8"/>
  <c r="HL751" i="8"/>
  <c r="DQ751" i="8"/>
  <c r="HF751" i="8"/>
  <c r="I751" i="8"/>
  <c r="HN751" i="8"/>
  <c r="HB751" i="8"/>
  <c r="GY751" i="8"/>
  <c r="HB750" i="8"/>
  <c r="I750" i="8"/>
  <c r="DQ750" i="8"/>
  <c r="HN750" i="8"/>
  <c r="GL750" i="8"/>
  <c r="HL750" i="8"/>
  <c r="GJ750" i="8"/>
  <c r="HF750" i="8"/>
  <c r="H715" i="8"/>
  <c r="T715" i="8"/>
  <c r="R733" i="8" s="1"/>
  <c r="U715" i="8"/>
  <c r="K715" i="8" s="1"/>
  <c r="CP385" i="1"/>
  <c r="O385" i="1" s="1"/>
  <c r="CP347" i="1"/>
  <c r="O347" i="1" s="1"/>
  <c r="R746" i="8"/>
  <c r="HF737" i="8"/>
  <c r="DQ737" i="8"/>
  <c r="HB737" i="8"/>
  <c r="I737" i="8"/>
  <c r="HN737" i="8"/>
  <c r="GL737" i="8"/>
  <c r="HL737" i="8"/>
  <c r="GJ737" i="8"/>
  <c r="CP399" i="1"/>
  <c r="O399" i="1" s="1"/>
  <c r="U737" i="8"/>
  <c r="DM741" i="8"/>
  <c r="U741" i="8"/>
  <c r="K741" i="8" s="1"/>
  <c r="HC743" i="8"/>
  <c r="GP743" i="8"/>
  <c r="HP743" i="8"/>
  <c r="GJ743" i="8"/>
  <c r="GN743" i="8"/>
  <c r="HL743" i="8"/>
  <c r="GS743" i="8"/>
  <c r="DK743" i="8"/>
  <c r="HF743" i="8"/>
  <c r="GQ743" i="8"/>
  <c r="I743" i="8"/>
  <c r="HN738" i="8"/>
  <c r="GY738" i="8"/>
  <c r="HL738" i="8"/>
  <c r="DQ738" i="8"/>
  <c r="HF738" i="8"/>
  <c r="I738" i="8"/>
  <c r="HB738" i="8"/>
  <c r="HL736" i="8"/>
  <c r="GK736" i="8"/>
  <c r="HF736" i="8"/>
  <c r="GJ736" i="8"/>
  <c r="HB736" i="8"/>
  <c r="DQ736" i="8"/>
  <c r="HN736" i="8"/>
  <c r="HX736" i="8"/>
  <c r="I736" i="8"/>
  <c r="HF741" i="8"/>
  <c r="GQ741" i="8"/>
  <c r="I741" i="8"/>
  <c r="DK741" i="8"/>
  <c r="HB741" i="8"/>
  <c r="GP741" i="8"/>
  <c r="HN741" i="8"/>
  <c r="GJ741" i="8"/>
  <c r="GN741" i="8"/>
  <c r="HL741" i="8"/>
  <c r="GS741" i="8"/>
  <c r="U743" i="8"/>
  <c r="K743" i="8" s="1"/>
  <c r="DM743" i="8"/>
  <c r="HL739" i="8"/>
  <c r="DQ739" i="8"/>
  <c r="HF739" i="8"/>
  <c r="I739" i="8"/>
  <c r="HB739" i="8"/>
  <c r="HN739" i="8"/>
  <c r="GZ739" i="8"/>
  <c r="U736" i="8"/>
  <c r="DG736" i="8"/>
  <c r="GM398" i="1"/>
  <c r="GN398" i="1" s="1"/>
  <c r="DM720" i="8"/>
  <c r="U720" i="8"/>
  <c r="K720" i="8" s="1"/>
  <c r="CZ400" i="1"/>
  <c r="Y400" i="1" s="1"/>
  <c r="HL726" i="8"/>
  <c r="GS726" i="8"/>
  <c r="DK726" i="8"/>
  <c r="HF726" i="8"/>
  <c r="GQ726" i="8"/>
  <c r="I726" i="8"/>
  <c r="HC726" i="8"/>
  <c r="GP726" i="8"/>
  <c r="HP726" i="8"/>
  <c r="GJ726" i="8"/>
  <c r="GN726" i="8"/>
  <c r="HP717" i="8"/>
  <c r="GY717" i="8"/>
  <c r="IO19" i="7" s="1"/>
  <c r="HL717" i="8"/>
  <c r="DQ717" i="8"/>
  <c r="HC717" i="8"/>
  <c r="HF717" i="8"/>
  <c r="I717" i="8"/>
  <c r="CZ383" i="1"/>
  <c r="Y383" i="1" s="1"/>
  <c r="DM726" i="8"/>
  <c r="U726" i="8"/>
  <c r="K726" i="8" s="1"/>
  <c r="HX716" i="8"/>
  <c r="I716" i="8"/>
  <c r="HC722" i="8"/>
  <c r="GP722" i="8"/>
  <c r="HP722" i="8"/>
  <c r="GJ722" i="8"/>
  <c r="GN722" i="8"/>
  <c r="HF722" i="8"/>
  <c r="I722" i="8"/>
  <c r="HL722" i="8"/>
  <c r="GS722" i="8"/>
  <c r="DK722" i="8"/>
  <c r="GQ722" i="8"/>
  <c r="CZ385" i="1"/>
  <c r="Y385" i="1" s="1"/>
  <c r="K716" i="8"/>
  <c r="DM724" i="8"/>
  <c r="U724" i="8"/>
  <c r="K724" i="8" s="1"/>
  <c r="DM728" i="8"/>
  <c r="U728" i="8"/>
  <c r="K728" i="8" s="1"/>
  <c r="HF728" i="8"/>
  <c r="GQ728" i="8"/>
  <c r="I728" i="8"/>
  <c r="HB728" i="8"/>
  <c r="GP728" i="8"/>
  <c r="GS728" i="8"/>
  <c r="DK728" i="8"/>
  <c r="HN728" i="8"/>
  <c r="GJ728" i="8"/>
  <c r="GN728" i="8"/>
  <c r="HL728" i="8"/>
  <c r="HF720" i="8"/>
  <c r="GQ720" i="8"/>
  <c r="I720" i="8"/>
  <c r="HB720" i="8"/>
  <c r="GP720" i="8"/>
  <c r="GS720" i="8"/>
  <c r="HN720" i="8"/>
  <c r="GJ720" i="8"/>
  <c r="GN720" i="8"/>
  <c r="HL720" i="8"/>
  <c r="DK720" i="8"/>
  <c r="HL718" i="8"/>
  <c r="DQ718" i="8"/>
  <c r="HF718" i="8"/>
  <c r="I718" i="8"/>
  <c r="HP718" i="8"/>
  <c r="GZ718" i="8"/>
  <c r="IS19" i="7" s="1"/>
  <c r="HC718" i="8"/>
  <c r="U714" i="8"/>
  <c r="DG714" i="8"/>
  <c r="HB730" i="8"/>
  <c r="GP730" i="8"/>
  <c r="HN730" i="8"/>
  <c r="GJ730" i="8"/>
  <c r="GN730" i="8"/>
  <c r="I730" i="8"/>
  <c r="HL730" i="8"/>
  <c r="GS730" i="8"/>
  <c r="DK730" i="8"/>
  <c r="HF730" i="8"/>
  <c r="GQ730" i="8"/>
  <c r="U722" i="8"/>
  <c r="K722" i="8" s="1"/>
  <c r="DM722" i="8"/>
  <c r="U730" i="8"/>
  <c r="K730" i="8" s="1"/>
  <c r="DM730" i="8"/>
  <c r="HF714" i="8"/>
  <c r="GJ714" i="8"/>
  <c r="HC714" i="8"/>
  <c r="DQ714" i="8"/>
  <c r="HL714" i="8"/>
  <c r="HP714" i="8"/>
  <c r="HX714" i="8"/>
  <c r="I714" i="8"/>
  <c r="GK714" i="8"/>
  <c r="FY19" i="7" s="1"/>
  <c r="HP724" i="8"/>
  <c r="GJ724" i="8"/>
  <c r="GN724" i="8"/>
  <c r="HL724" i="8"/>
  <c r="GS724" i="8"/>
  <c r="DK724" i="8"/>
  <c r="GP724" i="8"/>
  <c r="HF724" i="8"/>
  <c r="GQ724" i="8"/>
  <c r="I724" i="8"/>
  <c r="HC724" i="8"/>
  <c r="EI407" i="1"/>
  <c r="EI314" i="1" s="1"/>
  <c r="CY385" i="1"/>
  <c r="X385" i="1" s="1"/>
  <c r="EM407" i="1"/>
  <c r="EM314" i="1" s="1"/>
  <c r="EA407" i="1"/>
  <c r="EA314" i="1" s="1"/>
  <c r="FY407" i="1"/>
  <c r="FY314" i="1" s="1"/>
  <c r="CZ394" i="1"/>
  <c r="Y394" i="1" s="1"/>
  <c r="GM394" i="1" s="1"/>
  <c r="GN394" i="1" s="1"/>
  <c r="HF703" i="8"/>
  <c r="GJ703" i="8"/>
  <c r="HX703" i="8"/>
  <c r="HL703" i="8"/>
  <c r="HB703" i="8"/>
  <c r="DQ703" i="8"/>
  <c r="HN703" i="8"/>
  <c r="I703" i="8"/>
  <c r="GK703" i="8"/>
  <c r="HL705" i="8"/>
  <c r="DQ705" i="8"/>
  <c r="GY705" i="8"/>
  <c r="HF705" i="8"/>
  <c r="I705" i="8"/>
  <c r="HB705" i="8"/>
  <c r="HN705" i="8"/>
  <c r="CR381" i="1"/>
  <c r="Q381" i="1" s="1"/>
  <c r="CP381" i="1" s="1"/>
  <c r="O381" i="1" s="1"/>
  <c r="GM381" i="1" s="1"/>
  <c r="GN381" i="1" s="1"/>
  <c r="T704" i="8"/>
  <c r="R711" i="8" s="1"/>
  <c r="H704" i="8"/>
  <c r="U708" i="8"/>
  <c r="K708" i="8" s="1"/>
  <c r="DM708" i="8"/>
  <c r="J710" i="8" s="1"/>
  <c r="U703" i="8"/>
  <c r="DG703" i="8"/>
  <c r="HF706" i="8"/>
  <c r="I706" i="8"/>
  <c r="HL706" i="8"/>
  <c r="HB706" i="8"/>
  <c r="HN706" i="8"/>
  <c r="GZ706" i="8"/>
  <c r="DQ706" i="8"/>
  <c r="HB708" i="8"/>
  <c r="GP708" i="8"/>
  <c r="DK708" i="8"/>
  <c r="H710" i="8" s="1"/>
  <c r="HF708" i="8"/>
  <c r="GQ708" i="8"/>
  <c r="HN708" i="8"/>
  <c r="GJ708" i="8"/>
  <c r="GN708" i="8"/>
  <c r="HL708" i="8"/>
  <c r="GS708" i="8"/>
  <c r="I708" i="8"/>
  <c r="CP383" i="1"/>
  <c r="O383" i="1" s="1"/>
  <c r="U697" i="8"/>
  <c r="K697" i="8" s="1"/>
  <c r="DM697" i="8"/>
  <c r="CP77" i="1"/>
  <c r="O77" i="1" s="1"/>
  <c r="CY67" i="1"/>
  <c r="X67" i="1" s="1"/>
  <c r="CZ176" i="1"/>
  <c r="Y176" i="1" s="1"/>
  <c r="CZ218" i="1"/>
  <c r="Y218" i="1" s="1"/>
  <c r="CY238" i="1"/>
  <c r="X238" i="1" s="1"/>
  <c r="GB407" i="1"/>
  <c r="GB314" i="1" s="1"/>
  <c r="CY173" i="1"/>
  <c r="X173" i="1" s="1"/>
  <c r="CP337" i="1"/>
  <c r="O337" i="1" s="1"/>
  <c r="AG407" i="1"/>
  <c r="AG314" i="1" s="1"/>
  <c r="CY234" i="1"/>
  <c r="X234" i="1" s="1"/>
  <c r="AH407" i="1"/>
  <c r="U407" i="1" s="1"/>
  <c r="HF691" i="8"/>
  <c r="GS691" i="8"/>
  <c r="DK691" i="8"/>
  <c r="HB691" i="8"/>
  <c r="GQ691" i="8"/>
  <c r="GJ691" i="8"/>
  <c r="HN691" i="8"/>
  <c r="GP691" i="8"/>
  <c r="I691" i="8"/>
  <c r="HL691" i="8"/>
  <c r="GN691" i="8"/>
  <c r="HX690" i="8"/>
  <c r="I690" i="8"/>
  <c r="HL693" i="8"/>
  <c r="DQ693" i="8"/>
  <c r="HN693" i="8"/>
  <c r="GZ693" i="8"/>
  <c r="HF693" i="8"/>
  <c r="I693" i="8"/>
  <c r="HB693" i="8"/>
  <c r="U688" i="8"/>
  <c r="DG688" i="8"/>
  <c r="K771" i="8" s="1"/>
  <c r="HF695" i="8"/>
  <c r="GQ695" i="8"/>
  <c r="I695" i="8"/>
  <c r="GS695" i="8"/>
  <c r="DK695" i="8"/>
  <c r="HB695" i="8"/>
  <c r="GP695" i="8"/>
  <c r="HN695" i="8"/>
  <c r="GJ695" i="8"/>
  <c r="GN695" i="8"/>
  <c r="HL695" i="8"/>
  <c r="CP365" i="1"/>
  <c r="O365" i="1" s="1"/>
  <c r="DM695" i="8"/>
  <c r="U695" i="8"/>
  <c r="K695" i="8" s="1"/>
  <c r="HN692" i="8"/>
  <c r="GY692" i="8"/>
  <c r="HB692" i="8"/>
  <c r="HL692" i="8"/>
  <c r="DQ692" i="8"/>
  <c r="HF692" i="8"/>
  <c r="I692" i="8"/>
  <c r="HL688" i="8"/>
  <c r="GK688" i="8"/>
  <c r="I771" i="8" s="1"/>
  <c r="HN688" i="8"/>
  <c r="I688" i="8"/>
  <c r="HF688" i="8"/>
  <c r="GJ688" i="8"/>
  <c r="HB688" i="8"/>
  <c r="DQ688" i="8"/>
  <c r="HX688" i="8"/>
  <c r="HB697" i="8"/>
  <c r="GP697" i="8"/>
  <c r="HF697" i="8"/>
  <c r="I697" i="8"/>
  <c r="HN697" i="8"/>
  <c r="GJ697" i="8"/>
  <c r="GN697" i="8"/>
  <c r="GQ697" i="8"/>
  <c r="HL697" i="8"/>
  <c r="GS697" i="8"/>
  <c r="DK697" i="8"/>
  <c r="CR375" i="1"/>
  <c r="Q375" i="1" s="1"/>
  <c r="T689" i="8"/>
  <c r="R700" i="8" s="1"/>
  <c r="H689" i="8"/>
  <c r="CP74" i="1"/>
  <c r="O74" i="1" s="1"/>
  <c r="GM74" i="1" s="1"/>
  <c r="GN74" i="1" s="1"/>
  <c r="CP83" i="1"/>
  <c r="O83" i="1" s="1"/>
  <c r="AQ85" i="1"/>
  <c r="AQ26" i="1" s="1"/>
  <c r="CP167" i="1"/>
  <c r="O167" i="1" s="1"/>
  <c r="GM167" i="1" s="1"/>
  <c r="GN167" i="1" s="1"/>
  <c r="CZ135" i="1"/>
  <c r="Y135" i="1" s="1"/>
  <c r="CY130" i="1"/>
  <c r="X130" i="1" s="1"/>
  <c r="CY152" i="1"/>
  <c r="X152" i="1" s="1"/>
  <c r="CP219" i="1"/>
  <c r="O219" i="1" s="1"/>
  <c r="GM219" i="1" s="1"/>
  <c r="GN219" i="1" s="1"/>
  <c r="CP234" i="1"/>
  <c r="O234" i="1" s="1"/>
  <c r="CP339" i="1"/>
  <c r="O339" i="1" s="1"/>
  <c r="CY275" i="1"/>
  <c r="X275" i="1" s="1"/>
  <c r="CZ333" i="1"/>
  <c r="Y333" i="1" s="1"/>
  <c r="GM333" i="1" s="1"/>
  <c r="GN333" i="1" s="1"/>
  <c r="CY337" i="1"/>
  <c r="X337" i="1" s="1"/>
  <c r="CY320" i="1"/>
  <c r="X320" i="1" s="1"/>
  <c r="CY364" i="1"/>
  <c r="X364" i="1" s="1"/>
  <c r="CZ49" i="1"/>
  <c r="Y49" i="1" s="1"/>
  <c r="CY151" i="1"/>
  <c r="X151" i="1" s="1"/>
  <c r="CR355" i="1"/>
  <c r="Q355" i="1" s="1"/>
  <c r="CP64" i="1"/>
  <c r="O64" i="1" s="1"/>
  <c r="AX85" i="1"/>
  <c r="F92" i="1" s="1"/>
  <c r="CP159" i="1"/>
  <c r="O159" i="1" s="1"/>
  <c r="GM159" i="1" s="1"/>
  <c r="GN159" i="1" s="1"/>
  <c r="CZ123" i="1"/>
  <c r="Y123" i="1" s="1"/>
  <c r="CZ229" i="1"/>
  <c r="Y229" i="1" s="1"/>
  <c r="CP244" i="1"/>
  <c r="O244" i="1" s="1"/>
  <c r="CY240" i="1"/>
  <c r="X240" i="1" s="1"/>
  <c r="CY249" i="1"/>
  <c r="X249" i="1" s="1"/>
  <c r="EH407" i="1"/>
  <c r="P416" i="1" s="1"/>
  <c r="CZ373" i="1"/>
  <c r="Y373" i="1" s="1"/>
  <c r="GM373" i="1" s="1"/>
  <c r="GN373" i="1" s="1"/>
  <c r="CP73" i="1"/>
  <c r="O73" i="1" s="1"/>
  <c r="CZ67" i="1"/>
  <c r="Y67" i="1" s="1"/>
  <c r="CZ173" i="1"/>
  <c r="Y173" i="1" s="1"/>
  <c r="CY230" i="1"/>
  <c r="X230" i="1" s="1"/>
  <c r="CY37" i="1"/>
  <c r="X37" i="1" s="1"/>
  <c r="CP134" i="1"/>
  <c r="O134" i="1" s="1"/>
  <c r="CP230" i="1"/>
  <c r="O230" i="1" s="1"/>
  <c r="CP238" i="1"/>
  <c r="O238" i="1" s="1"/>
  <c r="AB355" i="1"/>
  <c r="GA407" i="1"/>
  <c r="ER407" i="1" s="1"/>
  <c r="CZ53" i="1"/>
  <c r="Y53" i="1" s="1"/>
  <c r="CZ214" i="1"/>
  <c r="Y214" i="1" s="1"/>
  <c r="R685" i="8"/>
  <c r="DW407" i="1"/>
  <c r="DJ407" i="1" s="1"/>
  <c r="U682" i="8"/>
  <c r="K682" i="8" s="1"/>
  <c r="DM682" i="8"/>
  <c r="HF676" i="8"/>
  <c r="DQ676" i="8"/>
  <c r="HB676" i="8"/>
  <c r="I676" i="8"/>
  <c r="HL676" i="8"/>
  <c r="HN676" i="8"/>
  <c r="GL676" i="8"/>
  <c r="GJ676" i="8"/>
  <c r="CP369" i="1"/>
  <c r="O369" i="1" s="1"/>
  <c r="GM369" i="1" s="1"/>
  <c r="GN369" i="1" s="1"/>
  <c r="U676" i="8"/>
  <c r="HL675" i="8"/>
  <c r="GK675" i="8"/>
  <c r="HF675" i="8"/>
  <c r="GJ675" i="8"/>
  <c r="HN675" i="8"/>
  <c r="I675" i="8"/>
  <c r="HB675" i="8"/>
  <c r="DQ675" i="8"/>
  <c r="HX675" i="8"/>
  <c r="HF680" i="8"/>
  <c r="GQ680" i="8"/>
  <c r="I680" i="8"/>
  <c r="HB680" i="8"/>
  <c r="GP680" i="8"/>
  <c r="GS680" i="8"/>
  <c r="HN680" i="8"/>
  <c r="GJ680" i="8"/>
  <c r="GN680" i="8"/>
  <c r="HL680" i="8"/>
  <c r="DK680" i="8"/>
  <c r="HB682" i="8"/>
  <c r="GP682" i="8"/>
  <c r="GQ682" i="8"/>
  <c r="HN682" i="8"/>
  <c r="GJ682" i="8"/>
  <c r="GN682" i="8"/>
  <c r="HL682" i="8"/>
  <c r="GS682" i="8"/>
  <c r="DK682" i="8"/>
  <c r="HF682" i="8"/>
  <c r="I682" i="8"/>
  <c r="HL678" i="8"/>
  <c r="DQ678" i="8"/>
  <c r="HF678" i="8"/>
  <c r="I678" i="8"/>
  <c r="HN678" i="8"/>
  <c r="GZ678" i="8"/>
  <c r="HB678" i="8"/>
  <c r="HN677" i="8"/>
  <c r="GY677" i="8"/>
  <c r="HL677" i="8"/>
  <c r="DQ677" i="8"/>
  <c r="HF677" i="8"/>
  <c r="I677" i="8"/>
  <c r="HB677" i="8"/>
  <c r="U675" i="8"/>
  <c r="DG675" i="8"/>
  <c r="U610" i="8"/>
  <c r="K610" i="8" s="1"/>
  <c r="CP344" i="1"/>
  <c r="O344" i="1" s="1"/>
  <c r="GM344" i="1" s="1"/>
  <c r="GN344" i="1" s="1"/>
  <c r="CY158" i="1"/>
  <c r="X158" i="1" s="1"/>
  <c r="CY170" i="1"/>
  <c r="X170" i="1" s="1"/>
  <c r="CP172" i="1"/>
  <c r="O172" i="1" s="1"/>
  <c r="CZ267" i="1"/>
  <c r="Y267" i="1" s="1"/>
  <c r="CY266" i="1"/>
  <c r="X266" i="1" s="1"/>
  <c r="CY278" i="1"/>
  <c r="X278" i="1" s="1"/>
  <c r="CP321" i="1"/>
  <c r="O321" i="1" s="1"/>
  <c r="CY327" i="1"/>
  <c r="X327" i="1" s="1"/>
  <c r="CP362" i="1"/>
  <c r="O362" i="1" s="1"/>
  <c r="CP356" i="1"/>
  <c r="O356" i="1" s="1"/>
  <c r="CY39" i="1"/>
  <c r="X39" i="1" s="1"/>
  <c r="H660" i="8"/>
  <c r="CP35" i="1"/>
  <c r="O35" i="1" s="1"/>
  <c r="CZ190" i="1"/>
  <c r="Y190" i="1" s="1"/>
  <c r="CP243" i="1"/>
  <c r="O243" i="1" s="1"/>
  <c r="CY161" i="1"/>
  <c r="X161" i="1" s="1"/>
  <c r="CZ270" i="1"/>
  <c r="Y270" i="1" s="1"/>
  <c r="CP318" i="1"/>
  <c r="O318" i="1" s="1"/>
  <c r="GM318" i="1" s="1"/>
  <c r="GN318" i="1" s="1"/>
  <c r="DZ407" i="1"/>
  <c r="DZ314" i="1" s="1"/>
  <c r="DY407" i="1"/>
  <c r="DL407" i="1" s="1"/>
  <c r="CY206" i="1"/>
  <c r="X206" i="1" s="1"/>
  <c r="AI407" i="1"/>
  <c r="AI314" i="1" s="1"/>
  <c r="AJ407" i="1"/>
  <c r="AJ314" i="1" s="1"/>
  <c r="CP334" i="1"/>
  <c r="O334" i="1" s="1"/>
  <c r="U660" i="8"/>
  <c r="DS660" i="8" s="1"/>
  <c r="CP361" i="1"/>
  <c r="O361" i="1" s="1"/>
  <c r="HN663" i="8"/>
  <c r="GZ663" i="8"/>
  <c r="HL663" i="8"/>
  <c r="DQ663" i="8"/>
  <c r="HB663" i="8"/>
  <c r="HF663" i="8"/>
  <c r="I663" i="8"/>
  <c r="CY140" i="1"/>
  <c r="X140" i="1" s="1"/>
  <c r="CP181" i="1"/>
  <c r="O181" i="1" s="1"/>
  <c r="CZ127" i="1"/>
  <c r="Y127" i="1" s="1"/>
  <c r="CZ144" i="1"/>
  <c r="Y144" i="1" s="1"/>
  <c r="CZ192" i="1"/>
  <c r="Y192" i="1" s="1"/>
  <c r="CP206" i="1"/>
  <c r="O206" i="1" s="1"/>
  <c r="CP220" i="1"/>
  <c r="O220" i="1" s="1"/>
  <c r="CP363" i="1"/>
  <c r="O363" i="1" s="1"/>
  <c r="CY245" i="1"/>
  <c r="X245" i="1" s="1"/>
  <c r="CR266" i="1"/>
  <c r="Q266" i="1" s="1"/>
  <c r="U468" i="8" s="1"/>
  <c r="CP364" i="1"/>
  <c r="O364" i="1" s="1"/>
  <c r="CY267" i="1"/>
  <c r="X267" i="1" s="1"/>
  <c r="CZ327" i="1"/>
  <c r="Y327" i="1" s="1"/>
  <c r="CY355" i="1"/>
  <c r="X355" i="1" s="1"/>
  <c r="DM634" i="8"/>
  <c r="DM667" i="8"/>
  <c r="U667" i="8"/>
  <c r="K667" i="8" s="1"/>
  <c r="CP149" i="1"/>
  <c r="O149" i="1" s="1"/>
  <c r="GM149" i="1" s="1"/>
  <c r="GN149" i="1" s="1"/>
  <c r="CP155" i="1"/>
  <c r="O155" i="1" s="1"/>
  <c r="GM155" i="1" s="1"/>
  <c r="GN155" i="1" s="1"/>
  <c r="CZ170" i="1"/>
  <c r="Y170" i="1" s="1"/>
  <c r="CP193" i="1"/>
  <c r="O193" i="1" s="1"/>
  <c r="CZ182" i="1"/>
  <c r="Y182" i="1" s="1"/>
  <c r="CY120" i="1"/>
  <c r="X120" i="1" s="1"/>
  <c r="CZ206" i="1"/>
  <c r="Y206" i="1" s="1"/>
  <c r="CP379" i="1"/>
  <c r="O379" i="1" s="1"/>
  <c r="CZ278" i="1"/>
  <c r="Y278" i="1" s="1"/>
  <c r="CY342" i="1"/>
  <c r="X342" i="1" s="1"/>
  <c r="CP322" i="1"/>
  <c r="O322" i="1" s="1"/>
  <c r="U669" i="8"/>
  <c r="K669" i="8" s="1"/>
  <c r="DM669" i="8"/>
  <c r="T660" i="8"/>
  <c r="DQ660" i="8" s="1"/>
  <c r="U659" i="8"/>
  <c r="DG659" i="8"/>
  <c r="HB669" i="8"/>
  <c r="GP669" i="8"/>
  <c r="HN669" i="8"/>
  <c r="GJ669" i="8"/>
  <c r="GN669" i="8"/>
  <c r="HF669" i="8"/>
  <c r="I669" i="8"/>
  <c r="HL669" i="8"/>
  <c r="GS669" i="8"/>
  <c r="DK669" i="8"/>
  <c r="GQ669" i="8"/>
  <c r="HL665" i="8"/>
  <c r="GS665" i="8"/>
  <c r="DK665" i="8"/>
  <c r="HF665" i="8"/>
  <c r="GQ665" i="8"/>
  <c r="I665" i="8"/>
  <c r="GN665" i="8"/>
  <c r="HB665" i="8"/>
  <c r="GP665" i="8"/>
  <c r="HN665" i="8"/>
  <c r="GJ665" i="8"/>
  <c r="HB662" i="8"/>
  <c r="HN662" i="8"/>
  <c r="GY662" i="8"/>
  <c r="HF662" i="8"/>
  <c r="I662" i="8"/>
  <c r="HL662" i="8"/>
  <c r="DQ662" i="8"/>
  <c r="CY65" i="1"/>
  <c r="X65" i="1" s="1"/>
  <c r="CY132" i="1"/>
  <c r="X132" i="1" s="1"/>
  <c r="CP132" i="1"/>
  <c r="O132" i="1" s="1"/>
  <c r="CY180" i="1"/>
  <c r="X180" i="1" s="1"/>
  <c r="CP189" i="1"/>
  <c r="O189" i="1" s="1"/>
  <c r="GM189" i="1" s="1"/>
  <c r="GN189" i="1" s="1"/>
  <c r="CY221" i="1"/>
  <c r="X221" i="1" s="1"/>
  <c r="CP254" i="1"/>
  <c r="O254" i="1" s="1"/>
  <c r="CY214" i="1"/>
  <c r="X214" i="1" s="1"/>
  <c r="CP350" i="1"/>
  <c r="O350" i="1" s="1"/>
  <c r="GM350" i="1" s="1"/>
  <c r="GN350" i="1" s="1"/>
  <c r="AP407" i="1"/>
  <c r="F416" i="1" s="1"/>
  <c r="CZ361" i="1"/>
  <c r="Y361" i="1" s="1"/>
  <c r="K661" i="8"/>
  <c r="U612" i="8"/>
  <c r="K612" i="8" s="1"/>
  <c r="HX661" i="8"/>
  <c r="I661" i="8"/>
  <c r="HF667" i="8"/>
  <c r="GQ667" i="8"/>
  <c r="I667" i="8"/>
  <c r="HB667" i="8"/>
  <c r="GP667" i="8"/>
  <c r="GS667" i="8"/>
  <c r="HN667" i="8"/>
  <c r="GJ667" i="8"/>
  <c r="GN667" i="8"/>
  <c r="HL667" i="8"/>
  <c r="DK667" i="8"/>
  <c r="HL659" i="8"/>
  <c r="GK659" i="8"/>
  <c r="HF659" i="8"/>
  <c r="GJ659" i="8"/>
  <c r="HN659" i="8"/>
  <c r="I659" i="8"/>
  <c r="HB659" i="8"/>
  <c r="DQ659" i="8"/>
  <c r="HX659" i="8"/>
  <c r="AU407" i="1"/>
  <c r="AU314" i="1" s="1"/>
  <c r="CP366" i="1"/>
  <c r="O366" i="1" s="1"/>
  <c r="R656" i="8"/>
  <c r="U632" i="8"/>
  <c r="K632" i="8" s="1"/>
  <c r="H646" i="8"/>
  <c r="HX647" i="8"/>
  <c r="I647" i="8"/>
  <c r="HF651" i="8"/>
  <c r="GQ651" i="8"/>
  <c r="I651" i="8"/>
  <c r="GS651" i="8"/>
  <c r="HB651" i="8"/>
  <c r="GP651" i="8"/>
  <c r="DK651" i="8"/>
  <c r="HN651" i="8"/>
  <c r="GJ651" i="8"/>
  <c r="GN651" i="8"/>
  <c r="HL651" i="8"/>
  <c r="DM651" i="8"/>
  <c r="U651" i="8"/>
  <c r="K651" i="8" s="1"/>
  <c r="HN648" i="8"/>
  <c r="GY648" i="8"/>
  <c r="HB648" i="8"/>
  <c r="HL648" i="8"/>
  <c r="DQ648" i="8"/>
  <c r="HF648" i="8"/>
  <c r="I648" i="8"/>
  <c r="HB653" i="8"/>
  <c r="GP653" i="8"/>
  <c r="GQ653" i="8"/>
  <c r="I653" i="8"/>
  <c r="HN653" i="8"/>
  <c r="GJ653" i="8"/>
  <c r="GN653" i="8"/>
  <c r="HF653" i="8"/>
  <c r="HL653" i="8"/>
  <c r="GS653" i="8"/>
  <c r="DK653" i="8"/>
  <c r="U653" i="8"/>
  <c r="K653" i="8" s="1"/>
  <c r="DM653" i="8"/>
  <c r="HL649" i="8"/>
  <c r="DQ649" i="8"/>
  <c r="HN649" i="8"/>
  <c r="HF649" i="8"/>
  <c r="I649" i="8"/>
  <c r="HB649" i="8"/>
  <c r="GZ649" i="8"/>
  <c r="DM628" i="8"/>
  <c r="HF645" i="8"/>
  <c r="GJ645" i="8"/>
  <c r="HL645" i="8"/>
  <c r="HB645" i="8"/>
  <c r="DQ645" i="8"/>
  <c r="HN645" i="8"/>
  <c r="HX645" i="8"/>
  <c r="I645" i="8"/>
  <c r="GK645" i="8"/>
  <c r="U645" i="8"/>
  <c r="DG645" i="8"/>
  <c r="CI407" i="1"/>
  <c r="CI314" i="1" s="1"/>
  <c r="CG407" i="1"/>
  <c r="AX407" i="1" s="1"/>
  <c r="AQ407" i="1"/>
  <c r="AQ314" i="1" s="1"/>
  <c r="HF646" i="8"/>
  <c r="DQ646" i="8"/>
  <c r="HB646" i="8"/>
  <c r="I646" i="8"/>
  <c r="HN646" i="8"/>
  <c r="GL646" i="8"/>
  <c r="HL646" i="8"/>
  <c r="GJ646" i="8"/>
  <c r="AD407" i="1"/>
  <c r="AD314" i="1" s="1"/>
  <c r="CZ59" i="1"/>
  <c r="Y59" i="1" s="1"/>
  <c r="CZ160" i="1"/>
  <c r="Y160" i="1" s="1"/>
  <c r="CP348" i="1"/>
  <c r="O348" i="1" s="1"/>
  <c r="R642" i="8"/>
  <c r="HN641" i="8"/>
  <c r="GJ641" i="8"/>
  <c r="HL641" i="8"/>
  <c r="GL641" i="8"/>
  <c r="HB641" i="8"/>
  <c r="HF641" i="8"/>
  <c r="I641" i="8"/>
  <c r="CP123" i="1"/>
  <c r="O123" i="1" s="1"/>
  <c r="CP169" i="1"/>
  <c r="O169" i="1" s="1"/>
  <c r="GM169" i="1" s="1"/>
  <c r="GN169" i="1" s="1"/>
  <c r="CY172" i="1"/>
  <c r="X172" i="1" s="1"/>
  <c r="CZ198" i="1"/>
  <c r="Y198" i="1" s="1"/>
  <c r="CZ317" i="1"/>
  <c r="Y317" i="1" s="1"/>
  <c r="CZ340" i="1"/>
  <c r="Y340" i="1" s="1"/>
  <c r="GM340" i="1" s="1"/>
  <c r="GN340" i="1" s="1"/>
  <c r="CY181" i="1"/>
  <c r="X181" i="1" s="1"/>
  <c r="U630" i="8"/>
  <c r="K630" i="8" s="1"/>
  <c r="CY75" i="1"/>
  <c r="X75" i="1" s="1"/>
  <c r="CZ134" i="1"/>
  <c r="Y134" i="1" s="1"/>
  <c r="CY141" i="1"/>
  <c r="X141" i="1" s="1"/>
  <c r="CZ77" i="1"/>
  <c r="Y77" i="1" s="1"/>
  <c r="CZ161" i="1"/>
  <c r="Y161" i="1" s="1"/>
  <c r="CP338" i="1"/>
  <c r="O338" i="1" s="1"/>
  <c r="R639" i="8"/>
  <c r="HF634" i="8"/>
  <c r="GQ634" i="8"/>
  <c r="I634" i="8"/>
  <c r="HB634" i="8"/>
  <c r="GP634" i="8"/>
  <c r="HN634" i="8"/>
  <c r="GJ634" i="8"/>
  <c r="GN634" i="8"/>
  <c r="HL634" i="8"/>
  <c r="GS634" i="8"/>
  <c r="DK634" i="8"/>
  <c r="HB636" i="8"/>
  <c r="GP636" i="8"/>
  <c r="HN636" i="8"/>
  <c r="GJ636" i="8"/>
  <c r="GN636" i="8"/>
  <c r="HL636" i="8"/>
  <c r="GS636" i="8"/>
  <c r="DK636" i="8"/>
  <c r="HF636" i="8"/>
  <c r="GQ636" i="8"/>
  <c r="I636" i="8"/>
  <c r="HF626" i="8"/>
  <c r="I626" i="8"/>
  <c r="HB626" i="8"/>
  <c r="HN626" i="8"/>
  <c r="GZ626" i="8"/>
  <c r="HL626" i="8"/>
  <c r="DQ626" i="8"/>
  <c r="HB622" i="8"/>
  <c r="DQ622" i="8"/>
  <c r="HN622" i="8"/>
  <c r="HX622" i="8"/>
  <c r="I622" i="8"/>
  <c r="HL622" i="8"/>
  <c r="GK622" i="8"/>
  <c r="HF622" i="8"/>
  <c r="GJ622" i="8"/>
  <c r="I624" i="8"/>
  <c r="HX624" i="8"/>
  <c r="HL625" i="8"/>
  <c r="DQ625" i="8"/>
  <c r="HF625" i="8"/>
  <c r="I625" i="8"/>
  <c r="HB625" i="8"/>
  <c r="HN625" i="8"/>
  <c r="GY625" i="8"/>
  <c r="HB628" i="8"/>
  <c r="GP628" i="8"/>
  <c r="HN628" i="8"/>
  <c r="GJ628" i="8"/>
  <c r="GN628" i="8"/>
  <c r="HL628" i="8"/>
  <c r="GS628" i="8"/>
  <c r="DK628" i="8"/>
  <c r="HF628" i="8"/>
  <c r="GQ628" i="8"/>
  <c r="I628" i="8"/>
  <c r="CP341" i="1"/>
  <c r="O341" i="1" s="1"/>
  <c r="DG622" i="8"/>
  <c r="U622" i="8"/>
  <c r="U636" i="8"/>
  <c r="K636" i="8" s="1"/>
  <c r="DM636" i="8"/>
  <c r="HL632" i="8"/>
  <c r="GS632" i="8"/>
  <c r="DK632" i="8"/>
  <c r="HF632" i="8"/>
  <c r="GQ632" i="8"/>
  <c r="I632" i="8"/>
  <c r="HB632" i="8"/>
  <c r="GP632" i="8"/>
  <c r="HN632" i="8"/>
  <c r="GJ632" i="8"/>
  <c r="GN632" i="8"/>
  <c r="HN630" i="8"/>
  <c r="GJ630" i="8"/>
  <c r="GN630" i="8"/>
  <c r="HL630" i="8"/>
  <c r="GS630" i="8"/>
  <c r="DK630" i="8"/>
  <c r="HF630" i="8"/>
  <c r="GQ630" i="8"/>
  <c r="I630" i="8"/>
  <c r="HB630" i="8"/>
  <c r="GP630" i="8"/>
  <c r="HF623" i="8"/>
  <c r="DQ623" i="8"/>
  <c r="HB623" i="8"/>
  <c r="I623" i="8"/>
  <c r="HN623" i="8"/>
  <c r="GL623" i="8"/>
  <c r="HL623" i="8"/>
  <c r="GJ623" i="8"/>
  <c r="CP351" i="1"/>
  <c r="O351" i="1" s="1"/>
  <c r="GM351" i="1" s="1"/>
  <c r="GN351" i="1" s="1"/>
  <c r="CZ348" i="1"/>
  <c r="Y348" i="1" s="1"/>
  <c r="R619" i="8"/>
  <c r="CZ57" i="1"/>
  <c r="Y57" i="1" s="1"/>
  <c r="DG604" i="8"/>
  <c r="U604" i="8"/>
  <c r="HN605" i="8"/>
  <c r="GL605" i="8"/>
  <c r="HL605" i="8"/>
  <c r="GJ605" i="8"/>
  <c r="HF605" i="8"/>
  <c r="DQ605" i="8"/>
  <c r="HB605" i="8"/>
  <c r="I605" i="8"/>
  <c r="DM614" i="8"/>
  <c r="U614" i="8"/>
  <c r="K614" i="8" s="1"/>
  <c r="HN610" i="8"/>
  <c r="GJ610" i="8"/>
  <c r="GN610" i="8"/>
  <c r="HL610" i="8"/>
  <c r="GS610" i="8"/>
  <c r="DK610" i="8"/>
  <c r="HF610" i="8"/>
  <c r="GQ610" i="8"/>
  <c r="I610" i="8"/>
  <c r="HB610" i="8"/>
  <c r="GP610" i="8"/>
  <c r="HB604" i="8"/>
  <c r="DQ604" i="8"/>
  <c r="HN604" i="8"/>
  <c r="HX604" i="8"/>
  <c r="I604" i="8"/>
  <c r="HL604" i="8"/>
  <c r="GK604" i="8"/>
  <c r="HF604" i="8"/>
  <c r="GJ604" i="8"/>
  <c r="HB608" i="8"/>
  <c r="HN608" i="8"/>
  <c r="GZ608" i="8"/>
  <c r="HL608" i="8"/>
  <c r="DQ608" i="8"/>
  <c r="HF608" i="8"/>
  <c r="I608" i="8"/>
  <c r="HB616" i="8"/>
  <c r="GP616" i="8"/>
  <c r="HN616" i="8"/>
  <c r="GJ616" i="8"/>
  <c r="GN616" i="8"/>
  <c r="HL616" i="8"/>
  <c r="GS616" i="8"/>
  <c r="DK616" i="8"/>
  <c r="HF616" i="8"/>
  <c r="GQ616" i="8"/>
  <c r="I616" i="8"/>
  <c r="U616" i="8"/>
  <c r="K616" i="8" s="1"/>
  <c r="DM616" i="8"/>
  <c r="HX606" i="8"/>
  <c r="I606" i="8"/>
  <c r="HL612" i="8"/>
  <c r="GS612" i="8"/>
  <c r="DK612" i="8"/>
  <c r="HF612" i="8"/>
  <c r="GQ612" i="8"/>
  <c r="I612" i="8"/>
  <c r="HB612" i="8"/>
  <c r="GP612" i="8"/>
  <c r="HN612" i="8"/>
  <c r="GJ612" i="8"/>
  <c r="GN612" i="8"/>
  <c r="HF607" i="8"/>
  <c r="I607" i="8"/>
  <c r="HB607" i="8"/>
  <c r="HN607" i="8"/>
  <c r="GY607" i="8"/>
  <c r="HL607" i="8"/>
  <c r="DQ607" i="8"/>
  <c r="HF614" i="8"/>
  <c r="GQ614" i="8"/>
  <c r="I614" i="8"/>
  <c r="HB614" i="8"/>
  <c r="GP614" i="8"/>
  <c r="HN614" i="8"/>
  <c r="GJ614" i="8"/>
  <c r="GN614" i="8"/>
  <c r="HL614" i="8"/>
  <c r="GS614" i="8"/>
  <c r="DK614" i="8"/>
  <c r="CY338" i="1"/>
  <c r="X338" i="1" s="1"/>
  <c r="R601" i="8"/>
  <c r="HX592" i="8"/>
  <c r="I592" i="8"/>
  <c r="HF591" i="8"/>
  <c r="DQ591" i="8"/>
  <c r="HN591" i="8"/>
  <c r="HB591" i="8"/>
  <c r="I591" i="8"/>
  <c r="HL591" i="8"/>
  <c r="GJ591" i="8"/>
  <c r="GL591" i="8"/>
  <c r="DM596" i="8"/>
  <c r="U596" i="8"/>
  <c r="K596" i="8" s="1"/>
  <c r="HB598" i="8"/>
  <c r="GP598" i="8"/>
  <c r="HN598" i="8"/>
  <c r="GJ598" i="8"/>
  <c r="GN598" i="8"/>
  <c r="GS598" i="8"/>
  <c r="HF598" i="8"/>
  <c r="GQ598" i="8"/>
  <c r="I598" i="8"/>
  <c r="HL598" i="8"/>
  <c r="DK598" i="8"/>
  <c r="HL594" i="8"/>
  <c r="DQ594" i="8"/>
  <c r="HB594" i="8"/>
  <c r="HF594" i="8"/>
  <c r="I594" i="8"/>
  <c r="HN594" i="8"/>
  <c r="GZ594" i="8"/>
  <c r="CP325" i="1"/>
  <c r="O325" i="1" s="1"/>
  <c r="DG590" i="8"/>
  <c r="U590" i="8"/>
  <c r="U598" i="8"/>
  <c r="K598" i="8" s="1"/>
  <c r="DM598" i="8"/>
  <c r="HF596" i="8"/>
  <c r="GQ596" i="8"/>
  <c r="I596" i="8"/>
  <c r="HN596" i="8"/>
  <c r="GJ596" i="8"/>
  <c r="GN596" i="8"/>
  <c r="HB596" i="8"/>
  <c r="GP596" i="8"/>
  <c r="HL596" i="8"/>
  <c r="GS596" i="8"/>
  <c r="DK596" i="8"/>
  <c r="HN593" i="8"/>
  <c r="GY593" i="8"/>
  <c r="HF593" i="8"/>
  <c r="HL593" i="8"/>
  <c r="DQ593" i="8"/>
  <c r="HB593" i="8"/>
  <c r="I593" i="8"/>
  <c r="HL590" i="8"/>
  <c r="GK590" i="8"/>
  <c r="DQ590" i="8"/>
  <c r="HF590" i="8"/>
  <c r="GJ590" i="8"/>
  <c r="HN590" i="8"/>
  <c r="HX590" i="8"/>
  <c r="I590" i="8"/>
  <c r="HB590" i="8"/>
  <c r="T575" i="8"/>
  <c r="R587" i="8" s="1"/>
  <c r="U575" i="8"/>
  <c r="K575" i="8" s="1"/>
  <c r="CP317" i="1"/>
  <c r="O317" i="1" s="1"/>
  <c r="CY317" i="1"/>
  <c r="X317" i="1" s="1"/>
  <c r="CY270" i="1"/>
  <c r="X270" i="1" s="1"/>
  <c r="U584" i="8"/>
  <c r="K584" i="8" s="1"/>
  <c r="DM584" i="8"/>
  <c r="H575" i="8"/>
  <c r="CZ258" i="1"/>
  <c r="Y258" i="1" s="1"/>
  <c r="HB584" i="8"/>
  <c r="GP584" i="8"/>
  <c r="HF584" i="8"/>
  <c r="I584" i="8"/>
  <c r="HN584" i="8"/>
  <c r="GJ584" i="8"/>
  <c r="GN584" i="8"/>
  <c r="HL584" i="8"/>
  <c r="GS584" i="8"/>
  <c r="DK584" i="8"/>
  <c r="GQ584" i="8"/>
  <c r="U574" i="8"/>
  <c r="DG574" i="8"/>
  <c r="DM582" i="8"/>
  <c r="U582" i="8"/>
  <c r="K582" i="8" s="1"/>
  <c r="HL574" i="8"/>
  <c r="GK574" i="8"/>
  <c r="I574" i="8"/>
  <c r="HF574" i="8"/>
  <c r="GJ574" i="8"/>
  <c r="HN574" i="8"/>
  <c r="HB574" i="8"/>
  <c r="DQ574" i="8"/>
  <c r="HX574" i="8"/>
  <c r="DM580" i="8"/>
  <c r="U580" i="8"/>
  <c r="K580" i="8" s="1"/>
  <c r="HL580" i="8"/>
  <c r="GS580" i="8"/>
  <c r="DK580" i="8"/>
  <c r="HF580" i="8"/>
  <c r="GQ580" i="8"/>
  <c r="I580" i="8"/>
  <c r="HN580" i="8"/>
  <c r="GJ580" i="8"/>
  <c r="GN580" i="8"/>
  <c r="HB580" i="8"/>
  <c r="GP580" i="8"/>
  <c r="HX576" i="8"/>
  <c r="I576" i="8"/>
  <c r="HF582" i="8"/>
  <c r="GQ582" i="8"/>
  <c r="I582" i="8"/>
  <c r="GS582" i="8"/>
  <c r="DK582" i="8"/>
  <c r="HB582" i="8"/>
  <c r="GP582" i="8"/>
  <c r="HL582" i="8"/>
  <c r="HN582" i="8"/>
  <c r="GJ582" i="8"/>
  <c r="GN582" i="8"/>
  <c r="HN578" i="8"/>
  <c r="GZ578" i="8"/>
  <c r="HL578" i="8"/>
  <c r="DQ578" i="8"/>
  <c r="HB578" i="8"/>
  <c r="HF578" i="8"/>
  <c r="I578" i="8"/>
  <c r="HB577" i="8"/>
  <c r="HN577" i="8"/>
  <c r="GY577" i="8"/>
  <c r="HF577" i="8"/>
  <c r="HL577" i="8"/>
  <c r="DQ577" i="8"/>
  <c r="I577" i="8"/>
  <c r="EY17" i="7"/>
  <c r="I530" i="8"/>
  <c r="DM492" i="8"/>
  <c r="CP56" i="1"/>
  <c r="O56" i="1" s="1"/>
  <c r="GM56" i="1" s="1"/>
  <c r="GN56" i="1" s="1"/>
  <c r="CP60" i="1"/>
  <c r="O60" i="1" s="1"/>
  <c r="CP76" i="1"/>
  <c r="O76" i="1" s="1"/>
  <c r="GM76" i="1" s="1"/>
  <c r="GN76" i="1" s="1"/>
  <c r="CZ39" i="1"/>
  <c r="Y39" i="1" s="1"/>
  <c r="CY144" i="1"/>
  <c r="X144" i="1" s="1"/>
  <c r="CY176" i="1"/>
  <c r="X176" i="1" s="1"/>
  <c r="CP280" i="1"/>
  <c r="O280" i="1" s="1"/>
  <c r="U499" i="8"/>
  <c r="HB499" i="8"/>
  <c r="I499" i="8"/>
  <c r="HF499" i="8"/>
  <c r="DQ499" i="8"/>
  <c r="HN499" i="8"/>
  <c r="GL499" i="8"/>
  <c r="HL499" i="8"/>
  <c r="GJ499" i="8"/>
  <c r="R503" i="8"/>
  <c r="HF498" i="8"/>
  <c r="GJ498" i="8"/>
  <c r="GK498" i="8"/>
  <c r="HB498" i="8"/>
  <c r="DQ498" i="8"/>
  <c r="HL498" i="8"/>
  <c r="HN498" i="8"/>
  <c r="HX498" i="8"/>
  <c r="I498" i="8"/>
  <c r="U498" i="8"/>
  <c r="DG498" i="8"/>
  <c r="HF501" i="8"/>
  <c r="I501" i="8"/>
  <c r="HL501" i="8"/>
  <c r="HB501" i="8"/>
  <c r="DQ501" i="8"/>
  <c r="HN501" i="8"/>
  <c r="GZ501" i="8"/>
  <c r="HL500" i="8"/>
  <c r="DQ500" i="8"/>
  <c r="HF500" i="8"/>
  <c r="I500" i="8"/>
  <c r="HN500" i="8"/>
  <c r="GY500" i="8"/>
  <c r="HB500" i="8"/>
  <c r="R495" i="8"/>
  <c r="CP80" i="1"/>
  <c r="O80" i="1" s="1"/>
  <c r="GM80" i="1" s="1"/>
  <c r="GN80" i="1" s="1"/>
  <c r="CZ79" i="1"/>
  <c r="Y79" i="1" s="1"/>
  <c r="GM279" i="1"/>
  <c r="GN279" i="1" s="1"/>
  <c r="HF490" i="8"/>
  <c r="GQ490" i="8"/>
  <c r="I490" i="8"/>
  <c r="GS490" i="8"/>
  <c r="HB490" i="8"/>
  <c r="GP490" i="8"/>
  <c r="HN490" i="8"/>
  <c r="GJ490" i="8"/>
  <c r="GN490" i="8"/>
  <c r="HL490" i="8"/>
  <c r="DK490" i="8"/>
  <c r="HN487" i="8"/>
  <c r="GY487" i="8"/>
  <c r="HB487" i="8"/>
  <c r="HL487" i="8"/>
  <c r="DQ487" i="8"/>
  <c r="HF487" i="8"/>
  <c r="I487" i="8"/>
  <c r="HL485" i="8"/>
  <c r="GK485" i="8"/>
  <c r="HX485" i="8"/>
  <c r="HF485" i="8"/>
  <c r="GJ485" i="8"/>
  <c r="HB485" i="8"/>
  <c r="DQ485" i="8"/>
  <c r="HN485" i="8"/>
  <c r="I485" i="8"/>
  <c r="HC492" i="8"/>
  <c r="GP492" i="8"/>
  <c r="HF492" i="8"/>
  <c r="I492" i="8"/>
  <c r="HP492" i="8"/>
  <c r="GJ492" i="8"/>
  <c r="GN492" i="8"/>
  <c r="GQ492" i="8"/>
  <c r="HL492" i="8"/>
  <c r="GS492" i="8"/>
  <c r="DK492" i="8"/>
  <c r="K488" i="8"/>
  <c r="DM490" i="8"/>
  <c r="U490" i="8"/>
  <c r="K490" i="8" s="1"/>
  <c r="HL488" i="8"/>
  <c r="DQ488" i="8"/>
  <c r="HN488" i="8"/>
  <c r="GZ488" i="8"/>
  <c r="HF488" i="8"/>
  <c r="I488" i="8"/>
  <c r="HB488" i="8"/>
  <c r="HF486" i="8"/>
  <c r="DQ486" i="8"/>
  <c r="HL486" i="8"/>
  <c r="HB486" i="8"/>
  <c r="I486" i="8"/>
  <c r="HN486" i="8"/>
  <c r="GL486" i="8"/>
  <c r="GJ486" i="8"/>
  <c r="CP274" i="1"/>
  <c r="O274" i="1" s="1"/>
  <c r="U486" i="8"/>
  <c r="CP154" i="1"/>
  <c r="O154" i="1" s="1"/>
  <c r="U485" i="8"/>
  <c r="DG485" i="8"/>
  <c r="CP275" i="1"/>
  <c r="O275" i="1" s="1"/>
  <c r="CY126" i="1"/>
  <c r="X126" i="1" s="1"/>
  <c r="CZ150" i="1"/>
  <c r="Y150" i="1" s="1"/>
  <c r="CZ240" i="1"/>
  <c r="Y240" i="1" s="1"/>
  <c r="CP168" i="1"/>
  <c r="O168" i="1" s="1"/>
  <c r="CP209" i="1"/>
  <c r="O209" i="1" s="1"/>
  <c r="GM209" i="1" s="1"/>
  <c r="GN209" i="1" s="1"/>
  <c r="CP176" i="1"/>
  <c r="O176" i="1" s="1"/>
  <c r="CY190" i="1"/>
  <c r="X190" i="1" s="1"/>
  <c r="CY138" i="1"/>
  <c r="X138" i="1" s="1"/>
  <c r="CZ266" i="1"/>
  <c r="Y266" i="1" s="1"/>
  <c r="U309" i="8"/>
  <c r="K309" i="8" s="1"/>
  <c r="U407" i="8"/>
  <c r="K407" i="8" s="1"/>
  <c r="H468" i="8"/>
  <c r="R482" i="8"/>
  <c r="HN481" i="8"/>
  <c r="GJ481" i="8"/>
  <c r="HL481" i="8"/>
  <c r="GL481" i="8"/>
  <c r="HB481" i="8"/>
  <c r="HF481" i="8"/>
  <c r="I481" i="8"/>
  <c r="CZ158" i="1"/>
  <c r="Y158" i="1" s="1"/>
  <c r="CY160" i="1"/>
  <c r="X160" i="1" s="1"/>
  <c r="CY260" i="1"/>
  <c r="X260" i="1" s="1"/>
  <c r="CP272" i="1"/>
  <c r="O272" i="1" s="1"/>
  <c r="GM272" i="1" s="1"/>
  <c r="GN272" i="1" s="1"/>
  <c r="U481" i="8"/>
  <c r="CY254" i="1"/>
  <c r="X254" i="1" s="1"/>
  <c r="CY218" i="1"/>
  <c r="X218" i="1" s="1"/>
  <c r="CY70" i="1"/>
  <c r="X70" i="1" s="1"/>
  <c r="GM271" i="1"/>
  <c r="GN271" i="1" s="1"/>
  <c r="DM474" i="8"/>
  <c r="CY49" i="1"/>
  <c r="X49" i="1" s="1"/>
  <c r="CY146" i="1"/>
  <c r="X146" i="1" s="1"/>
  <c r="CP175" i="1"/>
  <c r="O175" i="1" s="1"/>
  <c r="GM175" i="1" s="1"/>
  <c r="GN175" i="1" s="1"/>
  <c r="CP179" i="1"/>
  <c r="O179" i="1" s="1"/>
  <c r="GM179" i="1" s="1"/>
  <c r="GN179" i="1" s="1"/>
  <c r="CZ151" i="1"/>
  <c r="Y151" i="1" s="1"/>
  <c r="CP214" i="1"/>
  <c r="O214" i="1" s="1"/>
  <c r="CP218" i="1"/>
  <c r="O218" i="1" s="1"/>
  <c r="CP236" i="1"/>
  <c r="O236" i="1" s="1"/>
  <c r="CP213" i="1"/>
  <c r="O213" i="1" s="1"/>
  <c r="DM431" i="8"/>
  <c r="CZ50" i="1"/>
  <c r="Y50" i="1" s="1"/>
  <c r="CZ70" i="1"/>
  <c r="Y70" i="1" s="1"/>
  <c r="CP212" i="1"/>
  <c r="O212" i="1" s="1"/>
  <c r="CR240" i="1"/>
  <c r="Q240" i="1" s="1"/>
  <c r="U418" i="8" s="1"/>
  <c r="CZ230" i="1"/>
  <c r="Y230" i="1" s="1"/>
  <c r="CZ248" i="1"/>
  <c r="Y248" i="1" s="1"/>
  <c r="CZ254" i="1"/>
  <c r="Y254" i="1" s="1"/>
  <c r="CP270" i="1"/>
  <c r="O270" i="1" s="1"/>
  <c r="CP70" i="1"/>
  <c r="O70" i="1" s="1"/>
  <c r="CP145" i="1"/>
  <c r="O145" i="1" s="1"/>
  <c r="CP177" i="1"/>
  <c r="O177" i="1" s="1"/>
  <c r="GM177" i="1" s="1"/>
  <c r="GN177" i="1" s="1"/>
  <c r="CP226" i="1"/>
  <c r="O226" i="1" s="1"/>
  <c r="CP232" i="1"/>
  <c r="O232" i="1" s="1"/>
  <c r="CP246" i="1"/>
  <c r="O246" i="1" s="1"/>
  <c r="CP264" i="1"/>
  <c r="O264" i="1" s="1"/>
  <c r="CP268" i="1"/>
  <c r="O268" i="1" s="1"/>
  <c r="R479" i="8"/>
  <c r="U476" i="8"/>
  <c r="K476" i="8" s="1"/>
  <c r="DM476" i="8"/>
  <c r="HF470" i="8"/>
  <c r="GS470" i="8"/>
  <c r="DK470" i="8"/>
  <c r="HN470" i="8"/>
  <c r="GP470" i="8"/>
  <c r="I470" i="8"/>
  <c r="HL470" i="8"/>
  <c r="GN470" i="8"/>
  <c r="HB470" i="8"/>
  <c r="GQ470" i="8"/>
  <c r="GJ470" i="8"/>
  <c r="I469" i="8"/>
  <c r="HX469" i="8"/>
  <c r="DG467" i="8"/>
  <c r="U467" i="8"/>
  <c r="R464" i="8"/>
  <c r="H464" i="8" s="1"/>
  <c r="HL472" i="8"/>
  <c r="DQ472" i="8"/>
  <c r="HB472" i="8"/>
  <c r="HN472" i="8"/>
  <c r="HF472" i="8"/>
  <c r="I472" i="8"/>
  <c r="GZ472" i="8"/>
  <c r="HB476" i="8"/>
  <c r="GP476" i="8"/>
  <c r="HL476" i="8"/>
  <c r="HF476" i="8"/>
  <c r="HN476" i="8"/>
  <c r="GJ476" i="8"/>
  <c r="GN476" i="8"/>
  <c r="GS476" i="8"/>
  <c r="DK476" i="8"/>
  <c r="GQ476" i="8"/>
  <c r="I476" i="8"/>
  <c r="HF474" i="8"/>
  <c r="GQ474" i="8"/>
  <c r="I474" i="8"/>
  <c r="GJ474" i="8"/>
  <c r="HB474" i="8"/>
  <c r="GP474" i="8"/>
  <c r="HN474" i="8"/>
  <c r="GN474" i="8"/>
  <c r="HL474" i="8"/>
  <c r="GS474" i="8"/>
  <c r="DK474" i="8"/>
  <c r="HL467" i="8"/>
  <c r="GK467" i="8"/>
  <c r="DQ467" i="8"/>
  <c r="HN467" i="8"/>
  <c r="I467" i="8"/>
  <c r="HF467" i="8"/>
  <c r="GJ467" i="8"/>
  <c r="HB467" i="8"/>
  <c r="HX467" i="8"/>
  <c r="HN471" i="8"/>
  <c r="GY471" i="8"/>
  <c r="I471" i="8"/>
  <c r="HL471" i="8"/>
  <c r="DQ471" i="8"/>
  <c r="HF471" i="8"/>
  <c r="HB471" i="8"/>
  <c r="HF468" i="8"/>
  <c r="DQ468" i="8"/>
  <c r="HB468" i="8"/>
  <c r="I468" i="8"/>
  <c r="HN468" i="8"/>
  <c r="GL468" i="8"/>
  <c r="HL468" i="8"/>
  <c r="GJ468" i="8"/>
  <c r="CY59" i="1"/>
  <c r="X59" i="1" s="1"/>
  <c r="CZ55" i="1"/>
  <c r="Y55" i="1" s="1"/>
  <c r="CZ69" i="1"/>
  <c r="Y69" i="1" s="1"/>
  <c r="CY53" i="1"/>
  <c r="X53" i="1" s="1"/>
  <c r="CP129" i="1"/>
  <c r="O129" i="1" s="1"/>
  <c r="CY142" i="1"/>
  <c r="X142" i="1" s="1"/>
  <c r="CY131" i="1"/>
  <c r="X131" i="1" s="1"/>
  <c r="CY168" i="1"/>
  <c r="X168" i="1" s="1"/>
  <c r="CP262" i="1"/>
  <c r="O262" i="1" s="1"/>
  <c r="DM459" i="8"/>
  <c r="U459" i="8"/>
  <c r="K459" i="8" s="1"/>
  <c r="CY262" i="1"/>
  <c r="X262" i="1" s="1"/>
  <c r="HL457" i="8"/>
  <c r="DQ457" i="8"/>
  <c r="HF457" i="8"/>
  <c r="I457" i="8"/>
  <c r="HB457" i="8"/>
  <c r="HN457" i="8"/>
  <c r="GZ457" i="8"/>
  <c r="HX455" i="8"/>
  <c r="I455" i="8"/>
  <c r="HF453" i="8"/>
  <c r="GJ453" i="8"/>
  <c r="HB453" i="8"/>
  <c r="DQ453" i="8"/>
  <c r="HN453" i="8"/>
  <c r="HX453" i="8"/>
  <c r="I453" i="8"/>
  <c r="HL453" i="8"/>
  <c r="GK453" i="8"/>
  <c r="HB461" i="8"/>
  <c r="GP461" i="8"/>
  <c r="HN461" i="8"/>
  <c r="GJ461" i="8"/>
  <c r="GN461" i="8"/>
  <c r="HL461" i="8"/>
  <c r="GS461" i="8"/>
  <c r="DK461" i="8"/>
  <c r="HF461" i="8"/>
  <c r="GQ461" i="8"/>
  <c r="I461" i="8"/>
  <c r="DM423" i="8"/>
  <c r="HN456" i="8"/>
  <c r="GY456" i="8"/>
  <c r="HL456" i="8"/>
  <c r="DQ456" i="8"/>
  <c r="HF456" i="8"/>
  <c r="I456" i="8"/>
  <c r="HB456" i="8"/>
  <c r="U429" i="8"/>
  <c r="K429" i="8" s="1"/>
  <c r="U461" i="8"/>
  <c r="K461" i="8" s="1"/>
  <c r="DM461" i="8"/>
  <c r="HF459" i="8"/>
  <c r="GQ459" i="8"/>
  <c r="I459" i="8"/>
  <c r="HB459" i="8"/>
  <c r="GP459" i="8"/>
  <c r="HN459" i="8"/>
  <c r="GJ459" i="8"/>
  <c r="GN459" i="8"/>
  <c r="HL459" i="8"/>
  <c r="GS459" i="8"/>
  <c r="DK459" i="8"/>
  <c r="U453" i="8"/>
  <c r="DG453" i="8"/>
  <c r="CP260" i="1"/>
  <c r="O260" i="1" s="1"/>
  <c r="U454" i="8"/>
  <c r="HF454" i="8"/>
  <c r="DQ454" i="8"/>
  <c r="HB454" i="8"/>
  <c r="I454" i="8"/>
  <c r="HN454" i="8"/>
  <c r="GL454" i="8"/>
  <c r="HL454" i="8"/>
  <c r="GJ454" i="8"/>
  <c r="CY263" i="1"/>
  <c r="X263" i="1" s="1"/>
  <c r="CP253" i="1"/>
  <c r="O253" i="1" s="1"/>
  <c r="CP59" i="1"/>
  <c r="O59" i="1" s="1"/>
  <c r="CY55" i="1"/>
  <c r="X55" i="1" s="1"/>
  <c r="CY77" i="1"/>
  <c r="X77" i="1" s="1"/>
  <c r="AP85" i="1"/>
  <c r="F94" i="1" s="1"/>
  <c r="CI85" i="1"/>
  <c r="CI26" i="1" s="1"/>
  <c r="CZ120" i="1"/>
  <c r="Y120" i="1" s="1"/>
  <c r="CP221" i="1"/>
  <c r="O221" i="1" s="1"/>
  <c r="EI85" i="1"/>
  <c r="P95" i="1" s="1"/>
  <c r="FR26" i="1"/>
  <c r="EP85" i="1"/>
  <c r="K176" i="8" s="1"/>
  <c r="CP237" i="1"/>
  <c r="O237" i="1" s="1"/>
  <c r="DM241" i="8"/>
  <c r="T438" i="8"/>
  <c r="R450" i="8" s="1"/>
  <c r="DM443" i="8"/>
  <c r="U443" i="8"/>
  <c r="K443" i="8" s="1"/>
  <c r="HX439" i="8"/>
  <c r="I439" i="8"/>
  <c r="HL443" i="8"/>
  <c r="GS443" i="8"/>
  <c r="DK443" i="8"/>
  <c r="HF443" i="8"/>
  <c r="GQ443" i="8"/>
  <c r="I443" i="8"/>
  <c r="HB443" i="8"/>
  <c r="GP443" i="8"/>
  <c r="HN443" i="8"/>
  <c r="GJ443" i="8"/>
  <c r="GN443" i="8"/>
  <c r="H398" i="8"/>
  <c r="H418" i="8"/>
  <c r="CR252" i="1"/>
  <c r="Q252" i="1" s="1"/>
  <c r="HL437" i="8"/>
  <c r="GK437" i="8"/>
  <c r="HF437" i="8"/>
  <c r="GJ437" i="8"/>
  <c r="HB437" i="8"/>
  <c r="DQ437" i="8"/>
  <c r="HN437" i="8"/>
  <c r="HX437" i="8"/>
  <c r="I437" i="8"/>
  <c r="HB447" i="8"/>
  <c r="GP447" i="8"/>
  <c r="HN447" i="8"/>
  <c r="GJ447" i="8"/>
  <c r="GN447" i="8"/>
  <c r="HL447" i="8"/>
  <c r="GS447" i="8"/>
  <c r="DK447" i="8"/>
  <c r="HF447" i="8"/>
  <c r="GQ447" i="8"/>
  <c r="I447" i="8"/>
  <c r="CP55" i="1"/>
  <c r="O55" i="1" s="1"/>
  <c r="CP50" i="1"/>
  <c r="O50" i="1" s="1"/>
  <c r="T398" i="8"/>
  <c r="R414" i="8" s="1"/>
  <c r="T418" i="8"/>
  <c r="HF418" i="8" s="1"/>
  <c r="DM445" i="8"/>
  <c r="U445" i="8"/>
  <c r="K445" i="8" s="1"/>
  <c r="U447" i="8"/>
  <c r="K447" i="8" s="1"/>
  <c r="DM447" i="8"/>
  <c r="HN441" i="8"/>
  <c r="GZ441" i="8"/>
  <c r="HL441" i="8"/>
  <c r="DQ441" i="8"/>
  <c r="HF441" i="8"/>
  <c r="I441" i="8"/>
  <c r="HB441" i="8"/>
  <c r="HB440" i="8"/>
  <c r="HN440" i="8"/>
  <c r="GY440" i="8"/>
  <c r="HL440" i="8"/>
  <c r="DQ440" i="8"/>
  <c r="HF440" i="8"/>
  <c r="I440" i="8"/>
  <c r="U437" i="8"/>
  <c r="DG437" i="8"/>
  <c r="AB228" i="1"/>
  <c r="HF445" i="8"/>
  <c r="GQ445" i="8"/>
  <c r="I445" i="8"/>
  <c r="HB445" i="8"/>
  <c r="GP445" i="8"/>
  <c r="HN445" i="8"/>
  <c r="GJ445" i="8"/>
  <c r="GN445" i="8"/>
  <c r="HL445" i="8"/>
  <c r="GS445" i="8"/>
  <c r="DK445" i="8"/>
  <c r="CP255" i="1"/>
  <c r="O255" i="1" s="1"/>
  <c r="CZ257" i="1"/>
  <c r="Y257" i="1" s="1"/>
  <c r="CP229" i="1"/>
  <c r="O229" i="1" s="1"/>
  <c r="CY57" i="1"/>
  <c r="X57" i="1" s="1"/>
  <c r="CP68" i="1"/>
  <c r="O68" i="1" s="1"/>
  <c r="GM68" i="1" s="1"/>
  <c r="GN68" i="1" s="1"/>
  <c r="CP54" i="1"/>
  <c r="O54" i="1" s="1"/>
  <c r="GM54" i="1" s="1"/>
  <c r="GN54" i="1" s="1"/>
  <c r="CP58" i="1"/>
  <c r="O58" i="1" s="1"/>
  <c r="GM58" i="1" s="1"/>
  <c r="GN58" i="1" s="1"/>
  <c r="HF421" i="8"/>
  <c r="I421" i="8"/>
  <c r="HC421" i="8"/>
  <c r="HP421" i="8"/>
  <c r="GZ421" i="8"/>
  <c r="HL421" i="8"/>
  <c r="DQ421" i="8"/>
  <c r="HB431" i="8"/>
  <c r="GP431" i="8"/>
  <c r="HN431" i="8"/>
  <c r="GJ431" i="8"/>
  <c r="GN431" i="8"/>
  <c r="HL431" i="8"/>
  <c r="GS431" i="8"/>
  <c r="DK431" i="8"/>
  <c r="HF431" i="8"/>
  <c r="GQ431" i="8"/>
  <c r="I431" i="8"/>
  <c r="CY191" i="1"/>
  <c r="X191" i="1" s="1"/>
  <c r="DM425" i="8"/>
  <c r="U425" i="8"/>
  <c r="K425" i="8" s="1"/>
  <c r="HC417" i="8"/>
  <c r="DQ417" i="8"/>
  <c r="HP417" i="8"/>
  <c r="HX417" i="8"/>
  <c r="I417" i="8"/>
  <c r="HL417" i="8"/>
  <c r="GK417" i="8"/>
  <c r="HF417" i="8"/>
  <c r="GJ417" i="8"/>
  <c r="DG417" i="8"/>
  <c r="U417" i="8"/>
  <c r="HL427" i="8"/>
  <c r="GS427" i="8"/>
  <c r="DK427" i="8"/>
  <c r="HF427" i="8"/>
  <c r="GQ427" i="8"/>
  <c r="I427" i="8"/>
  <c r="HC427" i="8"/>
  <c r="GP427" i="8"/>
  <c r="HP427" i="8"/>
  <c r="GJ427" i="8"/>
  <c r="GN427" i="8"/>
  <c r="HF429" i="8"/>
  <c r="GQ429" i="8"/>
  <c r="I429" i="8"/>
  <c r="HC429" i="8"/>
  <c r="GP429" i="8"/>
  <c r="HP429" i="8"/>
  <c r="GJ429" i="8"/>
  <c r="GN429" i="8"/>
  <c r="HL429" i="8"/>
  <c r="GS429" i="8"/>
  <c r="DK429" i="8"/>
  <c r="I419" i="8"/>
  <c r="HX419" i="8"/>
  <c r="DM427" i="8"/>
  <c r="U427" i="8"/>
  <c r="K427" i="8" s="1"/>
  <c r="HL420" i="8"/>
  <c r="DQ420" i="8"/>
  <c r="HF420" i="8"/>
  <c r="I420" i="8"/>
  <c r="HC420" i="8"/>
  <c r="HP420" i="8"/>
  <c r="GY420" i="8"/>
  <c r="CP249" i="1"/>
  <c r="O249" i="1" s="1"/>
  <c r="CP158" i="1"/>
  <c r="O158" i="1" s="1"/>
  <c r="HB423" i="8"/>
  <c r="GP423" i="8"/>
  <c r="HN423" i="8"/>
  <c r="GJ423" i="8"/>
  <c r="GN423" i="8"/>
  <c r="HL423" i="8"/>
  <c r="GS423" i="8"/>
  <c r="DK423" i="8"/>
  <c r="HF423" i="8"/>
  <c r="GQ423" i="8"/>
  <c r="I423" i="8"/>
  <c r="HP425" i="8"/>
  <c r="GJ425" i="8"/>
  <c r="GN425" i="8"/>
  <c r="HL425" i="8"/>
  <c r="GS425" i="8"/>
  <c r="DK425" i="8"/>
  <c r="HF425" i="8"/>
  <c r="GQ425" i="8"/>
  <c r="I425" i="8"/>
  <c r="HC425" i="8"/>
  <c r="GP425" i="8"/>
  <c r="CZ243" i="1"/>
  <c r="Y243" i="1" s="1"/>
  <c r="CP241" i="1"/>
  <c r="O241" i="1" s="1"/>
  <c r="CP247" i="1"/>
  <c r="O247" i="1" s="1"/>
  <c r="CP245" i="1"/>
  <c r="O245" i="1" s="1"/>
  <c r="CP69" i="1"/>
  <c r="O69" i="1" s="1"/>
  <c r="HL400" i="8"/>
  <c r="DQ400" i="8"/>
  <c r="HF400" i="8"/>
  <c r="I400" i="8"/>
  <c r="GY400" i="8"/>
  <c r="HC400" i="8"/>
  <c r="HP400" i="8"/>
  <c r="HL407" i="8"/>
  <c r="GS407" i="8"/>
  <c r="DK407" i="8"/>
  <c r="HF407" i="8"/>
  <c r="GQ407" i="8"/>
  <c r="I407" i="8"/>
  <c r="HP407" i="8"/>
  <c r="GJ407" i="8"/>
  <c r="GN407" i="8"/>
  <c r="HC407" i="8"/>
  <c r="GP407" i="8"/>
  <c r="HF409" i="8"/>
  <c r="GQ409" i="8"/>
  <c r="I409" i="8"/>
  <c r="HC409" i="8"/>
  <c r="GP409" i="8"/>
  <c r="GS409" i="8"/>
  <c r="HP409" i="8"/>
  <c r="GJ409" i="8"/>
  <c r="GN409" i="8"/>
  <c r="HL409" i="8"/>
  <c r="DK409" i="8"/>
  <c r="I399" i="8"/>
  <c r="HX399" i="8"/>
  <c r="CP228" i="1"/>
  <c r="O228" i="1" s="1"/>
  <c r="DG397" i="8"/>
  <c r="U397" i="8"/>
  <c r="U403" i="8"/>
  <c r="K403" i="8" s="1"/>
  <c r="DM403" i="8"/>
  <c r="CP231" i="1"/>
  <c r="O231" i="1" s="1"/>
  <c r="U411" i="8"/>
  <c r="K411" i="8" s="1"/>
  <c r="DM411" i="8"/>
  <c r="HF401" i="8"/>
  <c r="I401" i="8"/>
  <c r="HC401" i="8"/>
  <c r="HL401" i="8"/>
  <c r="HP401" i="8"/>
  <c r="GZ401" i="8"/>
  <c r="DQ401" i="8"/>
  <c r="HP405" i="8"/>
  <c r="GJ405" i="8"/>
  <c r="GN405" i="8"/>
  <c r="HL405" i="8"/>
  <c r="GS405" i="8"/>
  <c r="DK405" i="8"/>
  <c r="HF405" i="8"/>
  <c r="GQ405" i="8"/>
  <c r="I405" i="8"/>
  <c r="HC405" i="8"/>
  <c r="GP405" i="8"/>
  <c r="DM409" i="8"/>
  <c r="U409" i="8"/>
  <c r="K409" i="8" s="1"/>
  <c r="HC397" i="8"/>
  <c r="DQ397" i="8"/>
  <c r="HP397" i="8"/>
  <c r="HX397" i="8"/>
  <c r="I397" i="8"/>
  <c r="GJ397" i="8"/>
  <c r="HL397" i="8"/>
  <c r="GK397" i="8"/>
  <c r="HF397" i="8"/>
  <c r="DM405" i="8"/>
  <c r="U405" i="8"/>
  <c r="K405" i="8" s="1"/>
  <c r="HB411" i="8"/>
  <c r="GP411" i="8"/>
  <c r="GQ411" i="8"/>
  <c r="HN411" i="8"/>
  <c r="GJ411" i="8"/>
  <c r="GN411" i="8"/>
  <c r="I411" i="8"/>
  <c r="HL411" i="8"/>
  <c r="GS411" i="8"/>
  <c r="DK411" i="8"/>
  <c r="HF411" i="8"/>
  <c r="HB403" i="8"/>
  <c r="GP403" i="8"/>
  <c r="HN403" i="8"/>
  <c r="GJ403" i="8"/>
  <c r="GN403" i="8"/>
  <c r="GQ403" i="8"/>
  <c r="HL403" i="8"/>
  <c r="GS403" i="8"/>
  <c r="DK403" i="8"/>
  <c r="HF403" i="8"/>
  <c r="I403" i="8"/>
  <c r="CY229" i="1"/>
  <c r="X229" i="1" s="1"/>
  <c r="CY237" i="1"/>
  <c r="X237" i="1" s="1"/>
  <c r="GM227" i="1"/>
  <c r="GO227" i="1" s="1"/>
  <c r="CP235" i="1"/>
  <c r="O235" i="1" s="1"/>
  <c r="CJ282" i="1"/>
  <c r="CJ117" i="1" s="1"/>
  <c r="CY134" i="1"/>
  <c r="X134" i="1" s="1"/>
  <c r="CP48" i="1"/>
  <c r="O48" i="1" s="1"/>
  <c r="GM48" i="1" s="1"/>
  <c r="GN48" i="1" s="1"/>
  <c r="CP162" i="1"/>
  <c r="O162" i="1" s="1"/>
  <c r="CZ148" i="1"/>
  <c r="Y148" i="1" s="1"/>
  <c r="DM367" i="8"/>
  <c r="CY150" i="1"/>
  <c r="X150" i="1" s="1"/>
  <c r="CZ156" i="1"/>
  <c r="Y156" i="1" s="1"/>
  <c r="CP150" i="1"/>
  <c r="O150" i="1" s="1"/>
  <c r="CP225" i="1"/>
  <c r="O225" i="1" s="1"/>
  <c r="R394" i="8"/>
  <c r="DY85" i="1"/>
  <c r="DL85" i="1" s="1"/>
  <c r="GB85" i="1"/>
  <c r="GB26" i="1" s="1"/>
  <c r="CZ63" i="1"/>
  <c r="Y63" i="1" s="1"/>
  <c r="CZ126" i="1"/>
  <c r="Y126" i="1" s="1"/>
  <c r="H302" i="8"/>
  <c r="CY196" i="1"/>
  <c r="X196" i="1" s="1"/>
  <c r="EA85" i="1"/>
  <c r="DN85" i="1" s="1"/>
  <c r="CP51" i="1"/>
  <c r="O51" i="1" s="1"/>
  <c r="CP180" i="1"/>
  <c r="O180" i="1" s="1"/>
  <c r="AH282" i="1"/>
  <c r="AH117" i="1" s="1"/>
  <c r="AG282" i="1"/>
  <c r="T282" i="1" s="1"/>
  <c r="CY178" i="1"/>
  <c r="X178" i="1" s="1"/>
  <c r="CP217" i="1"/>
  <c r="O217" i="1" s="1"/>
  <c r="GM217" i="1" s="1"/>
  <c r="GN217" i="1" s="1"/>
  <c r="CY210" i="1"/>
  <c r="X210" i="1" s="1"/>
  <c r="CY69" i="1"/>
  <c r="X69" i="1" s="1"/>
  <c r="CP65" i="1"/>
  <c r="O65" i="1" s="1"/>
  <c r="CP138" i="1"/>
  <c r="O138" i="1" s="1"/>
  <c r="CP165" i="1"/>
  <c r="O165" i="1" s="1"/>
  <c r="GM165" i="1" s="1"/>
  <c r="GN165" i="1" s="1"/>
  <c r="CZ168" i="1"/>
  <c r="Y168" i="1" s="1"/>
  <c r="CP185" i="1"/>
  <c r="O185" i="1" s="1"/>
  <c r="CY148" i="1"/>
  <c r="X148" i="1" s="1"/>
  <c r="CY186" i="1"/>
  <c r="X186" i="1" s="1"/>
  <c r="CP200" i="1"/>
  <c r="O200" i="1" s="1"/>
  <c r="CP210" i="1"/>
  <c r="O210" i="1" s="1"/>
  <c r="CP216" i="1"/>
  <c r="O216" i="1" s="1"/>
  <c r="CZ196" i="1"/>
  <c r="Y196" i="1" s="1"/>
  <c r="CZ210" i="1"/>
  <c r="Y210" i="1" s="1"/>
  <c r="AI85" i="1"/>
  <c r="V85" i="1" s="1"/>
  <c r="U349" i="8"/>
  <c r="K349" i="8" s="1"/>
  <c r="U391" i="8"/>
  <c r="K391" i="8" s="1"/>
  <c r="DM391" i="8"/>
  <c r="J393" i="8" s="1"/>
  <c r="HF386" i="8"/>
  <c r="DQ386" i="8"/>
  <c r="HB386" i="8"/>
  <c r="I386" i="8"/>
  <c r="HN386" i="8"/>
  <c r="GL386" i="8"/>
  <c r="HL386" i="8"/>
  <c r="GJ386" i="8"/>
  <c r="HB391" i="8"/>
  <c r="GP391" i="8"/>
  <c r="HN391" i="8"/>
  <c r="GJ391" i="8"/>
  <c r="GN391" i="8"/>
  <c r="HL391" i="8"/>
  <c r="GS391" i="8"/>
  <c r="DK391" i="8"/>
  <c r="HF391" i="8"/>
  <c r="GQ391" i="8"/>
  <c r="I391" i="8"/>
  <c r="HF389" i="8"/>
  <c r="I389" i="8"/>
  <c r="HB389" i="8"/>
  <c r="HN389" i="8"/>
  <c r="GZ389" i="8"/>
  <c r="HL389" i="8"/>
  <c r="DQ389" i="8"/>
  <c r="CP78" i="1"/>
  <c r="O78" i="1" s="1"/>
  <c r="GM78" i="1" s="1"/>
  <c r="GN78" i="1" s="1"/>
  <c r="CY79" i="1"/>
  <c r="X79" i="1" s="1"/>
  <c r="CY63" i="1"/>
  <c r="X63" i="1" s="1"/>
  <c r="CP121" i="1"/>
  <c r="O121" i="1" s="1"/>
  <c r="CP153" i="1"/>
  <c r="O153" i="1" s="1"/>
  <c r="CP195" i="1"/>
  <c r="O195" i="1" s="1"/>
  <c r="GM195" i="1" s="1"/>
  <c r="GN195" i="1" s="1"/>
  <c r="CP207" i="1"/>
  <c r="O207" i="1" s="1"/>
  <c r="GM207" i="1" s="1"/>
  <c r="GN207" i="1" s="1"/>
  <c r="CP224" i="1"/>
  <c r="O224" i="1" s="1"/>
  <c r="U386" i="8"/>
  <c r="HL388" i="8"/>
  <c r="DQ388" i="8"/>
  <c r="HF388" i="8"/>
  <c r="I388" i="8"/>
  <c r="HB388" i="8"/>
  <c r="HN388" i="8"/>
  <c r="GY388" i="8"/>
  <c r="HL385" i="8"/>
  <c r="GK385" i="8"/>
  <c r="HF385" i="8"/>
  <c r="GJ385" i="8"/>
  <c r="HB385" i="8"/>
  <c r="DQ385" i="8"/>
  <c r="HN385" i="8"/>
  <c r="HX385" i="8"/>
  <c r="I385" i="8"/>
  <c r="HB387" i="8"/>
  <c r="GQ387" i="8"/>
  <c r="GJ387" i="8"/>
  <c r="HN387" i="8"/>
  <c r="GP387" i="8"/>
  <c r="I387" i="8"/>
  <c r="HL387" i="8"/>
  <c r="GN387" i="8"/>
  <c r="HF387" i="8"/>
  <c r="GS387" i="8"/>
  <c r="DK387" i="8"/>
  <c r="CP52" i="1"/>
  <c r="O52" i="1" s="1"/>
  <c r="AJ85" i="1"/>
  <c r="AJ26" i="1" s="1"/>
  <c r="CP187" i="1"/>
  <c r="O187" i="1" s="1"/>
  <c r="GM187" i="1" s="1"/>
  <c r="GN187" i="1" s="1"/>
  <c r="CP197" i="1"/>
  <c r="O197" i="1" s="1"/>
  <c r="GM197" i="1" s="1"/>
  <c r="GN197" i="1" s="1"/>
  <c r="CP208" i="1"/>
  <c r="O208" i="1" s="1"/>
  <c r="DM237" i="8"/>
  <c r="T302" i="8"/>
  <c r="R326" i="8" s="1"/>
  <c r="U385" i="8"/>
  <c r="DG385" i="8"/>
  <c r="U302" i="8"/>
  <c r="DS302" i="8" s="1"/>
  <c r="CP164" i="1"/>
  <c r="O164" i="1" s="1"/>
  <c r="R382" i="8"/>
  <c r="CR204" i="1"/>
  <c r="Q204" i="1" s="1"/>
  <c r="H358" i="8"/>
  <c r="AH85" i="1"/>
  <c r="AH26" i="1" s="1"/>
  <c r="I359" i="8"/>
  <c r="HX359" i="8"/>
  <c r="HB379" i="8"/>
  <c r="GP379" i="8"/>
  <c r="HN379" i="8"/>
  <c r="GJ379" i="8"/>
  <c r="GN379" i="8"/>
  <c r="HL379" i="8"/>
  <c r="GS379" i="8"/>
  <c r="DK379" i="8"/>
  <c r="HF379" i="8"/>
  <c r="GQ379" i="8"/>
  <c r="I379" i="8"/>
  <c r="HF361" i="8"/>
  <c r="I361" i="8"/>
  <c r="HB361" i="8"/>
  <c r="HN361" i="8"/>
  <c r="GZ361" i="8"/>
  <c r="HL361" i="8"/>
  <c r="DQ361" i="8"/>
  <c r="DM365" i="8"/>
  <c r="U365" i="8"/>
  <c r="K365" i="8" s="1"/>
  <c r="HN365" i="8"/>
  <c r="GJ365" i="8"/>
  <c r="GN365" i="8"/>
  <c r="HL365" i="8"/>
  <c r="GS365" i="8"/>
  <c r="DK365" i="8"/>
  <c r="HF365" i="8"/>
  <c r="GQ365" i="8"/>
  <c r="I365" i="8"/>
  <c r="HB365" i="8"/>
  <c r="GP365" i="8"/>
  <c r="HB357" i="8"/>
  <c r="DQ357" i="8"/>
  <c r="HN357" i="8"/>
  <c r="HX357" i="8"/>
  <c r="I357" i="8"/>
  <c r="HL357" i="8"/>
  <c r="GK357" i="8"/>
  <c r="HF357" i="8"/>
  <c r="GJ357" i="8"/>
  <c r="HF369" i="8"/>
  <c r="GQ369" i="8"/>
  <c r="I369" i="8"/>
  <c r="HB369" i="8"/>
  <c r="GP369" i="8"/>
  <c r="HN369" i="8"/>
  <c r="GJ369" i="8"/>
  <c r="GN369" i="8"/>
  <c r="HL369" i="8"/>
  <c r="GS369" i="8"/>
  <c r="DK369" i="8"/>
  <c r="HN373" i="8"/>
  <c r="GJ373" i="8"/>
  <c r="GN373" i="8"/>
  <c r="HL373" i="8"/>
  <c r="GS373" i="8"/>
  <c r="DK373" i="8"/>
  <c r="HF373" i="8"/>
  <c r="GQ373" i="8"/>
  <c r="I373" i="8"/>
  <c r="HB373" i="8"/>
  <c r="GP373" i="8"/>
  <c r="DG357" i="8"/>
  <c r="U357" i="8"/>
  <c r="DM369" i="8"/>
  <c r="U369" i="8"/>
  <c r="K369" i="8" s="1"/>
  <c r="U379" i="8"/>
  <c r="K379" i="8" s="1"/>
  <c r="DM379" i="8"/>
  <c r="HL360" i="8"/>
  <c r="DQ360" i="8"/>
  <c r="HF360" i="8"/>
  <c r="I360" i="8"/>
  <c r="HB360" i="8"/>
  <c r="HN360" i="8"/>
  <c r="GY360" i="8"/>
  <c r="HL367" i="8"/>
  <c r="GS367" i="8"/>
  <c r="DK367" i="8"/>
  <c r="HF367" i="8"/>
  <c r="GQ367" i="8"/>
  <c r="I367" i="8"/>
  <c r="HB367" i="8"/>
  <c r="GP367" i="8"/>
  <c r="HN367" i="8"/>
  <c r="GJ367" i="8"/>
  <c r="GN367" i="8"/>
  <c r="U363" i="8"/>
  <c r="K363" i="8" s="1"/>
  <c r="DM363" i="8"/>
  <c r="HC371" i="8"/>
  <c r="GP371" i="8"/>
  <c r="HP371" i="8"/>
  <c r="GJ371" i="8"/>
  <c r="GN371" i="8"/>
  <c r="HL371" i="8"/>
  <c r="GS371" i="8"/>
  <c r="DK371" i="8"/>
  <c r="HF371" i="8"/>
  <c r="GQ371" i="8"/>
  <c r="I371" i="8"/>
  <c r="HF377" i="8"/>
  <c r="GQ377" i="8"/>
  <c r="I377" i="8"/>
  <c r="HB377" i="8"/>
  <c r="GP377" i="8"/>
  <c r="HN377" i="8"/>
  <c r="GJ377" i="8"/>
  <c r="GN377" i="8"/>
  <c r="HL377" i="8"/>
  <c r="GS377" i="8"/>
  <c r="DK377" i="8"/>
  <c r="U371" i="8"/>
  <c r="K371" i="8" s="1"/>
  <c r="DM371" i="8"/>
  <c r="DM373" i="8"/>
  <c r="U373" i="8"/>
  <c r="K373" i="8" s="1"/>
  <c r="HB363" i="8"/>
  <c r="GP363" i="8"/>
  <c r="HN363" i="8"/>
  <c r="GJ363" i="8"/>
  <c r="GN363" i="8"/>
  <c r="HL363" i="8"/>
  <c r="GS363" i="8"/>
  <c r="DK363" i="8"/>
  <c r="HF363" i="8"/>
  <c r="GQ363" i="8"/>
  <c r="I363" i="8"/>
  <c r="HL375" i="8"/>
  <c r="GS375" i="8"/>
  <c r="DK375" i="8"/>
  <c r="HF375" i="8"/>
  <c r="GQ375" i="8"/>
  <c r="I375" i="8"/>
  <c r="HB375" i="8"/>
  <c r="GP375" i="8"/>
  <c r="HN375" i="8"/>
  <c r="GJ375" i="8"/>
  <c r="GN375" i="8"/>
  <c r="HF358" i="8"/>
  <c r="DQ358" i="8"/>
  <c r="HB358" i="8"/>
  <c r="I358" i="8"/>
  <c r="HN358" i="8"/>
  <c r="GL358" i="8"/>
  <c r="HL358" i="8"/>
  <c r="GJ358" i="8"/>
  <c r="EH282" i="1"/>
  <c r="GM203" i="1"/>
  <c r="GN203" i="1" s="1"/>
  <c r="CP205" i="1"/>
  <c r="O205" i="1" s="1"/>
  <c r="AG85" i="1"/>
  <c r="T85" i="1" s="1"/>
  <c r="CP127" i="1"/>
  <c r="O127" i="1" s="1"/>
  <c r="CP199" i="1"/>
  <c r="O199" i="1" s="1"/>
  <c r="GM199" i="1" s="1"/>
  <c r="GN199" i="1" s="1"/>
  <c r="CZ33" i="1"/>
  <c r="Y33" i="1" s="1"/>
  <c r="CP39" i="1"/>
  <c r="O39" i="1" s="1"/>
  <c r="CZ60" i="1"/>
  <c r="Y60" i="1" s="1"/>
  <c r="CY61" i="1"/>
  <c r="X61" i="1" s="1"/>
  <c r="CP161" i="1"/>
  <c r="O161" i="1" s="1"/>
  <c r="CY192" i="1"/>
  <c r="X192" i="1" s="1"/>
  <c r="CY194" i="1"/>
  <c r="X194" i="1" s="1"/>
  <c r="HB335" i="8"/>
  <c r="GP335" i="8"/>
  <c r="HN335" i="8"/>
  <c r="GJ335" i="8"/>
  <c r="GN335" i="8"/>
  <c r="HL335" i="8"/>
  <c r="GS335" i="8"/>
  <c r="DK335" i="8"/>
  <c r="HF335" i="8"/>
  <c r="GQ335" i="8"/>
  <c r="I335" i="8"/>
  <c r="HL339" i="8"/>
  <c r="GS339" i="8"/>
  <c r="DK339" i="8"/>
  <c r="HF339" i="8"/>
  <c r="GQ339" i="8"/>
  <c r="I339" i="8"/>
  <c r="HB339" i="8"/>
  <c r="GP339" i="8"/>
  <c r="HN339" i="8"/>
  <c r="GJ339" i="8"/>
  <c r="GN339" i="8"/>
  <c r="HF341" i="8"/>
  <c r="GQ341" i="8"/>
  <c r="I341" i="8"/>
  <c r="HB341" i="8"/>
  <c r="GP341" i="8"/>
  <c r="HN341" i="8"/>
  <c r="GJ341" i="8"/>
  <c r="GN341" i="8"/>
  <c r="HL341" i="8"/>
  <c r="GS341" i="8"/>
  <c r="DK341" i="8"/>
  <c r="I331" i="8"/>
  <c r="HX331" i="8"/>
  <c r="HF349" i="8"/>
  <c r="GQ349" i="8"/>
  <c r="I349" i="8"/>
  <c r="HB349" i="8"/>
  <c r="GP349" i="8"/>
  <c r="HN349" i="8"/>
  <c r="GJ349" i="8"/>
  <c r="GN349" i="8"/>
  <c r="HL349" i="8"/>
  <c r="GS349" i="8"/>
  <c r="DK349" i="8"/>
  <c r="U343" i="8"/>
  <c r="K343" i="8" s="1"/>
  <c r="DM343" i="8"/>
  <c r="CZ184" i="1"/>
  <c r="Y184" i="1" s="1"/>
  <c r="K331" i="8"/>
  <c r="AI282" i="1"/>
  <c r="V282" i="1" s="1"/>
  <c r="U351" i="8"/>
  <c r="K351" i="8" s="1"/>
  <c r="DM351" i="8"/>
  <c r="HN337" i="8"/>
  <c r="GJ337" i="8"/>
  <c r="GN337" i="8"/>
  <c r="HL337" i="8"/>
  <c r="GS337" i="8"/>
  <c r="DK337" i="8"/>
  <c r="HF337" i="8"/>
  <c r="GQ337" i="8"/>
  <c r="I337" i="8"/>
  <c r="HB337" i="8"/>
  <c r="GP337" i="8"/>
  <c r="HF333" i="8"/>
  <c r="I333" i="8"/>
  <c r="HB333" i="8"/>
  <c r="HN333" i="8"/>
  <c r="GZ333" i="8"/>
  <c r="HL333" i="8"/>
  <c r="DQ333" i="8"/>
  <c r="U335" i="8"/>
  <c r="K335" i="8" s="1"/>
  <c r="DM335" i="8"/>
  <c r="DM341" i="8"/>
  <c r="U341" i="8"/>
  <c r="K341" i="8" s="1"/>
  <c r="HL347" i="8"/>
  <c r="GS347" i="8"/>
  <c r="DK347" i="8"/>
  <c r="HF347" i="8"/>
  <c r="GQ347" i="8"/>
  <c r="I347" i="8"/>
  <c r="HB347" i="8"/>
  <c r="GP347" i="8"/>
  <c r="HN347" i="8"/>
  <c r="GJ347" i="8"/>
  <c r="GN347" i="8"/>
  <c r="HB329" i="8"/>
  <c r="DQ329" i="8"/>
  <c r="HN329" i="8"/>
  <c r="HX329" i="8"/>
  <c r="I329" i="8"/>
  <c r="HL329" i="8"/>
  <c r="GK329" i="8"/>
  <c r="HF329" i="8"/>
  <c r="GJ329" i="8"/>
  <c r="DG329" i="8"/>
  <c r="U329" i="8"/>
  <c r="CP188" i="1"/>
  <c r="O188" i="1" s="1"/>
  <c r="DM337" i="8"/>
  <c r="U337" i="8"/>
  <c r="K337" i="8" s="1"/>
  <c r="CP196" i="1"/>
  <c r="O196" i="1" s="1"/>
  <c r="DM345" i="8"/>
  <c r="U345" i="8"/>
  <c r="K345" i="8" s="1"/>
  <c r="CP190" i="1"/>
  <c r="O190" i="1" s="1"/>
  <c r="DM339" i="8"/>
  <c r="U339" i="8"/>
  <c r="K339" i="8" s="1"/>
  <c r="CP198" i="1"/>
  <c r="O198" i="1" s="1"/>
  <c r="DM347" i="8"/>
  <c r="U347" i="8"/>
  <c r="K347" i="8" s="1"/>
  <c r="HC343" i="8"/>
  <c r="GP343" i="8"/>
  <c r="HP343" i="8"/>
  <c r="GJ343" i="8"/>
  <c r="GN343" i="8"/>
  <c r="HL343" i="8"/>
  <c r="GS343" i="8"/>
  <c r="DK343" i="8"/>
  <c r="HF343" i="8"/>
  <c r="GQ343" i="8"/>
  <c r="I343" i="8"/>
  <c r="HN345" i="8"/>
  <c r="GJ345" i="8"/>
  <c r="GN345" i="8"/>
  <c r="HL345" i="8"/>
  <c r="GS345" i="8"/>
  <c r="DK345" i="8"/>
  <c r="HF345" i="8"/>
  <c r="GQ345" i="8"/>
  <c r="I345" i="8"/>
  <c r="HB345" i="8"/>
  <c r="GP345" i="8"/>
  <c r="HL332" i="8"/>
  <c r="DQ332" i="8"/>
  <c r="HF332" i="8"/>
  <c r="I332" i="8"/>
  <c r="HB332" i="8"/>
  <c r="HN332" i="8"/>
  <c r="GY332" i="8"/>
  <c r="HB351" i="8"/>
  <c r="GP351" i="8"/>
  <c r="HN351" i="8"/>
  <c r="GJ351" i="8"/>
  <c r="GN351" i="8"/>
  <c r="HL351" i="8"/>
  <c r="GS351" i="8"/>
  <c r="DK351" i="8"/>
  <c r="HF351" i="8"/>
  <c r="GQ351" i="8"/>
  <c r="I351" i="8"/>
  <c r="AQ282" i="1"/>
  <c r="F292" i="1" s="1"/>
  <c r="CR184" i="1"/>
  <c r="Q184" i="1" s="1"/>
  <c r="T330" i="8"/>
  <c r="R354" i="8" s="1"/>
  <c r="H330" i="8"/>
  <c r="CZ191" i="1"/>
  <c r="Y191" i="1" s="1"/>
  <c r="CP186" i="1"/>
  <c r="O186" i="1" s="1"/>
  <c r="CP192" i="1"/>
  <c r="O192" i="1" s="1"/>
  <c r="AJ282" i="1"/>
  <c r="W282" i="1" s="1"/>
  <c r="CP191" i="1"/>
  <c r="O191" i="1" s="1"/>
  <c r="U315" i="8"/>
  <c r="K315" i="8" s="1"/>
  <c r="DM315" i="8"/>
  <c r="CP178" i="1"/>
  <c r="O178" i="1" s="1"/>
  <c r="DM319" i="8"/>
  <c r="U319" i="8"/>
  <c r="K319" i="8" s="1"/>
  <c r="HB323" i="8"/>
  <c r="GP323" i="8"/>
  <c r="HN323" i="8"/>
  <c r="GJ323" i="8"/>
  <c r="GN323" i="8"/>
  <c r="HL323" i="8"/>
  <c r="GS323" i="8"/>
  <c r="DK323" i="8"/>
  <c r="HF323" i="8"/>
  <c r="GQ323" i="8"/>
  <c r="I323" i="8"/>
  <c r="HL304" i="8"/>
  <c r="DQ304" i="8"/>
  <c r="HF304" i="8"/>
  <c r="I304" i="8"/>
  <c r="HB304" i="8"/>
  <c r="HN304" i="8"/>
  <c r="GY304" i="8"/>
  <c r="HC315" i="8"/>
  <c r="GP315" i="8"/>
  <c r="HP315" i="8"/>
  <c r="GJ315" i="8"/>
  <c r="GN315" i="8"/>
  <c r="HL315" i="8"/>
  <c r="GS315" i="8"/>
  <c r="DK315" i="8"/>
  <c r="HF315" i="8"/>
  <c r="GQ315" i="8"/>
  <c r="I315" i="8"/>
  <c r="CP163" i="1"/>
  <c r="O163" i="1" s="1"/>
  <c r="GM163" i="1" s="1"/>
  <c r="GN163" i="1" s="1"/>
  <c r="CP182" i="1"/>
  <c r="O182" i="1" s="1"/>
  <c r="U323" i="8"/>
  <c r="K323" i="8" s="1"/>
  <c r="DM323" i="8"/>
  <c r="HN317" i="8"/>
  <c r="GJ317" i="8"/>
  <c r="GN317" i="8"/>
  <c r="HL317" i="8"/>
  <c r="GS317" i="8"/>
  <c r="DK317" i="8"/>
  <c r="HF317" i="8"/>
  <c r="GQ317" i="8"/>
  <c r="I317" i="8"/>
  <c r="HB317" i="8"/>
  <c r="GP317" i="8"/>
  <c r="HL319" i="8"/>
  <c r="GS319" i="8"/>
  <c r="DK319" i="8"/>
  <c r="HF319" i="8"/>
  <c r="GQ319" i="8"/>
  <c r="I319" i="8"/>
  <c r="HB319" i="8"/>
  <c r="GP319" i="8"/>
  <c r="HN319" i="8"/>
  <c r="GJ319" i="8"/>
  <c r="GN319" i="8"/>
  <c r="HF313" i="8"/>
  <c r="GQ313" i="8"/>
  <c r="I313" i="8"/>
  <c r="HB313" i="8"/>
  <c r="GP313" i="8"/>
  <c r="HN313" i="8"/>
  <c r="GJ313" i="8"/>
  <c r="GN313" i="8"/>
  <c r="HL313" i="8"/>
  <c r="GS313" i="8"/>
  <c r="DK313" i="8"/>
  <c r="HB307" i="8"/>
  <c r="GP307" i="8"/>
  <c r="HN307" i="8"/>
  <c r="GJ307" i="8"/>
  <c r="GN307" i="8"/>
  <c r="HL307" i="8"/>
  <c r="GS307" i="8"/>
  <c r="DK307" i="8"/>
  <c r="HF307" i="8"/>
  <c r="GQ307" i="8"/>
  <c r="I307" i="8"/>
  <c r="U307" i="8"/>
  <c r="K307" i="8" s="1"/>
  <c r="DM307" i="8"/>
  <c r="CP170" i="1"/>
  <c r="O170" i="1" s="1"/>
  <c r="DM311" i="8"/>
  <c r="U311" i="8"/>
  <c r="K311" i="8" s="1"/>
  <c r="DM313" i="8"/>
  <c r="U313" i="8"/>
  <c r="K313" i="8" s="1"/>
  <c r="DM317" i="8"/>
  <c r="U317" i="8"/>
  <c r="K317" i="8" s="1"/>
  <c r="HN309" i="8"/>
  <c r="GJ309" i="8"/>
  <c r="GN309" i="8"/>
  <c r="HL309" i="8"/>
  <c r="GS309" i="8"/>
  <c r="DK309" i="8"/>
  <c r="HF309" i="8"/>
  <c r="GQ309" i="8"/>
  <c r="I309" i="8"/>
  <c r="HB309" i="8"/>
  <c r="GP309" i="8"/>
  <c r="I303" i="8"/>
  <c r="HX303" i="8"/>
  <c r="DM321" i="8"/>
  <c r="U321" i="8"/>
  <c r="K321" i="8" s="1"/>
  <c r="HF305" i="8"/>
  <c r="I305" i="8"/>
  <c r="HB305" i="8"/>
  <c r="HN305" i="8"/>
  <c r="GZ305" i="8"/>
  <c r="HL305" i="8"/>
  <c r="DQ305" i="8"/>
  <c r="CY164" i="1"/>
  <c r="X164" i="1" s="1"/>
  <c r="K303" i="8"/>
  <c r="HL311" i="8"/>
  <c r="GS311" i="8"/>
  <c r="DK311" i="8"/>
  <c r="HF311" i="8"/>
  <c r="GQ311" i="8"/>
  <c r="I311" i="8"/>
  <c r="HB311" i="8"/>
  <c r="GP311" i="8"/>
  <c r="HN311" i="8"/>
  <c r="GJ311" i="8"/>
  <c r="GN311" i="8"/>
  <c r="HF321" i="8"/>
  <c r="GQ321" i="8"/>
  <c r="I321" i="8"/>
  <c r="HB321" i="8"/>
  <c r="GP321" i="8"/>
  <c r="HN321" i="8"/>
  <c r="GJ321" i="8"/>
  <c r="GN321" i="8"/>
  <c r="HL321" i="8"/>
  <c r="GS321" i="8"/>
  <c r="DK321" i="8"/>
  <c r="HB301" i="8"/>
  <c r="DQ301" i="8"/>
  <c r="HN301" i="8"/>
  <c r="HX301" i="8"/>
  <c r="I301" i="8"/>
  <c r="HL301" i="8"/>
  <c r="GK301" i="8"/>
  <c r="HF301" i="8"/>
  <c r="GJ301" i="8"/>
  <c r="DG301" i="8"/>
  <c r="U301" i="8"/>
  <c r="CZ164" i="1"/>
  <c r="Y164" i="1" s="1"/>
  <c r="U279" i="8"/>
  <c r="K279" i="8" s="1"/>
  <c r="DM279" i="8"/>
  <c r="HB273" i="8"/>
  <c r="DQ273" i="8"/>
  <c r="HN273" i="8"/>
  <c r="HX273" i="8"/>
  <c r="I273" i="8"/>
  <c r="HL273" i="8"/>
  <c r="GK273" i="8"/>
  <c r="HF273" i="8"/>
  <c r="GJ273" i="8"/>
  <c r="DG273" i="8"/>
  <c r="U273" i="8"/>
  <c r="CP148" i="1"/>
  <c r="O148" i="1" s="1"/>
  <c r="DM281" i="8"/>
  <c r="U281" i="8"/>
  <c r="K281" i="8" s="1"/>
  <c r="DM291" i="8"/>
  <c r="U291" i="8"/>
  <c r="K291" i="8" s="1"/>
  <c r="HL276" i="8"/>
  <c r="DQ276" i="8"/>
  <c r="HF276" i="8"/>
  <c r="I276" i="8"/>
  <c r="HB276" i="8"/>
  <c r="HN276" i="8"/>
  <c r="GY276" i="8"/>
  <c r="DM283" i="8"/>
  <c r="U283" i="8"/>
  <c r="K283" i="8" s="1"/>
  <c r="HF285" i="8"/>
  <c r="GQ285" i="8"/>
  <c r="I285" i="8"/>
  <c r="HB285" i="8"/>
  <c r="GP285" i="8"/>
  <c r="HN285" i="8"/>
  <c r="GJ285" i="8"/>
  <c r="GN285" i="8"/>
  <c r="HL285" i="8"/>
  <c r="GS285" i="8"/>
  <c r="DK285" i="8"/>
  <c r="HN289" i="8"/>
  <c r="GJ289" i="8"/>
  <c r="GN289" i="8"/>
  <c r="HL289" i="8"/>
  <c r="GS289" i="8"/>
  <c r="DK289" i="8"/>
  <c r="HF289" i="8"/>
  <c r="GQ289" i="8"/>
  <c r="I289" i="8"/>
  <c r="HB289" i="8"/>
  <c r="GP289" i="8"/>
  <c r="I275" i="8"/>
  <c r="HX275" i="8"/>
  <c r="DM285" i="8"/>
  <c r="U285" i="8"/>
  <c r="K285" i="8" s="1"/>
  <c r="HL291" i="8"/>
  <c r="GS291" i="8"/>
  <c r="DK291" i="8"/>
  <c r="HF291" i="8"/>
  <c r="GQ291" i="8"/>
  <c r="I291" i="8"/>
  <c r="HB291" i="8"/>
  <c r="GP291" i="8"/>
  <c r="HN291" i="8"/>
  <c r="GJ291" i="8"/>
  <c r="GN291" i="8"/>
  <c r="HF293" i="8"/>
  <c r="GQ293" i="8"/>
  <c r="I293" i="8"/>
  <c r="HB293" i="8"/>
  <c r="GP293" i="8"/>
  <c r="HN293" i="8"/>
  <c r="GJ293" i="8"/>
  <c r="GN293" i="8"/>
  <c r="HL293" i="8"/>
  <c r="GS293" i="8"/>
  <c r="DK293" i="8"/>
  <c r="HB295" i="8"/>
  <c r="GP295" i="8"/>
  <c r="HN295" i="8"/>
  <c r="GJ295" i="8"/>
  <c r="GN295" i="8"/>
  <c r="HL295" i="8"/>
  <c r="GS295" i="8"/>
  <c r="DK295" i="8"/>
  <c r="HF295" i="8"/>
  <c r="GQ295" i="8"/>
  <c r="I295" i="8"/>
  <c r="HL283" i="8"/>
  <c r="GS283" i="8"/>
  <c r="DK283" i="8"/>
  <c r="HF283" i="8"/>
  <c r="GQ283" i="8"/>
  <c r="I283" i="8"/>
  <c r="HB283" i="8"/>
  <c r="GP283" i="8"/>
  <c r="HN283" i="8"/>
  <c r="GJ283" i="8"/>
  <c r="GN283" i="8"/>
  <c r="CP156" i="1"/>
  <c r="O156" i="1" s="1"/>
  <c r="DM289" i="8"/>
  <c r="U289" i="8"/>
  <c r="K289" i="8" s="1"/>
  <c r="CP160" i="1"/>
  <c r="O160" i="1" s="1"/>
  <c r="DM293" i="8"/>
  <c r="U293" i="8"/>
  <c r="K293" i="8" s="1"/>
  <c r="U295" i="8"/>
  <c r="K295" i="8" s="1"/>
  <c r="DM295" i="8"/>
  <c r="U287" i="8"/>
  <c r="K287" i="8" s="1"/>
  <c r="DM287" i="8"/>
  <c r="HF277" i="8"/>
  <c r="I277" i="8"/>
  <c r="HB277" i="8"/>
  <c r="HN277" i="8"/>
  <c r="GZ277" i="8"/>
  <c r="HL277" i="8"/>
  <c r="DQ277" i="8"/>
  <c r="HC287" i="8"/>
  <c r="GP287" i="8"/>
  <c r="HP287" i="8"/>
  <c r="GJ287" i="8"/>
  <c r="GN287" i="8"/>
  <c r="HL287" i="8"/>
  <c r="GS287" i="8"/>
  <c r="DK287" i="8"/>
  <c r="HF287" i="8"/>
  <c r="GQ287" i="8"/>
  <c r="I287" i="8"/>
  <c r="HB279" i="8"/>
  <c r="GP279" i="8"/>
  <c r="HN279" i="8"/>
  <c r="GJ279" i="8"/>
  <c r="GN279" i="8"/>
  <c r="HL279" i="8"/>
  <c r="GS279" i="8"/>
  <c r="DK279" i="8"/>
  <c r="HF279" i="8"/>
  <c r="GQ279" i="8"/>
  <c r="I279" i="8"/>
  <c r="HN281" i="8"/>
  <c r="GJ281" i="8"/>
  <c r="GN281" i="8"/>
  <c r="HL281" i="8"/>
  <c r="GS281" i="8"/>
  <c r="DK281" i="8"/>
  <c r="HF281" i="8"/>
  <c r="GQ281" i="8"/>
  <c r="I281" i="8"/>
  <c r="HB281" i="8"/>
  <c r="GP281" i="8"/>
  <c r="CR144" i="1"/>
  <c r="Q144" i="1" s="1"/>
  <c r="T274" i="8"/>
  <c r="R298" i="8" s="1"/>
  <c r="H274" i="8"/>
  <c r="CY143" i="1"/>
  <c r="X143" i="1" s="1"/>
  <c r="GM143" i="1" s="1"/>
  <c r="GN143" i="1" s="1"/>
  <c r="CY154" i="1"/>
  <c r="X154" i="1" s="1"/>
  <c r="AE282" i="1"/>
  <c r="AE117" i="1" s="1"/>
  <c r="R270" i="8"/>
  <c r="HX261" i="8"/>
  <c r="I261" i="8"/>
  <c r="HB267" i="8"/>
  <c r="GP267" i="8"/>
  <c r="HN267" i="8"/>
  <c r="GJ267" i="8"/>
  <c r="GN267" i="8"/>
  <c r="HL267" i="8"/>
  <c r="GS267" i="8"/>
  <c r="DK267" i="8"/>
  <c r="HF267" i="8"/>
  <c r="GQ267" i="8"/>
  <c r="I267" i="8"/>
  <c r="U267" i="8"/>
  <c r="K267" i="8" s="1"/>
  <c r="DM267" i="8"/>
  <c r="HF260" i="8"/>
  <c r="DQ260" i="8"/>
  <c r="HB260" i="8"/>
  <c r="I260" i="8"/>
  <c r="HN260" i="8"/>
  <c r="GL260" i="8"/>
  <c r="HL260" i="8"/>
  <c r="GJ260" i="8"/>
  <c r="HL263" i="8"/>
  <c r="DQ263" i="8"/>
  <c r="HF263" i="8"/>
  <c r="I263" i="8"/>
  <c r="HB263" i="8"/>
  <c r="HN263" i="8"/>
  <c r="GZ263" i="8"/>
  <c r="U259" i="8"/>
  <c r="DG259" i="8"/>
  <c r="CP140" i="1"/>
  <c r="O140" i="1" s="1"/>
  <c r="DM265" i="8"/>
  <c r="U265" i="8"/>
  <c r="K265" i="8" s="1"/>
  <c r="K260" i="8"/>
  <c r="DS260" i="8"/>
  <c r="HF265" i="8"/>
  <c r="GQ265" i="8"/>
  <c r="I265" i="8"/>
  <c r="HB265" i="8"/>
  <c r="GP265" i="8"/>
  <c r="HN265" i="8"/>
  <c r="GJ265" i="8"/>
  <c r="GN265" i="8"/>
  <c r="HL265" i="8"/>
  <c r="GS265" i="8"/>
  <c r="DK265" i="8"/>
  <c r="HN262" i="8"/>
  <c r="GY262" i="8"/>
  <c r="HL262" i="8"/>
  <c r="DQ262" i="8"/>
  <c r="HF262" i="8"/>
  <c r="I262" i="8"/>
  <c r="HB262" i="8"/>
  <c r="HL259" i="8"/>
  <c r="GK259" i="8"/>
  <c r="HF259" i="8"/>
  <c r="GJ259" i="8"/>
  <c r="HB259" i="8"/>
  <c r="DQ259" i="8"/>
  <c r="HN259" i="8"/>
  <c r="HX259" i="8"/>
  <c r="I259" i="8"/>
  <c r="CZ140" i="1"/>
  <c r="Y140" i="1" s="1"/>
  <c r="CJ85" i="1"/>
  <c r="CJ26" i="1" s="1"/>
  <c r="CZ35" i="1"/>
  <c r="Y35" i="1" s="1"/>
  <c r="R256" i="8"/>
  <c r="HB253" i="8"/>
  <c r="GP253" i="8"/>
  <c r="HN253" i="8"/>
  <c r="GJ253" i="8"/>
  <c r="GN253" i="8"/>
  <c r="HL253" i="8"/>
  <c r="GS253" i="8"/>
  <c r="DK253" i="8"/>
  <c r="H255" i="8" s="1"/>
  <c r="HF253" i="8"/>
  <c r="GQ253" i="8"/>
  <c r="I253" i="8"/>
  <c r="HF247" i="8"/>
  <c r="GJ247" i="8"/>
  <c r="HB247" i="8"/>
  <c r="DQ247" i="8"/>
  <c r="HN247" i="8"/>
  <c r="HX247" i="8"/>
  <c r="I247" i="8"/>
  <c r="HL247" i="8"/>
  <c r="GK247" i="8"/>
  <c r="HF251" i="8"/>
  <c r="I251" i="8"/>
  <c r="HB251" i="8"/>
  <c r="HN251" i="8"/>
  <c r="GZ251" i="8"/>
  <c r="HL251" i="8"/>
  <c r="DQ251" i="8"/>
  <c r="I249" i="8"/>
  <c r="HX249" i="8"/>
  <c r="HL250" i="8"/>
  <c r="DQ250" i="8"/>
  <c r="HF250" i="8"/>
  <c r="I250" i="8"/>
  <c r="HB250" i="8"/>
  <c r="HN250" i="8"/>
  <c r="GY250" i="8"/>
  <c r="U247" i="8"/>
  <c r="DG247" i="8"/>
  <c r="U253" i="8"/>
  <c r="K253" i="8" s="1"/>
  <c r="DM253" i="8"/>
  <c r="J255" i="8" s="1"/>
  <c r="HB248" i="8"/>
  <c r="I248" i="8"/>
  <c r="HN248" i="8"/>
  <c r="GL248" i="8"/>
  <c r="HL248" i="8"/>
  <c r="GJ248" i="8"/>
  <c r="HF248" i="8"/>
  <c r="DQ248" i="8"/>
  <c r="AD282" i="1"/>
  <c r="Q282" i="1" s="1"/>
  <c r="CY35" i="1"/>
  <c r="X35" i="1" s="1"/>
  <c r="CP131" i="1"/>
  <c r="O131" i="1" s="1"/>
  <c r="HX233" i="8"/>
  <c r="I233" i="8"/>
  <c r="U231" i="8"/>
  <c r="DG231" i="8"/>
  <c r="HL237" i="8"/>
  <c r="GS237" i="8"/>
  <c r="DK237" i="8"/>
  <c r="HF237" i="8"/>
  <c r="GQ237" i="8"/>
  <c r="I237" i="8"/>
  <c r="HB237" i="8"/>
  <c r="GP237" i="8"/>
  <c r="HN237" i="8"/>
  <c r="GJ237" i="8"/>
  <c r="GN237" i="8"/>
  <c r="HL231" i="8"/>
  <c r="GK231" i="8"/>
  <c r="HF231" i="8"/>
  <c r="GJ231" i="8"/>
  <c r="HB231" i="8"/>
  <c r="DQ231" i="8"/>
  <c r="HN231" i="8"/>
  <c r="HX231" i="8"/>
  <c r="I231" i="8"/>
  <c r="EH85" i="1"/>
  <c r="DM239" i="8"/>
  <c r="U239" i="8"/>
  <c r="K239" i="8" s="1"/>
  <c r="HN235" i="8"/>
  <c r="GZ235" i="8"/>
  <c r="HL235" i="8"/>
  <c r="DQ235" i="8"/>
  <c r="HF235" i="8"/>
  <c r="I235" i="8"/>
  <c r="HB235" i="8"/>
  <c r="HB234" i="8"/>
  <c r="HN234" i="8"/>
  <c r="GY234" i="8"/>
  <c r="HL234" i="8"/>
  <c r="DQ234" i="8"/>
  <c r="HF234" i="8"/>
  <c r="I234" i="8"/>
  <c r="HF239" i="8"/>
  <c r="GQ239" i="8"/>
  <c r="I239" i="8"/>
  <c r="HB239" i="8"/>
  <c r="GP239" i="8"/>
  <c r="HN239" i="8"/>
  <c r="GJ239" i="8"/>
  <c r="GN239" i="8"/>
  <c r="HL239" i="8"/>
  <c r="GS239" i="8"/>
  <c r="DK239" i="8"/>
  <c r="HB241" i="8"/>
  <c r="GP241" i="8"/>
  <c r="HN241" i="8"/>
  <c r="GJ241" i="8"/>
  <c r="GN241" i="8"/>
  <c r="HL241" i="8"/>
  <c r="GS241" i="8"/>
  <c r="DK241" i="8"/>
  <c r="HF241" i="8"/>
  <c r="GQ241" i="8"/>
  <c r="I241" i="8"/>
  <c r="EI282" i="1"/>
  <c r="EI117" i="1" s="1"/>
  <c r="CR126" i="1"/>
  <c r="Q126" i="1" s="1"/>
  <c r="T232" i="8"/>
  <c r="R244" i="8" s="1"/>
  <c r="H232" i="8"/>
  <c r="AP282" i="1"/>
  <c r="F291" i="1" s="1"/>
  <c r="CP130" i="1"/>
  <c r="O130" i="1" s="1"/>
  <c r="DZ85" i="1"/>
  <c r="GX122" i="1"/>
  <c r="GB282" i="1" s="1"/>
  <c r="GB117" i="1" s="1"/>
  <c r="E223" i="8"/>
  <c r="HL221" i="8"/>
  <c r="DQ221" i="8"/>
  <c r="HF221" i="8"/>
  <c r="I221" i="8"/>
  <c r="HB221" i="8"/>
  <c r="HN221" i="8"/>
  <c r="GZ221" i="8"/>
  <c r="U225" i="8"/>
  <c r="K225" i="8" s="1"/>
  <c r="DM225" i="8"/>
  <c r="HX219" i="8"/>
  <c r="I219" i="8"/>
  <c r="HF217" i="8"/>
  <c r="GJ217" i="8"/>
  <c r="HB217" i="8"/>
  <c r="DQ217" i="8"/>
  <c r="HN217" i="8"/>
  <c r="HX217" i="8"/>
  <c r="I217" i="8"/>
  <c r="HL217" i="8"/>
  <c r="GK217" i="8"/>
  <c r="HB225" i="8"/>
  <c r="GP225" i="8"/>
  <c r="HN225" i="8"/>
  <c r="GJ225" i="8"/>
  <c r="GN225" i="8"/>
  <c r="HL225" i="8"/>
  <c r="GS225" i="8"/>
  <c r="DK225" i="8"/>
  <c r="HF225" i="8"/>
  <c r="GQ225" i="8"/>
  <c r="I225" i="8"/>
  <c r="CP32" i="1"/>
  <c r="O32" i="1" s="1"/>
  <c r="HN220" i="8"/>
  <c r="GY220" i="8"/>
  <c r="HL220" i="8"/>
  <c r="DQ220" i="8"/>
  <c r="HF220" i="8"/>
  <c r="I220" i="8"/>
  <c r="HB220" i="8"/>
  <c r="U217" i="8"/>
  <c r="DG217" i="8"/>
  <c r="HF223" i="8"/>
  <c r="GQ223" i="8"/>
  <c r="I223" i="8"/>
  <c r="HB223" i="8"/>
  <c r="GP223" i="8"/>
  <c r="HN223" i="8"/>
  <c r="GJ223" i="8"/>
  <c r="GN223" i="8"/>
  <c r="HL223" i="8"/>
  <c r="GS223" i="8"/>
  <c r="DK223" i="8"/>
  <c r="CG282" i="1"/>
  <c r="CG117" i="1" s="1"/>
  <c r="GA282" i="1"/>
  <c r="GA117" i="1" s="1"/>
  <c r="FY282" i="1"/>
  <c r="FY117" i="1" s="1"/>
  <c r="CR120" i="1"/>
  <c r="Q120" i="1" s="1"/>
  <c r="T218" i="8"/>
  <c r="R228" i="8" s="1"/>
  <c r="H218" i="8"/>
  <c r="EM282" i="1"/>
  <c r="P122" i="1"/>
  <c r="V122" i="1"/>
  <c r="EA282" i="1" s="1"/>
  <c r="DN282" i="1" s="1"/>
  <c r="AU282" i="1"/>
  <c r="AU117" i="1" s="1"/>
  <c r="CI282" i="1"/>
  <c r="CI117" i="1" s="1"/>
  <c r="EY15" i="7"/>
  <c r="I172" i="8"/>
  <c r="K198" i="8"/>
  <c r="DT15" i="7"/>
  <c r="R145" i="8"/>
  <c r="HN144" i="8"/>
  <c r="GJ144" i="8"/>
  <c r="HL144" i="8"/>
  <c r="GL144" i="8"/>
  <c r="HF144" i="8"/>
  <c r="I144" i="8"/>
  <c r="HB144" i="8"/>
  <c r="CY83" i="1"/>
  <c r="X83" i="1" s="1"/>
  <c r="CY47" i="1"/>
  <c r="X47" i="1" s="1"/>
  <c r="CP75" i="1"/>
  <c r="O75" i="1" s="1"/>
  <c r="DM133" i="8"/>
  <c r="U133" i="8"/>
  <c r="K133" i="8" s="1"/>
  <c r="CP79" i="1"/>
  <c r="O79" i="1" s="1"/>
  <c r="DM137" i="8"/>
  <c r="U137" i="8"/>
  <c r="K137" i="8" s="1"/>
  <c r="DM135" i="8"/>
  <c r="U135" i="8"/>
  <c r="K135" i="8" s="1"/>
  <c r="HB139" i="8"/>
  <c r="GP139" i="8"/>
  <c r="HN139" i="8"/>
  <c r="GJ139" i="8"/>
  <c r="GN139" i="8"/>
  <c r="HL139" i="8"/>
  <c r="GS139" i="8"/>
  <c r="DK139" i="8"/>
  <c r="HF139" i="8"/>
  <c r="GQ139" i="8"/>
  <c r="I139" i="8"/>
  <c r="I119" i="8"/>
  <c r="HX119" i="8"/>
  <c r="HF121" i="8"/>
  <c r="I121" i="8"/>
  <c r="HB121" i="8"/>
  <c r="HN121" i="8"/>
  <c r="GZ121" i="8"/>
  <c r="HL121" i="8"/>
  <c r="DQ121" i="8"/>
  <c r="HC131" i="8"/>
  <c r="GP131" i="8"/>
  <c r="HP131" i="8"/>
  <c r="GJ131" i="8"/>
  <c r="GN131" i="8"/>
  <c r="HL131" i="8"/>
  <c r="GS131" i="8"/>
  <c r="DK131" i="8"/>
  <c r="HF131" i="8"/>
  <c r="GQ131" i="8"/>
  <c r="I131" i="8"/>
  <c r="HB123" i="8"/>
  <c r="GP123" i="8"/>
  <c r="HN123" i="8"/>
  <c r="GJ123" i="8"/>
  <c r="GN123" i="8"/>
  <c r="HL123" i="8"/>
  <c r="GS123" i="8"/>
  <c r="DK123" i="8"/>
  <c r="HF123" i="8"/>
  <c r="GQ123" i="8"/>
  <c r="I123" i="8"/>
  <c r="HF129" i="8"/>
  <c r="GQ129" i="8"/>
  <c r="I129" i="8"/>
  <c r="HB129" i="8"/>
  <c r="GP129" i="8"/>
  <c r="HN129" i="8"/>
  <c r="GJ129" i="8"/>
  <c r="GN129" i="8"/>
  <c r="HL129" i="8"/>
  <c r="GS129" i="8"/>
  <c r="DK129" i="8"/>
  <c r="HB117" i="8"/>
  <c r="DQ117" i="8"/>
  <c r="HN117" i="8"/>
  <c r="HX117" i="8"/>
  <c r="I117" i="8"/>
  <c r="HL117" i="8"/>
  <c r="GK117" i="8"/>
  <c r="HF117" i="8"/>
  <c r="GJ117" i="8"/>
  <c r="DG117" i="8"/>
  <c r="U117" i="8"/>
  <c r="DM127" i="8"/>
  <c r="U127" i="8"/>
  <c r="K127" i="8" s="1"/>
  <c r="U131" i="8"/>
  <c r="K131" i="8" s="1"/>
  <c r="DM131" i="8"/>
  <c r="HL127" i="8"/>
  <c r="GS127" i="8"/>
  <c r="DK127" i="8"/>
  <c r="HF127" i="8"/>
  <c r="GQ127" i="8"/>
  <c r="I127" i="8"/>
  <c r="HB127" i="8"/>
  <c r="GP127" i="8"/>
  <c r="HN127" i="8"/>
  <c r="GJ127" i="8"/>
  <c r="GN127" i="8"/>
  <c r="HN125" i="8"/>
  <c r="GJ125" i="8"/>
  <c r="GN125" i="8"/>
  <c r="HL125" i="8"/>
  <c r="GS125" i="8"/>
  <c r="DK125" i="8"/>
  <c r="HF125" i="8"/>
  <c r="GQ125" i="8"/>
  <c r="I125" i="8"/>
  <c r="HB125" i="8"/>
  <c r="GP125" i="8"/>
  <c r="HL120" i="8"/>
  <c r="DQ120" i="8"/>
  <c r="HF120" i="8"/>
  <c r="I120" i="8"/>
  <c r="HB120" i="8"/>
  <c r="HN120" i="8"/>
  <c r="GY120" i="8"/>
  <c r="HN133" i="8"/>
  <c r="GJ133" i="8"/>
  <c r="GN133" i="8"/>
  <c r="HL133" i="8"/>
  <c r="GS133" i="8"/>
  <c r="DK133" i="8"/>
  <c r="HF133" i="8"/>
  <c r="GQ133" i="8"/>
  <c r="I133" i="8"/>
  <c r="HB133" i="8"/>
  <c r="GP133" i="8"/>
  <c r="CP67" i="1"/>
  <c r="O67" i="1" s="1"/>
  <c r="DM125" i="8"/>
  <c r="U125" i="8"/>
  <c r="K125" i="8" s="1"/>
  <c r="DM129" i="8"/>
  <c r="U129" i="8"/>
  <c r="K129" i="8" s="1"/>
  <c r="U139" i="8"/>
  <c r="K139" i="8" s="1"/>
  <c r="DM139" i="8"/>
  <c r="HL135" i="8"/>
  <c r="GS135" i="8"/>
  <c r="DK135" i="8"/>
  <c r="HF135" i="8"/>
  <c r="GQ135" i="8"/>
  <c r="I135" i="8"/>
  <c r="HB135" i="8"/>
  <c r="GP135" i="8"/>
  <c r="HN135" i="8"/>
  <c r="GJ135" i="8"/>
  <c r="GN135" i="8"/>
  <c r="HF137" i="8"/>
  <c r="GQ137" i="8"/>
  <c r="I137" i="8"/>
  <c r="HB137" i="8"/>
  <c r="GP137" i="8"/>
  <c r="HN137" i="8"/>
  <c r="GJ137" i="8"/>
  <c r="GN137" i="8"/>
  <c r="HL137" i="8"/>
  <c r="GS137" i="8"/>
  <c r="DK137" i="8"/>
  <c r="CR63" i="1"/>
  <c r="Q63" i="1" s="1"/>
  <c r="T118" i="8"/>
  <c r="R142" i="8" s="1"/>
  <c r="H118" i="8"/>
  <c r="CY73" i="1"/>
  <c r="X73" i="1" s="1"/>
  <c r="CP72" i="1"/>
  <c r="O72" i="1" s="1"/>
  <c r="CP40" i="1"/>
  <c r="O40" i="1" s="1"/>
  <c r="CZ47" i="1"/>
  <c r="Y47" i="1" s="1"/>
  <c r="CY43" i="1"/>
  <c r="X43" i="1" s="1"/>
  <c r="K91" i="8"/>
  <c r="CP47" i="1"/>
  <c r="O47" i="1" s="1"/>
  <c r="DM97" i="8"/>
  <c r="U97" i="8"/>
  <c r="K97" i="8" s="1"/>
  <c r="DM101" i="8"/>
  <c r="U101" i="8"/>
  <c r="K101" i="8" s="1"/>
  <c r="HN105" i="8"/>
  <c r="GJ105" i="8"/>
  <c r="GN105" i="8"/>
  <c r="HL105" i="8"/>
  <c r="GS105" i="8"/>
  <c r="DK105" i="8"/>
  <c r="HF105" i="8"/>
  <c r="GQ105" i="8"/>
  <c r="I105" i="8"/>
  <c r="HB105" i="8"/>
  <c r="GP105" i="8"/>
  <c r="HB89" i="8"/>
  <c r="DQ89" i="8"/>
  <c r="HN89" i="8"/>
  <c r="HX89" i="8"/>
  <c r="I89" i="8"/>
  <c r="HL89" i="8"/>
  <c r="GK89" i="8"/>
  <c r="HF89" i="8"/>
  <c r="GJ89" i="8"/>
  <c r="DG89" i="8"/>
  <c r="U89" i="8"/>
  <c r="HL107" i="8"/>
  <c r="GS107" i="8"/>
  <c r="DK107" i="8"/>
  <c r="HF107" i="8"/>
  <c r="GQ107" i="8"/>
  <c r="I107" i="8"/>
  <c r="HB107" i="8"/>
  <c r="GP107" i="8"/>
  <c r="HN107" i="8"/>
  <c r="GJ107" i="8"/>
  <c r="GN107" i="8"/>
  <c r="CP49" i="1"/>
  <c r="O49" i="1" s="1"/>
  <c r="DM99" i="8"/>
  <c r="U99" i="8"/>
  <c r="K99" i="8" s="1"/>
  <c r="U103" i="8"/>
  <c r="K103" i="8" s="1"/>
  <c r="DM103" i="8"/>
  <c r="CP57" i="1"/>
  <c r="O57" i="1" s="1"/>
  <c r="DM107" i="8"/>
  <c r="U107" i="8"/>
  <c r="K107" i="8" s="1"/>
  <c r="CP46" i="1"/>
  <c r="O46" i="1" s="1"/>
  <c r="GM46" i="1" s="1"/>
  <c r="GN46" i="1" s="1"/>
  <c r="I91" i="8"/>
  <c r="HX91" i="8"/>
  <c r="HL92" i="8"/>
  <c r="DQ92" i="8"/>
  <c r="HF92" i="8"/>
  <c r="I92" i="8"/>
  <c r="HB92" i="8"/>
  <c r="HN92" i="8"/>
  <c r="GY92" i="8"/>
  <c r="U111" i="8"/>
  <c r="K111" i="8" s="1"/>
  <c r="DM111" i="8"/>
  <c r="HB95" i="8"/>
  <c r="GP95" i="8"/>
  <c r="HN95" i="8"/>
  <c r="GJ95" i="8"/>
  <c r="GN95" i="8"/>
  <c r="HL95" i="8"/>
  <c r="GS95" i="8"/>
  <c r="DK95" i="8"/>
  <c r="HF95" i="8"/>
  <c r="GQ95" i="8"/>
  <c r="I95" i="8"/>
  <c r="HL99" i="8"/>
  <c r="GS99" i="8"/>
  <c r="DK99" i="8"/>
  <c r="HF99" i="8"/>
  <c r="GQ99" i="8"/>
  <c r="I99" i="8"/>
  <c r="HB99" i="8"/>
  <c r="GP99" i="8"/>
  <c r="HN99" i="8"/>
  <c r="GJ99" i="8"/>
  <c r="GN99" i="8"/>
  <c r="HC103" i="8"/>
  <c r="GP103" i="8"/>
  <c r="HP103" i="8"/>
  <c r="GJ103" i="8"/>
  <c r="GN103" i="8"/>
  <c r="HL103" i="8"/>
  <c r="GS103" i="8"/>
  <c r="DK103" i="8"/>
  <c r="HF103" i="8"/>
  <c r="GQ103" i="8"/>
  <c r="I103" i="8"/>
  <c r="U95" i="8"/>
  <c r="K95" i="8" s="1"/>
  <c r="DM95" i="8"/>
  <c r="DM109" i="8"/>
  <c r="U109" i="8"/>
  <c r="K109" i="8" s="1"/>
  <c r="DM105" i="8"/>
  <c r="U105" i="8"/>
  <c r="K105" i="8" s="1"/>
  <c r="HN97" i="8"/>
  <c r="GJ97" i="8"/>
  <c r="GN97" i="8"/>
  <c r="HL97" i="8"/>
  <c r="GS97" i="8"/>
  <c r="DK97" i="8"/>
  <c r="HF97" i="8"/>
  <c r="GQ97" i="8"/>
  <c r="I97" i="8"/>
  <c r="HB97" i="8"/>
  <c r="GP97" i="8"/>
  <c r="HF101" i="8"/>
  <c r="GQ101" i="8"/>
  <c r="I101" i="8"/>
  <c r="HB101" i="8"/>
  <c r="GP101" i="8"/>
  <c r="HN101" i="8"/>
  <c r="GJ101" i="8"/>
  <c r="GN101" i="8"/>
  <c r="HL101" i="8"/>
  <c r="GS101" i="8"/>
  <c r="DK101" i="8"/>
  <c r="HF93" i="8"/>
  <c r="I93" i="8"/>
  <c r="HB93" i="8"/>
  <c r="HN93" i="8"/>
  <c r="GZ93" i="8"/>
  <c r="HL93" i="8"/>
  <c r="DQ93" i="8"/>
  <c r="HF109" i="8"/>
  <c r="GQ109" i="8"/>
  <c r="I109" i="8"/>
  <c r="HB109" i="8"/>
  <c r="GP109" i="8"/>
  <c r="HN109" i="8"/>
  <c r="GJ109" i="8"/>
  <c r="GN109" i="8"/>
  <c r="HL109" i="8"/>
  <c r="GS109" i="8"/>
  <c r="DK109" i="8"/>
  <c r="HB111" i="8"/>
  <c r="GP111" i="8"/>
  <c r="HN111" i="8"/>
  <c r="GJ111" i="8"/>
  <c r="GN111" i="8"/>
  <c r="HL111" i="8"/>
  <c r="GS111" i="8"/>
  <c r="DK111" i="8"/>
  <c r="HF111" i="8"/>
  <c r="GQ111" i="8"/>
  <c r="I111" i="8"/>
  <c r="CR43" i="1"/>
  <c r="Q43" i="1" s="1"/>
  <c r="T90" i="8"/>
  <c r="R114" i="8" s="1"/>
  <c r="H90" i="8"/>
  <c r="AE85" i="1"/>
  <c r="R85" i="1" s="1"/>
  <c r="CY42" i="1"/>
  <c r="X42" i="1" s="1"/>
  <c r="CP45" i="1"/>
  <c r="O45" i="1" s="1"/>
  <c r="CP53" i="1"/>
  <c r="O53" i="1" s="1"/>
  <c r="CY45" i="1"/>
  <c r="X45" i="1" s="1"/>
  <c r="R86" i="8"/>
  <c r="I79" i="8"/>
  <c r="HX79" i="8"/>
  <c r="HB83" i="8"/>
  <c r="GP83" i="8"/>
  <c r="HN83" i="8"/>
  <c r="GJ83" i="8"/>
  <c r="GN83" i="8"/>
  <c r="HL83" i="8"/>
  <c r="GS83" i="8"/>
  <c r="DK83" i="8"/>
  <c r="H85" i="8" s="1"/>
  <c r="HF83" i="8"/>
  <c r="GQ83" i="8"/>
  <c r="I83" i="8"/>
  <c r="HF77" i="8"/>
  <c r="GJ77" i="8"/>
  <c r="HB77" i="8"/>
  <c r="DQ77" i="8"/>
  <c r="HN77" i="8"/>
  <c r="HX77" i="8"/>
  <c r="I77" i="8"/>
  <c r="HL77" i="8"/>
  <c r="GK77" i="8"/>
  <c r="HF81" i="8"/>
  <c r="I81" i="8"/>
  <c r="HB81" i="8"/>
  <c r="HN81" i="8"/>
  <c r="GZ81" i="8"/>
  <c r="HL81" i="8"/>
  <c r="DQ81" i="8"/>
  <c r="CP41" i="1"/>
  <c r="O41" i="1" s="1"/>
  <c r="U83" i="8"/>
  <c r="K83" i="8" s="1"/>
  <c r="DM83" i="8"/>
  <c r="J85" i="8" s="1"/>
  <c r="HB78" i="8"/>
  <c r="I78" i="8"/>
  <c r="HN78" i="8"/>
  <c r="GL78" i="8"/>
  <c r="HL78" i="8"/>
  <c r="GJ78" i="8"/>
  <c r="HF78" i="8"/>
  <c r="DQ78" i="8"/>
  <c r="HL80" i="8"/>
  <c r="DQ80" i="8"/>
  <c r="HF80" i="8"/>
  <c r="I80" i="8"/>
  <c r="HB80" i="8"/>
  <c r="HN80" i="8"/>
  <c r="GY80" i="8"/>
  <c r="U77" i="8"/>
  <c r="DG77" i="8"/>
  <c r="CZ40" i="1"/>
  <c r="Y40" i="1" s="1"/>
  <c r="CY40" i="1"/>
  <c r="X40" i="1" s="1"/>
  <c r="DX85" i="1"/>
  <c r="DK85" i="1" s="1"/>
  <c r="R74" i="8"/>
  <c r="I67" i="8"/>
  <c r="HX67" i="8"/>
  <c r="HF65" i="8"/>
  <c r="GJ65" i="8"/>
  <c r="HN65" i="8"/>
  <c r="HB65" i="8"/>
  <c r="DQ65" i="8"/>
  <c r="HX65" i="8"/>
  <c r="I65" i="8"/>
  <c r="HL65" i="8"/>
  <c r="GK65" i="8"/>
  <c r="HF69" i="8"/>
  <c r="I69" i="8"/>
  <c r="HB69" i="8"/>
  <c r="HN69" i="8"/>
  <c r="GZ69" i="8"/>
  <c r="HL69" i="8"/>
  <c r="DQ69" i="8"/>
  <c r="HB66" i="8"/>
  <c r="I66" i="8"/>
  <c r="GJ66" i="8"/>
  <c r="HN66" i="8"/>
  <c r="GL66" i="8"/>
  <c r="HL66" i="8"/>
  <c r="HF66" i="8"/>
  <c r="DQ66" i="8"/>
  <c r="GM34" i="1"/>
  <c r="GN34" i="1" s="1"/>
  <c r="CP37" i="1"/>
  <c r="O37" i="1" s="1"/>
  <c r="U71" i="8"/>
  <c r="K71" i="8" s="1"/>
  <c r="DM71" i="8"/>
  <c r="J73" i="8" s="1"/>
  <c r="HB71" i="8"/>
  <c r="GP71" i="8"/>
  <c r="HN71" i="8"/>
  <c r="GJ71" i="8"/>
  <c r="GN71" i="8"/>
  <c r="HL71" i="8"/>
  <c r="GS71" i="8"/>
  <c r="DK71" i="8"/>
  <c r="H73" i="8" s="1"/>
  <c r="HF71" i="8"/>
  <c r="GQ71" i="8"/>
  <c r="I71" i="8"/>
  <c r="HL68" i="8"/>
  <c r="DQ68" i="8"/>
  <c r="HF68" i="8"/>
  <c r="I68" i="8"/>
  <c r="HB68" i="8"/>
  <c r="HN68" i="8"/>
  <c r="GY68" i="8"/>
  <c r="U65" i="8"/>
  <c r="DG65" i="8"/>
  <c r="FV26" i="1"/>
  <c r="EB85" i="1"/>
  <c r="DO85" i="1" s="1"/>
  <c r="BZ26" i="1"/>
  <c r="HF51" i="8"/>
  <c r="GJ51" i="8"/>
  <c r="HB51" i="8"/>
  <c r="DQ51" i="8"/>
  <c r="HN51" i="8"/>
  <c r="HX51" i="8"/>
  <c r="I51" i="8"/>
  <c r="HL51" i="8"/>
  <c r="GK51" i="8"/>
  <c r="HF57" i="8"/>
  <c r="GQ57" i="8"/>
  <c r="I57" i="8"/>
  <c r="HB57" i="8"/>
  <c r="GP57" i="8"/>
  <c r="HN57" i="8"/>
  <c r="GJ57" i="8"/>
  <c r="GN57" i="8"/>
  <c r="HL57" i="8"/>
  <c r="GS57" i="8"/>
  <c r="DK57" i="8"/>
  <c r="CP31" i="1"/>
  <c r="O31" i="1" s="1"/>
  <c r="DM57" i="8"/>
  <c r="U57" i="8"/>
  <c r="K57" i="8" s="1"/>
  <c r="HN54" i="8"/>
  <c r="GY54" i="8"/>
  <c r="HL54" i="8"/>
  <c r="DQ54" i="8"/>
  <c r="HF54" i="8"/>
  <c r="I54" i="8"/>
  <c r="HB54" i="8"/>
  <c r="CP33" i="1"/>
  <c r="O33" i="1" s="1"/>
  <c r="U59" i="8"/>
  <c r="K59" i="8" s="1"/>
  <c r="DM59" i="8"/>
  <c r="HX53" i="8"/>
  <c r="I53" i="8"/>
  <c r="U51" i="8"/>
  <c r="DG51" i="8"/>
  <c r="HL55" i="8"/>
  <c r="DQ55" i="8"/>
  <c r="HF55" i="8"/>
  <c r="I55" i="8"/>
  <c r="HB55" i="8"/>
  <c r="HN55" i="8"/>
  <c r="GZ55" i="8"/>
  <c r="HB59" i="8"/>
  <c r="GP59" i="8"/>
  <c r="HN59" i="8"/>
  <c r="GJ59" i="8"/>
  <c r="GN59" i="8"/>
  <c r="HL59" i="8"/>
  <c r="GS59" i="8"/>
  <c r="DK59" i="8"/>
  <c r="HF59" i="8"/>
  <c r="GQ59" i="8"/>
  <c r="I59" i="8"/>
  <c r="CR29" i="1"/>
  <c r="Q29" i="1" s="1"/>
  <c r="T52" i="8"/>
  <c r="R62" i="8" s="1"/>
  <c r="H52" i="8"/>
  <c r="AD85" i="1"/>
  <c r="AD26" i="1" s="1"/>
  <c r="CY30" i="1"/>
  <c r="X30" i="1" s="1"/>
  <c r="AU85" i="1"/>
  <c r="AU26" i="1" s="1"/>
  <c r="GA85" i="1"/>
  <c r="GA26" i="1" s="1"/>
  <c r="CY31" i="1"/>
  <c r="X31" i="1" s="1"/>
  <c r="CY33" i="1"/>
  <c r="X33" i="1" s="1"/>
  <c r="CZ32" i="1"/>
  <c r="Y32" i="1" s="1"/>
  <c r="CP30" i="1"/>
  <c r="O30" i="1" s="1"/>
  <c r="CZ62" i="1"/>
  <c r="Y62" i="1" s="1"/>
  <c r="GM62" i="1" s="1"/>
  <c r="GN62" i="1" s="1"/>
  <c r="GM360" i="1"/>
  <c r="GN360" i="1" s="1"/>
  <c r="CZ183" i="1"/>
  <c r="Y183" i="1" s="1"/>
  <c r="GM183" i="1" s="1"/>
  <c r="GN183" i="1" s="1"/>
  <c r="AB184" i="1"/>
  <c r="CY184" i="1"/>
  <c r="X184" i="1" s="1"/>
  <c r="DF95" i="3"/>
  <c r="DG95" i="3"/>
  <c r="DJ95" i="3" s="1"/>
  <c r="DF97" i="3"/>
  <c r="DG97" i="3"/>
  <c r="DG259" i="3"/>
  <c r="DF259" i="3"/>
  <c r="DG21" i="3"/>
  <c r="DF21" i="3"/>
  <c r="DF94" i="3"/>
  <c r="DG94" i="3"/>
  <c r="DG121" i="3"/>
  <c r="DF121" i="3"/>
  <c r="DG297" i="3"/>
  <c r="DF297" i="3"/>
  <c r="DG323" i="3"/>
  <c r="DJ323" i="3" s="1"/>
  <c r="DF323" i="3"/>
  <c r="DG337" i="3"/>
  <c r="DF337" i="3"/>
  <c r="DF335" i="3"/>
  <c r="DG335" i="3"/>
  <c r="DF295" i="3"/>
  <c r="DG295" i="3"/>
  <c r="DG330" i="3"/>
  <c r="DJ330" i="3" s="1"/>
  <c r="DF330" i="3"/>
  <c r="DF351" i="3"/>
  <c r="DG351" i="3"/>
  <c r="DF364" i="3"/>
  <c r="DG364" i="3"/>
  <c r="DG362" i="3"/>
  <c r="DF362" i="3"/>
  <c r="DG381" i="3"/>
  <c r="DF381" i="3"/>
  <c r="DF410" i="3"/>
  <c r="DG410" i="3"/>
  <c r="DG439" i="3"/>
  <c r="DF439" i="3"/>
  <c r="DF442" i="3"/>
  <c r="DG442" i="3"/>
  <c r="DF502" i="3"/>
  <c r="DG502" i="3"/>
  <c r="DF513" i="3"/>
  <c r="DG513" i="3"/>
  <c r="DF528" i="3"/>
  <c r="DG528" i="3"/>
  <c r="DG446" i="3"/>
  <c r="DF446" i="3"/>
  <c r="DF531" i="3"/>
  <c r="DG531" i="3"/>
  <c r="DU85" i="1"/>
  <c r="DW85" i="1"/>
  <c r="CZ29" i="1"/>
  <c r="Y29" i="1" s="1"/>
  <c r="CZ44" i="1"/>
  <c r="Y44" i="1" s="1"/>
  <c r="CY44" i="1"/>
  <c r="X44" i="1" s="1"/>
  <c r="CY29" i="1"/>
  <c r="X29" i="1" s="1"/>
  <c r="CZ36" i="1"/>
  <c r="Y36" i="1" s="1"/>
  <c r="CY36" i="1"/>
  <c r="X36" i="1" s="1"/>
  <c r="AF85" i="1"/>
  <c r="CZ28" i="1"/>
  <c r="Y28" i="1" s="1"/>
  <c r="CP44" i="1"/>
  <c r="O44" i="1" s="1"/>
  <c r="AB63" i="1"/>
  <c r="DF107" i="3"/>
  <c r="DJ107" i="3" s="1"/>
  <c r="DG107" i="3"/>
  <c r="DF103" i="3"/>
  <c r="DG103" i="3"/>
  <c r="DJ103" i="3" s="1"/>
  <c r="CZ41" i="1"/>
  <c r="Y41" i="1" s="1"/>
  <c r="CZ51" i="1"/>
  <c r="Y51" i="1" s="1"/>
  <c r="CZ82" i="1"/>
  <c r="Y82" i="1" s="1"/>
  <c r="GM82" i="1" s="1"/>
  <c r="GN82" i="1" s="1"/>
  <c r="CP119" i="1"/>
  <c r="O119" i="1" s="1"/>
  <c r="AC282" i="1"/>
  <c r="GM133" i="1"/>
  <c r="GN133" i="1" s="1"/>
  <c r="CP136" i="1"/>
  <c r="O136" i="1" s="1"/>
  <c r="CP142" i="1"/>
  <c r="O142" i="1" s="1"/>
  <c r="CP166" i="1"/>
  <c r="O166" i="1" s="1"/>
  <c r="U122" i="1"/>
  <c r="DZ282" i="1" s="1"/>
  <c r="AB126" i="1"/>
  <c r="CZ132" i="1"/>
  <c r="Y132" i="1" s="1"/>
  <c r="W122" i="1"/>
  <c r="EB282" i="1" s="1"/>
  <c r="AB136" i="1"/>
  <c r="AB186" i="1"/>
  <c r="CZ193" i="1"/>
  <c r="Y193" i="1" s="1"/>
  <c r="CY193" i="1"/>
  <c r="X193" i="1" s="1"/>
  <c r="CY125" i="1"/>
  <c r="X125" i="1" s="1"/>
  <c r="CZ146" i="1"/>
  <c r="Y146" i="1" s="1"/>
  <c r="CZ172" i="1"/>
  <c r="Y172" i="1" s="1"/>
  <c r="T122" i="1"/>
  <c r="DY282" i="1" s="1"/>
  <c r="CP201" i="1"/>
  <c r="O201" i="1" s="1"/>
  <c r="CY208" i="1"/>
  <c r="X208" i="1" s="1"/>
  <c r="CZ208" i="1"/>
  <c r="Y208" i="1" s="1"/>
  <c r="CP211" i="1"/>
  <c r="O211" i="1" s="1"/>
  <c r="CY228" i="1"/>
  <c r="X228" i="1" s="1"/>
  <c r="CZ228" i="1"/>
  <c r="Y228" i="1" s="1"/>
  <c r="CY236" i="1"/>
  <c r="X236" i="1" s="1"/>
  <c r="CZ236" i="1"/>
  <c r="Y236" i="1" s="1"/>
  <c r="CY239" i="1"/>
  <c r="X239" i="1" s="1"/>
  <c r="CZ239" i="1"/>
  <c r="Y239" i="1" s="1"/>
  <c r="CY242" i="1"/>
  <c r="X242" i="1" s="1"/>
  <c r="CZ242" i="1"/>
  <c r="Y242" i="1" s="1"/>
  <c r="CY250" i="1"/>
  <c r="X250" i="1" s="1"/>
  <c r="CZ250" i="1"/>
  <c r="Y250" i="1" s="1"/>
  <c r="CY256" i="1"/>
  <c r="X256" i="1" s="1"/>
  <c r="CZ256" i="1"/>
  <c r="Y256" i="1" s="1"/>
  <c r="CY259" i="1"/>
  <c r="X259" i="1" s="1"/>
  <c r="CZ259" i="1"/>
  <c r="Y259" i="1" s="1"/>
  <c r="AB201" i="1"/>
  <c r="AB241" i="1"/>
  <c r="AB255" i="1"/>
  <c r="CP263" i="1"/>
  <c r="O263" i="1" s="1"/>
  <c r="EU117" i="1"/>
  <c r="P298" i="1"/>
  <c r="CZ213" i="1"/>
  <c r="Y213" i="1" s="1"/>
  <c r="CY319" i="1"/>
  <c r="X319" i="1" s="1"/>
  <c r="CZ319" i="1"/>
  <c r="Y319" i="1" s="1"/>
  <c r="DX407" i="1"/>
  <c r="CY331" i="1"/>
  <c r="X331" i="1" s="1"/>
  <c r="CZ331" i="1"/>
  <c r="Y331" i="1" s="1"/>
  <c r="CY345" i="1"/>
  <c r="X345" i="1" s="1"/>
  <c r="CZ345" i="1"/>
  <c r="Y345" i="1" s="1"/>
  <c r="CY367" i="1"/>
  <c r="X367" i="1" s="1"/>
  <c r="CZ367" i="1"/>
  <c r="Y367" i="1" s="1"/>
  <c r="CP239" i="1"/>
  <c r="O239" i="1" s="1"/>
  <c r="CP259" i="1"/>
  <c r="O259" i="1" s="1"/>
  <c r="BC117" i="1"/>
  <c r="F298" i="1"/>
  <c r="CZ221" i="1"/>
  <c r="Y221" i="1" s="1"/>
  <c r="AB231" i="1"/>
  <c r="AB245" i="1"/>
  <c r="CY276" i="1"/>
  <c r="X276" i="1" s="1"/>
  <c r="CZ276" i="1"/>
  <c r="Y276" i="1" s="1"/>
  <c r="ET117" i="1"/>
  <c r="P295" i="1"/>
  <c r="CP320" i="1"/>
  <c r="O320" i="1" s="1"/>
  <c r="AC407" i="1"/>
  <c r="CP326" i="1"/>
  <c r="O326" i="1" s="1"/>
  <c r="CP332" i="1"/>
  <c r="O332" i="1" s="1"/>
  <c r="CP336" i="1"/>
  <c r="O336" i="1" s="1"/>
  <c r="GM336" i="1" s="1"/>
  <c r="GN336" i="1" s="1"/>
  <c r="CP342" i="1"/>
  <c r="O342" i="1" s="1"/>
  <c r="CP370" i="1"/>
  <c r="O370" i="1" s="1"/>
  <c r="CP276" i="1"/>
  <c r="O276" i="1" s="1"/>
  <c r="AB320" i="1"/>
  <c r="AB332" i="1"/>
  <c r="CZ377" i="1"/>
  <c r="Y377" i="1" s="1"/>
  <c r="AB381" i="1"/>
  <c r="CZ261" i="1"/>
  <c r="Y261" i="1" s="1"/>
  <c r="AB267" i="1"/>
  <c r="CP319" i="1"/>
  <c r="O319" i="1" s="1"/>
  <c r="AB370" i="1"/>
  <c r="EU314" i="1"/>
  <c r="P423" i="1"/>
  <c r="CY277" i="1"/>
  <c r="X277" i="1" s="1"/>
  <c r="AB379" i="1"/>
  <c r="AB387" i="1"/>
  <c r="CY356" i="1"/>
  <c r="X356" i="1" s="1"/>
  <c r="GM404" i="1"/>
  <c r="GN404" i="1" s="1"/>
  <c r="DG19" i="3"/>
  <c r="DF19" i="3"/>
  <c r="DF143" i="3"/>
  <c r="DG143" i="3"/>
  <c r="DG93" i="3"/>
  <c r="DF93" i="3"/>
  <c r="DF155" i="3"/>
  <c r="DG155" i="3"/>
  <c r="DF139" i="3"/>
  <c r="DG139" i="3"/>
  <c r="DF146" i="3"/>
  <c r="DG146" i="3"/>
  <c r="DF153" i="3"/>
  <c r="DG153" i="3"/>
  <c r="DG207" i="3"/>
  <c r="DJ207" i="3" s="1"/>
  <c r="DF207" i="3"/>
  <c r="DG257" i="3"/>
  <c r="DF257" i="3"/>
  <c r="DG261" i="3"/>
  <c r="DF261" i="3"/>
  <c r="DG265" i="3"/>
  <c r="DF265" i="3"/>
  <c r="DF218" i="3"/>
  <c r="DG218" i="3"/>
  <c r="DG278" i="3"/>
  <c r="DF278" i="3"/>
  <c r="DF321" i="3"/>
  <c r="DG321" i="3"/>
  <c r="DG367" i="3"/>
  <c r="DF367" i="3"/>
  <c r="DF420" i="3"/>
  <c r="DG420" i="3"/>
  <c r="DG452" i="3"/>
  <c r="DF452" i="3"/>
  <c r="DF487" i="3"/>
  <c r="DG487" i="3"/>
  <c r="GM38" i="1"/>
  <c r="GN38" i="1" s="1"/>
  <c r="BC26" i="1"/>
  <c r="F101" i="1"/>
  <c r="BC437" i="1"/>
  <c r="CY28" i="1"/>
  <c r="X28" i="1" s="1"/>
  <c r="CZ65" i="1"/>
  <c r="Y65" i="1" s="1"/>
  <c r="DG99" i="3"/>
  <c r="DF99" i="3"/>
  <c r="DJ99" i="3" s="1"/>
  <c r="DF98" i="3"/>
  <c r="DG98" i="3"/>
  <c r="CZ43" i="1"/>
  <c r="Y43" i="1" s="1"/>
  <c r="AB71" i="1"/>
  <c r="CZ81" i="1"/>
  <c r="Y81" i="1" s="1"/>
  <c r="CP124" i="1"/>
  <c r="O124" i="1" s="1"/>
  <c r="CY145" i="1"/>
  <c r="X145" i="1" s="1"/>
  <c r="CZ145" i="1"/>
  <c r="Y145" i="1" s="1"/>
  <c r="CY171" i="1"/>
  <c r="X171" i="1" s="1"/>
  <c r="CZ171" i="1"/>
  <c r="Y171" i="1" s="1"/>
  <c r="CZ128" i="1"/>
  <c r="Y128" i="1" s="1"/>
  <c r="AB152" i="1"/>
  <c r="CZ162" i="1"/>
  <c r="Y162" i="1" s="1"/>
  <c r="AB174" i="1"/>
  <c r="AB194" i="1"/>
  <c r="AB119" i="1"/>
  <c r="S122" i="1"/>
  <c r="CY202" i="1"/>
  <c r="X202" i="1" s="1"/>
  <c r="CZ202" i="1"/>
  <c r="Y202" i="1" s="1"/>
  <c r="CY212" i="1"/>
  <c r="X212" i="1" s="1"/>
  <c r="CZ212" i="1"/>
  <c r="Y212" i="1" s="1"/>
  <c r="AO117" i="1"/>
  <c r="F286" i="1"/>
  <c r="EV117" i="1"/>
  <c r="P307" i="1"/>
  <c r="CY323" i="1"/>
  <c r="X323" i="1" s="1"/>
  <c r="CZ323" i="1"/>
  <c r="Y323" i="1" s="1"/>
  <c r="CY335" i="1"/>
  <c r="X335" i="1" s="1"/>
  <c r="CZ335" i="1"/>
  <c r="Y335" i="1" s="1"/>
  <c r="CY349" i="1"/>
  <c r="X349" i="1" s="1"/>
  <c r="CZ349" i="1"/>
  <c r="Y349" i="1" s="1"/>
  <c r="EG117" i="1"/>
  <c r="P286" i="1"/>
  <c r="CP375" i="1"/>
  <c r="O375" i="1" s="1"/>
  <c r="GM375" i="1" s="1"/>
  <c r="GN375" i="1" s="1"/>
  <c r="DU407" i="1"/>
  <c r="CZ205" i="1"/>
  <c r="Y205" i="1" s="1"/>
  <c r="CZ233" i="1"/>
  <c r="Y233" i="1" s="1"/>
  <c r="CZ247" i="1"/>
  <c r="Y247" i="1" s="1"/>
  <c r="CZ253" i="1"/>
  <c r="Y253" i="1" s="1"/>
  <c r="BD117" i="1"/>
  <c r="F307" i="1"/>
  <c r="CY371" i="1"/>
  <c r="X371" i="1" s="1"/>
  <c r="CZ371" i="1"/>
  <c r="Y371" i="1" s="1"/>
  <c r="CP349" i="1"/>
  <c r="O349" i="1" s="1"/>
  <c r="CY377" i="1"/>
  <c r="X377" i="1" s="1"/>
  <c r="CZ269" i="1"/>
  <c r="Y269" i="1" s="1"/>
  <c r="AB336" i="1"/>
  <c r="CZ372" i="1"/>
  <c r="Y372" i="1" s="1"/>
  <c r="GM372" i="1" s="1"/>
  <c r="GN372" i="1" s="1"/>
  <c r="AO314" i="1"/>
  <c r="F411" i="1"/>
  <c r="GM352" i="1"/>
  <c r="GN352" i="1" s="1"/>
  <c r="CZ389" i="1"/>
  <c r="Y389" i="1" s="1"/>
  <c r="BB314" i="1"/>
  <c r="F420" i="1"/>
  <c r="CZ328" i="1"/>
  <c r="Y328" i="1" s="1"/>
  <c r="CZ334" i="1"/>
  <c r="Y334" i="1" s="1"/>
  <c r="CP367" i="1"/>
  <c r="O367" i="1" s="1"/>
  <c r="DF148" i="3"/>
  <c r="DG148" i="3"/>
  <c r="DF108" i="3"/>
  <c r="DG108" i="3"/>
  <c r="DG247" i="3"/>
  <c r="DF247" i="3"/>
  <c r="DG263" i="3"/>
  <c r="DF263" i="3"/>
  <c r="DG23" i="3"/>
  <c r="DF23" i="3"/>
  <c r="DF100" i="3"/>
  <c r="DG100" i="3"/>
  <c r="DF102" i="3"/>
  <c r="DG102" i="3"/>
  <c r="DF141" i="3"/>
  <c r="DG141" i="3"/>
  <c r="DF150" i="3"/>
  <c r="DG150" i="3"/>
  <c r="DG56" i="3"/>
  <c r="DJ56" i="3" s="1"/>
  <c r="DF56" i="3"/>
  <c r="DG14" i="3"/>
  <c r="DF14" i="3"/>
  <c r="DG83" i="3"/>
  <c r="DF83" i="3"/>
  <c r="DF104" i="3"/>
  <c r="DG104" i="3"/>
  <c r="DF130" i="3"/>
  <c r="DG130" i="3"/>
  <c r="DF182" i="3"/>
  <c r="DG182" i="3"/>
  <c r="DG192" i="3"/>
  <c r="DF192" i="3"/>
  <c r="DF106" i="3"/>
  <c r="DG106" i="3"/>
  <c r="DG220" i="3"/>
  <c r="DJ220" i="3" s="1"/>
  <c r="DF220" i="3"/>
  <c r="DG299" i="3"/>
  <c r="DF299" i="3"/>
  <c r="DG325" i="3"/>
  <c r="DF325" i="3"/>
  <c r="DG332" i="3"/>
  <c r="DF332" i="3"/>
  <c r="DF353" i="3"/>
  <c r="DG353" i="3"/>
  <c r="DG379" i="3"/>
  <c r="DF379" i="3"/>
  <c r="DF412" i="3"/>
  <c r="DG412" i="3"/>
  <c r="DG471" i="3"/>
  <c r="DF471" i="3"/>
  <c r="DG479" i="3"/>
  <c r="DF479" i="3"/>
  <c r="DF435" i="3"/>
  <c r="DG435" i="3"/>
  <c r="DG437" i="3"/>
  <c r="DJ437" i="3" s="1"/>
  <c r="DF437" i="3"/>
  <c r="DG477" i="3"/>
  <c r="DF477" i="3"/>
  <c r="DG485" i="3"/>
  <c r="DF485" i="3"/>
  <c r="AC85" i="1"/>
  <c r="CP28" i="1"/>
  <c r="O28" i="1" s="1"/>
  <c r="EG26" i="1"/>
  <c r="P89" i="1"/>
  <c r="EG437" i="1"/>
  <c r="CP42" i="1"/>
  <c r="O42" i="1" s="1"/>
  <c r="AB45" i="1"/>
  <c r="BD26" i="1"/>
  <c r="F110" i="1"/>
  <c r="BD437" i="1"/>
  <c r="AB37" i="1"/>
  <c r="CP61" i="1"/>
  <c r="O61" i="1" s="1"/>
  <c r="CP71" i="1"/>
  <c r="O71" i="1" s="1"/>
  <c r="GM71" i="1" s="1"/>
  <c r="GN71" i="1" s="1"/>
  <c r="AO26" i="1"/>
  <c r="F89" i="1"/>
  <c r="AO437" i="1"/>
  <c r="CZ37" i="1"/>
  <c r="Y37" i="1" s="1"/>
  <c r="DG101" i="3"/>
  <c r="DF101" i="3"/>
  <c r="AB53" i="1"/>
  <c r="ET26" i="1"/>
  <c r="P98" i="1"/>
  <c r="ET437" i="1"/>
  <c r="DF96" i="3"/>
  <c r="DG96" i="3"/>
  <c r="CP36" i="1"/>
  <c r="O36" i="1" s="1"/>
  <c r="R122" i="1"/>
  <c r="DW282" i="1" s="1"/>
  <c r="CP152" i="1"/>
  <c r="O152" i="1" s="1"/>
  <c r="CP174" i="1"/>
  <c r="O174" i="1" s="1"/>
  <c r="GM174" i="1" s="1"/>
  <c r="GO174" i="1" s="1"/>
  <c r="AB120" i="1"/>
  <c r="GM137" i="1"/>
  <c r="GN137" i="1" s="1"/>
  <c r="CP171" i="1"/>
  <c r="O171" i="1" s="1"/>
  <c r="Q122" i="1"/>
  <c r="CZ185" i="1"/>
  <c r="Y185" i="1" s="1"/>
  <c r="CY185" i="1"/>
  <c r="X185" i="1" s="1"/>
  <c r="AB142" i="1"/>
  <c r="AB163" i="1"/>
  <c r="CP194" i="1"/>
  <c r="O194" i="1" s="1"/>
  <c r="AB182" i="1"/>
  <c r="CY216" i="1"/>
  <c r="X216" i="1" s="1"/>
  <c r="CZ216" i="1"/>
  <c r="Y216" i="1" s="1"/>
  <c r="CY220" i="1"/>
  <c r="X220" i="1" s="1"/>
  <c r="CZ220" i="1"/>
  <c r="Y220" i="1" s="1"/>
  <c r="CY223" i="1"/>
  <c r="X223" i="1" s="1"/>
  <c r="CZ223" i="1"/>
  <c r="Y223" i="1" s="1"/>
  <c r="CY226" i="1"/>
  <c r="X226" i="1" s="1"/>
  <c r="CZ226" i="1"/>
  <c r="Y226" i="1" s="1"/>
  <c r="CY232" i="1"/>
  <c r="X232" i="1" s="1"/>
  <c r="CZ232" i="1"/>
  <c r="Y232" i="1" s="1"/>
  <c r="CY246" i="1"/>
  <c r="X246" i="1" s="1"/>
  <c r="CZ246" i="1"/>
  <c r="Y246" i="1" s="1"/>
  <c r="CY252" i="1"/>
  <c r="X252" i="1" s="1"/>
  <c r="CZ252" i="1"/>
  <c r="Y252" i="1" s="1"/>
  <c r="AB249" i="1"/>
  <c r="CP223" i="1"/>
  <c r="O223" i="1" s="1"/>
  <c r="CP261" i="1"/>
  <c r="O261" i="1" s="1"/>
  <c r="CY325" i="1"/>
  <c r="X325" i="1" s="1"/>
  <c r="CZ325" i="1"/>
  <c r="Y325" i="1" s="1"/>
  <c r="CY339" i="1"/>
  <c r="X339" i="1" s="1"/>
  <c r="CZ339" i="1"/>
  <c r="Y339" i="1" s="1"/>
  <c r="CY357" i="1"/>
  <c r="X357" i="1" s="1"/>
  <c r="CZ357" i="1"/>
  <c r="Y357" i="1" s="1"/>
  <c r="CP202" i="1"/>
  <c r="O202" i="1" s="1"/>
  <c r="CP242" i="1"/>
  <c r="O242" i="1" s="1"/>
  <c r="CP250" i="1"/>
  <c r="O250" i="1" s="1"/>
  <c r="CZ382" i="1"/>
  <c r="Y382" i="1" s="1"/>
  <c r="CY382" i="1"/>
  <c r="X382" i="1" s="1"/>
  <c r="CP384" i="1"/>
  <c r="O384" i="1" s="1"/>
  <c r="GM384" i="1" s="1"/>
  <c r="GO384" i="1" s="1"/>
  <c r="CP387" i="1"/>
  <c r="O387" i="1" s="1"/>
  <c r="CZ186" i="1"/>
  <c r="Y186" i="1" s="1"/>
  <c r="AB225" i="1"/>
  <c r="CP267" i="1"/>
  <c r="O267" i="1" s="1"/>
  <c r="AE407" i="1"/>
  <c r="CP358" i="1"/>
  <c r="O358" i="1" s="1"/>
  <c r="GM273" i="1"/>
  <c r="GN273" i="1" s="1"/>
  <c r="AB326" i="1"/>
  <c r="CZ366" i="1"/>
  <c r="Y366" i="1" s="1"/>
  <c r="CZ380" i="1"/>
  <c r="Y380" i="1" s="1"/>
  <c r="GM380" i="1" s="1"/>
  <c r="GN380" i="1" s="1"/>
  <c r="ET314" i="1"/>
  <c r="P420" i="1"/>
  <c r="CP331" i="1"/>
  <c r="O331" i="1" s="1"/>
  <c r="AB358" i="1"/>
  <c r="AB275" i="1"/>
  <c r="CP323" i="1"/>
  <c r="O323" i="1" s="1"/>
  <c r="GM330" i="1"/>
  <c r="GN330" i="1" s="1"/>
  <c r="CP357" i="1"/>
  <c r="O357" i="1" s="1"/>
  <c r="CZ362" i="1"/>
  <c r="Y362" i="1" s="1"/>
  <c r="GM374" i="1"/>
  <c r="GN374" i="1" s="1"/>
  <c r="GM265" i="1"/>
  <c r="GN265" i="1" s="1"/>
  <c r="CY322" i="1"/>
  <c r="X322" i="1" s="1"/>
  <c r="GM353" i="1"/>
  <c r="GN353" i="1" s="1"/>
  <c r="GM368" i="1"/>
  <c r="GN368" i="1" s="1"/>
  <c r="BC314" i="1"/>
  <c r="F423" i="1"/>
  <c r="DG120" i="3"/>
  <c r="DJ120" i="3" s="1"/>
  <c r="DF120" i="3"/>
  <c r="DF288" i="3"/>
  <c r="DG288" i="3"/>
  <c r="DG308" i="3"/>
  <c r="DF308" i="3"/>
  <c r="DG313" i="3"/>
  <c r="DF313" i="3"/>
  <c r="DG444" i="3"/>
  <c r="DJ444" i="3" s="1"/>
  <c r="DF444" i="3"/>
  <c r="DF536" i="3"/>
  <c r="DG536" i="3"/>
  <c r="CY52" i="1"/>
  <c r="X52" i="1" s="1"/>
  <c r="CZ52" i="1"/>
  <c r="Y52" i="1" s="1"/>
  <c r="AB29" i="1"/>
  <c r="AB43" i="1"/>
  <c r="CY64" i="1"/>
  <c r="X64" i="1" s="1"/>
  <c r="CZ64" i="1"/>
  <c r="Y64" i="1" s="1"/>
  <c r="CY72" i="1"/>
  <c r="X72" i="1" s="1"/>
  <c r="CZ72" i="1"/>
  <c r="Y72" i="1" s="1"/>
  <c r="EU26" i="1"/>
  <c r="P101" i="1"/>
  <c r="EU437" i="1"/>
  <c r="DF105" i="3"/>
  <c r="DG105" i="3"/>
  <c r="CY129" i="1"/>
  <c r="X129" i="1" s="1"/>
  <c r="CZ129" i="1"/>
  <c r="Y129" i="1" s="1"/>
  <c r="EM26" i="1"/>
  <c r="P104" i="1"/>
  <c r="EV26" i="1"/>
  <c r="P110" i="1"/>
  <c r="EV437" i="1"/>
  <c r="CY121" i="1"/>
  <c r="X121" i="1" s="1"/>
  <c r="CZ121" i="1"/>
  <c r="Y121" i="1" s="1"/>
  <c r="AF282" i="1"/>
  <c r="CY139" i="1"/>
  <c r="X139" i="1" s="1"/>
  <c r="CZ139" i="1"/>
  <c r="Y139" i="1" s="1"/>
  <c r="CY153" i="1"/>
  <c r="X153" i="1" s="1"/>
  <c r="CZ153" i="1"/>
  <c r="Y153" i="1" s="1"/>
  <c r="CZ124" i="1"/>
  <c r="Y124" i="1" s="1"/>
  <c r="CY124" i="1"/>
  <c r="X124" i="1" s="1"/>
  <c r="AB166" i="1"/>
  <c r="CZ125" i="1"/>
  <c r="Y125" i="1" s="1"/>
  <c r="AB144" i="1"/>
  <c r="CP139" i="1"/>
  <c r="O139" i="1" s="1"/>
  <c r="CY204" i="1"/>
  <c r="X204" i="1" s="1"/>
  <c r="CZ204" i="1"/>
  <c r="Y204" i="1" s="1"/>
  <c r="AB211" i="1"/>
  <c r="BB117" i="1"/>
  <c r="F295" i="1"/>
  <c r="BB437" i="1"/>
  <c r="CY316" i="1"/>
  <c r="X316" i="1" s="1"/>
  <c r="CZ316" i="1"/>
  <c r="Y316" i="1" s="1"/>
  <c r="AF407" i="1"/>
  <c r="CY329" i="1"/>
  <c r="X329" i="1" s="1"/>
  <c r="CZ329" i="1"/>
  <c r="Y329" i="1" s="1"/>
  <c r="CY341" i="1"/>
  <c r="X341" i="1" s="1"/>
  <c r="CZ341" i="1"/>
  <c r="Y341" i="1" s="1"/>
  <c r="CY363" i="1"/>
  <c r="X363" i="1" s="1"/>
  <c r="CZ363" i="1"/>
  <c r="Y363" i="1" s="1"/>
  <c r="CZ388" i="1"/>
  <c r="Y388" i="1" s="1"/>
  <c r="CY388" i="1"/>
  <c r="X388" i="1" s="1"/>
  <c r="CY268" i="1"/>
  <c r="X268" i="1" s="1"/>
  <c r="CZ268" i="1"/>
  <c r="Y268" i="1" s="1"/>
  <c r="AB384" i="1"/>
  <c r="BD314" i="1"/>
  <c r="F432" i="1"/>
  <c r="AB342" i="1"/>
  <c r="GM324" i="1"/>
  <c r="GN324" i="1" s="1"/>
  <c r="EV314" i="1"/>
  <c r="P432" i="1"/>
  <c r="CP345" i="1"/>
  <c r="O345" i="1" s="1"/>
  <c r="CP371" i="1"/>
  <c r="O371" i="1" s="1"/>
  <c r="CY390" i="1"/>
  <c r="X390" i="1" s="1"/>
  <c r="CZ390" i="1"/>
  <c r="Y390" i="1" s="1"/>
  <c r="EG314" i="1"/>
  <c r="P411" i="1"/>
  <c r="GM393" i="1" l="1"/>
  <c r="GO393" i="1" s="1"/>
  <c r="GM358" i="1"/>
  <c r="GN358" i="1" s="1"/>
  <c r="GM128" i="1"/>
  <c r="GN128" i="1" s="1"/>
  <c r="GM365" i="1"/>
  <c r="GN365" i="1" s="1"/>
  <c r="GM264" i="1"/>
  <c r="GN264" i="1" s="1"/>
  <c r="J684" i="8"/>
  <c r="GM258" i="1"/>
  <c r="GN258" i="1" s="1"/>
  <c r="GM244" i="1"/>
  <c r="GO244" i="1" s="1"/>
  <c r="GM405" i="1"/>
  <c r="GN405" i="1" s="1"/>
  <c r="GM387" i="1"/>
  <c r="GN387" i="1" s="1"/>
  <c r="GM392" i="1"/>
  <c r="GO392" i="1" s="1"/>
  <c r="GM136" i="1"/>
  <c r="GN136" i="1" s="1"/>
  <c r="GM225" i="1"/>
  <c r="GN225" i="1" s="1"/>
  <c r="GM152" i="1"/>
  <c r="GN152" i="1" s="1"/>
  <c r="GM241" i="1"/>
  <c r="GN241" i="1" s="1"/>
  <c r="GM386" i="1"/>
  <c r="GN386" i="1" s="1"/>
  <c r="GM379" i="1"/>
  <c r="GN379" i="1" s="1"/>
  <c r="GM391" i="1"/>
  <c r="GO391" i="1" s="1"/>
  <c r="GM162" i="1"/>
  <c r="GN162" i="1" s="1"/>
  <c r="GM378" i="1"/>
  <c r="GN378" i="1" s="1"/>
  <c r="GM402" i="1"/>
  <c r="GO402" i="1" s="1"/>
  <c r="GM359" i="1"/>
  <c r="GN359" i="1" s="1"/>
  <c r="GM403" i="1"/>
  <c r="GO403" i="1" s="1"/>
  <c r="GM170" i="1"/>
  <c r="GN170" i="1" s="1"/>
  <c r="GM166" i="1"/>
  <c r="GN166" i="1" s="1"/>
  <c r="K248" i="8"/>
  <c r="GM234" i="1"/>
  <c r="GO234" i="1" s="1"/>
  <c r="U692" i="8"/>
  <c r="GM280" i="1"/>
  <c r="GN280" i="1" s="1"/>
  <c r="GM370" i="1"/>
  <c r="GN370" i="1" s="1"/>
  <c r="GM81" i="1"/>
  <c r="GN81" i="1" s="1"/>
  <c r="GM347" i="1"/>
  <c r="GN347" i="1" s="1"/>
  <c r="GM389" i="1"/>
  <c r="GO389" i="1" s="1"/>
  <c r="K678" i="8"/>
  <c r="GM343" i="1"/>
  <c r="GN343" i="1" s="1"/>
  <c r="GM395" i="1"/>
  <c r="GN395" i="1" s="1"/>
  <c r="GM348" i="1"/>
  <c r="GN348" i="1" s="1"/>
  <c r="GM376" i="1"/>
  <c r="GN376" i="1" s="1"/>
  <c r="GM211" i="1"/>
  <c r="GN211" i="1" s="1"/>
  <c r="GM235" i="1"/>
  <c r="GO235" i="1" s="1"/>
  <c r="GM337" i="1"/>
  <c r="GN337" i="1" s="1"/>
  <c r="GM180" i="1"/>
  <c r="GN180" i="1" s="1"/>
  <c r="GM356" i="1"/>
  <c r="GN356" i="1" s="1"/>
  <c r="GM248" i="1"/>
  <c r="GO248" i="1" s="1"/>
  <c r="GM188" i="1"/>
  <c r="GN188" i="1" s="1"/>
  <c r="GM396" i="1"/>
  <c r="GN396" i="1" s="1"/>
  <c r="GM400" i="1"/>
  <c r="GN400" i="1" s="1"/>
  <c r="GM366" i="1"/>
  <c r="GN366" i="1" s="1"/>
  <c r="GM224" i="1"/>
  <c r="GN224" i="1" s="1"/>
  <c r="K623" i="8"/>
  <c r="GM326" i="1"/>
  <c r="GN326" i="1" s="1"/>
  <c r="AX26" i="1"/>
  <c r="GM83" i="1"/>
  <c r="GN83" i="1" s="1"/>
  <c r="K263" i="8"/>
  <c r="DS605" i="8"/>
  <c r="K144" i="8"/>
  <c r="GM231" i="1"/>
  <c r="GO231" i="1" s="1"/>
  <c r="GM320" i="1"/>
  <c r="GN320" i="1" s="1"/>
  <c r="GM263" i="1"/>
  <c r="GN263" i="1" s="1"/>
  <c r="GM327" i="1"/>
  <c r="GN327" i="1" s="1"/>
  <c r="GM222" i="1"/>
  <c r="GN222" i="1" s="1"/>
  <c r="GM205" i="1"/>
  <c r="GN205" i="1" s="1"/>
  <c r="GM67" i="1"/>
  <c r="GN67" i="1" s="1"/>
  <c r="DS398" i="8"/>
  <c r="GM332" i="1"/>
  <c r="GN332" i="1" s="1"/>
  <c r="GM201" i="1"/>
  <c r="GN201" i="1" s="1"/>
  <c r="GM130" i="1"/>
  <c r="GN130" i="1" s="1"/>
  <c r="GM277" i="1"/>
  <c r="GO277" i="1" s="1"/>
  <c r="GM73" i="1"/>
  <c r="GO73" i="1" s="1"/>
  <c r="GM200" i="1"/>
  <c r="GN200" i="1" s="1"/>
  <c r="GM274" i="1"/>
  <c r="GN274" i="1" s="1"/>
  <c r="GM141" i="1"/>
  <c r="GN141" i="1" s="1"/>
  <c r="I770" i="8"/>
  <c r="K78" i="8"/>
  <c r="GM233" i="1"/>
  <c r="GO233" i="1" s="1"/>
  <c r="GM151" i="1"/>
  <c r="GN151" i="1" s="1"/>
  <c r="DM691" i="8"/>
  <c r="J699" i="8" s="1"/>
  <c r="I59" i="17"/>
  <c r="GM397" i="1"/>
  <c r="GN397" i="1" s="1"/>
  <c r="J118" i="17"/>
  <c r="GM321" i="1"/>
  <c r="GN321" i="1" s="1"/>
  <c r="GM123" i="1"/>
  <c r="GN123" i="1" s="1"/>
  <c r="DS66" i="8"/>
  <c r="GM257" i="1"/>
  <c r="GN257" i="1" s="1"/>
  <c r="DS591" i="8"/>
  <c r="K706" i="8"/>
  <c r="K705" i="8"/>
  <c r="GM255" i="1"/>
  <c r="GN255" i="1" s="1"/>
  <c r="DS649" i="8"/>
  <c r="K641" i="8"/>
  <c r="HL715" i="8"/>
  <c r="HF715" i="8"/>
  <c r="GM70" i="1"/>
  <c r="GN70" i="1" s="1"/>
  <c r="GM59" i="1"/>
  <c r="GN59" i="1" s="1"/>
  <c r="J37" i="17"/>
  <c r="GM135" i="1"/>
  <c r="GN135" i="1" s="1"/>
  <c r="I36" i="17"/>
  <c r="GM269" i="1"/>
  <c r="GN269" i="1" s="1"/>
  <c r="I715" i="8"/>
  <c r="I125" i="17"/>
  <c r="K770" i="8"/>
  <c r="HC715" i="8"/>
  <c r="I805" i="8" s="1"/>
  <c r="I101" i="17"/>
  <c r="GM53" i="1"/>
  <c r="GO53" i="1" s="1"/>
  <c r="GM399" i="1"/>
  <c r="GN399" i="1" s="1"/>
  <c r="U738" i="8"/>
  <c r="K738" i="8" s="1"/>
  <c r="GM328" i="1"/>
  <c r="GN328" i="1" s="1"/>
  <c r="GM245" i="1"/>
  <c r="GO245" i="1" s="1"/>
  <c r="J116" i="17"/>
  <c r="I155" i="17"/>
  <c r="GM342" i="1"/>
  <c r="GN342" i="1" s="1"/>
  <c r="GJ715" i="8"/>
  <c r="I122" i="17"/>
  <c r="K765" i="8"/>
  <c r="GM383" i="1"/>
  <c r="GN383" i="1" s="1"/>
  <c r="HP715" i="8"/>
  <c r="IJ19" i="7" s="1"/>
  <c r="J67" i="17"/>
  <c r="I70" i="17"/>
  <c r="J69" i="17"/>
  <c r="I87" i="17"/>
  <c r="I93" i="17"/>
  <c r="J117" i="17"/>
  <c r="I173" i="17"/>
  <c r="GM237" i="1"/>
  <c r="GN237" i="1" s="1"/>
  <c r="I64" i="17"/>
  <c r="J157" i="17"/>
  <c r="I100" i="17"/>
  <c r="J671" i="8"/>
  <c r="GM238" i="1"/>
  <c r="GN238" i="1" s="1"/>
  <c r="I72" i="17"/>
  <c r="GM270" i="1"/>
  <c r="GN270" i="1" s="1"/>
  <c r="DQ715" i="8"/>
  <c r="I713" i="8" s="1"/>
  <c r="J65" i="17"/>
  <c r="I75" i="17"/>
  <c r="GM173" i="1"/>
  <c r="GO173" i="1" s="1"/>
  <c r="J88" i="17"/>
  <c r="J91" i="17"/>
  <c r="J115" i="17"/>
  <c r="I144" i="17"/>
  <c r="I169" i="17"/>
  <c r="K660" i="8"/>
  <c r="GM198" i="1"/>
  <c r="GN198" i="1" s="1"/>
  <c r="K500" i="8"/>
  <c r="DS677" i="8"/>
  <c r="I71" i="17"/>
  <c r="I172" i="17"/>
  <c r="I154" i="17"/>
  <c r="DS715" i="8"/>
  <c r="J42" i="17"/>
  <c r="J145" i="17"/>
  <c r="GM338" i="1"/>
  <c r="GN338" i="1" s="1"/>
  <c r="GM190" i="1"/>
  <c r="GN190" i="1" s="1"/>
  <c r="J27" i="17"/>
  <c r="I38" i="17"/>
  <c r="I73" i="17"/>
  <c r="J121" i="17"/>
  <c r="J159" i="17"/>
  <c r="I28" i="17"/>
  <c r="I119" i="17"/>
  <c r="DS739" i="8"/>
  <c r="DS752" i="8"/>
  <c r="DS751" i="8"/>
  <c r="GL715" i="8"/>
  <c r="GC19" i="7" s="1"/>
  <c r="J174" i="17"/>
  <c r="U718" i="8"/>
  <c r="K718" i="8" s="1"/>
  <c r="J170" i="17"/>
  <c r="IS20" i="7"/>
  <c r="I171" i="17"/>
  <c r="DV407" i="1"/>
  <c r="DV314" i="1" s="1"/>
  <c r="GM377" i="1"/>
  <c r="GN377" i="1" s="1"/>
  <c r="DS693" i="8"/>
  <c r="ES407" i="1"/>
  <c r="ES314" i="1" s="1"/>
  <c r="GM364" i="1"/>
  <c r="GN364" i="1" s="1"/>
  <c r="I777" i="8"/>
  <c r="I158" i="17"/>
  <c r="V407" i="1"/>
  <c r="F430" i="1" s="1"/>
  <c r="W407" i="1"/>
  <c r="F431" i="1" s="1"/>
  <c r="DO407" i="1"/>
  <c r="DO314" i="1" s="1"/>
  <c r="AH314" i="1"/>
  <c r="P417" i="1"/>
  <c r="I146" i="17"/>
  <c r="I143" i="17"/>
  <c r="U608" i="8"/>
  <c r="K608" i="8" s="1"/>
  <c r="GM334" i="1"/>
  <c r="GN334" i="1" s="1"/>
  <c r="EH314" i="1"/>
  <c r="DW314" i="1"/>
  <c r="DM407" i="1"/>
  <c r="CW19" i="7" s="1"/>
  <c r="DN407" i="1"/>
  <c r="CX19" i="7" s="1"/>
  <c r="G71" i="13"/>
  <c r="M71" i="13" s="1"/>
  <c r="G73" i="13" s="1"/>
  <c r="IK2" i="1" s="1"/>
  <c r="U594" i="8"/>
  <c r="K594" i="8" s="1"/>
  <c r="AP314" i="1"/>
  <c r="EP407" i="1"/>
  <c r="DG19" i="10" s="1"/>
  <c r="AZ407" i="1"/>
  <c r="AZ314" i="1" s="1"/>
  <c r="DS487" i="8"/>
  <c r="K487" i="8"/>
  <c r="I131" i="17"/>
  <c r="GM267" i="1"/>
  <c r="GN267" i="1" s="1"/>
  <c r="I126" i="17"/>
  <c r="I123" i="17"/>
  <c r="GM243" i="1"/>
  <c r="GO243" i="1" s="1"/>
  <c r="GM249" i="1"/>
  <c r="GN249" i="1" s="1"/>
  <c r="I842" i="8"/>
  <c r="DS388" i="8"/>
  <c r="H393" i="8"/>
  <c r="I89" i="17"/>
  <c r="J92" i="17"/>
  <c r="GM194" i="1"/>
  <c r="GO194" i="1" s="1"/>
  <c r="J95" i="17"/>
  <c r="I94" i="17"/>
  <c r="I90" i="17"/>
  <c r="GF20" i="7"/>
  <c r="GM146" i="1"/>
  <c r="GN146" i="1" s="1"/>
  <c r="I74" i="17"/>
  <c r="I68" i="17"/>
  <c r="I60" i="17"/>
  <c r="I58" i="17"/>
  <c r="AG117" i="1"/>
  <c r="G30" i="15"/>
  <c r="K30" i="15" s="1"/>
  <c r="G114" i="15" s="1"/>
  <c r="I35" i="17"/>
  <c r="AI26" i="1"/>
  <c r="I39" i="17"/>
  <c r="J40" i="17"/>
  <c r="J34" i="17"/>
  <c r="J41" i="17"/>
  <c r="DY26" i="1"/>
  <c r="GM260" i="1"/>
  <c r="GN260" i="1" s="1"/>
  <c r="F426" i="1"/>
  <c r="GA314" i="1"/>
  <c r="K470" i="8"/>
  <c r="G52" i="15"/>
  <c r="L52" i="15" s="1"/>
  <c r="G115" i="15" s="1"/>
  <c r="F427" i="1"/>
  <c r="BA314" i="1"/>
  <c r="CJ314" i="1"/>
  <c r="U704" i="8"/>
  <c r="S711" i="8" s="1"/>
  <c r="J711" i="8" s="1"/>
  <c r="U689" i="8"/>
  <c r="GM275" i="1"/>
  <c r="GN275" i="1" s="1"/>
  <c r="I132" i="17"/>
  <c r="J128" i="17"/>
  <c r="J129" i="17"/>
  <c r="P92" i="1"/>
  <c r="HF660" i="8"/>
  <c r="F95" i="1"/>
  <c r="U663" i="8"/>
  <c r="K663" i="8" s="1"/>
  <c r="U662" i="8"/>
  <c r="U626" i="8"/>
  <c r="DS626" i="8" s="1"/>
  <c r="P426" i="1"/>
  <c r="U646" i="8"/>
  <c r="AP117" i="1"/>
  <c r="U578" i="8"/>
  <c r="K578" i="8" s="1"/>
  <c r="DB19" i="10"/>
  <c r="DT19" i="10"/>
  <c r="DL19" i="7"/>
  <c r="DL19" i="10"/>
  <c r="DI19" i="10"/>
  <c r="DS19" i="10"/>
  <c r="DK19" i="10"/>
  <c r="DJ19" i="10"/>
  <c r="GF19" i="7"/>
  <c r="F417" i="1"/>
  <c r="K777" i="8"/>
  <c r="T407" i="1"/>
  <c r="T314" i="1" s="1"/>
  <c r="U648" i="8"/>
  <c r="DS648" i="8" s="1"/>
  <c r="U625" i="8"/>
  <c r="K625" i="8" s="1"/>
  <c r="U607" i="8"/>
  <c r="K607" i="8" s="1"/>
  <c r="U593" i="8"/>
  <c r="K593" i="8" s="1"/>
  <c r="U577" i="8"/>
  <c r="K577" i="8" s="1"/>
  <c r="I790" i="8"/>
  <c r="I761" i="8"/>
  <c r="EW19" i="7"/>
  <c r="FX19" i="7"/>
  <c r="I765" i="8"/>
  <c r="IN19" i="7"/>
  <c r="FK19" i="7"/>
  <c r="I792" i="8"/>
  <c r="IR19" i="7"/>
  <c r="FL19" i="7"/>
  <c r="I793" i="8"/>
  <c r="K781" i="8"/>
  <c r="DB19" i="7"/>
  <c r="I814" i="8"/>
  <c r="EZ19" i="7"/>
  <c r="I784" i="8"/>
  <c r="I782" i="8"/>
  <c r="GE19" i="7"/>
  <c r="FC19" i="7"/>
  <c r="DT19" i="7"/>
  <c r="K807" i="8"/>
  <c r="DK19" i="7"/>
  <c r="K799" i="8"/>
  <c r="I817" i="8"/>
  <c r="FB19" i="7"/>
  <c r="K806" i="8"/>
  <c r="K795" i="8"/>
  <c r="DS19" i="7"/>
  <c r="K797" i="8"/>
  <c r="DI19" i="7"/>
  <c r="FE19" i="7"/>
  <c r="I786" i="8"/>
  <c r="K798" i="8"/>
  <c r="DJ19" i="7"/>
  <c r="CX17" i="10"/>
  <c r="EU17" i="10"/>
  <c r="U232" i="8"/>
  <c r="DS232" i="8" s="1"/>
  <c r="U330" i="8"/>
  <c r="DS330" i="8" s="1"/>
  <c r="DS17" i="10"/>
  <c r="DI17" i="10"/>
  <c r="U221" i="8"/>
  <c r="K221" i="8" s="1"/>
  <c r="CP240" i="1"/>
  <c r="O240" i="1" s="1"/>
  <c r="GM240" i="1" s="1"/>
  <c r="GO240" i="1" s="1"/>
  <c r="U251" i="8"/>
  <c r="CP266" i="1"/>
  <c r="O266" i="1" s="1"/>
  <c r="GM266" i="1" s="1"/>
  <c r="GN266" i="1" s="1"/>
  <c r="DU282" i="1"/>
  <c r="FW282" i="1" s="1"/>
  <c r="U218" i="8"/>
  <c r="K218" i="8" s="1"/>
  <c r="P292" i="1"/>
  <c r="DJ17" i="10"/>
  <c r="U274" i="8"/>
  <c r="K274" i="8" s="1"/>
  <c r="U358" i="8"/>
  <c r="K358" i="8" s="1"/>
  <c r="U472" i="8"/>
  <c r="U501" i="8"/>
  <c r="S503" i="8" s="1"/>
  <c r="J503" i="8" s="1"/>
  <c r="U441" i="8"/>
  <c r="K441" i="8" s="1"/>
  <c r="P301" i="1"/>
  <c r="DT17" i="10"/>
  <c r="U333" i="8"/>
  <c r="DS333" i="8" s="1"/>
  <c r="U277" i="8"/>
  <c r="U457" i="8"/>
  <c r="U389" i="8"/>
  <c r="S394" i="8" s="1"/>
  <c r="J394" i="8" s="1"/>
  <c r="U361" i="8"/>
  <c r="DS361" i="8" s="1"/>
  <c r="K842" i="8"/>
  <c r="U305" i="8"/>
  <c r="DS305" i="8" s="1"/>
  <c r="U235" i="8"/>
  <c r="DS235" i="8" s="1"/>
  <c r="U438" i="8"/>
  <c r="K438" i="8" s="1"/>
  <c r="U421" i="8"/>
  <c r="GM278" i="1"/>
  <c r="GO278" i="1" s="1"/>
  <c r="U471" i="8"/>
  <c r="K471" i="8" s="1"/>
  <c r="I520" i="8"/>
  <c r="I836" i="8"/>
  <c r="K520" i="8"/>
  <c r="K836" i="8"/>
  <c r="U456" i="8"/>
  <c r="U440" i="8"/>
  <c r="K440" i="8" s="1"/>
  <c r="U420" i="8"/>
  <c r="U400" i="8"/>
  <c r="K400" i="8" s="1"/>
  <c r="IO17" i="7"/>
  <c r="IO20" i="7"/>
  <c r="FY17" i="7"/>
  <c r="FY20" i="7"/>
  <c r="I519" i="8"/>
  <c r="I835" i="8"/>
  <c r="K519" i="8"/>
  <c r="K835" i="8"/>
  <c r="U360" i="8"/>
  <c r="K360" i="8" s="1"/>
  <c r="U332" i="8"/>
  <c r="K332" i="8" s="1"/>
  <c r="U304" i="8"/>
  <c r="DS304" i="8" s="1"/>
  <c r="U276" i="8"/>
  <c r="U262" i="8"/>
  <c r="K262" i="8" s="1"/>
  <c r="U250" i="8"/>
  <c r="K250" i="8" s="1"/>
  <c r="U234" i="8"/>
  <c r="GM131" i="1"/>
  <c r="GN131" i="1" s="1"/>
  <c r="K830" i="8"/>
  <c r="U220" i="8"/>
  <c r="CP29" i="1"/>
  <c r="O29" i="1" s="1"/>
  <c r="CZ15" i="10"/>
  <c r="DG15" i="7"/>
  <c r="DG15" i="10"/>
  <c r="U81" i="8"/>
  <c r="DS81" i="8" s="1"/>
  <c r="DM15" i="7"/>
  <c r="DM15" i="10"/>
  <c r="U69" i="8"/>
  <c r="K69" i="8" s="1"/>
  <c r="U93" i="8"/>
  <c r="K93" i="8" s="1"/>
  <c r="U90" i="8"/>
  <c r="DS90" i="8" s="1"/>
  <c r="K197" i="8"/>
  <c r="DS15" i="10"/>
  <c r="DI15" i="10"/>
  <c r="CX15" i="10"/>
  <c r="EU15" i="10"/>
  <c r="U121" i="8"/>
  <c r="K121" i="8" s="1"/>
  <c r="K189" i="8"/>
  <c r="DJ15" i="10"/>
  <c r="DL15" i="7"/>
  <c r="DL15" i="10"/>
  <c r="U55" i="8"/>
  <c r="K55" i="8" s="1"/>
  <c r="U118" i="8"/>
  <c r="DS118" i="8" s="1"/>
  <c r="U120" i="8"/>
  <c r="U92" i="8"/>
  <c r="K92" i="8" s="1"/>
  <c r="U80" i="8"/>
  <c r="S86" i="8" s="1"/>
  <c r="J86" i="8" s="1"/>
  <c r="U68" i="8"/>
  <c r="K68" i="8" s="1"/>
  <c r="I857" i="8"/>
  <c r="FK20" i="7"/>
  <c r="IN20" i="7"/>
  <c r="I830" i="8"/>
  <c r="FX20" i="7"/>
  <c r="I855" i="8"/>
  <c r="I826" i="8"/>
  <c r="I38" i="8"/>
  <c r="EW20" i="7"/>
  <c r="I858" i="8"/>
  <c r="IR20" i="7"/>
  <c r="FL20" i="7"/>
  <c r="I851" i="8"/>
  <c r="FE20" i="7"/>
  <c r="I847" i="8"/>
  <c r="GE20" i="7"/>
  <c r="FC20" i="7"/>
  <c r="I849" i="8"/>
  <c r="I887" i="8"/>
  <c r="FB20" i="7"/>
  <c r="EZ20" i="7"/>
  <c r="I884" i="8"/>
  <c r="H754" i="8"/>
  <c r="HA754" i="8"/>
  <c r="S754" i="8"/>
  <c r="J754" i="8" s="1"/>
  <c r="K749" i="8"/>
  <c r="DS749" i="8"/>
  <c r="I748" i="8"/>
  <c r="K750" i="8"/>
  <c r="DS750" i="8"/>
  <c r="H746" i="8"/>
  <c r="HA746" i="8"/>
  <c r="I735" i="8"/>
  <c r="J745" i="8"/>
  <c r="DS736" i="8"/>
  <c r="K736" i="8"/>
  <c r="K737" i="8"/>
  <c r="DS737" i="8"/>
  <c r="H745" i="8"/>
  <c r="HA733" i="8"/>
  <c r="H733" i="8"/>
  <c r="GM382" i="1"/>
  <c r="GN382" i="1" s="1"/>
  <c r="GM156" i="1"/>
  <c r="GN156" i="1" s="1"/>
  <c r="GM385" i="1"/>
  <c r="GO385" i="1" s="1"/>
  <c r="FU407" i="1" s="1"/>
  <c r="U717" i="8"/>
  <c r="K714" i="8"/>
  <c r="DS714" i="8"/>
  <c r="H732" i="8"/>
  <c r="J732" i="8"/>
  <c r="GM388" i="1"/>
  <c r="GO388" i="1" s="1"/>
  <c r="GM390" i="1"/>
  <c r="GO390" i="1" s="1"/>
  <c r="HA711" i="8"/>
  <c r="H711" i="8"/>
  <c r="HF575" i="8"/>
  <c r="K703" i="8"/>
  <c r="DS703" i="8"/>
  <c r="HB704" i="8"/>
  <c r="I704" i="8"/>
  <c r="HL704" i="8"/>
  <c r="GJ704" i="8"/>
  <c r="HN704" i="8"/>
  <c r="GL704" i="8"/>
  <c r="HF704" i="8"/>
  <c r="DQ704" i="8"/>
  <c r="I702" i="8" s="1"/>
  <c r="HL575" i="8"/>
  <c r="GM181" i="1"/>
  <c r="GN181" i="1" s="1"/>
  <c r="GL575" i="8"/>
  <c r="HL418" i="8"/>
  <c r="HN575" i="8"/>
  <c r="GM176" i="1"/>
  <c r="GN176" i="1" s="1"/>
  <c r="GJ575" i="8"/>
  <c r="I575" i="8"/>
  <c r="GM77" i="1"/>
  <c r="GN77" i="1" s="1"/>
  <c r="HA700" i="8"/>
  <c r="H700" i="8"/>
  <c r="GM322" i="1"/>
  <c r="GN322" i="1" s="1"/>
  <c r="Q407" i="1"/>
  <c r="F419" i="1" s="1"/>
  <c r="DY314" i="1"/>
  <c r="GM247" i="1"/>
  <c r="GO247" i="1" s="1"/>
  <c r="EA26" i="1"/>
  <c r="K302" i="8"/>
  <c r="HB575" i="8"/>
  <c r="GM362" i="1"/>
  <c r="GN362" i="1" s="1"/>
  <c r="AZ85" i="1"/>
  <c r="AZ26" i="1" s="1"/>
  <c r="GM317" i="1"/>
  <c r="GN317" i="1" s="1"/>
  <c r="CG314" i="1"/>
  <c r="GM60" i="1"/>
  <c r="GN60" i="1" s="1"/>
  <c r="GM127" i="1"/>
  <c r="GN127" i="1" s="1"/>
  <c r="DQ575" i="8"/>
  <c r="I573" i="8" s="1"/>
  <c r="GM221" i="1"/>
  <c r="GN221" i="1" s="1"/>
  <c r="GM132" i="1"/>
  <c r="GN132" i="1" s="1"/>
  <c r="J243" i="8"/>
  <c r="CP355" i="1"/>
  <c r="O355" i="1" s="1"/>
  <c r="GM355" i="1" s="1"/>
  <c r="GN355" i="1" s="1"/>
  <c r="AK407" i="1"/>
  <c r="X407" i="1" s="1"/>
  <c r="GL438" i="8"/>
  <c r="GM206" i="1"/>
  <c r="GN206" i="1" s="1"/>
  <c r="DS688" i="8"/>
  <c r="K688" i="8"/>
  <c r="GM214" i="1"/>
  <c r="GO214" i="1" s="1"/>
  <c r="H699" i="8"/>
  <c r="GM230" i="1"/>
  <c r="GN230" i="1" s="1"/>
  <c r="HF689" i="8"/>
  <c r="DQ689" i="8"/>
  <c r="I687" i="8" s="1"/>
  <c r="HB689" i="8"/>
  <c r="I689" i="8"/>
  <c r="HN689" i="8"/>
  <c r="GL689" i="8"/>
  <c r="HL689" i="8"/>
  <c r="GJ689" i="8"/>
  <c r="GM57" i="1"/>
  <c r="GN57" i="1" s="1"/>
  <c r="GM361" i="1"/>
  <c r="GN361" i="1" s="1"/>
  <c r="HC398" i="8"/>
  <c r="DQ438" i="8"/>
  <c r="I436" i="8" s="1"/>
  <c r="GM160" i="1"/>
  <c r="GN160" i="1" s="1"/>
  <c r="S685" i="8"/>
  <c r="J685" i="8" s="1"/>
  <c r="I674" i="8"/>
  <c r="HA685" i="8"/>
  <c r="H685" i="8"/>
  <c r="CP120" i="1"/>
  <c r="O120" i="1" s="1"/>
  <c r="GM120" i="1" s="1"/>
  <c r="W85" i="1"/>
  <c r="HN438" i="8"/>
  <c r="HF438" i="8"/>
  <c r="AJ117" i="1"/>
  <c r="GM182" i="1"/>
  <c r="GN182" i="1" s="1"/>
  <c r="GM39" i="1"/>
  <c r="GN39" i="1" s="1"/>
  <c r="GM158" i="1"/>
  <c r="GN158" i="1" s="1"/>
  <c r="GJ438" i="8"/>
  <c r="I438" i="8"/>
  <c r="GM371" i="1"/>
  <c r="GN371" i="1" s="1"/>
  <c r="GM331" i="1"/>
  <c r="GN331" i="1" s="1"/>
  <c r="GM367" i="1"/>
  <c r="GN367" i="1" s="1"/>
  <c r="GM172" i="1"/>
  <c r="GN172" i="1" s="1"/>
  <c r="GM75" i="1"/>
  <c r="GN75" i="1" s="1"/>
  <c r="GM178" i="1"/>
  <c r="GN178" i="1" s="1"/>
  <c r="GM161" i="1"/>
  <c r="GN161" i="1" s="1"/>
  <c r="HL438" i="8"/>
  <c r="HB438" i="8"/>
  <c r="J638" i="8"/>
  <c r="HL660" i="8"/>
  <c r="K676" i="8"/>
  <c r="DS676" i="8"/>
  <c r="DS675" i="8"/>
  <c r="K675" i="8"/>
  <c r="H684" i="8"/>
  <c r="I660" i="8"/>
  <c r="HN660" i="8"/>
  <c r="I658" i="8"/>
  <c r="J618" i="8"/>
  <c r="GJ660" i="8"/>
  <c r="HB660" i="8"/>
  <c r="R672" i="8"/>
  <c r="P756" i="8" s="1"/>
  <c r="GL660" i="8"/>
  <c r="GM323" i="1"/>
  <c r="GN323" i="1" s="1"/>
  <c r="DS659" i="8"/>
  <c r="K659" i="8"/>
  <c r="H600" i="8"/>
  <c r="H671" i="8"/>
  <c r="GM363" i="1"/>
  <c r="GN363" i="1" s="1"/>
  <c r="I644" i="8"/>
  <c r="GM49" i="1"/>
  <c r="GN49" i="1" s="1"/>
  <c r="GM154" i="1"/>
  <c r="GO154" i="1" s="1"/>
  <c r="F301" i="1"/>
  <c r="BA282" i="1"/>
  <c r="BA117" i="1" s="1"/>
  <c r="GM213" i="1"/>
  <c r="GO213" i="1" s="1"/>
  <c r="ES85" i="1"/>
  <c r="ES26" i="1" s="1"/>
  <c r="U85" i="1"/>
  <c r="F107" i="1" s="1"/>
  <c r="GM148" i="1"/>
  <c r="GN148" i="1" s="1"/>
  <c r="GM168" i="1"/>
  <c r="GN168" i="1" s="1"/>
  <c r="S495" i="8"/>
  <c r="J495" i="8" s="1"/>
  <c r="GM345" i="1"/>
  <c r="GN345" i="1" s="1"/>
  <c r="AG26" i="1"/>
  <c r="AE26" i="1"/>
  <c r="GM138" i="1"/>
  <c r="GN138" i="1" s="1"/>
  <c r="IS17" i="7"/>
  <c r="J494" i="8"/>
  <c r="U282" i="1"/>
  <c r="U117" i="1" s="1"/>
  <c r="K526" i="8"/>
  <c r="GM196" i="1"/>
  <c r="GN196" i="1" s="1"/>
  <c r="HA656" i="8"/>
  <c r="H656" i="8"/>
  <c r="J655" i="8"/>
  <c r="K645" i="8"/>
  <c r="DS645" i="8"/>
  <c r="H655" i="8"/>
  <c r="HA642" i="8"/>
  <c r="H642" i="8"/>
  <c r="I621" i="8"/>
  <c r="HA639" i="8"/>
  <c r="H639" i="8"/>
  <c r="H638" i="8"/>
  <c r="K622" i="8"/>
  <c r="DS622" i="8"/>
  <c r="GM341" i="1"/>
  <c r="GN341" i="1" s="1"/>
  <c r="ED407" i="1"/>
  <c r="ED314" i="1" s="1"/>
  <c r="EC407" i="1"/>
  <c r="EC314" i="1" s="1"/>
  <c r="GM254" i="1"/>
  <c r="GN254" i="1" s="1"/>
  <c r="DS575" i="8"/>
  <c r="I603" i="8"/>
  <c r="HA619" i="8"/>
  <c r="H619" i="8"/>
  <c r="GM335" i="1"/>
  <c r="GN335" i="1" s="1"/>
  <c r="H618" i="8"/>
  <c r="K604" i="8"/>
  <c r="DS604" i="8"/>
  <c r="GM339" i="1"/>
  <c r="GN339" i="1" s="1"/>
  <c r="I589" i="8"/>
  <c r="H601" i="8"/>
  <c r="HA601" i="8"/>
  <c r="DS590" i="8"/>
  <c r="K590" i="8"/>
  <c r="J600" i="8"/>
  <c r="J586" i="8"/>
  <c r="GM329" i="1"/>
  <c r="GN329" i="1" s="1"/>
  <c r="GM325" i="1"/>
  <c r="GN325" i="1" s="1"/>
  <c r="I526" i="8"/>
  <c r="HA587" i="8"/>
  <c r="H587" i="8"/>
  <c r="HL398" i="8"/>
  <c r="DS574" i="8"/>
  <c r="K574" i="8"/>
  <c r="GJ418" i="8"/>
  <c r="H586" i="8"/>
  <c r="EM437" i="1"/>
  <c r="K556" i="8"/>
  <c r="DT17" i="7"/>
  <c r="FE17" i="7"/>
  <c r="I535" i="8"/>
  <c r="I531" i="8"/>
  <c r="GE17" i="7"/>
  <c r="FC17" i="7"/>
  <c r="I533" i="8"/>
  <c r="I418" i="8"/>
  <c r="IJ15" i="7"/>
  <c r="H568" i="8"/>
  <c r="CX17" i="7"/>
  <c r="EU17" i="7"/>
  <c r="FB17" i="7"/>
  <c r="I566" i="8"/>
  <c r="FK17" i="7"/>
  <c r="IN17" i="7"/>
  <c r="I541" i="8"/>
  <c r="GF17" i="7"/>
  <c r="EH117" i="1"/>
  <c r="K546" i="8"/>
  <c r="DI17" i="7"/>
  <c r="K555" i="8"/>
  <c r="K544" i="8"/>
  <c r="DS17" i="7"/>
  <c r="HC418" i="8"/>
  <c r="EZ17" i="7"/>
  <c r="I563" i="8"/>
  <c r="K514" i="8"/>
  <c r="FL17" i="7"/>
  <c r="I542" i="8"/>
  <c r="IR17" i="7"/>
  <c r="DJ17" i="7"/>
  <c r="K547" i="8"/>
  <c r="FX17" i="7"/>
  <c r="I539" i="8"/>
  <c r="I514" i="8"/>
  <c r="EW17" i="7"/>
  <c r="I510" i="8"/>
  <c r="GM218" i="1"/>
  <c r="GN218" i="1" s="1"/>
  <c r="I497" i="8"/>
  <c r="H503" i="8"/>
  <c r="HA503" i="8"/>
  <c r="K499" i="8"/>
  <c r="DS499" i="8"/>
  <c r="DS498" i="8"/>
  <c r="K498" i="8"/>
  <c r="HA464" i="8"/>
  <c r="EH26" i="1"/>
  <c r="I484" i="8"/>
  <c r="HA495" i="8"/>
  <c r="H495" i="8"/>
  <c r="DS485" i="8"/>
  <c r="K485" i="8"/>
  <c r="DS486" i="8"/>
  <c r="K486" i="8"/>
  <c r="H494" i="8"/>
  <c r="H463" i="8"/>
  <c r="GM210" i="1"/>
  <c r="GN210" i="1" s="1"/>
  <c r="GM229" i="1"/>
  <c r="GN229" i="1" s="1"/>
  <c r="GM50" i="1"/>
  <c r="GN50" i="1" s="1"/>
  <c r="S482" i="8"/>
  <c r="J482" i="8" s="1"/>
  <c r="K481" i="8"/>
  <c r="HA482" i="8"/>
  <c r="H482" i="8"/>
  <c r="EM117" i="1"/>
  <c r="GM253" i="1"/>
  <c r="GN253" i="1" s="1"/>
  <c r="BA85" i="1"/>
  <c r="BA26" i="1" s="1"/>
  <c r="AQ437" i="1"/>
  <c r="F447" i="1" s="1"/>
  <c r="GM37" i="1"/>
  <c r="GN37" i="1" s="1"/>
  <c r="EP282" i="1"/>
  <c r="EP117" i="1" s="1"/>
  <c r="GM134" i="1"/>
  <c r="GN134" i="1" s="1"/>
  <c r="EH437" i="1"/>
  <c r="AP26" i="1"/>
  <c r="GM142" i="1"/>
  <c r="GN142" i="1" s="1"/>
  <c r="DJ15" i="7"/>
  <c r="AP437" i="1"/>
  <c r="AP22" i="1" s="1"/>
  <c r="EI437" i="1"/>
  <c r="GL302" i="8"/>
  <c r="GL418" i="8"/>
  <c r="DQ418" i="8"/>
  <c r="I416" i="8" s="1"/>
  <c r="R434" i="8"/>
  <c r="HA434" i="8" s="1"/>
  <c r="CP252" i="1"/>
  <c r="O252" i="1" s="1"/>
  <c r="GM252" i="1" s="1"/>
  <c r="GN252" i="1" s="1"/>
  <c r="EI26" i="1"/>
  <c r="P291" i="1"/>
  <c r="EA117" i="1"/>
  <c r="AQ117" i="1"/>
  <c r="GM261" i="1"/>
  <c r="GN261" i="1" s="1"/>
  <c r="GM61" i="1"/>
  <c r="GN61" i="1" s="1"/>
  <c r="P94" i="1"/>
  <c r="CP126" i="1"/>
  <c r="O126" i="1" s="1"/>
  <c r="GM126" i="1" s="1"/>
  <c r="GN126" i="1" s="1"/>
  <c r="HP418" i="8"/>
  <c r="J478" i="8"/>
  <c r="I466" i="8"/>
  <c r="GM246" i="1"/>
  <c r="GO246" i="1" s="1"/>
  <c r="HA479" i="8"/>
  <c r="H479" i="8"/>
  <c r="GM262" i="1"/>
  <c r="GN262" i="1" s="1"/>
  <c r="DS467" i="8"/>
  <c r="K467" i="8"/>
  <c r="H478" i="8"/>
  <c r="K468" i="8"/>
  <c r="DS468" i="8"/>
  <c r="GM268" i="1"/>
  <c r="GN268" i="1" s="1"/>
  <c r="AD117" i="1"/>
  <c r="GM256" i="1"/>
  <c r="GN256" i="1" s="1"/>
  <c r="GM236" i="1"/>
  <c r="GO236" i="1" s="1"/>
  <c r="DQ302" i="8"/>
  <c r="I300" i="8" s="1"/>
  <c r="GM55" i="1"/>
  <c r="GN55" i="1" s="1"/>
  <c r="GM193" i="1"/>
  <c r="GO193" i="1" s="1"/>
  <c r="GM192" i="1"/>
  <c r="GN192" i="1" s="1"/>
  <c r="GM150" i="1"/>
  <c r="GN150" i="1" s="1"/>
  <c r="I452" i="8"/>
  <c r="GM69" i="1"/>
  <c r="GN69" i="1" s="1"/>
  <c r="GM186" i="1"/>
  <c r="GN186" i="1" s="1"/>
  <c r="EP26" i="1"/>
  <c r="CP204" i="1"/>
  <c r="O204" i="1" s="1"/>
  <c r="GM204" i="1" s="1"/>
  <c r="GN204" i="1" s="1"/>
  <c r="GM185" i="1"/>
  <c r="GN185" i="1" s="1"/>
  <c r="CP43" i="1"/>
  <c r="O43" i="1" s="1"/>
  <c r="GM43" i="1" s="1"/>
  <c r="GN43" i="1" s="1"/>
  <c r="AI117" i="1"/>
  <c r="HP398" i="8"/>
  <c r="HF398" i="8"/>
  <c r="GM65" i="1"/>
  <c r="GN65" i="1" s="1"/>
  <c r="GM250" i="1"/>
  <c r="GN250" i="1" s="1"/>
  <c r="CP184" i="1"/>
  <c r="O184" i="1" s="1"/>
  <c r="GM184" i="1" s="1"/>
  <c r="GN184" i="1" s="1"/>
  <c r="GM164" i="1"/>
  <c r="GN164" i="1" s="1"/>
  <c r="GM51" i="1"/>
  <c r="GN51" i="1" s="1"/>
  <c r="GJ398" i="8"/>
  <c r="I398" i="8"/>
  <c r="GM79" i="1"/>
  <c r="GN79" i="1" s="1"/>
  <c r="GL398" i="8"/>
  <c r="DQ398" i="8"/>
  <c r="I396" i="8" s="1"/>
  <c r="J433" i="8"/>
  <c r="K453" i="8"/>
  <c r="DS453" i="8"/>
  <c r="J463" i="8"/>
  <c r="K454" i="8"/>
  <c r="DS454" i="8"/>
  <c r="GM259" i="1"/>
  <c r="GN259" i="1" s="1"/>
  <c r="HA450" i="8"/>
  <c r="H450" i="8"/>
  <c r="H449" i="8"/>
  <c r="DS437" i="8"/>
  <c r="K437" i="8"/>
  <c r="J449" i="8"/>
  <c r="K417" i="8"/>
  <c r="DS417" i="8"/>
  <c r="H433" i="8"/>
  <c r="K418" i="8"/>
  <c r="DS418" i="8"/>
  <c r="GM242" i="1"/>
  <c r="GN242" i="1" s="1"/>
  <c r="HA414" i="8"/>
  <c r="H414" i="8"/>
  <c r="GM232" i="1"/>
  <c r="GO232" i="1" s="1"/>
  <c r="H413" i="8"/>
  <c r="K397" i="8"/>
  <c r="DS397" i="8"/>
  <c r="GM228" i="1"/>
  <c r="GO228" i="1" s="1"/>
  <c r="U401" i="8"/>
  <c r="J413" i="8"/>
  <c r="I384" i="8"/>
  <c r="HA394" i="8"/>
  <c r="H394" i="8"/>
  <c r="GM208" i="1"/>
  <c r="GN208" i="1" s="1"/>
  <c r="CP63" i="1"/>
  <c r="O63" i="1" s="1"/>
  <c r="GM63" i="1" s="1"/>
  <c r="GN63" i="1" s="1"/>
  <c r="GM41" i="1"/>
  <c r="GN41" i="1" s="1"/>
  <c r="J269" i="8"/>
  <c r="HN302" i="8"/>
  <c r="HF302" i="8"/>
  <c r="DS358" i="8"/>
  <c r="GM125" i="1"/>
  <c r="GN125" i="1" s="1"/>
  <c r="GJ302" i="8"/>
  <c r="I302" i="8"/>
  <c r="K156" i="8"/>
  <c r="HL302" i="8"/>
  <c r="HB302" i="8"/>
  <c r="DS385" i="8"/>
  <c r="K385" i="8"/>
  <c r="K386" i="8"/>
  <c r="DS386" i="8"/>
  <c r="GM226" i="1"/>
  <c r="GN226" i="1" s="1"/>
  <c r="I356" i="8"/>
  <c r="GM32" i="1"/>
  <c r="GN32" i="1" s="1"/>
  <c r="GM191" i="1"/>
  <c r="GN191" i="1" s="1"/>
  <c r="H382" i="8"/>
  <c r="HA382" i="8"/>
  <c r="GM216" i="1"/>
  <c r="GN216" i="1" s="1"/>
  <c r="H381" i="8"/>
  <c r="J381" i="8"/>
  <c r="K357" i="8"/>
  <c r="DS357" i="8"/>
  <c r="GM220" i="1"/>
  <c r="GN220" i="1" s="1"/>
  <c r="GM212" i="1"/>
  <c r="GN212" i="1" s="1"/>
  <c r="K168" i="8"/>
  <c r="HA354" i="8"/>
  <c r="H354" i="8"/>
  <c r="K186" i="8"/>
  <c r="GM202" i="1"/>
  <c r="GN202" i="1" s="1"/>
  <c r="K188" i="8"/>
  <c r="K329" i="8"/>
  <c r="DS329" i="8"/>
  <c r="J353" i="8"/>
  <c r="H353" i="8"/>
  <c r="HF330" i="8"/>
  <c r="DQ330" i="8"/>
  <c r="I328" i="8" s="1"/>
  <c r="HB330" i="8"/>
  <c r="I330" i="8"/>
  <c r="HN330" i="8"/>
  <c r="GL330" i="8"/>
  <c r="HL330" i="8"/>
  <c r="GJ330" i="8"/>
  <c r="DX26" i="1"/>
  <c r="HA326" i="8"/>
  <c r="H326" i="8"/>
  <c r="GM35" i="1"/>
  <c r="GN35" i="1" s="1"/>
  <c r="R282" i="1"/>
  <c r="R117" i="1" s="1"/>
  <c r="F104" i="1"/>
  <c r="AX282" i="1"/>
  <c r="AX117" i="1" s="1"/>
  <c r="CP144" i="1"/>
  <c r="O144" i="1" s="1"/>
  <c r="GM144" i="1" s="1"/>
  <c r="GN144" i="1" s="1"/>
  <c r="GM31" i="1"/>
  <c r="GN31" i="1" s="1"/>
  <c r="GM171" i="1"/>
  <c r="GN171" i="1" s="1"/>
  <c r="DV282" i="1"/>
  <c r="DI282" i="1" s="1"/>
  <c r="GM140" i="1"/>
  <c r="GN140" i="1" s="1"/>
  <c r="H297" i="8"/>
  <c r="K301" i="8"/>
  <c r="DS301" i="8"/>
  <c r="J325" i="8"/>
  <c r="H325" i="8"/>
  <c r="HA298" i="8"/>
  <c r="H298" i="8"/>
  <c r="H269" i="8"/>
  <c r="J297" i="8"/>
  <c r="K273" i="8"/>
  <c r="DS273" i="8"/>
  <c r="HF274" i="8"/>
  <c r="DQ274" i="8"/>
  <c r="I272" i="8" s="1"/>
  <c r="HB274" i="8"/>
  <c r="I274" i="8"/>
  <c r="HN274" i="8"/>
  <c r="GL274" i="8"/>
  <c r="HL274" i="8"/>
  <c r="GJ274" i="8"/>
  <c r="GM153" i="1"/>
  <c r="GO153" i="1" s="1"/>
  <c r="GM145" i="1"/>
  <c r="GN145" i="1" s="1"/>
  <c r="I258" i="8"/>
  <c r="HA270" i="8"/>
  <c r="H270" i="8"/>
  <c r="DS259" i="8"/>
  <c r="K259" i="8"/>
  <c r="AZ282" i="1"/>
  <c r="F293" i="1" s="1"/>
  <c r="HA256" i="8"/>
  <c r="H256" i="8"/>
  <c r="I246" i="8"/>
  <c r="DS15" i="7"/>
  <c r="GM129" i="1"/>
  <c r="GN129" i="1" s="1"/>
  <c r="GF15" i="7"/>
  <c r="DI15" i="7"/>
  <c r="AU437" i="1"/>
  <c r="F456" i="1" s="1"/>
  <c r="K247" i="8"/>
  <c r="DS247" i="8"/>
  <c r="CP122" i="1"/>
  <c r="O122" i="1" s="1"/>
  <c r="ER282" i="1"/>
  <c r="ES282" i="1"/>
  <c r="DW17" i="10" s="1"/>
  <c r="HA244" i="8"/>
  <c r="H244" i="8"/>
  <c r="DS231" i="8"/>
  <c r="K231" i="8"/>
  <c r="H243" i="8"/>
  <c r="HF232" i="8"/>
  <c r="DQ232" i="8"/>
  <c r="I230" i="8" s="1"/>
  <c r="HB232" i="8"/>
  <c r="I232" i="8"/>
  <c r="HN232" i="8"/>
  <c r="GL232" i="8"/>
  <c r="HL232" i="8"/>
  <c r="GJ232" i="8"/>
  <c r="HA228" i="8"/>
  <c r="H228" i="8"/>
  <c r="P147" i="8"/>
  <c r="H227" i="8"/>
  <c r="DM85" i="1"/>
  <c r="DZ26" i="1"/>
  <c r="I168" i="8"/>
  <c r="I64" i="8"/>
  <c r="DM223" i="8"/>
  <c r="J227" i="8" s="1"/>
  <c r="U223" i="8"/>
  <c r="K223" i="8" s="1"/>
  <c r="K217" i="8"/>
  <c r="DS217" i="8"/>
  <c r="HF218" i="8"/>
  <c r="DQ218" i="8"/>
  <c r="I215" i="8" s="1"/>
  <c r="HB218" i="8"/>
  <c r="I218" i="8"/>
  <c r="HN218" i="8"/>
  <c r="GL218" i="8"/>
  <c r="HL218" i="8"/>
  <c r="GJ218" i="8"/>
  <c r="GM121" i="1"/>
  <c r="GN121" i="1" s="1"/>
  <c r="FK15" i="7"/>
  <c r="IN15" i="7"/>
  <c r="I183" i="8"/>
  <c r="EZ15" i="7"/>
  <c r="I205" i="8"/>
  <c r="FX15" i="7"/>
  <c r="I181" i="8"/>
  <c r="I156" i="8"/>
  <c r="I152" i="8"/>
  <c r="EW15" i="7"/>
  <c r="H210" i="8"/>
  <c r="CX15" i="7"/>
  <c r="EU15" i="7"/>
  <c r="FL15" i="7"/>
  <c r="I184" i="8"/>
  <c r="IR15" i="7"/>
  <c r="GM44" i="1"/>
  <c r="GN44" i="1" s="1"/>
  <c r="I177" i="8"/>
  <c r="FE15" i="7"/>
  <c r="I173" i="8"/>
  <c r="GE15" i="7"/>
  <c r="FC15" i="7"/>
  <c r="I175" i="8"/>
  <c r="I196" i="8"/>
  <c r="FO15" i="7"/>
  <c r="FB15" i="7"/>
  <c r="I208" i="8"/>
  <c r="K152" i="8"/>
  <c r="CZ15" i="7"/>
  <c r="J113" i="8"/>
  <c r="HA145" i="8"/>
  <c r="H145" i="8"/>
  <c r="HA142" i="8"/>
  <c r="H142" i="8"/>
  <c r="J141" i="8"/>
  <c r="K117" i="8"/>
  <c r="DS117" i="8"/>
  <c r="H141" i="8"/>
  <c r="ER85" i="1"/>
  <c r="HF118" i="8"/>
  <c r="DQ118" i="8"/>
  <c r="I116" i="8" s="1"/>
  <c r="HB118" i="8"/>
  <c r="I118" i="8"/>
  <c r="HN118" i="8"/>
  <c r="GL118" i="8"/>
  <c r="HL118" i="8"/>
  <c r="GJ118" i="8"/>
  <c r="GM64" i="1"/>
  <c r="GN64" i="1" s="1"/>
  <c r="GM72" i="1"/>
  <c r="GO72" i="1" s="1"/>
  <c r="HA114" i="8"/>
  <c r="H114" i="8"/>
  <c r="GM47" i="1"/>
  <c r="GN47" i="1" s="1"/>
  <c r="GM42" i="1"/>
  <c r="GN42" i="1" s="1"/>
  <c r="H113" i="8"/>
  <c r="K89" i="8"/>
  <c r="DS89" i="8"/>
  <c r="HF90" i="8"/>
  <c r="DQ90" i="8"/>
  <c r="I88" i="8" s="1"/>
  <c r="HB90" i="8"/>
  <c r="I90" i="8"/>
  <c r="HN90" i="8"/>
  <c r="GL90" i="8"/>
  <c r="HL90" i="8"/>
  <c r="GJ90" i="8"/>
  <c r="GM45" i="1"/>
  <c r="GN45" i="1" s="1"/>
  <c r="GM52" i="1"/>
  <c r="GO52" i="1" s="1"/>
  <c r="I76" i="8"/>
  <c r="HA86" i="8"/>
  <c r="H86" i="8"/>
  <c r="K77" i="8"/>
  <c r="DS77" i="8"/>
  <c r="GM40" i="1"/>
  <c r="GN40" i="1" s="1"/>
  <c r="DK26" i="1"/>
  <c r="P100" i="1"/>
  <c r="HA74" i="8"/>
  <c r="H74" i="8"/>
  <c r="K65" i="8"/>
  <c r="DS65" i="8"/>
  <c r="GM33" i="1"/>
  <c r="GN33" i="1" s="1"/>
  <c r="EB26" i="1"/>
  <c r="GM36" i="1"/>
  <c r="GN36" i="1" s="1"/>
  <c r="DO26" i="1"/>
  <c r="P109" i="1"/>
  <c r="H62" i="8"/>
  <c r="HA62" i="8"/>
  <c r="J61" i="8"/>
  <c r="GM30" i="1"/>
  <c r="GN30" i="1" s="1"/>
  <c r="K51" i="8"/>
  <c r="DS51" i="8"/>
  <c r="H61" i="8"/>
  <c r="EC85" i="1"/>
  <c r="EC26" i="1" s="1"/>
  <c r="U54" i="8"/>
  <c r="HF52" i="8"/>
  <c r="DQ52" i="8"/>
  <c r="I50" i="8" s="1"/>
  <c r="HB52" i="8"/>
  <c r="I52" i="8"/>
  <c r="HN52" i="8"/>
  <c r="GL52" i="8"/>
  <c r="HL52" i="8"/>
  <c r="GJ52" i="8"/>
  <c r="DV85" i="1"/>
  <c r="U52" i="8"/>
  <c r="Q85" i="1"/>
  <c r="F97" i="1" s="1"/>
  <c r="AL282" i="1"/>
  <c r="AL117" i="1" s="1"/>
  <c r="P431" i="1"/>
  <c r="AF117" i="1"/>
  <c r="S282" i="1"/>
  <c r="EU22" i="1"/>
  <c r="EU473" i="1"/>
  <c r="P453" i="1"/>
  <c r="AE314" i="1"/>
  <c r="R407" i="1"/>
  <c r="AL407" i="1"/>
  <c r="GM139" i="1"/>
  <c r="GN139" i="1" s="1"/>
  <c r="AK282" i="1"/>
  <c r="W117" i="1"/>
  <c r="F306" i="1"/>
  <c r="AX314" i="1"/>
  <c r="F414" i="1"/>
  <c r="GM357" i="1"/>
  <c r="GN357" i="1" s="1"/>
  <c r="AO22" i="1"/>
  <c r="F441" i="1"/>
  <c r="AO473" i="1"/>
  <c r="U314" i="1"/>
  <c r="F429" i="1"/>
  <c r="GM276" i="1"/>
  <c r="GN276" i="1" s="1"/>
  <c r="AC314" i="1"/>
  <c r="P407" i="1"/>
  <c r="CE407" i="1"/>
  <c r="CF407" i="1"/>
  <c r="CH407" i="1"/>
  <c r="GM239" i="1"/>
  <c r="GO239" i="1" s="1"/>
  <c r="AC117" i="1"/>
  <c r="CF282" i="1"/>
  <c r="CH282" i="1"/>
  <c r="P282" i="1"/>
  <c r="CE282" i="1"/>
  <c r="DL26" i="1"/>
  <c r="P106" i="1"/>
  <c r="DL314" i="1"/>
  <c r="P428" i="1"/>
  <c r="DW117" i="1"/>
  <c r="DJ282" i="1"/>
  <c r="ET22" i="1"/>
  <c r="ET473" i="1"/>
  <c r="P450" i="1"/>
  <c r="BD22" i="1"/>
  <c r="F462" i="1"/>
  <c r="BD473" i="1"/>
  <c r="AK85" i="1"/>
  <c r="GM319" i="1"/>
  <c r="GN319" i="1" s="1"/>
  <c r="DZ117" i="1"/>
  <c r="DM282" i="1"/>
  <c r="GM119" i="1"/>
  <c r="AB282" i="1"/>
  <c r="ED85" i="1"/>
  <c r="AB407" i="1"/>
  <c r="DJ314" i="1"/>
  <c r="P421" i="1"/>
  <c r="T117" i="1"/>
  <c r="F303" i="1"/>
  <c r="BB22" i="1"/>
  <c r="F450" i="1"/>
  <c r="BB473" i="1"/>
  <c r="Q117" i="1"/>
  <c r="F294" i="1"/>
  <c r="R26" i="1"/>
  <c r="F99" i="1"/>
  <c r="GM223" i="1"/>
  <c r="GN223" i="1" s="1"/>
  <c r="EG22" i="1"/>
  <c r="EG473" i="1"/>
  <c r="P441" i="1"/>
  <c r="GM28" i="1"/>
  <c r="AB85" i="1"/>
  <c r="GM349" i="1"/>
  <c r="GN349" i="1" s="1"/>
  <c r="CY122" i="1"/>
  <c r="X122" i="1" s="1"/>
  <c r="EC282" i="1" s="1"/>
  <c r="CZ122" i="1"/>
  <c r="Y122" i="1" s="1"/>
  <c r="ED282" i="1" s="1"/>
  <c r="DX282" i="1"/>
  <c r="V26" i="1"/>
  <c r="F108" i="1"/>
  <c r="ER314" i="1"/>
  <c r="P418" i="1"/>
  <c r="EB117" i="1"/>
  <c r="DO282" i="1"/>
  <c r="AL85" i="1"/>
  <c r="DW26" i="1"/>
  <c r="DJ85" i="1"/>
  <c r="GM316" i="1"/>
  <c r="AF314" i="1"/>
  <c r="S407" i="1"/>
  <c r="DN117" i="1"/>
  <c r="P305" i="1"/>
  <c r="EV22" i="1"/>
  <c r="EV473" i="1"/>
  <c r="P462" i="1"/>
  <c r="T26" i="1"/>
  <c r="F106" i="1"/>
  <c r="AC26" i="1"/>
  <c r="CH85" i="1"/>
  <c r="P85" i="1"/>
  <c r="CE85" i="1"/>
  <c r="CF85" i="1"/>
  <c r="DN314" i="1"/>
  <c r="V117" i="1"/>
  <c r="F305" i="1"/>
  <c r="DU314" i="1"/>
  <c r="FZ407" i="1"/>
  <c r="DH407" i="1"/>
  <c r="FW407" i="1"/>
  <c r="FX407" i="1"/>
  <c r="GM124" i="1"/>
  <c r="GN124" i="1" s="1"/>
  <c r="BC22" i="1"/>
  <c r="F453" i="1"/>
  <c r="BC473" i="1"/>
  <c r="DX314" i="1"/>
  <c r="DK407" i="1"/>
  <c r="DY117" i="1"/>
  <c r="DL282" i="1"/>
  <c r="DN26" i="1"/>
  <c r="P108" i="1"/>
  <c r="AF26" i="1"/>
  <c r="S85" i="1"/>
  <c r="DU26" i="1"/>
  <c r="FX85" i="1"/>
  <c r="FZ85" i="1"/>
  <c r="DH85" i="1"/>
  <c r="FW85" i="1"/>
  <c r="DS93" i="8" l="1"/>
  <c r="K333" i="8"/>
  <c r="DS274" i="8"/>
  <c r="DS400" i="8"/>
  <c r="DS92" i="8"/>
  <c r="S414" i="8"/>
  <c r="J414" i="8" s="1"/>
  <c r="S256" i="8"/>
  <c r="J256" i="8" s="1"/>
  <c r="K304" i="8"/>
  <c r="S700" i="8"/>
  <c r="J700" i="8" s="1"/>
  <c r="K692" i="8"/>
  <c r="DS692" i="8"/>
  <c r="S74" i="8"/>
  <c r="J74" i="8" s="1"/>
  <c r="DS68" i="8"/>
  <c r="K64" i="8" s="1"/>
  <c r="FU85" i="1"/>
  <c r="FU26" i="1" s="1"/>
  <c r="DS69" i="8"/>
  <c r="K648" i="8"/>
  <c r="P105" i="1"/>
  <c r="EP314" i="1"/>
  <c r="K232" i="8"/>
  <c r="K235" i="8"/>
  <c r="K118" i="8"/>
  <c r="DN437" i="1"/>
  <c r="DN473" i="1" s="1"/>
  <c r="P430" i="1"/>
  <c r="DS704" i="8"/>
  <c r="DS607" i="8"/>
  <c r="K704" i="8"/>
  <c r="DS594" i="8"/>
  <c r="K361" i="8"/>
  <c r="S619" i="8"/>
  <c r="J619" i="8" s="1"/>
  <c r="DS608" i="8"/>
  <c r="S746" i="8"/>
  <c r="J746" i="8" s="1"/>
  <c r="DS738" i="8"/>
  <c r="K735" i="8" s="1"/>
  <c r="DI407" i="1"/>
  <c r="DA19" i="10" s="1"/>
  <c r="V314" i="1"/>
  <c r="V437" i="1"/>
  <c r="F460" i="1" s="1"/>
  <c r="DS332" i="8"/>
  <c r="K328" i="8" s="1"/>
  <c r="DS440" i="8"/>
  <c r="S298" i="8"/>
  <c r="J298" i="8" s="1"/>
  <c r="S479" i="8"/>
  <c r="J479" i="8" s="1"/>
  <c r="CC407" i="1"/>
  <c r="CC314" i="1" s="1"/>
  <c r="DS262" i="8"/>
  <c r="K258" i="8" s="1"/>
  <c r="K81" i="8"/>
  <c r="S270" i="8"/>
  <c r="J270" i="8" s="1"/>
  <c r="DS578" i="8"/>
  <c r="S434" i="8"/>
  <c r="J434" i="8" s="1"/>
  <c r="EU19" i="7"/>
  <c r="DS360" i="8"/>
  <c r="DS250" i="8"/>
  <c r="S601" i="8"/>
  <c r="J601" i="8" s="1"/>
  <c r="S672" i="8"/>
  <c r="J672" i="8" s="1"/>
  <c r="DS718" i="8"/>
  <c r="DS441" i="8"/>
  <c r="K305" i="8"/>
  <c r="K330" i="8"/>
  <c r="S354" i="8"/>
  <c r="J354" i="8" s="1"/>
  <c r="DS663" i="8"/>
  <c r="S326" i="8"/>
  <c r="J326" i="8" s="1"/>
  <c r="DS593" i="8"/>
  <c r="S733" i="8"/>
  <c r="J733" i="8" s="1"/>
  <c r="FO19" i="7"/>
  <c r="DS221" i="8"/>
  <c r="S464" i="8"/>
  <c r="J464" i="8" s="1"/>
  <c r="DM19" i="10"/>
  <c r="CC85" i="1"/>
  <c r="CC26" i="1" s="1"/>
  <c r="P414" i="1"/>
  <c r="P427" i="1"/>
  <c r="DS689" i="8"/>
  <c r="K785" i="8"/>
  <c r="DW19" i="10"/>
  <c r="K689" i="8"/>
  <c r="DG19" i="7"/>
  <c r="DW19" i="7"/>
  <c r="W437" i="1"/>
  <c r="F461" i="1" s="1"/>
  <c r="ET19" i="7"/>
  <c r="W314" i="1"/>
  <c r="F418" i="1"/>
  <c r="P429" i="1"/>
  <c r="DM314" i="1"/>
  <c r="ET19" i="10"/>
  <c r="CW19" i="10"/>
  <c r="DM19" i="7"/>
  <c r="H818" i="8"/>
  <c r="EU19" i="10"/>
  <c r="T437" i="1"/>
  <c r="T22" i="1" s="1"/>
  <c r="F428" i="1"/>
  <c r="H819" i="8"/>
  <c r="CX19" i="10"/>
  <c r="AK314" i="1"/>
  <c r="DS471" i="8"/>
  <c r="I554" i="8"/>
  <c r="S382" i="8"/>
  <c r="J382" i="8" s="1"/>
  <c r="DH282" i="1"/>
  <c r="DC17" i="10" s="1"/>
  <c r="FZ282" i="1"/>
  <c r="EQ282" i="1" s="1"/>
  <c r="G112" i="15"/>
  <c r="DU117" i="1"/>
  <c r="FX282" i="1"/>
  <c r="EO282" i="1" s="1"/>
  <c r="GM29" i="1"/>
  <c r="GN29" i="1" s="1"/>
  <c r="FT85" i="1" s="1"/>
  <c r="F96" i="1"/>
  <c r="U26" i="1"/>
  <c r="S587" i="8"/>
  <c r="J587" i="8" s="1"/>
  <c r="I200" i="8"/>
  <c r="I202" i="8" s="1"/>
  <c r="DS218" i="8"/>
  <c r="S114" i="8"/>
  <c r="J114" i="8" s="1"/>
  <c r="IH15" i="7"/>
  <c r="S656" i="8"/>
  <c r="J656" i="8" s="1"/>
  <c r="S639" i="8"/>
  <c r="J639" i="8" s="1"/>
  <c r="II15" i="7"/>
  <c r="S450" i="8"/>
  <c r="J450" i="8" s="1"/>
  <c r="DS55" i="8"/>
  <c r="DS438" i="8"/>
  <c r="K626" i="8"/>
  <c r="Q314" i="1"/>
  <c r="F109" i="1"/>
  <c r="W26" i="1"/>
  <c r="DS121" i="8"/>
  <c r="DS662" i="8"/>
  <c r="K658" i="8" s="1"/>
  <c r="K662" i="8"/>
  <c r="S142" i="8"/>
  <c r="J142" i="8" s="1"/>
  <c r="S244" i="8"/>
  <c r="J244" i="8" s="1"/>
  <c r="DS577" i="8"/>
  <c r="DS625" i="8"/>
  <c r="K621" i="8" s="1"/>
  <c r="EV15" i="7"/>
  <c r="K646" i="8"/>
  <c r="DS646" i="8"/>
  <c r="K644" i="8" s="1"/>
  <c r="K90" i="8"/>
  <c r="CZ19" i="10"/>
  <c r="DC19" i="10"/>
  <c r="DJ20" i="10"/>
  <c r="DS20" i="10"/>
  <c r="DI20" i="10"/>
  <c r="EM22" i="1"/>
  <c r="DT20" i="10"/>
  <c r="EV19" i="7"/>
  <c r="I759" i="8"/>
  <c r="FR19" i="7"/>
  <c r="II19" i="7"/>
  <c r="IH19" i="7"/>
  <c r="AQ22" i="1"/>
  <c r="I804" i="8"/>
  <c r="I809" i="8"/>
  <c r="I811" i="8" s="1"/>
  <c r="FN19" i="7"/>
  <c r="GB19" i="7"/>
  <c r="I779" i="8"/>
  <c r="EX19" i="7"/>
  <c r="K761" i="8"/>
  <c r="CZ19" i="7"/>
  <c r="K790" i="8"/>
  <c r="K814" i="8"/>
  <c r="DC19" i="7"/>
  <c r="DK17" i="10"/>
  <c r="DG17" i="10"/>
  <c r="K457" i="8"/>
  <c r="DS457" i="8"/>
  <c r="DS277" i="8"/>
  <c r="K277" i="8"/>
  <c r="K501" i="8"/>
  <c r="DS501" i="8"/>
  <c r="K497" i="8" s="1"/>
  <c r="K472" i="8"/>
  <c r="DS472" i="8"/>
  <c r="DL17" i="7"/>
  <c r="DL17" i="10"/>
  <c r="ET17" i="10"/>
  <c r="CW17" i="10"/>
  <c r="DM17" i="7"/>
  <c r="DM17" i="10"/>
  <c r="DA17" i="10"/>
  <c r="DS421" i="8"/>
  <c r="K421" i="8"/>
  <c r="DB17" i="10"/>
  <c r="DS389" i="8"/>
  <c r="K384" i="8" s="1"/>
  <c r="K389" i="8"/>
  <c r="DS251" i="8"/>
  <c r="K251" i="8"/>
  <c r="K456" i="8"/>
  <c r="DS456" i="8"/>
  <c r="DS420" i="8"/>
  <c r="K420" i="8"/>
  <c r="GC20" i="7"/>
  <c r="FO20" i="7"/>
  <c r="IJ20" i="7"/>
  <c r="P821" i="8"/>
  <c r="I870" i="8"/>
  <c r="K276" i="8"/>
  <c r="DS276" i="8"/>
  <c r="K234" i="8"/>
  <c r="DS234" i="8"/>
  <c r="K230" i="8" s="1"/>
  <c r="U437" i="1"/>
  <c r="F459" i="1" s="1"/>
  <c r="F304" i="1"/>
  <c r="K220" i="8"/>
  <c r="DS220" i="8"/>
  <c r="R437" i="1"/>
  <c r="F451" i="1" s="1"/>
  <c r="F296" i="1"/>
  <c r="K181" i="8"/>
  <c r="DB15" i="10"/>
  <c r="ET15" i="10"/>
  <c r="CW15" i="10"/>
  <c r="DC15" i="10"/>
  <c r="ER26" i="1"/>
  <c r="DK15" i="10"/>
  <c r="DW15" i="7"/>
  <c r="DW15" i="10"/>
  <c r="K120" i="8"/>
  <c r="DS120" i="8"/>
  <c r="K80" i="8"/>
  <c r="DS80" i="8"/>
  <c r="K76" i="8" s="1"/>
  <c r="FN20" i="7"/>
  <c r="II20" i="7"/>
  <c r="FR20" i="7"/>
  <c r="I844" i="8"/>
  <c r="GB20" i="7"/>
  <c r="EX20" i="7"/>
  <c r="I869" i="8"/>
  <c r="IH20" i="7"/>
  <c r="I824" i="8"/>
  <c r="I874" i="8"/>
  <c r="I876" i="8" s="1"/>
  <c r="I877" i="8" s="1"/>
  <c r="I879" i="8" s="1"/>
  <c r="I37" i="8" s="1"/>
  <c r="EV20" i="7"/>
  <c r="EI22" i="1"/>
  <c r="DJ20" i="7"/>
  <c r="K863" i="8"/>
  <c r="EH22" i="1"/>
  <c r="K862" i="8"/>
  <c r="DI20" i="7"/>
  <c r="K871" i="8"/>
  <c r="K860" i="8"/>
  <c r="DS20" i="7"/>
  <c r="EM473" i="1"/>
  <c r="P492" i="1" s="1"/>
  <c r="K872" i="8"/>
  <c r="DT20" i="7"/>
  <c r="P456" i="1"/>
  <c r="DT85" i="1"/>
  <c r="DT26" i="1" s="1"/>
  <c r="AQ473" i="1"/>
  <c r="AQ18" i="1" s="1"/>
  <c r="F302" i="1"/>
  <c r="K748" i="8"/>
  <c r="EL407" i="1"/>
  <c r="FU314" i="1"/>
  <c r="DT407" i="1"/>
  <c r="DG407" i="1" s="1"/>
  <c r="K717" i="8"/>
  <c r="DS717" i="8"/>
  <c r="K702" i="8"/>
  <c r="DP407" i="1"/>
  <c r="P447" i="1"/>
  <c r="EI473" i="1"/>
  <c r="P483" i="1" s="1"/>
  <c r="K674" i="8"/>
  <c r="Q26" i="1"/>
  <c r="H672" i="8"/>
  <c r="HA672" i="8"/>
  <c r="I756" i="8" s="1"/>
  <c r="BA437" i="1"/>
  <c r="BA22" i="1" s="1"/>
  <c r="F105" i="1"/>
  <c r="EV17" i="7"/>
  <c r="P446" i="1"/>
  <c r="V16" i="2" s="1"/>
  <c r="V18" i="2" s="1"/>
  <c r="EH473" i="1"/>
  <c r="EH18" i="1" s="1"/>
  <c r="F446" i="1"/>
  <c r="G16" i="2" s="1"/>
  <c r="G18" i="2" s="1"/>
  <c r="AP473" i="1"/>
  <c r="AP18" i="1" s="1"/>
  <c r="FO17" i="7"/>
  <c r="K603" i="8"/>
  <c r="DQ407" i="1"/>
  <c r="GC17" i="7"/>
  <c r="H434" i="8"/>
  <c r="CC282" i="1"/>
  <c r="CC117" i="1" s="1"/>
  <c r="IJ17" i="7"/>
  <c r="IH17" i="7"/>
  <c r="I553" i="8"/>
  <c r="II17" i="7"/>
  <c r="I551" i="8"/>
  <c r="I505" i="8"/>
  <c r="FM17" i="7"/>
  <c r="K528" i="8"/>
  <c r="DA17" i="7"/>
  <c r="I558" i="8"/>
  <c r="I560" i="8" s="1"/>
  <c r="ES437" i="1"/>
  <c r="DW20" i="10" s="1"/>
  <c r="DW17" i="7"/>
  <c r="EP437" i="1"/>
  <c r="K534" i="8"/>
  <c r="DG17" i="7"/>
  <c r="P505" i="8"/>
  <c r="FN17" i="7"/>
  <c r="GB17" i="7"/>
  <c r="I528" i="8"/>
  <c r="EX17" i="7"/>
  <c r="ER117" i="1"/>
  <c r="K548" i="8"/>
  <c r="DK17" i="7"/>
  <c r="I508" i="8"/>
  <c r="FR17" i="7"/>
  <c r="H567" i="8"/>
  <c r="CW17" i="7"/>
  <c r="ET17" i="7"/>
  <c r="DB17" i="7"/>
  <c r="K530" i="8"/>
  <c r="P289" i="1"/>
  <c r="F289" i="1"/>
  <c r="ES117" i="1"/>
  <c r="AX437" i="1"/>
  <c r="AX473" i="1" s="1"/>
  <c r="K484" i="8"/>
  <c r="FU282" i="1"/>
  <c r="FU117" i="1" s="1"/>
  <c r="DT282" i="1"/>
  <c r="DT117" i="1" s="1"/>
  <c r="AU473" i="1"/>
  <c r="F492" i="1" s="1"/>
  <c r="DS401" i="8"/>
  <c r="K396" i="8" s="1"/>
  <c r="K401" i="8"/>
  <c r="P96" i="1"/>
  <c r="K356" i="8"/>
  <c r="AZ117" i="1"/>
  <c r="DV117" i="1"/>
  <c r="K300" i="8"/>
  <c r="AU22" i="1"/>
  <c r="AZ437" i="1"/>
  <c r="F448" i="1" s="1"/>
  <c r="P293" i="1"/>
  <c r="P302" i="1"/>
  <c r="S228" i="8"/>
  <c r="CW15" i="7"/>
  <c r="DM26" i="1"/>
  <c r="ET15" i="7"/>
  <c r="P107" i="1"/>
  <c r="H209" i="8"/>
  <c r="GB15" i="7"/>
  <c r="I170" i="8"/>
  <c r="EX15" i="7"/>
  <c r="FN15" i="7"/>
  <c r="K205" i="8"/>
  <c r="DC15" i="7"/>
  <c r="DB15" i="7"/>
  <c r="K172" i="8"/>
  <c r="FR15" i="7"/>
  <c r="ER437" i="1"/>
  <c r="K190" i="8"/>
  <c r="DK15" i="7"/>
  <c r="I195" i="8"/>
  <c r="I193" i="8"/>
  <c r="I147" i="8"/>
  <c r="FM15" i="7"/>
  <c r="I150" i="8"/>
  <c r="Q437" i="1"/>
  <c r="Q473" i="1" s="1"/>
  <c r="K88" i="8"/>
  <c r="S62" i="8"/>
  <c r="DP85" i="1"/>
  <c r="K54" i="8"/>
  <c r="DS54" i="8"/>
  <c r="K52" i="8"/>
  <c r="DS52" i="8"/>
  <c r="DV26" i="1"/>
  <c r="DI85" i="1"/>
  <c r="Y282" i="1"/>
  <c r="Y117" i="1" s="1"/>
  <c r="FT407" i="1"/>
  <c r="ED26" i="1"/>
  <c r="DQ85" i="1"/>
  <c r="AB117" i="1"/>
  <c r="O282" i="1"/>
  <c r="AK26" i="1"/>
  <c r="X85" i="1"/>
  <c r="BD18" i="1"/>
  <c r="F498" i="1"/>
  <c r="ET18" i="1"/>
  <c r="P486" i="1"/>
  <c r="X314" i="1"/>
  <c r="F433" i="1"/>
  <c r="CF117" i="1"/>
  <c r="AW282" i="1"/>
  <c r="CF314" i="1"/>
  <c r="AW407" i="1"/>
  <c r="AK117" i="1"/>
  <c r="X282" i="1"/>
  <c r="EU18" i="1"/>
  <c r="P489" i="1"/>
  <c r="FX26" i="1"/>
  <c r="EO85" i="1"/>
  <c r="FZ314" i="1"/>
  <c r="EQ407" i="1"/>
  <c r="CF26" i="1"/>
  <c r="AW85" i="1"/>
  <c r="GN316" i="1"/>
  <c r="CB407" i="1" s="1"/>
  <c r="CA407" i="1"/>
  <c r="EG18" i="1"/>
  <c r="P477" i="1"/>
  <c r="DK314" i="1"/>
  <c r="P422" i="1"/>
  <c r="GN120" i="1"/>
  <c r="DJ26" i="1"/>
  <c r="P99" i="1"/>
  <c r="DJ437" i="1"/>
  <c r="AL26" i="1"/>
  <c r="Y85" i="1"/>
  <c r="DX117" i="1"/>
  <c r="DK282" i="1"/>
  <c r="AB26" i="1"/>
  <c r="O85" i="1"/>
  <c r="GN119" i="1"/>
  <c r="CB282" i="1" s="1"/>
  <c r="CA282" i="1"/>
  <c r="CE117" i="1"/>
  <c r="AV282" i="1"/>
  <c r="CE314" i="1"/>
  <c r="AV407" i="1"/>
  <c r="GM122" i="1"/>
  <c r="GN122" i="1" s="1"/>
  <c r="R314" i="1"/>
  <c r="F421" i="1"/>
  <c r="S117" i="1"/>
  <c r="F297" i="1"/>
  <c r="DI117" i="1"/>
  <c r="P294" i="1"/>
  <c r="DO117" i="1"/>
  <c r="P306" i="1"/>
  <c r="DO437" i="1"/>
  <c r="ED117" i="1"/>
  <c r="DQ282" i="1"/>
  <c r="GN28" i="1"/>
  <c r="CB85" i="1" s="1"/>
  <c r="CA85" i="1"/>
  <c r="BB18" i="1"/>
  <c r="F486" i="1"/>
  <c r="DM117" i="1"/>
  <c r="P304" i="1"/>
  <c r="DM437" i="1"/>
  <c r="DJ117" i="1"/>
  <c r="P296" i="1"/>
  <c r="P117" i="1"/>
  <c r="F285" i="1"/>
  <c r="P314" i="1"/>
  <c r="F410" i="1"/>
  <c r="AO18" i="1"/>
  <c r="F477" i="1"/>
  <c r="AL314" i="1"/>
  <c r="Y407" i="1"/>
  <c r="FW26" i="1"/>
  <c r="EN85" i="1"/>
  <c r="FX314" i="1"/>
  <c r="EO407" i="1"/>
  <c r="CE26" i="1"/>
  <c r="AV85" i="1"/>
  <c r="DH26" i="1"/>
  <c r="P88" i="1"/>
  <c r="S26" i="1"/>
  <c r="F100" i="1"/>
  <c r="S437" i="1"/>
  <c r="FW314" i="1"/>
  <c r="EN407" i="1"/>
  <c r="P26" i="1"/>
  <c r="F88" i="1"/>
  <c r="P437" i="1"/>
  <c r="FZ26" i="1"/>
  <c r="EQ85" i="1"/>
  <c r="DL117" i="1"/>
  <c r="P303" i="1"/>
  <c r="BC18" i="1"/>
  <c r="F489" i="1"/>
  <c r="DH314" i="1"/>
  <c r="P410" i="1"/>
  <c r="CH26" i="1"/>
  <c r="AY85" i="1"/>
  <c r="EV18" i="1"/>
  <c r="P498" i="1"/>
  <c r="S314" i="1"/>
  <c r="F422" i="1"/>
  <c r="EC117" i="1"/>
  <c r="DP282" i="1"/>
  <c r="FW117" i="1"/>
  <c r="EN282" i="1"/>
  <c r="FS407" i="1"/>
  <c r="AB314" i="1"/>
  <c r="O407" i="1"/>
  <c r="DL437" i="1"/>
  <c r="CH117" i="1"/>
  <c r="AY282" i="1"/>
  <c r="CH314" i="1"/>
  <c r="AY407" i="1"/>
  <c r="FS85" i="1" l="1"/>
  <c r="EJ85" i="1" s="1"/>
  <c r="P460" i="1"/>
  <c r="AT407" i="1"/>
  <c r="AT314" i="1" s="1"/>
  <c r="DN22" i="1"/>
  <c r="CX20" i="7"/>
  <c r="K687" i="8"/>
  <c r="FZ117" i="1"/>
  <c r="P285" i="1"/>
  <c r="EL85" i="1"/>
  <c r="K196" i="8" s="1"/>
  <c r="W22" i="1"/>
  <c r="H889" i="8"/>
  <c r="EU20" i="10"/>
  <c r="AT85" i="1"/>
  <c r="F103" i="1" s="1"/>
  <c r="V473" i="1"/>
  <c r="F496" i="1" s="1"/>
  <c r="EU20" i="7"/>
  <c r="CX20" i="10"/>
  <c r="DH437" i="1"/>
  <c r="DC20" i="10" s="1"/>
  <c r="V22" i="1"/>
  <c r="K573" i="8"/>
  <c r="DH117" i="1"/>
  <c r="K713" i="8"/>
  <c r="DI314" i="1"/>
  <c r="K452" i="8"/>
  <c r="DA19" i="7"/>
  <c r="K215" i="8"/>
  <c r="K272" i="8"/>
  <c r="K779" i="8"/>
  <c r="P419" i="1"/>
  <c r="K589" i="8"/>
  <c r="W473" i="1"/>
  <c r="F497" i="1" s="1"/>
  <c r="K246" i="8"/>
  <c r="K416" i="8"/>
  <c r="K436" i="8"/>
  <c r="DC17" i="7"/>
  <c r="K466" i="8"/>
  <c r="K563" i="8"/>
  <c r="Q756" i="8"/>
  <c r="F458" i="1"/>
  <c r="T473" i="1"/>
  <c r="T18" i="1" s="1"/>
  <c r="U22" i="1"/>
  <c r="R22" i="1"/>
  <c r="FX117" i="1"/>
  <c r="K116" i="8"/>
  <c r="Q821" i="8"/>
  <c r="R473" i="1"/>
  <c r="F487" i="1" s="1"/>
  <c r="U473" i="1"/>
  <c r="F495" i="1" s="1"/>
  <c r="DQ314" i="1"/>
  <c r="DO19" i="10"/>
  <c r="DP314" i="1"/>
  <c r="DN19" i="10"/>
  <c r="K759" i="8"/>
  <c r="DF19" i="10"/>
  <c r="DH19" i="10"/>
  <c r="CY19" i="7"/>
  <c r="CY19" i="10"/>
  <c r="DE19" i="10"/>
  <c r="P425" i="1"/>
  <c r="DR19" i="10"/>
  <c r="EI18" i="1"/>
  <c r="DG20" i="10"/>
  <c r="CW20" i="10"/>
  <c r="ET20" i="10"/>
  <c r="DL20" i="7"/>
  <c r="DL20" i="10"/>
  <c r="F482" i="1"/>
  <c r="DM20" i="7"/>
  <c r="DM20" i="10"/>
  <c r="DB20" i="10"/>
  <c r="DK20" i="10"/>
  <c r="I802" i="8"/>
  <c r="FM20" i="7"/>
  <c r="FM19" i="7"/>
  <c r="I821" i="8"/>
  <c r="I867" i="8"/>
  <c r="EL314" i="1"/>
  <c r="P434" i="1"/>
  <c r="K817" i="8"/>
  <c r="DE19" i="7"/>
  <c r="DO19" i="7"/>
  <c r="K793" i="8"/>
  <c r="DT314" i="1"/>
  <c r="P433" i="1"/>
  <c r="K792" i="8"/>
  <c r="DN19" i="7"/>
  <c r="K784" i="8"/>
  <c r="DF19" i="7"/>
  <c r="K782" i="8"/>
  <c r="K786" i="8"/>
  <c r="DH19" i="7"/>
  <c r="DR19" i="7"/>
  <c r="K805" i="8"/>
  <c r="DE17" i="10"/>
  <c r="DH17" i="10"/>
  <c r="CZ17" i="10"/>
  <c r="DN17" i="10"/>
  <c r="DF17" i="10"/>
  <c r="DO17" i="10"/>
  <c r="EM18" i="1"/>
  <c r="AT282" i="1"/>
  <c r="DA15" i="10"/>
  <c r="DE15" i="10"/>
  <c r="P111" i="1"/>
  <c r="DN15" i="10"/>
  <c r="DH15" i="10"/>
  <c r="DF15" i="10"/>
  <c r="DO15" i="10"/>
  <c r="DG85" i="1"/>
  <c r="P87" i="1" s="1"/>
  <c r="F483" i="1"/>
  <c r="J39" i="8"/>
  <c r="I39" i="8"/>
  <c r="CW20" i="7"/>
  <c r="ET20" i="7"/>
  <c r="H888" i="8"/>
  <c r="DB20" i="7"/>
  <c r="K846" i="8"/>
  <c r="EP22" i="1"/>
  <c r="K850" i="8"/>
  <c r="DG20" i="7"/>
  <c r="ER22" i="1"/>
  <c r="K864" i="8"/>
  <c r="DK20" i="7"/>
  <c r="P457" i="1"/>
  <c r="W16" i="2" s="1"/>
  <c r="W18" i="2" s="1"/>
  <c r="DW20" i="7"/>
  <c r="P482" i="1"/>
  <c r="BA473" i="1"/>
  <c r="F493" i="1" s="1"/>
  <c r="F457" i="1"/>
  <c r="H16" i="2" s="1"/>
  <c r="H18" i="2" s="1"/>
  <c r="AZ22" i="1"/>
  <c r="ES473" i="1"/>
  <c r="ES18" i="1" s="1"/>
  <c r="EP473" i="1"/>
  <c r="P480" i="1" s="1"/>
  <c r="AZ473" i="1"/>
  <c r="AZ18" i="1" s="1"/>
  <c r="ES22" i="1"/>
  <c r="P444" i="1"/>
  <c r="F444" i="1"/>
  <c r="DP26" i="1"/>
  <c r="K531" i="8"/>
  <c r="DF17" i="7"/>
  <c r="K533" i="8"/>
  <c r="K542" i="8"/>
  <c r="DO17" i="7"/>
  <c r="K539" i="8"/>
  <c r="K508" i="8"/>
  <c r="K510" i="8"/>
  <c r="CZ17" i="7"/>
  <c r="DE17" i="7"/>
  <c r="K566" i="8"/>
  <c r="J228" i="8"/>
  <c r="Q505" i="8"/>
  <c r="DN17" i="7"/>
  <c r="K541" i="8"/>
  <c r="K535" i="8"/>
  <c r="DH17" i="7"/>
  <c r="F309" i="1"/>
  <c r="AX22" i="1"/>
  <c r="EL282" i="1"/>
  <c r="P448" i="1"/>
  <c r="AU18" i="1"/>
  <c r="DG282" i="1"/>
  <c r="ER473" i="1"/>
  <c r="P484" i="1" s="1"/>
  <c r="F449" i="1"/>
  <c r="Q22" i="1"/>
  <c r="K177" i="8"/>
  <c r="DH15" i="7"/>
  <c r="J62" i="8"/>
  <c r="Q147" i="8"/>
  <c r="DE15" i="7"/>
  <c r="K208" i="8"/>
  <c r="K173" i="8"/>
  <c r="DF15" i="7"/>
  <c r="K175" i="8"/>
  <c r="K184" i="8"/>
  <c r="DO15" i="7"/>
  <c r="DI437" i="1"/>
  <c r="K170" i="8"/>
  <c r="DA15" i="7"/>
  <c r="K150" i="8"/>
  <c r="DN15" i="7"/>
  <c r="K183" i="8"/>
  <c r="DP437" i="1"/>
  <c r="K50" i="8"/>
  <c r="DI26" i="1"/>
  <c r="P97" i="1"/>
  <c r="O314" i="1"/>
  <c r="F409" i="1"/>
  <c r="AY26" i="1"/>
  <c r="F93" i="1"/>
  <c r="AY437" i="1"/>
  <c r="CB26" i="1"/>
  <c r="AS85" i="1"/>
  <c r="EN314" i="1"/>
  <c r="P412" i="1"/>
  <c r="Y314" i="1"/>
  <c r="F434" i="1"/>
  <c r="EO117" i="1"/>
  <c r="P288" i="1"/>
  <c r="DQ117" i="1"/>
  <c r="P309" i="1"/>
  <c r="AV314" i="1"/>
  <c r="F412" i="1"/>
  <c r="FS26" i="1"/>
  <c r="O26" i="1"/>
  <c r="F87" i="1"/>
  <c r="O437" i="1"/>
  <c r="AX18" i="1"/>
  <c r="F480" i="1"/>
  <c r="Q18" i="1"/>
  <c r="F485" i="1"/>
  <c r="FT282" i="1"/>
  <c r="CB314" i="1"/>
  <c r="AS407" i="1"/>
  <c r="EO26" i="1"/>
  <c r="P91" i="1"/>
  <c r="EO437" i="1"/>
  <c r="X26" i="1"/>
  <c r="F111" i="1"/>
  <c r="X437" i="1"/>
  <c r="DQ26" i="1"/>
  <c r="P112" i="1"/>
  <c r="DQ437" i="1"/>
  <c r="AY314" i="1"/>
  <c r="F415" i="1"/>
  <c r="FS314" i="1"/>
  <c r="EJ407" i="1"/>
  <c r="AY117" i="1"/>
  <c r="F290" i="1"/>
  <c r="DL22" i="1"/>
  <c r="P458" i="1"/>
  <c r="DL473" i="1"/>
  <c r="EN117" i="1"/>
  <c r="P287" i="1"/>
  <c r="P22" i="1"/>
  <c r="P473" i="1"/>
  <c r="F440" i="1"/>
  <c r="S22" i="1"/>
  <c r="F452" i="1"/>
  <c r="S473" i="1"/>
  <c r="AV26" i="1"/>
  <c r="F90" i="1"/>
  <c r="AV437" i="1"/>
  <c r="EN26" i="1"/>
  <c r="P90" i="1"/>
  <c r="EN437" i="1"/>
  <c r="DG314" i="1"/>
  <c r="P409" i="1"/>
  <c r="DO22" i="1"/>
  <c r="DO473" i="1"/>
  <c r="P461" i="1"/>
  <c r="FT26" i="1"/>
  <c r="EK85" i="1"/>
  <c r="DJ22" i="1"/>
  <c r="P451" i="1"/>
  <c r="DJ473" i="1"/>
  <c r="AW26" i="1"/>
  <c r="F91" i="1"/>
  <c r="AW437" i="1"/>
  <c r="AW117" i="1"/>
  <c r="F288" i="1"/>
  <c r="CA26" i="1"/>
  <c r="AR85" i="1"/>
  <c r="AV117" i="1"/>
  <c r="F287" i="1"/>
  <c r="CA117" i="1"/>
  <c r="AR282" i="1"/>
  <c r="EQ117" i="1"/>
  <c r="P290" i="1"/>
  <c r="DK117" i="1"/>
  <c r="P297" i="1"/>
  <c r="DK437" i="1"/>
  <c r="DN18" i="1"/>
  <c r="P496" i="1"/>
  <c r="X117" i="1"/>
  <c r="F308" i="1"/>
  <c r="O117" i="1"/>
  <c r="F284" i="1"/>
  <c r="FT314" i="1"/>
  <c r="EK407" i="1"/>
  <c r="DP117" i="1"/>
  <c r="P308" i="1"/>
  <c r="EQ26" i="1"/>
  <c r="P93" i="1"/>
  <c r="EQ437" i="1"/>
  <c r="EO314" i="1"/>
  <c r="P413" i="1"/>
  <c r="F425" i="1"/>
  <c r="DM22" i="1"/>
  <c r="DM473" i="1"/>
  <c r="P459" i="1"/>
  <c r="CB117" i="1"/>
  <c r="AS282" i="1"/>
  <c r="Y26" i="1"/>
  <c r="F112" i="1"/>
  <c r="Y437" i="1"/>
  <c r="FS282" i="1"/>
  <c r="CA314" i="1"/>
  <c r="AR407" i="1"/>
  <c r="EQ314" i="1"/>
  <c r="P415" i="1"/>
  <c r="AW314" i="1"/>
  <c r="F413" i="1"/>
  <c r="AT437" i="1" l="1"/>
  <c r="AT22" i="1" s="1"/>
  <c r="EL26" i="1"/>
  <c r="DR15" i="7"/>
  <c r="DR15" i="10"/>
  <c r="DH473" i="1"/>
  <c r="P476" i="1" s="1"/>
  <c r="P103" i="1"/>
  <c r="V18" i="1"/>
  <c r="AT26" i="1"/>
  <c r="P440" i="1"/>
  <c r="K884" i="8"/>
  <c r="DH22" i="1"/>
  <c r="W18" i="1"/>
  <c r="DC20" i="7"/>
  <c r="F494" i="1"/>
  <c r="U18" i="1"/>
  <c r="R18" i="1"/>
  <c r="BA18" i="1"/>
  <c r="DG26" i="1"/>
  <c r="DU19" i="10"/>
  <c r="DQ19" i="10"/>
  <c r="DP19" i="10"/>
  <c r="P493" i="1"/>
  <c r="F300" i="1"/>
  <c r="AT117" i="1"/>
  <c r="CZ20" i="10"/>
  <c r="DF20" i="10"/>
  <c r="DO20" i="10"/>
  <c r="DA20" i="10"/>
  <c r="DH20" i="10"/>
  <c r="DE20" i="10"/>
  <c r="DN20" i="10"/>
  <c r="K809" i="8"/>
  <c r="K811" i="8" s="1"/>
  <c r="K804" i="8"/>
  <c r="DU19" i="7"/>
  <c r="DQ19" i="7"/>
  <c r="K756" i="8"/>
  <c r="DP19" i="7"/>
  <c r="K802" i="8"/>
  <c r="DR17" i="10"/>
  <c r="CY17" i="7"/>
  <c r="CY17" i="10"/>
  <c r="EP18" i="1"/>
  <c r="DG437" i="1"/>
  <c r="DG473" i="1" s="1"/>
  <c r="DP15" i="10"/>
  <c r="DU15" i="10"/>
  <c r="DQ15" i="10"/>
  <c r="CY15" i="7"/>
  <c r="CY15" i="10"/>
  <c r="K851" i="8"/>
  <c r="DH20" i="7"/>
  <c r="DP473" i="1"/>
  <c r="DP18" i="1" s="1"/>
  <c r="DN20" i="7"/>
  <c r="K857" i="8"/>
  <c r="K847" i="8"/>
  <c r="DF20" i="7"/>
  <c r="K849" i="8"/>
  <c r="K855" i="8"/>
  <c r="K824" i="8"/>
  <c r="K826" i="8"/>
  <c r="J38" i="8"/>
  <c r="CZ20" i="7"/>
  <c r="K887" i="8"/>
  <c r="DE20" i="7"/>
  <c r="K858" i="8"/>
  <c r="DO20" i="7"/>
  <c r="DI22" i="1"/>
  <c r="K844" i="8"/>
  <c r="DA20" i="7"/>
  <c r="F484" i="1"/>
  <c r="P284" i="1"/>
  <c r="DG117" i="1"/>
  <c r="EL437" i="1"/>
  <c r="K554" i="8"/>
  <c r="DR17" i="7"/>
  <c r="P300" i="1"/>
  <c r="EL117" i="1"/>
  <c r="ER18" i="1"/>
  <c r="DP22" i="1"/>
  <c r="P449" i="1"/>
  <c r="DI473" i="1"/>
  <c r="DI18" i="1" s="1"/>
  <c r="K193" i="8"/>
  <c r="DP15" i="7"/>
  <c r="K147" i="8"/>
  <c r="DU15" i="7"/>
  <c r="DQ15" i="7"/>
  <c r="K200" i="8"/>
  <c r="K202" i="8" s="1"/>
  <c r="K195" i="8"/>
  <c r="P463" i="1"/>
  <c r="P467" i="1" s="1"/>
  <c r="FS117" i="1"/>
  <c r="EJ282" i="1"/>
  <c r="EK314" i="1"/>
  <c r="P424" i="1"/>
  <c r="DK22" i="1"/>
  <c r="DK473" i="1"/>
  <c r="P452" i="1"/>
  <c r="AW22" i="1"/>
  <c r="F443" i="1"/>
  <c r="AW473" i="1"/>
  <c r="EK26" i="1"/>
  <c r="P102" i="1"/>
  <c r="AV22" i="1"/>
  <c r="F442" i="1"/>
  <c r="AV473" i="1"/>
  <c r="J16" i="2"/>
  <c r="J18" i="2" s="1"/>
  <c r="F470" i="1"/>
  <c r="AS314" i="1"/>
  <c r="F424" i="1"/>
  <c r="AS26" i="1"/>
  <c r="F102" i="1"/>
  <c r="AS437" i="1"/>
  <c r="Y22" i="1"/>
  <c r="F464" i="1"/>
  <c r="F468" i="1" s="1"/>
  <c r="Y473" i="1"/>
  <c r="DM18" i="1"/>
  <c r="P495" i="1"/>
  <c r="AR117" i="1"/>
  <c r="F310" i="1"/>
  <c r="DO18" i="1"/>
  <c r="P497" i="1"/>
  <c r="EN22" i="1"/>
  <c r="EN473" i="1"/>
  <c r="P442" i="1"/>
  <c r="DL18" i="1"/>
  <c r="P494" i="1"/>
  <c r="EJ314" i="1"/>
  <c r="P435" i="1"/>
  <c r="EO22" i="1"/>
  <c r="P443" i="1"/>
  <c r="EO473" i="1"/>
  <c r="AS117" i="1"/>
  <c r="F299" i="1"/>
  <c r="X22" i="1"/>
  <c r="F463" i="1"/>
  <c r="F467" i="1" s="1"/>
  <c r="X473" i="1"/>
  <c r="FT117" i="1"/>
  <c r="EK282" i="1"/>
  <c r="EJ26" i="1"/>
  <c r="P113" i="1"/>
  <c r="AY22" i="1"/>
  <c r="F445" i="1"/>
  <c r="AY473" i="1"/>
  <c r="AR314" i="1"/>
  <c r="F435" i="1"/>
  <c r="EQ22" i="1"/>
  <c r="P445" i="1"/>
  <c r="EQ473" i="1"/>
  <c r="AR26" i="1"/>
  <c r="F113" i="1"/>
  <c r="AR437" i="1"/>
  <c r="IK8" i="1" s="1"/>
  <c r="DJ18" i="1"/>
  <c r="P487" i="1"/>
  <c r="S18" i="1"/>
  <c r="F488" i="1"/>
  <c r="P18" i="1"/>
  <c r="F476" i="1"/>
  <c r="DQ22" i="1"/>
  <c r="DQ473" i="1"/>
  <c r="P464" i="1"/>
  <c r="P468" i="1" s="1"/>
  <c r="O22" i="1"/>
  <c r="F439" i="1"/>
  <c r="F466" i="1" s="1"/>
  <c r="O473" i="1"/>
  <c r="AT473" i="1" l="1"/>
  <c r="AT18" i="1" s="1"/>
  <c r="F455" i="1"/>
  <c r="F16" i="2" s="1"/>
  <c r="F18" i="2" s="1"/>
  <c r="DH18" i="1"/>
  <c r="DR20" i="10"/>
  <c r="CY20" i="7"/>
  <c r="CY20" i="10"/>
  <c r="DU17" i="10"/>
  <c r="DQ17" i="10"/>
  <c r="DP17" i="10"/>
  <c r="DG22" i="1"/>
  <c r="P499" i="1"/>
  <c r="P439" i="1"/>
  <c r="P466" i="1" s="1"/>
  <c r="P469" i="1" s="1"/>
  <c r="P471" i="1" s="1"/>
  <c r="P455" i="1"/>
  <c r="U16" i="2" s="1"/>
  <c r="U18" i="2" s="1"/>
  <c r="K870" i="8"/>
  <c r="DR20" i="7"/>
  <c r="EL473" i="1"/>
  <c r="EL22" i="1"/>
  <c r="EJ437" i="1"/>
  <c r="K551" i="8"/>
  <c r="DP17" i="7"/>
  <c r="K505" i="8"/>
  <c r="DU17" i="7"/>
  <c r="DQ17" i="7"/>
  <c r="K558" i="8"/>
  <c r="K560" i="8" s="1"/>
  <c r="K553" i="8"/>
  <c r="P485" i="1"/>
  <c r="F469" i="1"/>
  <c r="F471" i="1" s="1"/>
  <c r="DQ18" i="1"/>
  <c r="P500" i="1"/>
  <c r="AR22" i="1"/>
  <c r="F465" i="1"/>
  <c r="AR473" i="1"/>
  <c r="EO18" i="1"/>
  <c r="P479" i="1"/>
  <c r="EN18" i="1"/>
  <c r="P478" i="1"/>
  <c r="Y18" i="1"/>
  <c r="F500" i="1"/>
  <c r="AV18" i="1"/>
  <c r="F478" i="1"/>
  <c r="EK117" i="1"/>
  <c r="P299" i="1"/>
  <c r="AS22" i="1"/>
  <c r="F454" i="1"/>
  <c r="E16" i="2" s="1"/>
  <c r="AS473" i="1"/>
  <c r="Y16" i="2"/>
  <c r="Y18" i="2" s="1"/>
  <c r="P470" i="1"/>
  <c r="O18" i="1"/>
  <c r="F475" i="1"/>
  <c r="AW18" i="1"/>
  <c r="F479" i="1"/>
  <c r="DK18" i="1"/>
  <c r="P488" i="1"/>
  <c r="EJ117" i="1"/>
  <c r="P310" i="1"/>
  <c r="EQ18" i="1"/>
  <c r="P481" i="1"/>
  <c r="DG18" i="1"/>
  <c r="P475" i="1"/>
  <c r="AY18" i="1"/>
  <c r="F481" i="1"/>
  <c r="X18" i="1"/>
  <c r="F499" i="1"/>
  <c r="EK437" i="1"/>
  <c r="F491" i="1" l="1"/>
  <c r="DU20" i="10"/>
  <c r="DQ20" i="10"/>
  <c r="DP20" i="10"/>
  <c r="P465" i="1"/>
  <c r="K867" i="8"/>
  <c r="DP20" i="7"/>
  <c r="K821" i="8"/>
  <c r="DU20" i="7"/>
  <c r="DQ20" i="7"/>
  <c r="K874" i="8"/>
  <c r="K876" i="8" s="1"/>
  <c r="K877" i="8" s="1"/>
  <c r="K879" i="8" s="1"/>
  <c r="K869" i="8"/>
  <c r="EJ473" i="1"/>
  <c r="EJ18" i="1" s="1"/>
  <c r="EJ22" i="1"/>
  <c r="P491" i="1"/>
  <c r="EL18" i="1"/>
  <c r="AS18" i="1"/>
  <c r="F490" i="1"/>
  <c r="EK22" i="1"/>
  <c r="P454" i="1"/>
  <c r="T16" i="2" s="1"/>
  <c r="EK473" i="1"/>
  <c r="I16" i="2"/>
  <c r="I18" i="2" s="1"/>
  <c r="E18" i="2"/>
  <c r="AR18" i="1"/>
  <c r="F501" i="1"/>
  <c r="E26" i="8" l="1"/>
  <c r="J37" i="8"/>
  <c r="K880" i="8"/>
  <c r="K881" i="8" s="1"/>
  <c r="P501" i="1"/>
  <c r="X16" i="2"/>
  <c r="X18" i="2" s="1"/>
  <c r="T18" i="2"/>
  <c r="EK18" i="1"/>
  <c r="P490" i="1"/>
</calcChain>
</file>

<file path=xl/comments1.xml><?xml version="1.0" encoding="utf-8"?>
<comments xmlns="http://schemas.openxmlformats.org/spreadsheetml/2006/main">
  <authors>
    <author>Зимарина Ольга Юрьевна</author>
  </authors>
  <commentList>
    <comment ref="C11" authorId="0" shapeId="0">
      <text>
        <r>
          <rPr>
            <sz val="9"/>
            <color indexed="81"/>
            <rFont val="Tahoma"/>
            <family val="2"/>
            <charset val="204"/>
          </rPr>
          <t>Не заполнены Параметры Объекта (Акта) -&gt; Должностные лица -&gt; Инвестор -&gt; Организация</t>
        </r>
      </text>
    </comment>
    <comment ref="C12" authorId="0" shapeId="0">
      <text>
        <r>
          <rPr>
            <sz val="9"/>
            <color indexed="81"/>
            <rFont val="Tahoma"/>
            <family val="2"/>
            <charset val="204"/>
          </rPr>
          <t>Не заполнены Параметры Объекта (Акта) -&gt; Должностные лица -&gt; Заказчик -&gt; Организация</t>
        </r>
      </text>
    </comment>
    <comment ref="C13"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2.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3.xml><?xml version="1.0" encoding="utf-8"?>
<comments xmlns="http://schemas.openxmlformats.org/spreadsheetml/2006/main">
  <authors>
    <author>Зимарина Ольга Юрьевна</author>
  </authors>
  <commentList>
    <comment ref="C3" authorId="0" shapeId="0">
      <text>
        <r>
          <rPr>
            <sz val="9"/>
            <color indexed="81"/>
            <rFont val="Tahoma"/>
            <family val="2"/>
            <charset val="204"/>
          </rPr>
          <t>Не заполнены Параметры Объекта (Акта) -&gt; Должностные лица -&gt; Инвестор -&gt; Организация</t>
        </r>
      </text>
    </comment>
    <comment ref="C4" authorId="0" shapeId="0">
      <text>
        <r>
          <rPr>
            <sz val="9"/>
            <color indexed="81"/>
            <rFont val="Tahoma"/>
            <family val="2"/>
            <charset val="204"/>
          </rPr>
          <t>Не заполнены Параметры Объекта (Акта) -&gt; Должностные лица -&gt; Заказчик -&gt; Организация</t>
        </r>
      </text>
    </comment>
    <comment ref="C5"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List>
</comments>
</file>

<file path=xl/comments4.xml><?xml version="1.0" encoding="utf-8"?>
<comments xmlns="http://schemas.openxmlformats.org/spreadsheetml/2006/main">
  <authors>
    <author>Зимарина Ольга Юрьевна</author>
  </authors>
  <commentList>
    <comment ref="C7" authorId="0" shapeId="0">
      <text>
        <r>
          <rPr>
            <sz val="9"/>
            <color indexed="81"/>
            <rFont val="Tahoma"/>
            <family val="2"/>
            <charset val="204"/>
          </rPr>
          <t>Не заполнены Параметры Объекта (Акта) -&gt; Должностные лица -&gt; Инвестор -&gt; Организация</t>
        </r>
      </text>
    </comment>
    <comment ref="J7" authorId="0" shapeId="0">
      <text>
        <r>
          <rPr>
            <sz val="9"/>
            <color indexed="81"/>
            <rFont val="Tahoma"/>
            <family val="2"/>
            <charset val="204"/>
          </rPr>
          <t>Не заполнены Параметры Акта -&gt; Должностные лица -&gt; Инвестор -&gt; по ОКПО</t>
        </r>
      </text>
    </comment>
    <comment ref="C8" authorId="0" shapeId="0">
      <text>
        <r>
          <rPr>
            <sz val="9"/>
            <color indexed="81"/>
            <rFont val="Tahoma"/>
            <family val="2"/>
            <charset val="204"/>
          </rPr>
          <t>Не заполнены Параметры Объекта (Акта) -&gt; Должностные лица -&gt; Заказчик -&gt; Организация</t>
        </r>
      </text>
    </comment>
    <comment ref="J8" authorId="0" shapeId="0">
      <text>
        <r>
          <rPr>
            <sz val="9"/>
            <color indexed="81"/>
            <rFont val="Tahoma"/>
            <family val="2"/>
            <charset val="204"/>
          </rPr>
          <t>Не заполнены Параметры Акта -&gt; Должностные лица -&gt; Заказчик -&gt; по ОКПО</t>
        </r>
      </text>
    </comment>
    <comment ref="C9" authorId="0" shapeId="0">
      <text>
        <r>
          <rPr>
            <sz val="9"/>
            <color indexed="81"/>
            <rFont val="Tahoma"/>
            <family val="2"/>
            <charset val="204"/>
          </rPr>
          <t>Не заполнены Параметры Объекта (Акта) -&gt; Должностные лица -&gt; Генподрядчик -&gt; Организация</t>
        </r>
      </text>
    </comment>
    <comment ref="J9" authorId="0" shapeId="0">
      <text>
        <r>
          <rPr>
            <sz val="9"/>
            <color indexed="81"/>
            <rFont val="Tahoma"/>
            <family val="2"/>
            <charset val="204"/>
          </rPr>
          <t>Не заполнены Параметры Акта -&gt; Должностные лица -&gt; Генподрядчик -&gt; по ОКПО</t>
        </r>
      </text>
    </comment>
    <comment ref="C10" authorId="0" shapeId="0">
      <text>
        <r>
          <rPr>
            <sz val="9"/>
            <color indexed="81"/>
            <rFont val="Tahoma"/>
            <family val="2"/>
            <charset val="204"/>
          </rPr>
          <t>Не заполнены Параметры Объекта (Акта) -&gt; Должностные лица -&gt; Субподрядчик -&gt; Организация</t>
        </r>
      </text>
    </comment>
    <comment ref="J10" authorId="0" shapeId="0">
      <text>
        <r>
          <rPr>
            <sz val="9"/>
            <color indexed="81"/>
            <rFont val="Tahoma"/>
            <family val="2"/>
            <charset val="204"/>
          </rPr>
          <t>Не заполнены Параметры Акта -&gt; Должностные лица -&gt; Субподрядчик -&gt; по ОКПО</t>
        </r>
      </text>
    </comment>
    <comment ref="J13" authorId="0" shapeId="0">
      <text>
        <r>
          <rPr>
            <sz val="9"/>
            <color indexed="81"/>
            <rFont val="Tahoma"/>
            <family val="2"/>
            <charset val="204"/>
          </rPr>
          <t>Не заполнены Параметры Акта -&gt; Бухгалтерские реквизиты -&gt; Вид деятельности по ОКДП</t>
        </r>
      </text>
    </comment>
    <comment ref="J14" authorId="0" shapeId="0">
      <text>
        <r>
          <rPr>
            <sz val="9"/>
            <color indexed="81"/>
            <rFont val="Tahoma"/>
            <family val="2"/>
            <charset val="204"/>
          </rPr>
          <t>Не заполнены Параметры Акта -&gt; Бухгалтерские реквизиты -&gt; Договор подряда №</t>
        </r>
      </text>
    </comment>
    <comment ref="J15" authorId="0" shapeId="0">
      <text>
        <r>
          <rPr>
            <sz val="9"/>
            <color indexed="81"/>
            <rFont val="Tahoma"/>
            <family val="2"/>
            <charset val="204"/>
          </rPr>
          <t>Не заполнены Параметры Акта -&gt; Бухгалтерские реквизиты -&gt; Договор подряда -&gt; Дата</t>
        </r>
      </text>
    </comment>
    <comment ref="J16" authorId="0" shapeId="0">
      <text>
        <r>
          <rPr>
            <sz val="9"/>
            <color indexed="81"/>
            <rFont val="Tahoma"/>
            <family val="2"/>
            <charset val="204"/>
          </rPr>
          <t>Не заполнены Параметры Акта -&gt; Бухгалтерские реквизиты -&gt; Вид операции</t>
        </r>
      </text>
    </comment>
    <comment ref="G20" authorId="0" shapeId="0">
      <text>
        <r>
          <rPr>
            <sz val="9"/>
            <color indexed="81"/>
            <rFont val="Tahoma"/>
            <family val="2"/>
            <charset val="204"/>
          </rPr>
          <t>Не заполнены Параметры Акта -&gt; Описание -&gt; Номер документа</t>
        </r>
      </text>
    </comment>
    <comment ref="H20" authorId="0" shapeId="0">
      <text>
        <r>
          <rPr>
            <sz val="9"/>
            <color indexed="81"/>
            <rFont val="Tahoma"/>
            <family val="2"/>
            <charset val="204"/>
          </rPr>
          <t>Не заполнены Параметры Акта -&gt; Дата утверждения</t>
        </r>
      </text>
    </comment>
    <comment ref="C147" authorId="0" shapeId="0">
      <text>
        <r>
          <rPr>
            <sz val="9"/>
            <color indexed="81"/>
            <rFont val="Tahoma"/>
            <family val="2"/>
            <charset val="204"/>
          </rPr>
          <t>Пилоны 17-20 этажи</t>
        </r>
      </text>
    </comment>
    <comment ref="I173" authorId="0" shapeId="0">
      <text>
        <r>
          <rPr>
            <sz val="9"/>
            <color indexed="81"/>
            <rFont val="Tahoma"/>
            <family val="2"/>
            <charset val="204"/>
          </rPr>
          <t>С учетом дополнительных затрат на перевозку (при их наличии)</t>
        </r>
      </text>
    </comment>
    <comment ref="K173" authorId="0" shapeId="0">
      <text>
        <r>
          <rPr>
            <sz val="9"/>
            <color indexed="81"/>
            <rFont val="Tahoma"/>
            <family val="2"/>
            <charset val="204"/>
          </rPr>
          <t>С учетом дополнительных затрат на перевозку (при их наличии)</t>
        </r>
      </text>
    </comment>
    <comment ref="I178" authorId="0" shapeId="0">
      <text>
        <r>
          <rPr>
            <sz val="9"/>
            <color indexed="81"/>
            <rFont val="Tahoma"/>
            <family val="2"/>
            <charset val="204"/>
          </rPr>
          <t>В том числе погрузо-разгрузочные работы (при их наличии)</t>
        </r>
      </text>
    </comment>
    <comment ref="K178" authorId="0" shapeId="0">
      <text>
        <r>
          <rPr>
            <sz val="9"/>
            <color indexed="81"/>
            <rFont val="Tahoma"/>
            <family val="2"/>
            <charset val="204"/>
          </rPr>
          <t>В том числе погрузо-разгрузочные работы (при их наличии)</t>
        </r>
      </text>
    </comment>
    <comment ref="I179" authorId="0" shapeId="0">
      <text>
        <r>
          <rPr>
            <sz val="9"/>
            <color indexed="81"/>
            <rFont val="Tahoma"/>
            <family val="2"/>
            <charset val="204"/>
          </rPr>
          <t>В том числе погрузо-разгрузочные работы (при их наличии)</t>
        </r>
      </text>
    </comment>
    <comment ref="K179" authorId="0" shapeId="0">
      <text>
        <r>
          <rPr>
            <sz val="9"/>
            <color indexed="81"/>
            <rFont val="Tahoma"/>
            <family val="2"/>
            <charset val="204"/>
          </rPr>
          <t>В том числе погрузо-разгрузочные работы (при их наличии)</t>
        </r>
      </text>
    </comment>
    <comment ref="I186" authorId="0" shapeId="0">
      <text>
        <r>
          <rPr>
            <sz val="9"/>
            <color indexed="81"/>
            <rFont val="Tahoma"/>
            <family val="2"/>
            <charset val="204"/>
          </rPr>
          <t>С учетом дополнительных затрат на перевозку (при их наличии)</t>
        </r>
      </text>
    </comment>
    <comment ref="K186" authorId="0" shapeId="0">
      <text>
        <r>
          <rPr>
            <sz val="9"/>
            <color indexed="81"/>
            <rFont val="Tahoma"/>
            <family val="2"/>
            <charset val="204"/>
          </rPr>
          <t>С учетом дополнительных затрат на перевозку (при их наличии)</t>
        </r>
      </text>
    </comment>
    <comment ref="I191" authorId="0" shapeId="0">
      <text>
        <r>
          <rPr>
            <sz val="9"/>
            <color indexed="81"/>
            <rFont val="Tahoma"/>
            <family val="2"/>
            <charset val="204"/>
          </rPr>
          <t>В том числе погрузо-разгрузочные работы (при их наличии)</t>
        </r>
      </text>
    </comment>
    <comment ref="K191" authorId="0" shapeId="0">
      <text>
        <r>
          <rPr>
            <sz val="9"/>
            <color indexed="81"/>
            <rFont val="Tahoma"/>
            <family val="2"/>
            <charset val="204"/>
          </rPr>
          <t>В том числе погрузо-разгрузочные работы (при их наличии)</t>
        </r>
      </text>
    </comment>
    <comment ref="C505" authorId="0" shapeId="0">
      <text>
        <r>
          <rPr>
            <sz val="9"/>
            <color indexed="81"/>
            <rFont val="Tahoma"/>
            <family val="2"/>
            <charset val="204"/>
          </rPr>
          <t>Стены монолит 17-20 этажи</t>
        </r>
      </text>
    </comment>
    <comment ref="I531" authorId="0" shapeId="0">
      <text>
        <r>
          <rPr>
            <sz val="9"/>
            <color indexed="81"/>
            <rFont val="Tahoma"/>
            <family val="2"/>
            <charset val="204"/>
          </rPr>
          <t>С учетом дополнительных затрат на перевозку (при их наличии)</t>
        </r>
      </text>
    </comment>
    <comment ref="K531" authorId="0" shapeId="0">
      <text>
        <r>
          <rPr>
            <sz val="9"/>
            <color indexed="81"/>
            <rFont val="Tahoma"/>
            <family val="2"/>
            <charset val="204"/>
          </rPr>
          <t>С учетом дополнительных затрат на перевозку (при их наличии)</t>
        </r>
      </text>
    </comment>
    <comment ref="I536" authorId="0" shapeId="0">
      <text>
        <r>
          <rPr>
            <sz val="9"/>
            <color indexed="81"/>
            <rFont val="Tahoma"/>
            <family val="2"/>
            <charset val="204"/>
          </rPr>
          <t>В том числе погрузо-разгрузочные работы (при их наличии)</t>
        </r>
      </text>
    </comment>
    <comment ref="K536" authorId="0" shapeId="0">
      <text>
        <r>
          <rPr>
            <sz val="9"/>
            <color indexed="81"/>
            <rFont val="Tahoma"/>
            <family val="2"/>
            <charset val="204"/>
          </rPr>
          <t>В том числе погрузо-разгрузочные работы (при их наличии)</t>
        </r>
      </text>
    </comment>
    <comment ref="I537" authorId="0" shapeId="0">
      <text>
        <r>
          <rPr>
            <sz val="9"/>
            <color indexed="81"/>
            <rFont val="Tahoma"/>
            <family val="2"/>
            <charset val="204"/>
          </rPr>
          <t>В том числе погрузо-разгрузочные работы (при их наличии)</t>
        </r>
      </text>
    </comment>
    <comment ref="K537" authorId="0" shapeId="0">
      <text>
        <r>
          <rPr>
            <sz val="9"/>
            <color indexed="81"/>
            <rFont val="Tahoma"/>
            <family val="2"/>
            <charset val="204"/>
          </rPr>
          <t>В том числе погрузо-разгрузочные работы (при их наличии)</t>
        </r>
      </text>
    </comment>
    <comment ref="I544" authorId="0" shapeId="0">
      <text>
        <r>
          <rPr>
            <sz val="9"/>
            <color indexed="81"/>
            <rFont val="Tahoma"/>
            <family val="2"/>
            <charset val="204"/>
          </rPr>
          <t>С учетом дополнительных затрат на перевозку (при их наличии)</t>
        </r>
      </text>
    </comment>
    <comment ref="K544" authorId="0" shapeId="0">
      <text>
        <r>
          <rPr>
            <sz val="9"/>
            <color indexed="81"/>
            <rFont val="Tahoma"/>
            <family val="2"/>
            <charset val="204"/>
          </rPr>
          <t>С учетом дополнительных затрат на перевозку (при их наличии)</t>
        </r>
      </text>
    </comment>
    <comment ref="I549" authorId="0" shapeId="0">
      <text>
        <r>
          <rPr>
            <sz val="9"/>
            <color indexed="81"/>
            <rFont val="Tahoma"/>
            <family val="2"/>
            <charset val="204"/>
          </rPr>
          <t>В том числе погрузо-разгрузочные работы (при их наличии)</t>
        </r>
      </text>
    </comment>
    <comment ref="K549" authorId="0" shapeId="0">
      <text>
        <r>
          <rPr>
            <sz val="9"/>
            <color indexed="81"/>
            <rFont val="Tahoma"/>
            <family val="2"/>
            <charset val="204"/>
          </rPr>
          <t>В том числе погрузо-разгрузочные работы (при их наличии)</t>
        </r>
      </text>
    </comment>
    <comment ref="C756" authorId="0" shapeId="0">
      <text>
        <r>
          <rPr>
            <sz val="9"/>
            <color indexed="81"/>
            <rFont val="Tahoma"/>
            <family val="2"/>
            <charset val="204"/>
          </rPr>
          <t>Перекрытие,  балки 17-20 этажи</t>
        </r>
      </text>
    </comment>
    <comment ref="I782" authorId="0" shapeId="0">
      <text>
        <r>
          <rPr>
            <sz val="9"/>
            <color indexed="81"/>
            <rFont val="Tahoma"/>
            <family val="2"/>
            <charset val="204"/>
          </rPr>
          <t>С учетом дополнительных затрат на перевозку (при их наличии)</t>
        </r>
      </text>
    </comment>
    <comment ref="K782" authorId="0" shapeId="0">
      <text>
        <r>
          <rPr>
            <sz val="9"/>
            <color indexed="81"/>
            <rFont val="Tahoma"/>
            <family val="2"/>
            <charset val="204"/>
          </rPr>
          <t>С учетом дополнительных затрат на перевозку (при их наличии)</t>
        </r>
      </text>
    </comment>
    <comment ref="I787" authorId="0" shapeId="0">
      <text>
        <r>
          <rPr>
            <sz val="9"/>
            <color indexed="81"/>
            <rFont val="Tahoma"/>
            <family val="2"/>
            <charset val="204"/>
          </rPr>
          <t>В том числе погрузо-разгрузочные работы (при их наличии)</t>
        </r>
      </text>
    </comment>
    <comment ref="K787" authorId="0" shapeId="0">
      <text>
        <r>
          <rPr>
            <sz val="9"/>
            <color indexed="81"/>
            <rFont val="Tahoma"/>
            <family val="2"/>
            <charset val="204"/>
          </rPr>
          <t>В том числе погрузо-разгрузочные работы (при их наличии)</t>
        </r>
      </text>
    </comment>
    <comment ref="I788" authorId="0" shapeId="0">
      <text>
        <r>
          <rPr>
            <sz val="9"/>
            <color indexed="81"/>
            <rFont val="Tahoma"/>
            <family val="2"/>
            <charset val="204"/>
          </rPr>
          <t>В том числе погрузо-разгрузочные работы (при их наличии)</t>
        </r>
      </text>
    </comment>
    <comment ref="K788" authorId="0" shapeId="0">
      <text>
        <r>
          <rPr>
            <sz val="9"/>
            <color indexed="81"/>
            <rFont val="Tahoma"/>
            <family val="2"/>
            <charset val="204"/>
          </rPr>
          <t>В том числе погрузо-разгрузочные работы (при их наличии)</t>
        </r>
      </text>
    </comment>
    <comment ref="I795" authorId="0" shapeId="0">
      <text>
        <r>
          <rPr>
            <sz val="9"/>
            <color indexed="81"/>
            <rFont val="Tahoma"/>
            <family val="2"/>
            <charset val="204"/>
          </rPr>
          <t>С учетом дополнительных затрат на перевозку (при их наличии)</t>
        </r>
      </text>
    </comment>
    <comment ref="K795" authorId="0" shapeId="0">
      <text>
        <r>
          <rPr>
            <sz val="9"/>
            <color indexed="81"/>
            <rFont val="Tahoma"/>
            <family val="2"/>
            <charset val="204"/>
          </rPr>
          <t>С учетом дополнительных затрат на перевозку (при их наличии)</t>
        </r>
      </text>
    </comment>
    <comment ref="I800" authorId="0" shapeId="0">
      <text>
        <r>
          <rPr>
            <sz val="9"/>
            <color indexed="81"/>
            <rFont val="Tahoma"/>
            <family val="2"/>
            <charset val="204"/>
          </rPr>
          <t>В том числе погрузо-разгрузочные работы (при их наличии)</t>
        </r>
      </text>
    </comment>
    <comment ref="K800" authorId="0" shapeId="0">
      <text>
        <r>
          <rPr>
            <sz val="9"/>
            <color indexed="81"/>
            <rFont val="Tahoma"/>
            <family val="2"/>
            <charset val="204"/>
          </rPr>
          <t>В том числе погрузо-разгрузочные работы (при их наличии)</t>
        </r>
      </text>
    </comment>
    <comment ref="C821" authorId="0" shapeId="0">
      <text>
        <r>
          <rPr>
            <sz val="9"/>
            <color indexed="81"/>
            <rFont val="Tahoma"/>
            <family val="2"/>
            <charset val="204"/>
          </rPr>
          <t>Монтаж конструкций здания выше 0.000. Монолитный каркас 17-20 этажей 2 сек</t>
        </r>
      </text>
    </comment>
    <comment ref="I847" authorId="0" shapeId="0">
      <text>
        <r>
          <rPr>
            <sz val="9"/>
            <color indexed="81"/>
            <rFont val="Tahoma"/>
            <family val="2"/>
            <charset val="204"/>
          </rPr>
          <t>С учетом дополнительных затрат на перевозку (при их наличии)</t>
        </r>
      </text>
    </comment>
    <comment ref="K847" authorId="0" shapeId="0">
      <text>
        <r>
          <rPr>
            <sz val="9"/>
            <color indexed="81"/>
            <rFont val="Tahoma"/>
            <family val="2"/>
            <charset val="204"/>
          </rPr>
          <t>С учетом дополнительных затрат на перевозку (при их наличии)</t>
        </r>
      </text>
    </comment>
    <comment ref="I852" authorId="0" shapeId="0">
      <text>
        <r>
          <rPr>
            <sz val="9"/>
            <color indexed="81"/>
            <rFont val="Tahoma"/>
            <family val="2"/>
            <charset val="204"/>
          </rPr>
          <t>В том числе погрузо-разгрузочные работы (при их наличии)</t>
        </r>
      </text>
    </comment>
    <comment ref="K852" authorId="0" shapeId="0">
      <text>
        <r>
          <rPr>
            <sz val="9"/>
            <color indexed="81"/>
            <rFont val="Tahoma"/>
            <family val="2"/>
            <charset val="204"/>
          </rPr>
          <t>В том числе погрузо-разгрузочные работы (при их наличии)</t>
        </r>
      </text>
    </comment>
    <comment ref="I853" authorId="0" shapeId="0">
      <text>
        <r>
          <rPr>
            <sz val="9"/>
            <color indexed="81"/>
            <rFont val="Tahoma"/>
            <family val="2"/>
            <charset val="204"/>
          </rPr>
          <t>В том числе погрузо-разгрузочные работы (при их наличии)</t>
        </r>
      </text>
    </comment>
    <comment ref="K853" authorId="0" shapeId="0">
      <text>
        <r>
          <rPr>
            <sz val="9"/>
            <color indexed="81"/>
            <rFont val="Tahoma"/>
            <family val="2"/>
            <charset val="204"/>
          </rPr>
          <t>В том числе погрузо-разгрузочные работы (при их наличии)</t>
        </r>
      </text>
    </comment>
    <comment ref="I860" authorId="0" shapeId="0">
      <text>
        <r>
          <rPr>
            <sz val="9"/>
            <color indexed="81"/>
            <rFont val="Tahoma"/>
            <family val="2"/>
            <charset val="204"/>
          </rPr>
          <t>С учетом дополнительных затрат на перевозку (при их наличии)</t>
        </r>
      </text>
    </comment>
    <comment ref="K860" authorId="0" shapeId="0">
      <text>
        <r>
          <rPr>
            <sz val="9"/>
            <color indexed="81"/>
            <rFont val="Tahoma"/>
            <family val="2"/>
            <charset val="204"/>
          </rPr>
          <t>С учетом дополнительных затрат на перевозку (при их наличии)</t>
        </r>
      </text>
    </comment>
    <comment ref="I865" authorId="0" shapeId="0">
      <text>
        <r>
          <rPr>
            <sz val="9"/>
            <color indexed="81"/>
            <rFont val="Tahoma"/>
            <family val="2"/>
            <charset val="204"/>
          </rPr>
          <t>В том числе погрузо-разгрузочные работы (при их наличии)</t>
        </r>
      </text>
    </comment>
    <comment ref="K865" authorId="0" shapeId="0">
      <text>
        <r>
          <rPr>
            <sz val="9"/>
            <color indexed="81"/>
            <rFont val="Tahoma"/>
            <family val="2"/>
            <charset val="204"/>
          </rPr>
          <t>В том числе погрузо-разгрузочные работы (при их наличии)</t>
        </r>
      </text>
    </comment>
    <comment ref="C892" authorId="0" shapeId="0">
      <text>
        <r>
          <rPr>
            <sz val="9"/>
            <color indexed="81"/>
            <rFont val="Tahoma"/>
            <family val="2"/>
            <charset val="204"/>
          </rPr>
          <t>Не заполнены Параметры Объекта (Акта) -&gt; Должностные лица -&gt; Сдал -&gt; Должность</t>
        </r>
      </text>
    </comment>
    <comment ref="I892" authorId="0" shapeId="0">
      <text>
        <r>
          <rPr>
            <sz val="9"/>
            <color indexed="81"/>
            <rFont val="Tahoma"/>
            <family val="2"/>
            <charset val="204"/>
          </rPr>
          <t>Не заполнены Параметры Объекта (Акта) -&gt; Должностные лица -&gt; Сдал -&gt; Ф.И.О.</t>
        </r>
      </text>
    </comment>
    <comment ref="C895" authorId="0" shapeId="0">
      <text>
        <r>
          <rPr>
            <sz val="9"/>
            <color indexed="81"/>
            <rFont val="Tahoma"/>
            <family val="2"/>
            <charset val="204"/>
          </rPr>
          <t>Не заполнены Параметры Объекта (Акта) -&gt; Должностные лица -&gt; Принял -&gt; Должность</t>
        </r>
      </text>
    </comment>
    <comment ref="I895" authorId="0" shapeId="0">
      <text>
        <r>
          <rPr>
            <sz val="9"/>
            <color indexed="81"/>
            <rFont val="Tahoma"/>
            <family val="2"/>
            <charset val="204"/>
          </rPr>
          <t>Не заполнены Параметры Объекта (Акта) -&gt; Должностные лица -&gt; Принял -&gt; Ф.И.О.</t>
        </r>
      </text>
    </comment>
  </commentList>
</comments>
</file>

<file path=xl/sharedStrings.xml><?xml version="1.0" encoding="utf-8"?>
<sst xmlns="http://schemas.openxmlformats.org/spreadsheetml/2006/main" count="26664" uniqueCount="1235">
  <si>
    <t>Smeta.RU  (495) 974-1589</t>
  </si>
  <si>
    <t>_PS_</t>
  </si>
  <si>
    <t>Smeta.RU</t>
  </si>
  <si>
    <t>ООО "ОДСК"  Доп. раб. место  FStS-0010853</t>
  </si>
  <si>
    <t>Новая стройка 1</t>
  </si>
  <si>
    <t>Комплекс из 2-х многоквартирных домов, расположенных по адресу г.Орел, б-р Молодежи, участок 2а. 1-й этап строительства - многоквартирный дом корпус 2 (поз.1)</t>
  </si>
  <si>
    <t/>
  </si>
  <si>
    <t>5.3.1.24.3  Монтаж конструкций здания выше 0.000. Монолитный каркас 17-20 этажи 2 сек,с 1.11.24</t>
  </si>
  <si>
    <t>Пересчет с 1.11.2024</t>
  </si>
  <si>
    <t>Сметные нормы списания</t>
  </si>
  <si>
    <t>Коды ценников</t>
  </si>
  <si>
    <t>Версия 11.0.0.6 от 03.02.2020 г. Типовой расчет (НОВОЕ СТРОИТЕЛЬСТВО или РЕКОНСТРУКЦИЯ) © ООО НТЦ «АиВТ» г.Орел [Комплекс из 4-х многоквартирных домов на земельном участке №48 по ул. Космонавтов в г. Орле. 2-й этап строительства-многоквартирный дом ~</t>
  </si>
  <si>
    <t>ТСНБ ТЕР-2001 Орловской области (редакция 2014 г. от 2014.10.06)</t>
  </si>
  <si>
    <t>ТСНБ ТЕР-2001 Орловской области (редакция 2014 г. от 2014.10.06) + прайс-листы ПАО "Орелстрой" 2024.11</t>
  </si>
  <si>
    <t>Поправки для базы 2001 года (ред. 2014 года) от 2021.11.17 v56 ("Орелстрой")</t>
  </si>
  <si>
    <t>5.3.1.24</t>
  </si>
  <si>
    <t>Монтаж конструкций здания выше 0.000. Монолитный каркас 17-20 этажей 2 сек</t>
  </si>
  <si>
    <t>Пилоны 17-20 этажи</t>
  </si>
  <si>
    <t>1</t>
  </si>
  <si>
    <t>06-01-087-1</t>
  </si>
  <si>
    <t>Монтаж и демонтаж крупнощитовой опалубки стен (Пилонов)</t>
  </si>
  <si>
    <t>10 м2 конструкций</t>
  </si>
  <si>
    <t>06-01-087-1 ТЕР-57 (ред.2014)</t>
  </si>
  <si>
    <t>Поправка: Прил. 6.5, п.3.6.8_1  Наименование: Возведение конструкций в скользящей опалубке и переставных видах опалубки при высоте общественных и жилых зданий,72 м</t>
  </si>
  <si>
    <t>)*1,12</t>
  </si>
  <si>
    <t>)*1,05</t>
  </si>
  <si>
    <t>Общестроительные и специальные строительные работы</t>
  </si>
  <si>
    <t>Монолитные бетонные и железобетонные конструкции в гражданском  строительстве</t>
  </si>
  <si>
    <t>ФЕР-06</t>
  </si>
  <si>
    <t>Поправка: Прил. 6.5, п.3.6.8_1</t>
  </si>
  <si>
    <t>1,1</t>
  </si>
  <si>
    <t>101-0179</t>
  </si>
  <si>
    <t>Гвозди строительные</t>
  </si>
  <si>
    <t>т</t>
  </si>
  <si>
    <t>101-0179 ТССЦ-57 (ред.2014)</t>
  </si>
  <si>
    <t>Материалы ( строительные )</t>
  </si>
  <si>
    <t>Материалы и конструкции ( строительные ) по ценникам и каталогом</t>
  </si>
  <si>
    <t>ресурс_ФССЦ (строительные)</t>
  </si>
  <si>
    <t>[71 000 /  7,56] +  4% Трансп +  2% Заг.скл</t>
  </si>
  <si>
    <t>4</t>
  </si>
  <si>
    <t>2</t>
  </si>
  <si>
    <t>1,2</t>
  </si>
  <si>
    <t>102-0053</t>
  </si>
  <si>
    <t>Доски обрезные хвойных пород длиной 4-6,5 м, шириной 75-150 мм, толщиной 25 мм, III сорта</t>
  </si>
  <si>
    <t>м3</t>
  </si>
  <si>
    <t>102-0053 ТССЦ-57 (ред.2014)</t>
  </si>
  <si>
    <t>[16 666,67 /  7,56] +  4% Трансп +  2% Заг.скл</t>
  </si>
  <si>
    <t>в06-01-092-7</t>
  </si>
  <si>
    <t>Установка отдельных арматурных стержней диаметром до 8 мм и вязка каркасов для ПИЛОНОВ и КОЛОНН монолитных Выше 0,00</t>
  </si>
  <si>
    <t>1 т арматуры, закладных деталей</t>
  </si>
  <si>
    <t>в06-01-092-7 ВЭСН ОАО "Орелстрой" Ч.1 (с изм. от 2022.08.16)</t>
  </si>
  <si>
    <t>Установка арматурных стержней и вязка каркасов</t>
  </si>
  <si>
    <t>Калькуляции</t>
  </si>
  <si>
    <t>2,1</t>
  </si>
  <si>
    <t>АКП-30</t>
  </si>
  <si>
    <t>М/к арматурных каркасов пилоны (без заработной платой) Выше 0,00</t>
  </si>
  <si>
    <t>АКП-30 ПАО "Орелстрой"</t>
  </si>
  <si>
    <t>Материалы по прайсу ( строительные )</t>
  </si>
  <si>
    <t>Материал по прайсу</t>
  </si>
  <si>
    <t>ресурс_Материал по прайсу (строительные)</t>
  </si>
  <si>
    <t>[56 777,82 /  7,56] +  4% Трансп +  0,75% Заг.скл</t>
  </si>
  <si>
    <t>0,75</t>
  </si>
  <si>
    <t>3</t>
  </si>
  <si>
    <t>в06-01-092-8</t>
  </si>
  <si>
    <t>Установка отдельных арматурных стержней диаметром свыше 8 мм и вязка каркасов для ПИЛОНОВ и КОЛОНН монолитных Выше 0,00</t>
  </si>
  <si>
    <t>в06-01-092-8 ВЭСН ОАО "Орелстрой" Ч.1 (с изм. от 2022.08.16)</t>
  </si>
  <si>
    <t>3,1</t>
  </si>
  <si>
    <t>06-01-090-3</t>
  </si>
  <si>
    <t>Бетонирование конструкций наружных стен с помощью бадьи в крупнощитовой, объемно-переставной и блочной опалубках (без вычета проемов) толщиной до 30 см  (Пилоны )</t>
  </si>
  <si>
    <t>06-01-090-3 ТЕР-57 (ред.2014)</t>
  </si>
  <si>
    <t>4,1</t>
  </si>
  <si>
    <t>101-0584</t>
  </si>
  <si>
    <t>Масла антраценовые</t>
  </si>
  <si>
    <t>101-0584 ТССЦ-57 (изд.2014)</t>
  </si>
  <si>
    <t>[82 500 /  7,56] +  4% Трансп +  2% Заг.скл</t>
  </si>
  <si>
    <t>4,2</t>
  </si>
  <si>
    <t>101-4001-24</t>
  </si>
  <si>
    <t>Опалубка переставная (амортизация) пилонов м/к</t>
  </si>
  <si>
    <t>КОМПЛЕКТ</t>
  </si>
  <si>
    <t>101-4001-24 ВССЦ ОАО "Орелстрой"</t>
  </si>
  <si>
    <t>[333,45 /  7,56] +  4% Трансп +  0,75% Заг.скл</t>
  </si>
  <si>
    <t>4,3</t>
  </si>
  <si>
    <t>101-4001-25</t>
  </si>
  <si>
    <t>Опалубка переставная (амортизация) пилонов фанера</t>
  </si>
  <si>
    <t>101-4001-25 ВССЦ ОАО "Орелстрой"</t>
  </si>
  <si>
    <t>[215,4 /  7,56] +  4% Трансп +  2% Заг.скл</t>
  </si>
  <si>
    <t>4,4</t>
  </si>
  <si>
    <t>БРЛ-2.107</t>
  </si>
  <si>
    <t>Бетон тяжелый на гранитном щебне   B25 F100 М350 Ф100  (в летнее время)</t>
  </si>
  <si>
    <t>БРЛ-2.107 ПАО "Орелстрой"</t>
  </si>
  <si>
    <t>[6 948,56 /  7,56] +  4% Трансп +  2% Заг.скл</t>
  </si>
  <si>
    <t>4,5</t>
  </si>
  <si>
    <t>507-3501</t>
  </si>
  <si>
    <t>Трубка ПВХ 25/1,5</t>
  </si>
  <si>
    <t>м</t>
  </si>
  <si>
    <t>507-3501 ТССЦ-57 (ред.2014)</t>
  </si>
  <si>
    <t>Материалы ( монтажные )</t>
  </si>
  <si>
    <t>Материалы и конструкции ( монтажные )  по ценникам и каталогам</t>
  </si>
  <si>
    <t>ресурс_ФССЦ (монтажные)</t>
  </si>
  <si>
    <t>[30,51 /  7,56] +  4% Трансп +  2% Заг.скл</t>
  </si>
  <si>
    <t>4,6</t>
  </si>
  <si>
    <t>101-4001-23</t>
  </si>
  <si>
    <t>Пробка 22 ПВХ</t>
  </si>
  <si>
    <t>ШТ</t>
  </si>
  <si>
    <t>101-4001-23 ВССЦ ОАО "Орелстрой"</t>
  </si>
  <si>
    <t>[1,13 /  7,56] +  4% Трансп +  2% Заг.скл</t>
  </si>
  <si>
    <t>4,7</t>
  </si>
  <si>
    <t>101-4001-21</t>
  </si>
  <si>
    <t>Фиксатор "Конус"</t>
  </si>
  <si>
    <t>101-4001-21 ВССЦ ОАО "Орелстрой"</t>
  </si>
  <si>
    <t>[0,62 /  7,56] +  4% Трансп +  2% Заг.скл</t>
  </si>
  <si>
    <t>4,8</t>
  </si>
  <si>
    <t>101-4001-22</t>
  </si>
  <si>
    <t>Фиксатор "Звездочка"</t>
  </si>
  <si>
    <t>101-4001-22 ВССЦ ОАО "Орелстрой"</t>
  </si>
  <si>
    <t>[1,02 /  7,56] +  4% Трансп +  2% Заг.скл</t>
  </si>
  <si>
    <t>4,9</t>
  </si>
  <si>
    <t>АРМ-1</t>
  </si>
  <si>
    <t>Отдельные стержни из арматуры разного диаметра и класса А-I и А-III (ф6- 20)</t>
  </si>
  <si>
    <t>АРМ-1 ПАО "Орелстрой"</t>
  </si>
  <si>
    <t>[80 392 /  7,56] +  4% Трансп +  0,75% Заг.скл</t>
  </si>
  <si>
    <t>5</t>
  </si>
  <si>
    <t>06-01-090-7</t>
  </si>
  <si>
    <t>Бетонирование конструкций внутренних стен с помощью бадьи в крупнощитовой, объемно-переставной и блочной опалубках (без вычета проемов) толщиной до 30 см (Пилоны )</t>
  </si>
  <si>
    <t>06-01-090-7 ТЕР-57 (ред.2014)</t>
  </si>
  <si>
    <t>5,1</t>
  </si>
  <si>
    <t>5,2</t>
  </si>
  <si>
    <t>5,3</t>
  </si>
  <si>
    <t>5,4</t>
  </si>
  <si>
    <t>5,5</t>
  </si>
  <si>
    <t>5,6</t>
  </si>
  <si>
    <t>5,7</t>
  </si>
  <si>
    <t>5,8</t>
  </si>
  <si>
    <t>5,9</t>
  </si>
  <si>
    <t>6</t>
  </si>
  <si>
    <t>110831</t>
  </si>
  <si>
    <t>Автобетоносмесители, емкость до 6,3 м3</t>
  </si>
  <si>
    <t>маш.-ч</t>
  </si>
  <si>
    <t>110831 ТСЭМ-57 (ред.2014)</t>
  </si>
  <si>
    <t>Машины и механизмы</t>
  </si>
  <si>
    <t>Эксплуатация машин и механизмов ( ценники на ЭММ )</t>
  </si>
  <si>
    <t>ресурс_ЭММ</t>
  </si>
  <si>
    <t>ПЗ</t>
  </si>
  <si>
    <t>Прямые затраты</t>
  </si>
  <si>
    <t>СтМатОб</t>
  </si>
  <si>
    <t>Стоимость материальных ресурсов (всего)</t>
  </si>
  <si>
    <t>СтМатОбЗак</t>
  </si>
  <si>
    <t>Стоимость материалов и оборудования заказчика</t>
  </si>
  <si>
    <t>СтМатОбПод</t>
  </si>
  <si>
    <t>Стоимость материалов и оборудования подрядчика</t>
  </si>
  <si>
    <t>СтМат</t>
  </si>
  <si>
    <t>Стоимость материалов (всего)</t>
  </si>
  <si>
    <t>СтМатЗак</t>
  </si>
  <si>
    <t>Стоимость материалов заказчика</t>
  </si>
  <si>
    <t>СтМатПод</t>
  </si>
  <si>
    <t>Стоимость материалов подрядчика</t>
  </si>
  <si>
    <t>Оборуд</t>
  </si>
  <si>
    <t>Стоимость оборудования (всего)</t>
  </si>
  <si>
    <t>ОборудЗак</t>
  </si>
  <si>
    <t>Стоимость оборудования заказчика</t>
  </si>
  <si>
    <t>ОборудПод</t>
  </si>
  <si>
    <t>Стоимость оборудования подрядчика</t>
  </si>
  <si>
    <t>ЭММ</t>
  </si>
  <si>
    <t>Эксплуатация машин</t>
  </si>
  <si>
    <t>ЭММсНРиСП</t>
  </si>
  <si>
    <t>Эксплуатация машин по ТСН-2001.16</t>
  </si>
  <si>
    <t>ЗПМ</t>
  </si>
  <si>
    <t>ЗП машинистов</t>
  </si>
  <si>
    <t>ОЗП</t>
  </si>
  <si>
    <t>Основная ЗП рабочих</t>
  </si>
  <si>
    <t>ОЗПсНРиСП</t>
  </si>
  <si>
    <t>Основная ЗП рабочих по ТСН-2001.16</t>
  </si>
  <si>
    <t>Строит</t>
  </si>
  <si>
    <t>Строительные работы с НР и СП</t>
  </si>
  <si>
    <t>Монтаж</t>
  </si>
  <si>
    <t>Монтажные работы с НР и СП</t>
  </si>
  <si>
    <t>Прочие</t>
  </si>
  <si>
    <t>Прочие работы с НР и СП</t>
  </si>
  <si>
    <t>ПрочиеЗатр</t>
  </si>
  <si>
    <t>Прочие затраты по ТСН-2001.16</t>
  </si>
  <si>
    <t>ВозврМат</t>
  </si>
  <si>
    <t>Возврат материалов</t>
  </si>
  <si>
    <t>ТрудСтр</t>
  </si>
  <si>
    <t>Трудозатраты строителей</t>
  </si>
  <si>
    <t>ТрудМаш</t>
  </si>
  <si>
    <t>Трудозатраты машинистов</t>
  </si>
  <si>
    <t>ТранспМат</t>
  </si>
  <si>
    <t>Транспорт материалов</t>
  </si>
  <si>
    <t>Перевозка</t>
  </si>
  <si>
    <t>Перевозка грузов</t>
  </si>
  <si>
    <t>НР</t>
  </si>
  <si>
    <t>Накладные расходы</t>
  </si>
  <si>
    <t>СмПриб</t>
  </si>
  <si>
    <t>Сметная прибыль</t>
  </si>
  <si>
    <t>Всего</t>
  </si>
  <si>
    <t>Всего с НР и СП</t>
  </si>
  <si>
    <t>Стены монолит 17-20 этажи</t>
  </si>
  <si>
    <t>7</t>
  </si>
  <si>
    <t>Монтаж и демонтаж крупнощитовой опалубки стен (Стен)</t>
  </si>
  <si>
    <t>7,1</t>
  </si>
  <si>
    <t>7,2</t>
  </si>
  <si>
    <t>8</t>
  </si>
  <si>
    <t>Монтаж и демонтаж крупнощитовой опалубки стен (Несъемная опалубка)</t>
  </si>
  <si>
    <t>)*1,12*0,8</t>
  </si>
  <si>
    <t>)*1,05*0,75</t>
  </si>
  <si>
    <t>8,1</t>
  </si>
  <si>
    <t>101-2796</t>
  </si>
  <si>
    <t>Дюбель распорный с металлическим стержнем 10х120 мм (Тарельчатый анкер)</t>
  </si>
  <si>
    <t>10 шт.</t>
  </si>
  <si>
    <t>101-2796 ТССЦ-57 (ред.2014)</t>
  </si>
  <si>
    <t>[70,8 /  7,56] +  4% Трансп +  2% Заг.скл</t>
  </si>
  <si>
    <t>8,2</t>
  </si>
  <si>
    <t>104-0720</t>
  </si>
  <si>
    <t>Плиты минераловатные на синтетическом связующем ПЖ-100 (НГ)</t>
  </si>
  <si>
    <t>104-0720 ТССЦ-57 (ред.2014)</t>
  </si>
  <si>
    <t>[8 425 /  7,56] +  4% Трансп +  2% Заг.скл</t>
  </si>
  <si>
    <t>8,3</t>
  </si>
  <si>
    <t>ППС-2</t>
  </si>
  <si>
    <t>Пенополистирольная плита ППС 17  т.40,50</t>
  </si>
  <si>
    <t>ППС-2 ПАО "Орелстрой"</t>
  </si>
  <si>
    <t>[3 755,38 /  7,56] +  4% Трансп +  2% Заг.скл</t>
  </si>
  <si>
    <t>9</t>
  </si>
  <si>
    <t>в06-01-092-9</t>
  </si>
  <si>
    <t>Установка отдельных арматурных стержней диаметром до 8 мм и вязка каркасов для СТЕН монолитных Выше 0,00</t>
  </si>
  <si>
    <t>в06-01-092-9 ВЭСН ОАО "Орелстрой" Ч.1 (с изм. от 2022.08.16)</t>
  </si>
  <si>
    <t>9,1</t>
  </si>
  <si>
    <t>АКП-32</t>
  </si>
  <si>
    <t>М/к арматурных каркасов стен с вязкой ( без заработной платой) Выше 0,00</t>
  </si>
  <si>
    <t>АКП-32 ПАО "Орелстрой"</t>
  </si>
  <si>
    <t>[59 385,33 /  7,56] +  4% Трансп +  0,75% Заг.скл</t>
  </si>
  <si>
    <t>10</t>
  </si>
  <si>
    <t>в06-01-092-10</t>
  </si>
  <si>
    <t>Установка отдельных арматурных стержней диаметром свыше 8 мм и вязка каркасов для СТЕН монолитных Выше 0,00</t>
  </si>
  <si>
    <t>в06-01-092-10 ВЭСН ОАО "Орелстрой" Ч.1 (с изм. от 2022.08.16)</t>
  </si>
  <si>
    <t>10,1</t>
  </si>
  <si>
    <t>10,2</t>
  </si>
  <si>
    <t>АРМ-19</t>
  </si>
  <si>
    <t>Отдельные стержни с цинолом</t>
  </si>
  <si>
    <t>[132 198,48 /  7,56] +  4% Трансп +  0,75% Заг.скл</t>
  </si>
  <si>
    <t>11</t>
  </si>
  <si>
    <t>06-01-090-2</t>
  </si>
  <si>
    <t>Бетонирование конструкций наружных стен с помощью бадьи в крупнощитовой, объемно-переставной и блочной опалубках (без вычета проемов) толщиной до 20 см</t>
  </si>
  <si>
    <t>06-01-090-2 ТЕР-57 (ред.2014)</t>
  </si>
  <si>
    <t>11,1</t>
  </si>
  <si>
    <t>11,2</t>
  </si>
  <si>
    <t>Опалубка переставная (амортизация) стен м/к</t>
  </si>
  <si>
    <t>11,3</t>
  </si>
  <si>
    <t>Опалубка переставная (амортизация) стен фанера</t>
  </si>
  <si>
    <t>11,4</t>
  </si>
  <si>
    <t>11,5</t>
  </si>
  <si>
    <t>11,6</t>
  </si>
  <si>
    <t>11,7</t>
  </si>
  <si>
    <t>11,8</t>
  </si>
  <si>
    <t>11,9</t>
  </si>
  <si>
    <t>12</t>
  </si>
  <si>
    <t>Бетонирование конструкций наружных стен с помощью бадьи в крупнощитовой, объемно-переставной и блочной опалубках (без вычета проемов) толщиной до 30 см</t>
  </si>
  <si>
    <t>12,1</t>
  </si>
  <si>
    <t>12,2</t>
  </si>
  <si>
    <t>12,3</t>
  </si>
  <si>
    <t>12,4</t>
  </si>
  <si>
    <t>12,5</t>
  </si>
  <si>
    <t>12,6</t>
  </si>
  <si>
    <t>12,7</t>
  </si>
  <si>
    <t>12,8</t>
  </si>
  <si>
    <t>12,9</t>
  </si>
  <si>
    <t>13</t>
  </si>
  <si>
    <t>06-01-090-5</t>
  </si>
  <si>
    <t>Бетонирование конструкций внутренних стен с помощью бадьи в крупнощитовой, объемно-переставной и блочной опалубках (без вычета проемов) толщиной до 16 см (Стены )</t>
  </si>
  <si>
    <t>06-01-090-5 ТЕР-57 (ред.2014)</t>
  </si>
  <si>
    <t>13,1</t>
  </si>
  <si>
    <t>13,2</t>
  </si>
  <si>
    <t>Опалубка переставная (амортизация) стен м/к (35,92-13,056)</t>
  </si>
  <si>
    <t>13,3</t>
  </si>
  <si>
    <t>Опалубка переставная (амортизация) стен фанера (35,92-13,056)</t>
  </si>
  <si>
    <t>13,4</t>
  </si>
  <si>
    <t>13,5</t>
  </si>
  <si>
    <t>13,6</t>
  </si>
  <si>
    <t>13,7</t>
  </si>
  <si>
    <t>13,8</t>
  </si>
  <si>
    <t>13,9</t>
  </si>
  <si>
    <t>14</t>
  </si>
  <si>
    <t>06-01-090-6</t>
  </si>
  <si>
    <t>Бетонирование конструкций внутренних стен с помощью бадьи в крупнощитовой, объемно-переставной и блочной опалубках (без вычета проемов) толщиной до 20 см</t>
  </si>
  <si>
    <t>06-01-090-6 ТЕР-57 (ред.2014)</t>
  </si>
  <si>
    <t>14,1</t>
  </si>
  <si>
    <t>14,2</t>
  </si>
  <si>
    <t>Опалубка переставная (амортизация) стен м/к (223-20,8)</t>
  </si>
  <si>
    <t>14,3</t>
  </si>
  <si>
    <t>Опалубка переставная (амортизация) стен фанера (223-20,8)</t>
  </si>
  <si>
    <t>14,4</t>
  </si>
  <si>
    <t>14,5</t>
  </si>
  <si>
    <t>14,6</t>
  </si>
  <si>
    <t>14,7</t>
  </si>
  <si>
    <t>14,8</t>
  </si>
  <si>
    <t>14,9</t>
  </si>
  <si>
    <t>15</t>
  </si>
  <si>
    <t>в07-05-039-34</t>
  </si>
  <si>
    <t>Промазка швов мастикой МГКП</t>
  </si>
  <si>
    <t>100 м</t>
  </si>
  <si>
    <t>в07-05-039-34  ВЭСН ОАО "Орелстрой" Ч.1 В.8</t>
  </si>
  <si>
    <t>Бетонные и железобетонные сборные конструкции в жилищно-гражданском строительстве</t>
  </si>
  <si>
    <t>ФЕР-07 (03)</t>
  </si>
  <si>
    <t>15,1</t>
  </si>
  <si>
    <t>101-0618</t>
  </si>
  <si>
    <t>Мастика негорючая МГКП</t>
  </si>
  <si>
    <t>кг</t>
  </si>
  <si>
    <t>101-0618 ТССЦ-57 (ред.2014)</t>
  </si>
  <si>
    <t>[198,1 /  7,56] +  4% Трансп +  2% Заг.скл</t>
  </si>
  <si>
    <t>16</t>
  </si>
  <si>
    <t>м08-02-409-6</t>
  </si>
  <si>
    <t>Труба винипластовая по установленным конструкциям, по основанию пола, диаметр до 25 мм</t>
  </si>
  <si>
    <t>м08-02-409-6 ТЕРм-57 (ред.2014)</t>
  </si>
  <si>
    <t>Монтажные работы</t>
  </si>
  <si>
    <t>Электромонтажные работы  (ФЕРм-08, отдел 01-03)</t>
  </si>
  <si>
    <t>ФЕРм-08</t>
  </si>
  <si>
    <t>16,1</t>
  </si>
  <si>
    <t>101-0816</t>
  </si>
  <si>
    <t>Проволока светлая диаметром 1,1 мм</t>
  </si>
  <si>
    <t>101-0816 ТССЦ-57 (ред.2014)</t>
  </si>
  <si>
    <t>[96 250 /  7,56] +  4% Трансп +  2% Заг.скл</t>
  </si>
  <si>
    <t>16,2</t>
  </si>
  <si>
    <t>503-0537</t>
  </si>
  <si>
    <t>Разветвительная коробка Л-256</t>
  </si>
  <si>
    <t>1 шт.</t>
  </si>
  <si>
    <t>503-0537 ТССЦ-57 (ред.2014)</t>
  </si>
  <si>
    <t>шт.</t>
  </si>
  <si>
    <t>[25,15 /  7,56] +  4% Трансп +  2% Заг.скл</t>
  </si>
  <si>
    <t>16,3</t>
  </si>
  <si>
    <t>Разветвительная коробка Л-245</t>
  </si>
  <si>
    <t>[30,28 /  7,56] +  4% Трансп +  2% Заг.скл</t>
  </si>
  <si>
    <t>16,4</t>
  </si>
  <si>
    <t>507-0623</t>
  </si>
  <si>
    <t>Трубы напорные из полиэтилена низкого давления тяжелого типа, наружным диаметром 25 мм (ТРУБКА ПНД-25 ГОСТ 18599-2001)</t>
  </si>
  <si>
    <t>10 м</t>
  </si>
  <si>
    <t>507-0623 ТССЦ-57 (ред.2014)</t>
  </si>
  <si>
    <t>[201,1 /  7,56] +  4% Трансп +  2% Заг.скл</t>
  </si>
  <si>
    <t>16,5</t>
  </si>
  <si>
    <t>БРЛ-4.19</t>
  </si>
  <si>
    <t>Раствор цементный   B15 М200  (в летнее время)</t>
  </si>
  <si>
    <t>БРЛ-4.19 ПАО "Орелстрой"</t>
  </si>
  <si>
    <t>[4 929,35 /  7,56] +  4% Трансп +  2% Заг.скл</t>
  </si>
  <si>
    <t>17</t>
  </si>
  <si>
    <t>м08-02-409-7</t>
  </si>
  <si>
    <t>Труба винипластовая по установленным конструкциям, по основанию пола, диаметр до 50 мм (32мм)</t>
  </si>
  <si>
    <t>м08-02-409-7 ТЕРм-57 (ред.2014)</t>
  </si>
  <si>
    <t>17,1</t>
  </si>
  <si>
    <t>17,2</t>
  </si>
  <si>
    <t>17,3</t>
  </si>
  <si>
    <t>17,4</t>
  </si>
  <si>
    <t>507-0624</t>
  </si>
  <si>
    <t>Трубы напорные из полиэтилена низкого давления тяжелого типа, наружным диаметром 32 мм (ТРУБКА ПНД-32 ГОСТ 18599-2001)</t>
  </si>
  <si>
    <t>507-0624 ТССЦ-57 (ред.2014)</t>
  </si>
  <si>
    <t>[350 /  7,56] +  4% Трансп +  2% Заг.скл</t>
  </si>
  <si>
    <t>17,5</t>
  </si>
  <si>
    <t>18</t>
  </si>
  <si>
    <t>06-01-092-11</t>
  </si>
  <si>
    <t>Установка закладных деталей при массе элементов до 5 кг</t>
  </si>
  <si>
    <t>06-01-092-11 ТЕР-57 (ред.2014)</t>
  </si>
  <si>
    <t>18,1</t>
  </si>
  <si>
    <t>18,2</t>
  </si>
  <si>
    <t>МКОН-1</t>
  </si>
  <si>
    <t>М/конструкции закладных деталей  (квадрат, лист, арматура)  (общего назначения)</t>
  </si>
  <si>
    <t>МКОН-1 ПАО "Орелстрой"</t>
  </si>
  <si>
    <t>[111 468,54 /  7,56] +  4% Трансп +  0,75% Заг.скл</t>
  </si>
  <si>
    <t>18,3</t>
  </si>
  <si>
    <t>прайс</t>
  </si>
  <si>
    <t>М/конструкции закладных деталей  (квадрат, лист, арматура)  (общего назначения) с цинолом МН 106-5</t>
  </si>
  <si>
    <t>[220 276,93 /  7,56] +  4% Трансп +  0,75% Заг.скл</t>
  </si>
  <si>
    <t>19</t>
  </si>
  <si>
    <t>06-01-092-12</t>
  </si>
  <si>
    <t>Установка закладных деталей при массе элементов до 20 кг</t>
  </si>
  <si>
    <t>06-01-092-12 ТЕР-57 (ред.2014)</t>
  </si>
  <si>
    <t>19,1</t>
  </si>
  <si>
    <t>19,2</t>
  </si>
  <si>
    <t>20</t>
  </si>
  <si>
    <t>13-03-004-26</t>
  </si>
  <si>
    <t>Окраска металлических огрунтованных поверхностей эмалью ПФ-115</t>
  </si>
  <si>
    <t>100 м2 окрашиваемой поверхности</t>
  </si>
  <si>
    <t>13-03-004-26 ТЕР-57 (ред.2014)</t>
  </si>
  <si>
    <t>)*2</t>
  </si>
  <si>
    <t>Защита строительных конструкций</t>
  </si>
  <si>
    <t>ФЕР-13</t>
  </si>
  <si>
    <t>20,1</t>
  </si>
  <si>
    <t>101-1292</t>
  </si>
  <si>
    <t>Уайт-спирит</t>
  </si>
  <si>
    <t>101-1292 ТССЦ-57 (изд.2014)</t>
  </si>
  <si>
    <t>[98 057 /  7,56] +  4% Трансп +  2% Заг.скл</t>
  </si>
  <si>
    <t>20,2</t>
  </si>
  <si>
    <t>113-0246</t>
  </si>
  <si>
    <t>Эмаль ПФ-115 серая</t>
  </si>
  <si>
    <t>113-0246 ТССЦ-57 (изд.2014)</t>
  </si>
  <si>
    <t>[124 030 /  7,56] +  4% Трансп +  2% Заг.скл</t>
  </si>
  <si>
    <t>21</t>
  </si>
  <si>
    <t>22</t>
  </si>
  <si>
    <t>46-08-012-3</t>
  </si>
  <si>
    <t>Установка анкеров в отверстия глубиной 100 мм с применением смесей серии MASTERFLOW, диаметр анкера 12 мм (Скоба СБ2 на хим.анкере)</t>
  </si>
  <si>
    <t>100 шт.</t>
  </si>
  <si>
    <t>46-08-012-3 ТЕР-57 (ред.2014)</t>
  </si>
  <si>
    <t>Реконструкция зданий и сооружений</t>
  </si>
  <si>
    <t>ФЕР-46</t>
  </si>
  <si>
    <t>22,1</t>
  </si>
  <si>
    <t>МКМС-138</t>
  </si>
  <si>
    <t>Скоба СК цинол  (монолитная секция)</t>
  </si>
  <si>
    <t>МКМС-138 ПАО "Орелстрой"</t>
  </si>
  <si>
    <t>[129 899,35 /  7,56] +  4% Трансп +  0,75% Заг.скл</t>
  </si>
  <si>
    <t>22,2</t>
  </si>
  <si>
    <t>509-5787</t>
  </si>
  <si>
    <t>Анкер химический (капсула с клеевым составом) Hilti HIT-HY 150/330  (Hilti HIT-ICE зимняя  300мл)</t>
  </si>
  <si>
    <t>509-5787 ТССЦ-57 (ред.2014)</t>
  </si>
  <si>
    <t>[2 222,22 /  7,56] +  4% Трансп +  2% Заг.скл</t>
  </si>
  <si>
    <t>23</t>
  </si>
  <si>
    <t>46-08-012-8</t>
  </si>
  <si>
    <t>На каждые 10 мм изменения глубины отверстия добавлять (уменьшать) к расценке 46-08-012-03</t>
  </si>
  <si>
    <t>46-08-012-8 ТЕР-57 (ред.2014)</t>
  </si>
  <si>
    <t>)*12,5</t>
  </si>
  <si>
    <t>Перекрытие,  балки 17-20 этажи</t>
  </si>
  <si>
    <t>24</t>
  </si>
  <si>
    <t>06-01-087-2</t>
  </si>
  <si>
    <t>Монтаж и демонтаж крупнощитовой опалубки перекрытий</t>
  </si>
  <si>
    <t>06-01-087-2 ТЕР-57 (ред.2014)</t>
  </si>
  <si>
    <t>24,1</t>
  </si>
  <si>
    <t>101-4001-14</t>
  </si>
  <si>
    <t>Фанера ламинированная</t>
  </si>
  <si>
    <t>м2</t>
  </si>
  <si>
    <t>101-4001-14 ВССЦ ОАО "Орелстрой"</t>
  </si>
  <si>
    <t>[975 /  7,56] +  4% Трансп +  2% Заг.скл</t>
  </si>
  <si>
    <t>24,2</t>
  </si>
  <si>
    <t>24,3</t>
  </si>
  <si>
    <t>25</t>
  </si>
  <si>
    <t>в06-01-092-11</t>
  </si>
  <si>
    <t>Установка отдельных арматурных стержней диаметром до 8 мм и вязка каркасов для ПЕРЕКРЫТИЙ монолитных Выше 0,00</t>
  </si>
  <si>
    <t>в06-01-092-11 ВЭСН ОАО "Орелстрой" Ч.1 (с изм. от 2022.08.16)</t>
  </si>
  <si>
    <t>25,1</t>
  </si>
  <si>
    <t>АКП-28</t>
  </si>
  <si>
    <t>М/к арматурных каркасов плит перекрытий с вязкой ( без заработной платой) Выше 0,00</t>
  </si>
  <si>
    <t>АКП-28 ПАО "Орелстрой"</t>
  </si>
  <si>
    <t>[59 789,29 /  7,56] +  4% Трансп +  0,75% Заг.скл</t>
  </si>
  <si>
    <t>25,2</t>
  </si>
  <si>
    <t>АРМ-7</t>
  </si>
  <si>
    <t>Пространственные каркасы из арматуры разного диаметра  и класса А-I и А-III (КП-1)</t>
  </si>
  <si>
    <t>АРМ-7 ПАО "Орелстрой"</t>
  </si>
  <si>
    <t>[108 459,62 /  7,56] +  4% Трансп +  0,75% Заг.скл</t>
  </si>
  <si>
    <t>26</t>
  </si>
  <si>
    <t>в06-01-092-12</t>
  </si>
  <si>
    <t>Установка отдельных арматурных стержней диаметром свыше 8 мм и вязка каркасов для ПЕРЕКРЫТИЙ монолитных Выше 0,00</t>
  </si>
  <si>
    <t>в06-01-092-12 ВЭСН ОАО "Орелстрой" Ч.1 (с изм. от 2022.08.16)</t>
  </si>
  <si>
    <t>26,1</t>
  </si>
  <si>
    <t>АРМ-3</t>
  </si>
  <si>
    <t>Плоские сетки и каркасы из арматуры разного диаметра и класса А-I и А-III (КРВ-1,2)</t>
  </si>
  <si>
    <t>АРМ-3 ПАО "Орелстрой"</t>
  </si>
  <si>
    <t>[96 989,57 /  7,56] +  4% Трансп +  0,75% Заг.скл</t>
  </si>
  <si>
    <t>26,2</t>
  </si>
  <si>
    <t>26,3</t>
  </si>
  <si>
    <t>Пространственные каркасы из арматуры разного диаметра  и класса А-I и А-III (Крп-13,14,15)</t>
  </si>
  <si>
    <t>26,4</t>
  </si>
  <si>
    <t>27</t>
  </si>
  <si>
    <t>06-01-091-3</t>
  </si>
  <si>
    <t>Бетонирование перекрытий с помощью бадьи в крупнощитовой и объемно-переставной опалубках толщиной до 20 см (т.180)</t>
  </si>
  <si>
    <t>06-01-091-3 ТЕР-57 (ред.2014)</t>
  </si>
  <si>
    <t>27,1</t>
  </si>
  <si>
    <t>27,2</t>
  </si>
  <si>
    <t>101-4001-26</t>
  </si>
  <si>
    <t>Опалубка переставная (амортизация) перекрытия м/к</t>
  </si>
  <si>
    <t>101-4001-26 ВССЦ ОАО "Орелстрой"</t>
  </si>
  <si>
    <t>[34,84 /  7,56] +  4% Трансп +  0,75% Заг.скл</t>
  </si>
  <si>
    <t>27,3</t>
  </si>
  <si>
    <t>101-4001-27</t>
  </si>
  <si>
    <t>Опалубка переставная (амортизация) перекрытия фанера</t>
  </si>
  <si>
    <t>101-4001-27 ВССЦ ОАО "Орелстрой"</t>
  </si>
  <si>
    <t>[228,01 /  7,56] +  4% Трансп +  2% Заг.скл</t>
  </si>
  <si>
    <t>27,4</t>
  </si>
  <si>
    <t>27,5</t>
  </si>
  <si>
    <t>101-4001-19</t>
  </si>
  <si>
    <t>Фиксатор "Стойка"</t>
  </si>
  <si>
    <t>101-4001-19 ВССЦ ОАО "Орелстрой"</t>
  </si>
  <si>
    <t>[0,85 /  7,56] +  4% Трансп +  2% Заг.скл</t>
  </si>
  <si>
    <t>28</t>
  </si>
  <si>
    <t>29</t>
  </si>
  <si>
    <t>29,1</t>
  </si>
  <si>
    <t>29,2</t>
  </si>
  <si>
    <t>МКМС-83</t>
  </si>
  <si>
    <t>Изделие закладное ЗД 1,2,3 (монолитная секция)</t>
  </si>
  <si>
    <t>МКМС-83 ПАО "Орелстрой"</t>
  </si>
  <si>
    <t>[111 949,22 /  7,56] +  4% Трансп +  0,75% Заг.скл</t>
  </si>
  <si>
    <t>30</t>
  </si>
  <si>
    <t>30,1</t>
  </si>
  <si>
    <t>30,2</t>
  </si>
  <si>
    <t>МКМС-43</t>
  </si>
  <si>
    <t>Блок гильз Б Г 1,2,3 (монолитная секция)</t>
  </si>
  <si>
    <t>МКМС-43 ПАО "Орелстрой"</t>
  </si>
  <si>
    <t>[129 228,19 /  7,56] +  4% Трансп +  0,75% Заг.скл</t>
  </si>
  <si>
    <t>30,3</t>
  </si>
  <si>
    <t>Изделие закладное (монолитная секция) МН 127-3</t>
  </si>
  <si>
    <t>31</t>
  </si>
  <si>
    <t>07-01-044-3</t>
  </si>
  <si>
    <t>Установка монтажных изделий массой до 20 кг</t>
  </si>
  <si>
    <t>1 т стальных элементов</t>
  </si>
  <si>
    <t>07-01-044-3 ТЕР-57 (ред.2014)</t>
  </si>
  <si>
    <t>Сборные бетонные конструкции в промышленном строительстве  (Произоводственные здания и сооружения )</t>
  </si>
  <si>
    <t>ФЕР-07</t>
  </si>
  <si>
    <t>31,1</t>
  </si>
  <si>
    <t>101-1513</t>
  </si>
  <si>
    <t>Электроды диаметром 4 мм Э42</t>
  </si>
  <si>
    <t>101-1513 ТССЦ-57 (ред.2014)</t>
  </si>
  <si>
    <t>[175 000 /  7,56] +  4% Трансп +  2% Заг.скл</t>
  </si>
  <si>
    <t>31,2</t>
  </si>
  <si>
    <t>МКМС-19</t>
  </si>
  <si>
    <t>Рама  РМ1  (монолитная секция)</t>
  </si>
  <si>
    <t>МКМС-19 ПАО "Орелстрой"</t>
  </si>
  <si>
    <t>[124 256,72 /  7,56] +  4% Трансп +  0,75% Заг.скл</t>
  </si>
  <si>
    <t>32</t>
  </si>
  <si>
    <t>32,1</t>
  </si>
  <si>
    <t>32,2</t>
  </si>
  <si>
    <t>33</t>
  </si>
  <si>
    <t>26-01-041-5</t>
  </si>
  <si>
    <t>Изоляция изделиями из пенопласта насухо холодных поверхностей покрытий и перекрытий</t>
  </si>
  <si>
    <t>1 м3 изоляции</t>
  </si>
  <si>
    <t>26-01-041-5 ТЕР-57 (ред.2014)</t>
  </si>
  <si>
    <t>Поправка: Сб.№26, п.1.26.19.5  Наименование: При производстве работ на высоте свыше 60 м</t>
  </si>
  <si>
    <t>)*1,5</t>
  </si>
  <si>
    <t>Теплоизоляционные работы</t>
  </si>
  <si>
    <t>ФЕР-26</t>
  </si>
  <si>
    <t>Поправка: Сб.№26, п.1.26.19.5</t>
  </si>
  <si>
    <t>33,1</t>
  </si>
  <si>
    <t>Пенополистирольная плита ППС 17</t>
  </si>
  <si>
    <t>34</t>
  </si>
  <si>
    <t>34,1</t>
  </si>
  <si>
    <t>34,2</t>
  </si>
  <si>
    <t>Разветвительная коробка Л-254</t>
  </si>
  <si>
    <t>34,3</t>
  </si>
  <si>
    <t>34,4</t>
  </si>
  <si>
    <t>34,5</t>
  </si>
  <si>
    <t>АРМ-2</t>
  </si>
  <si>
    <t>Гнутые стержни из арматуры разного диаметра  (ДТ1)</t>
  </si>
  <si>
    <t>АРМ-2 ПАО "Орелстрой"</t>
  </si>
  <si>
    <t>[85 179,64 /  7,56] +  4% Трансп +  0,75% Заг.скл</t>
  </si>
  <si>
    <t>34,6</t>
  </si>
  <si>
    <t>35</t>
  </si>
  <si>
    <t>Установка анкеров в отверстия глубиной 100 мм с применением смесей серии MASTERFLOW, диаметр анкера 12 мм (Скоба СБ1 на хим.анкере)</t>
  </si>
  <si>
    <t>35,1</t>
  </si>
  <si>
    <t>35,2</t>
  </si>
  <si>
    <t>36</t>
  </si>
  <si>
    <t>)*14</t>
  </si>
  <si>
    <t>НР14,7</t>
  </si>
  <si>
    <t>ПН</t>
  </si>
  <si>
    <t>ИТОГО</t>
  </si>
  <si>
    <t>Итого</t>
  </si>
  <si>
    <t>СМОБ</t>
  </si>
  <si>
    <t>Сметная заработная плата (руб.)</t>
  </si>
  <si>
    <t>ВСЕГО</t>
  </si>
  <si>
    <t>ЕСН</t>
  </si>
  <si>
    <t>{ вкл.} - Коэф. к НР=0,85 и к СП=0,8 применяются АВТОМАТИЧЕСКИ в Текущем уровне цен и не применяется в Базовом уровне цен;  { выкл.} - Коэф. к НР=0,85 и к СП=0,8 не применяются (при производстве работ по строительству мостов, тоннелей, метрополи</t>
  </si>
  <si>
    <t>© ООО НТЦ «АиВТ» г.Орел</t>
  </si>
  <si>
    <t>Коэффициенты к НР=0,85 и к СП=0,8</t>
  </si>
  <si>
    <t>УПРОЩЕНКА</t>
  </si>
  <si>
    <t>{ вкл.} - Коэффициэнты к НР и СП применяются при упрощенной системе налогооблажения  (в зависимости от выбранного уровня цен)</t>
  </si>
  <si>
    <t>Упрощенное налогообложение</t>
  </si>
  <si>
    <t>СЛОЖНОСТЬ</t>
  </si>
  <si>
    <t>{ вкл.} - Коэффициэнты к НР и СП применяются при  реконструкции объектов метро, мостов, путепроводов, сооружений относящихся к сложным, при реконструкции и капитальном ремонте объектов с ядерными реакторами</t>
  </si>
  <si>
    <t>Сложные объекты</t>
  </si>
  <si>
    <t>ХОЗ_СПОСОБ</t>
  </si>
  <si>
    <t>{ вкл.} - Коэффициэнты к НР и СП применяются при хозяйственном способе производства работ</t>
  </si>
  <si>
    <t>Хозяйственный способ производства работ</t>
  </si>
  <si>
    <t>ЗАКР_СПОСОБ</t>
  </si>
  <si>
    <t>{ вкл.} - Обслуживающие и сопутстующие работы в тоннелях при производве работ ЗАКРЫТЫМ способом (HР=145%; СП= 75%);  { выкл.} - Обслуживающие и сопутстующие работы в тоннелях при производве работ  ОТКРЫТЫМ способом (HР=125%; СП= 60%)</t>
  </si>
  <si>
    <t>Производство работ закрытым способом (Обслуживающие и сопутстующие работы в тоннелях)</t>
  </si>
  <si>
    <t>МЕЖ_ГОРОД</t>
  </si>
  <si>
    <t>{ вкл.} - Прокладка  МЕЖДУГОРОДНИХ  волоконно-оптических линий (HР=120%; СП= 70%)  { выкл.} - Прокладка  ГОРОДСКИХ  волоконно-оптических линий (HР=100%; СП= 65%)</t>
  </si>
  <si>
    <t>Прокладка междугородних волоконно-оптических линий</t>
  </si>
  <si>
    <t>АВИА</t>
  </si>
  <si>
    <t>( вкл.) - При производстве монтажных работ на объектах диспетчеризации управления движением авиатранспортом (НР=95%, СП=55%);  ( выкл.) - При производстве монтажных работ на прочих объектах, кроме АЭС.</t>
  </si>
  <si>
    <t>Производство монтажных работ на объектах диспетчеризации управления движением авиатранспортном</t>
  </si>
  <si>
    <t>АЭС</t>
  </si>
  <si>
    <t>( вкл.) - Произовдство электро-монтажных. работ (HР=110%; СП= 68%) и контроль сварных швов (HР=101%; СП= 60%) на АЭС;  ( выкл.) - Произовдство электро-монтажных. работ (HР=95%; СП= 65%) и контроль сварных швов (HР=80%; СП= 60%) на прочих объектах</t>
  </si>
  <si>
    <t>Произовдство электро-монтажных. работ и контроль сварных швов на АЭС</t>
  </si>
  <si>
    <t>НРиСПотОЗП</t>
  </si>
  <si>
    <t>{ вкл.} - НР и СП рассчитываются от ОЗП  { выкл.} - НР и СП рассчитываются от ФОТ = ОЗП + ЗПМ</t>
  </si>
  <si>
    <t>НР и СП рассчитываются от ОЗП</t>
  </si>
  <si>
    <t>К_НР_ТЕР</t>
  </si>
  <si>
    <t>Коэффициэнт к % НР для сборников ФЕР (ТЕР) (при ремонте)</t>
  </si>
  <si>
    <t>К_СП_ТЕР</t>
  </si>
  <si>
    <t>Коэффициэнт к % СП для сборников ФЕР (ТЕР) (при ремонте)</t>
  </si>
  <si>
    <t>К_НР_ТЕРр</t>
  </si>
  <si>
    <t>Коэффициэнт к % НР для сборников ФЕРр (ТЕРр) (при ремонте)</t>
  </si>
  <si>
    <t>К_СП_ТЕРр</t>
  </si>
  <si>
    <t>Коэффициэнт к % СП для сборников ФЕРр (ТЕРр) (при ремонте)</t>
  </si>
  <si>
    <t>К_НР_12</t>
  </si>
  <si>
    <t>Коэффициэнт к % НР (с 01.12.2012) (в связи с изменением ЕСН)</t>
  </si>
  <si>
    <t>К_СП_12</t>
  </si>
  <si>
    <t>Коэффициэнт к % СП (с 01.12.2012) (в связи с изменением ЕСН)</t>
  </si>
  <si>
    <t>К_НР_11</t>
  </si>
  <si>
    <t>Коэффициэнт к % НР (с 01.01.2011 по 01.12.2012) (в связи с изменением ЕСН)</t>
  </si>
  <si>
    <t>К_СП_11</t>
  </si>
  <si>
    <t>Коэффициэнт к % СП (с 01.01.2011 по 01.12.2012) (в связи с изменением ЕСН)</t>
  </si>
  <si>
    <t>К_НР_05</t>
  </si>
  <si>
    <t>Коэффициэнт к % НР (с 01.01.2005 по 01.01.2011) (в связи с изменением ЕСН)</t>
  </si>
  <si>
    <t>К_СП_05</t>
  </si>
  <si>
    <t>Коэффициэнт к % СП (с 01.01.2005 по 01.01.2011) (в связи с изменением ЕСН)</t>
  </si>
  <si>
    <t>К_НР_УПР</t>
  </si>
  <si>
    <t>Коэффициэнт к % НР (при упрощенном налогообложении)</t>
  </si>
  <si>
    <t>К_СП_УПР</t>
  </si>
  <si>
    <t>Коэффициэнт к % СП (при упрощенном налогообложении)</t>
  </si>
  <si>
    <t>К_НР_ХОЗ</t>
  </si>
  <si>
    <t>Коэффициэнт к % НР (при хозяйственном способе производства работ)</t>
  </si>
  <si>
    <t>К_СП_ХОЗ</t>
  </si>
  <si>
    <t>Коэффициэнт к % СП (при хозяйственном способе производства работ)</t>
  </si>
  <si>
    <t>К_НР_СЛЖ</t>
  </si>
  <si>
    <t>Коэффициэнт к % НР (при реконструкции сложных объектов  и  кап. ремонте объектов с яд. реакторами)</t>
  </si>
  <si>
    <t>К_СП_СЛЖ</t>
  </si>
  <si>
    <t>Коэффициэнт к % СП (при реконструкции сложных объектов  и  кап. ремонте объектов с яд. реакторами)</t>
  </si>
  <si>
    <t>К_НР_Д1</t>
  </si>
  <si>
    <t>Коэффициэнт к % НР (Пользовательский) - применяется по желанию пользователя, значение задает пользователь.</t>
  </si>
  <si>
    <t>К_СП_Д1</t>
  </si>
  <si>
    <t>Коэффициэнт к % СП (Пользовательский) - применяется по желанию пользователя, значение задает пользователь.</t>
  </si>
  <si>
    <t>К_НР_Д2</t>
  </si>
  <si>
    <t>К_СП_Д2</t>
  </si>
  <si>
    <t>ОКРУГЛЕНИЕ</t>
  </si>
  <si>
    <t>Точность округления результата расчета % НР и % СП</t>
  </si>
  <si>
    <t>Базовый уровень цен</t>
  </si>
  <si>
    <t>I квартал 2024 г.</t>
  </si>
  <si>
    <t>Сборник индексов</t>
  </si>
  <si>
    <t>ПАО "Орелстрой" (новое строительство)</t>
  </si>
  <si>
    <t>_OBSM_</t>
  </si>
  <si>
    <t>1-1020-2014-57</t>
  </si>
  <si>
    <t>Рабочий строитель среднего разряда 2</t>
  </si>
  <si>
    <t>чел.-ч</t>
  </si>
  <si>
    <t>Затраты труда машинистов</t>
  </si>
  <si>
    <t>чел.час</t>
  </si>
  <si>
    <t>020130</t>
  </si>
  <si>
    <t>020130 ТСЭМ-57 (ред.2014)</t>
  </si>
  <si>
    <t>Краны башенные при работе на других видах строительства 10 т</t>
  </si>
  <si>
    <t>021141</t>
  </si>
  <si>
    <t>021141 ТСЭМ-57 (ред.2014)</t>
  </si>
  <si>
    <t>Краны на автомобильном ходу при работе на других видах строительства 10 т</t>
  </si>
  <si>
    <t>031102</t>
  </si>
  <si>
    <t>031102 ТСЭМ-57 (ред.2014)</t>
  </si>
  <si>
    <t>Подъемники строительные грузопассажирские, грузоподъемность до 0,8 т</t>
  </si>
  <si>
    <t>400001</t>
  </si>
  <si>
    <t>400001 ТСЭМ-57 (ред.2014)</t>
  </si>
  <si>
    <t>Автомобили бортовые, грузоподъемность до 5 т</t>
  </si>
  <si>
    <t>1-5.4-57</t>
  </si>
  <si>
    <t>Затраты труда рабочих, разряд работ 5.4</t>
  </si>
  <si>
    <t>020130 ВССЦ ОАО "Орелстрой"</t>
  </si>
  <si>
    <t>Краны башенные при работе на других видах строительства (кроме монтажа технологического оборудования) 10 т</t>
  </si>
  <si>
    <t>021141 ВССЦ ОАО "Орелстрой"</t>
  </si>
  <si>
    <t>Краны на автомобильном ходу при работе на других видах строительства (кроме магистральных трубопроводов) 10 т</t>
  </si>
  <si>
    <t>400001 ВССЦ ОАО "Орелстрой"</t>
  </si>
  <si>
    <t>1-1031-2014-57</t>
  </si>
  <si>
    <t>Рабочий строитель среднего разряда 3,1</t>
  </si>
  <si>
    <t>111100</t>
  </si>
  <si>
    <t>111100 ТСЭМ-57 (ред.2014)</t>
  </si>
  <si>
    <t>Вибратор глубинный</t>
  </si>
  <si>
    <t>020129</t>
  </si>
  <si>
    <t>020129 ТСЭМ-57 (ред.2014)</t>
  </si>
  <si>
    <t>Краны башенные при работе на других видах строительства 8 т</t>
  </si>
  <si>
    <t>1-3.9-57</t>
  </si>
  <si>
    <t>Затраты труда рабочих, разряд работ 3.9</t>
  </si>
  <si>
    <t>031910</t>
  </si>
  <si>
    <t>031910 ТССЦ-57</t>
  </si>
  <si>
    <t>Люльки</t>
  </si>
  <si>
    <t>маш.ч</t>
  </si>
  <si>
    <t>МАШ.Ч</t>
  </si>
  <si>
    <t>400001 ТССЦ-57</t>
  </si>
  <si>
    <t>Автомобили бортовые грузоподъемностью до 5 т</t>
  </si>
  <si>
    <t>1-2038-2014-57</t>
  </si>
  <si>
    <t>Рабочий монтажник среднего разряда 3,8</t>
  </si>
  <si>
    <t>021102</t>
  </si>
  <si>
    <t>021102 ТСЭМ-57 (ред.2014)</t>
  </si>
  <si>
    <t>Краны на автомобильном ходу при работе на монтаже технологического оборудования 10 т</t>
  </si>
  <si>
    <t>331451</t>
  </si>
  <si>
    <t>331451 ТСЭМ-57 (ред.2014)</t>
  </si>
  <si>
    <t>Перфораторы электрические</t>
  </si>
  <si>
    <t>1-1022-2014-57</t>
  </si>
  <si>
    <t>Рабочий строитель среднего разряда 2,2</t>
  </si>
  <si>
    <t>1-1035-2014-57</t>
  </si>
  <si>
    <t>Рабочий строитель среднего разряда 3,5</t>
  </si>
  <si>
    <t>030101</t>
  </si>
  <si>
    <t>030101 ТСЭМ-57 (ред.2014)</t>
  </si>
  <si>
    <t>Автопогрузчики 5 т</t>
  </si>
  <si>
    <t>030401</t>
  </si>
  <si>
    <t>030401 ТСЭМ-57 (ред.2014)</t>
  </si>
  <si>
    <t>Лебедки электрические тяговым усилием до 5,79 кН (0,59 т)</t>
  </si>
  <si>
    <t>340101</t>
  </si>
  <si>
    <t>340101 ТСЭМ-57 (ред.2014)</t>
  </si>
  <si>
    <t>Агрегаты окрасочные высокого давления для окраски поверхностей конструкций мощностью 1 кВт</t>
  </si>
  <si>
    <t>1-1030-2014-57</t>
  </si>
  <si>
    <t>Рабочий строитель среднего разряда 3</t>
  </si>
  <si>
    <t>050402</t>
  </si>
  <si>
    <t>050402 ТСЭМ-57 (ред.2014)</t>
  </si>
  <si>
    <t>Компрессоры передвижные с электродвигателем давлением 600 кПа (6 ат), производительность до 3,5 м3/мин</t>
  </si>
  <si>
    <t>111301</t>
  </si>
  <si>
    <t>111301 ТСЭМ-57 (ред.2014)</t>
  </si>
  <si>
    <t>Вибратор поверхностный</t>
  </si>
  <si>
    <t>1-1044-2014-57</t>
  </si>
  <si>
    <t>Рабочий строитель среднего разряда 4,4</t>
  </si>
  <si>
    <t>040502</t>
  </si>
  <si>
    <t>040502 ТСЭМ-57 (ред.2014)</t>
  </si>
  <si>
    <t>Установки для сварки ручной дуговой (постоянного тока)</t>
  </si>
  <si>
    <t>1-1038-2014-57</t>
  </si>
  <si>
    <t>Рабочий строитель среднего разряда 3,8</t>
  </si>
  <si>
    <t>030403</t>
  </si>
  <si>
    <t>030403 ТСЭМ-57 (ред.2014)</t>
  </si>
  <si>
    <t>Лебедки электрические тяговым усилием 19,62 кН (2 т)</t>
  </si>
  <si>
    <t>101-1805</t>
  </si>
  <si>
    <t>101-1805 ТССЦ-57 (ред.2014)</t>
  </si>
  <si>
    <t>101-0816 ТССЦ-57</t>
  </si>
  <si>
    <t>Проволока светлая диаметром 1.1 мм</t>
  </si>
  <si>
    <t>204-0077-7</t>
  </si>
  <si>
    <t>204-0077-7 ВССЦ ОАО "Орелстрой"</t>
  </si>
  <si>
    <t>Каркасы арматурные (стержни диаметром до 8 мм) связанные в арматурные изделия (для ПИЛОНОВ и КОЛОНН монолитных Выше 0,00)</t>
  </si>
  <si>
    <t>204-0077-8</t>
  </si>
  <si>
    <t>204-0077-8 ВССЦ ОАО "Орелстрой"</t>
  </si>
  <si>
    <t>Каркасы арматурные (стержни диаметром свыше 8 мм) связанные в арматурные изделия (для ПИЛОНОВ и КОЛОНН монолитных Выше 0,00)</t>
  </si>
  <si>
    <t>101-0584 ТССЦ-57 (ред.2014)</t>
  </si>
  <si>
    <t>101-9865</t>
  </si>
  <si>
    <t>101-9865 ТССЦ-57 (ред.2014)</t>
  </si>
  <si>
    <t>Опалубка переставная (амортизация)</t>
  </si>
  <si>
    <t>компл.</t>
  </si>
  <si>
    <t>401-9021</t>
  </si>
  <si>
    <t>401-9021 ТССЦ-57 (ред.2014)</t>
  </si>
  <si>
    <t>Бетон</t>
  </si>
  <si>
    <t>204-0077-9</t>
  </si>
  <si>
    <t>204-0077-9 ВССЦ ОАО "Орелстрой"</t>
  </si>
  <si>
    <t>Каркасы арматурные (стержни диаметром до 8 мм) связанные в арматурные изделия (для СТЕН монолитных Выше 0,00)</t>
  </si>
  <si>
    <t>204-0077-10</t>
  </si>
  <si>
    <t>204-0077-10 ВССЦ ОАО "Орелстрой"</t>
  </si>
  <si>
    <t>Каркасы арматурные (стержни диаметром свыше 8 мм) связанные в арматурные изделия (для СТЕН монолитных Выше 0,00)</t>
  </si>
  <si>
    <t>101-9865 ТССЦ-57 (изд.2014)</t>
  </si>
  <si>
    <t>401-9021 ТССЦ-57 (изд.2014)</t>
  </si>
  <si>
    <t>113-0378-11</t>
  </si>
  <si>
    <t>113-0378-11 ВССЦ ОАО "Орелстрой"</t>
  </si>
  <si>
    <t>Мастика "Тектор 202"</t>
  </si>
  <si>
    <t>113-8040</t>
  </si>
  <si>
    <t>113-8040 ТССЦ-57 (ред.2014)</t>
  </si>
  <si>
    <t>Клей БМК-5к</t>
  </si>
  <si>
    <t>402-0006</t>
  </si>
  <si>
    <t>402-0006 ТССЦ-57 (ред.2014)</t>
  </si>
  <si>
    <t>Раствор готовый кладочный цементный марки 200</t>
  </si>
  <si>
    <t>999-9950</t>
  </si>
  <si>
    <t>999-9950 ТССЦ-57 (ред.2014)</t>
  </si>
  <si>
    <t>Вспомогательные ненормируемые материалы (2% от ОЗП)</t>
  </si>
  <si>
    <t>РУБ</t>
  </si>
  <si>
    <t>204-0062</t>
  </si>
  <si>
    <t>204-0062 ТССЦ-57 (ред.2014)</t>
  </si>
  <si>
    <t>Детали закладные и накладные изготовленные без применения сварки, гнутья, сверления (пробивки) отверстий поставляемые отдельно</t>
  </si>
  <si>
    <t>101-9277</t>
  </si>
  <si>
    <t>101-9277 ТССЦ-57 (изд.2014)</t>
  </si>
  <si>
    <t>Материал серии MASTERFLOW</t>
  </si>
  <si>
    <t>101-9662</t>
  </si>
  <si>
    <t>101-9662 ТССЦ-57 (изд.2014)</t>
  </si>
  <si>
    <t>Болты анкерные</t>
  </si>
  <si>
    <t>204-0077-11</t>
  </si>
  <si>
    <t>204-0077-11 ВССЦ ОАО "Орелстрой"</t>
  </si>
  <si>
    <t>Каркасы арматурные (стержни диаметром до 8 мм) связанные в арматурные изделия (для ПЕРЕКРЫТИЙ монолитных Выше 0,00)</t>
  </si>
  <si>
    <t>204-0069-1</t>
  </si>
  <si>
    <t>204-0069-1 ВССЦ ОАО "Орелстрой"</t>
  </si>
  <si>
    <t>Арматурные сетки сварные плоские (ДЛЯ ПЕРЕКРЫТИЯ)</t>
  </si>
  <si>
    <t>204-0077-12</t>
  </si>
  <si>
    <t>204-0077-12 ВССЦ ОАО "Орелстрой"</t>
  </si>
  <si>
    <t>Каркасы арматурные (стержни диаметром свыше 8 мм) связанные в арматурные изделия (для ПЕРЕКРЫТИЙ монолитных Выше 0,00)</t>
  </si>
  <si>
    <t>101-1782</t>
  </si>
  <si>
    <t>101-1782 ТССЦ-57 (ред.2014)</t>
  </si>
  <si>
    <t>Ткань мешочная</t>
  </si>
  <si>
    <t>10 м2</t>
  </si>
  <si>
    <t>411-0001</t>
  </si>
  <si>
    <t>411-0001 ТССЦ-57 (ред.2014)</t>
  </si>
  <si>
    <t>Вода</t>
  </si>
  <si>
    <t>101-1529</t>
  </si>
  <si>
    <t>101-1529 ТССЦ-57 (ред.2014)</t>
  </si>
  <si>
    <t>Электроды диаметром 6 мм Э42</t>
  </si>
  <si>
    <t>201-0777</t>
  </si>
  <si>
    <t>201-0777 ТССЦ-57 (ред.2014)</t>
  </si>
  <si>
    <t>Конструктивные элементы вспомогательного назначения с преобладанием профильного проката собираемые из двух и более деталей, с отверстиями и без отверстий, соединяемые на сварке</t>
  </si>
  <si>
    <t>101-1292 ТССЦ-57 (ред.2014)</t>
  </si>
  <si>
    <t>113-0246 ТССЦ-57 (ред.2014)</t>
  </si>
  <si>
    <t>104-0103</t>
  </si>
  <si>
    <t>104-0103 ТССЦ-57 (ред.2014)</t>
  </si>
  <si>
    <t>Плиты из пенопласта полистирольного ПСБС-40</t>
  </si>
  <si>
    <t>- номер последнего сформированного листа SourceOb</t>
  </si>
  <si>
    <t>- имя последнего сформированного листа SourceOb</t>
  </si>
  <si>
    <t>- шаблон подписей и шапки, использованный последний раз (номер первой строки шаблона)</t>
  </si>
  <si>
    <t>- имя последнего использованного файла содержащего параметры</t>
  </si>
  <si>
    <t>Параметры Объектной сметы для автоопределения настроек</t>
  </si>
  <si>
    <t>- Режим расчета: 1 - ресурсный / 2 - с построчной индексацией (ТСН Москва) / 3 - с построчной индексацией (ТЕР, ФЕР) / 4 - с итоговой индексацией (по статьям) / 5 - с итоговой индексацией (за итогом сметы)</t>
  </si>
  <si>
    <t>- Вид документа (1 - один уровень цен / 2 - два уровня цен)</t>
  </si>
  <si>
    <t>- Расчет за итогом сметы (1 - есть / 0 - нет)</t>
  </si>
  <si>
    <t>- Уровень цен, использованный последний раз (1 - Базовый / 2 - Текущий / 3 - Расчет за итогом сметы)</t>
  </si>
  <si>
    <t>- Детализация расчета за итогом сметы (1 - на Объект (на отдельном листе) / 2 - на Объект (под сметой) / 3 - на каждую Локальную смету / 4 - на Разделы / 5 - на Подразделы)</t>
  </si>
  <si>
    <t>- Способ расчета, использованный последний раз (0 - по сводному / 1 - по статьям / 2 - оба, по статьям и по сводному)</t>
  </si>
  <si>
    <t>- Базовый уровень рассчитанный в локальной смете (0 - нет / &gt; 0 - есть)</t>
  </si>
  <si>
    <t>163,37-37,12 = 126,25</t>
  </si>
  <si>
    <t>- номер последнего сформированного листа</t>
  </si>
  <si>
    <t>Наименование программного продукта: "Мастер сметных расчетов" v11.9, г. Орел, тел. +7 (910) 747-08-01</t>
  </si>
  <si>
    <t>Унифицированная форма № КС-2</t>
  </si>
  <si>
    <t>Утверждена постановлением Госкомстата России</t>
  </si>
  <si>
    <t>от 11.11.99. № 100</t>
  </si>
  <si>
    <t>Код</t>
  </si>
  <si>
    <t>Форма по ОКУД</t>
  </si>
  <si>
    <t>0322005</t>
  </si>
  <si>
    <t>Инвестор:</t>
  </si>
  <si>
    <t>по ОКПО</t>
  </si>
  <si>
    <t>Заказчик:</t>
  </si>
  <si>
    <t>Генподрядчик:</t>
  </si>
  <si>
    <t>Субподрядчик:</t>
  </si>
  <si>
    <t>Стройка:</t>
  </si>
  <si>
    <t>Объект:</t>
  </si>
  <si>
    <t>Шифр:</t>
  </si>
  <si>
    <t xml:space="preserve"> 5.3.1.24.3  Монтаж конструкций здания выше 0.000. Монолитный каркас 17-20 этажи 2 сек,с 1.11.24</t>
  </si>
  <si>
    <t>Вид деятельности по ОКДП</t>
  </si>
  <si>
    <t>Договор подряда</t>
  </si>
  <si>
    <t>номер</t>
  </si>
  <si>
    <t>дата</t>
  </si>
  <si>
    <t>Вид операции</t>
  </si>
  <si>
    <t>Номер документа</t>
  </si>
  <si>
    <t>Дата составления</t>
  </si>
  <si>
    <t>Отчетный период</t>
  </si>
  <si>
    <t>с</t>
  </si>
  <si>
    <t>по</t>
  </si>
  <si>
    <t>AKT</t>
  </si>
  <si>
    <t>О ПРИЕМКЕ ВЫПОЛНЕННЫХ РАБОТ</t>
  </si>
  <si>
    <t xml:space="preserve">Составлено в уровне цен : март 2024 года, Индексы пересчета: ПАО "Орелстрой" (новое строительство) </t>
  </si>
  <si>
    <t xml:space="preserve">Наименование и редакция СНБ: </t>
  </si>
  <si>
    <t xml:space="preserve">Сметная (договорная) стоимость в соответствии с договором подряда (субподряда): </t>
  </si>
  <si>
    <t>тыс.руб.</t>
  </si>
  <si>
    <t>Форма № 1б (им.Горностаева В.Е.)</t>
  </si>
  <si>
    <t xml:space="preserve"> 5.3.1.24.3  Монтаж конструкций здания выше 0.000. Монолитный каркас 17-20 этажи 2 сек,с 1.11.24 </t>
  </si>
  <si>
    <t>Основание:</t>
  </si>
  <si>
    <t>Базисная цена</t>
  </si>
  <si>
    <t>Текущая цена</t>
  </si>
  <si>
    <t>Сметная стоимость</t>
  </si>
  <si>
    <t xml:space="preserve"> тыс.руб</t>
  </si>
  <si>
    <t>Средства на оплату труда</t>
  </si>
  <si>
    <t>Нормативная трудоемкость</t>
  </si>
  <si>
    <t xml:space="preserve"> чел.-ч</t>
  </si>
  <si>
    <t xml:space="preserve">Составлен в базисном уровне цен с пересчетом в текущий уровень цен по состоянию на: март 2024 года, Индексы пересчета: ПАО "Орелстрой" (новое строительство) </t>
  </si>
  <si>
    <t>№ п/п</t>
  </si>
  <si>
    <t>Шифр расценки
и коды ресурсов</t>
  </si>
  <si>
    <t>Наименование работ и затрат</t>
  </si>
  <si>
    <t>Единица измерения</t>
  </si>
  <si>
    <t>Коли- чество</t>
  </si>
  <si>
    <t>Единичная расценка,
руб.</t>
  </si>
  <si>
    <t>Поправочные коэффициэнты, нормы НР и СП</t>
  </si>
  <si>
    <t>Цена за единицу,
руб.</t>
  </si>
  <si>
    <t>ВСЕГО,
в базисном уровне цен, руб.</t>
  </si>
  <si>
    <t>Индексы пересчета,
нормы НР и СП</t>
  </si>
  <si>
    <t>ВСЕГО,
в уровне цен                март 2024 г., руб.</t>
  </si>
  <si>
    <t xml:space="preserve">Локальная смета: </t>
  </si>
  <si>
    <t xml:space="preserve"> 5.3.1.24</t>
  </si>
  <si>
    <t xml:space="preserve"> Монтаж конструкций здания выше 0.000. Монолитный каркас 17-20 этажей 2 сек</t>
  </si>
  <si>
    <t xml:space="preserve">Раздел: </t>
  </si>
  <si>
    <t xml:space="preserve">   Пилоны 17-20 этажи</t>
  </si>
  <si>
    <t xml:space="preserve"> Пилоны 17-20 этажи</t>
  </si>
  <si>
    <r>
      <t>Монтаж и демонтаж крупнощитовой опалубки стен (Пилонов)</t>
    </r>
    <r>
      <rPr>
        <sz val="8"/>
        <color rgb="FF0000FF"/>
        <rFont val="Arial"/>
        <family val="2"/>
        <charset val="204"/>
      </rPr>
      <t xml:space="preserve">  (Поправка: Прил. 6.5, п.3.6.8_1) </t>
    </r>
  </si>
  <si>
    <t xml:space="preserve">   ОЗП</t>
  </si>
  <si>
    <t>*1,05</t>
  </si>
  <si>
    <t xml:space="preserve">   ЭММ</t>
  </si>
  <si>
    <t>*1,12</t>
  </si>
  <si>
    <t xml:space="preserve">   в т.ч. ЗПМ</t>
  </si>
  <si>
    <t xml:space="preserve">   НР от ФОТ</t>
  </si>
  <si>
    <t>%</t>
  </si>
  <si>
    <t xml:space="preserve">   СП от ФОТ</t>
  </si>
  <si>
    <t xml:space="preserve">   Затраты труда рабочих</t>
  </si>
  <si>
    <t>чел-ч</t>
  </si>
  <si>
    <t>Тек. стоим. =</t>
  </si>
  <si>
    <t xml:space="preserve"> Расчет Тек.цены </t>
  </si>
  <si>
    <t xml:space="preserve">   [71 000 /  7,56] +  4% Трансп +  2% Заг.скл = 9962.53 * 7.56 = 75316.73</t>
  </si>
  <si>
    <t xml:space="preserve">   [16 666,67 /  7,56] +  4% Трансп +  2% Заг.скл = 2338.63 * 7.56 = 17680.04</t>
  </si>
  <si>
    <t xml:space="preserve">   Итого Ст.мат. по позиции</t>
  </si>
  <si>
    <t xml:space="preserve">   Всего по позиции</t>
  </si>
  <si>
    <r>
      <t>Установка отдельных арматурных стержней диаметром до 8 мм и вязка каркасов для ПИЛОНОВ и КОЛОНН монолитных Выше 0,00</t>
    </r>
    <r>
      <rPr>
        <sz val="8"/>
        <color rgb="FF0000FF"/>
        <rFont val="Arial"/>
        <family val="2"/>
        <charset val="204"/>
      </rPr>
      <t xml:space="preserve">  (Поправка: Прил. 6.5, п.3.6.8_1) </t>
    </r>
  </si>
  <si>
    <t xml:space="preserve">   [56 777,82 /  7,56] +  4% Трансп +  0,75% Заг.скл = 7869.28 * 7.56 = 59491.76</t>
  </si>
  <si>
    <r>
      <t>Установка отдельных арматурных стержней диаметром свыше 8 мм и вязка каркасов для ПИЛОНОВ и КОЛОНН монолитных Выше 0,00</t>
    </r>
    <r>
      <rPr>
        <sz val="8"/>
        <color rgb="FF0000FF"/>
        <rFont val="Arial"/>
        <family val="2"/>
        <charset val="204"/>
      </rPr>
      <t xml:space="preserve">  (Поправка: Прил. 6.5, п.3.6.8_1) </t>
    </r>
  </si>
  <si>
    <r>
      <t>Бетонирование конструкций наружных стен с помощью бадьи в крупнощитовой, объемно-переставной и блочной опалубках (без вычета проемов) толщиной до 30 см  (Пилоны )</t>
    </r>
    <r>
      <rPr>
        <sz val="8"/>
        <color rgb="FF0000FF"/>
        <rFont val="Arial"/>
        <family val="2"/>
        <charset val="204"/>
      </rPr>
      <t xml:space="preserve">  (Поправка: Прил. 6.5, п.3.6.8_1) </t>
    </r>
  </si>
  <si>
    <t xml:space="preserve">   [82 500 /  7,56] +  4% Трансп +  2% Заг.скл = 11576.19 * 7.56 = 87516</t>
  </si>
  <si>
    <t xml:space="preserve">   [333,45 /  7,56] +  4% Трансп +  0,75% Заг.скл = 46.21 * 7.56 = 349.35</t>
  </si>
  <si>
    <t xml:space="preserve">   [215,4 /  7,56] +  4% Трансп +  2% Заг.скл = 30.22 * 7.56 = 228.46</t>
  </si>
  <si>
    <t xml:space="preserve">   [6 948,56 /  7,56] +  4% Трансп +  2% Заг.скл = 975 * 7.56 = 7371</t>
  </si>
  <si>
    <t xml:space="preserve">   [30,51 /  7,56] +  4% Трансп +  2% Заг.скл = 4.28 * 7.56 = 32.36</t>
  </si>
  <si>
    <t xml:space="preserve">   [1,13 /  7,56] +  4% Трансп +  2% Заг.скл = .16 * 7.56 = 1.21</t>
  </si>
  <si>
    <t xml:space="preserve">   [0,62 /  7,56] +  4% Трансп +  2% Заг.скл = .08 * 7.56 = .6</t>
  </si>
  <si>
    <t xml:space="preserve">   [1,02 /  7,56] +  4% Трансп +  2% Заг.скл = .14 * 7.56 = 1.06</t>
  </si>
  <si>
    <t xml:space="preserve">   [80 392 /  7,56] +  4% Трансп +  0,75% Заг.скл = 11142.15 * 7.56 = 84234.65</t>
  </si>
  <si>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30 см (Пилоны )</t>
    </r>
    <r>
      <rPr>
        <sz val="8"/>
        <color rgb="FF0000FF"/>
        <rFont val="Arial"/>
        <family val="2"/>
        <charset val="204"/>
      </rPr>
      <t xml:space="preserve">  (Поправка: Прил. 6.5, п.3.6.8_1) </t>
    </r>
  </si>
  <si>
    <t xml:space="preserve">Итого по разделу: </t>
  </si>
  <si>
    <t>- базовый итог на Source равен базовому итогу в сформированной смете (1), не равен (0)</t>
  </si>
  <si>
    <t>в том числе:</t>
  </si>
  <si>
    <t>Оплата труда рабочих</t>
  </si>
  <si>
    <t>в том числе (по видам работ):</t>
  </si>
  <si>
    <t>01. ОЗП - Конструкции из кирпича и блоков</t>
  </si>
  <si>
    <t>02. ОЗП - Свайные работы</t>
  </si>
  <si>
    <t>03. ОЗП - Бетонные работы</t>
  </si>
  <si>
    <t>04. ОЗП - Штукатурные работы</t>
  </si>
  <si>
    <t>05. ОЗП - Облицовочные работы</t>
  </si>
  <si>
    <t>06. ОЗП - Плотничные работы</t>
  </si>
  <si>
    <t>07. ОЗП - Кровельные работы</t>
  </si>
  <si>
    <t>08. ОЗП - Монтажные работы</t>
  </si>
  <si>
    <t>09. ОЗП - Малярные работы</t>
  </si>
  <si>
    <t>10. ОЗП - Благоустройство</t>
  </si>
  <si>
    <t>11. ОЗП - Изготовление заготовок</t>
  </si>
  <si>
    <t>12. ОЗП - Монтаж лифтов</t>
  </si>
  <si>
    <t>13. ОЗП - Тех.освидетельствование лифтов</t>
  </si>
  <si>
    <t>14. ОЗП - Пусконаладочные работы</t>
  </si>
  <si>
    <t>15. ОЗП - Остальные виды работ</t>
  </si>
  <si>
    <t>16. ОЗП - Без назначенных индексов</t>
  </si>
  <si>
    <t>Эксплуатация машин и механизмов</t>
  </si>
  <si>
    <t>Оплата труда машинистов</t>
  </si>
  <si>
    <t>Стоимость материальных ресурсов</t>
  </si>
  <si>
    <t>Стоимость материальных ресурсов без учета доп. перевозки</t>
  </si>
  <si>
    <t>Стоимость материальных ресурсов Заказчика</t>
  </si>
  <si>
    <t>Стоимость материальных ресурсов Подрядчика</t>
  </si>
  <si>
    <t>Доп. перевозка материальных ресурсов</t>
  </si>
  <si>
    <t>Перевозка (за исключением доп. перевозки)</t>
  </si>
  <si>
    <t>ФОТ (справочно)</t>
  </si>
  <si>
    <t>Накладные расходы (НР)</t>
  </si>
  <si>
    <t>Сметная прибыль (СП)</t>
  </si>
  <si>
    <t>Стоимость оборудования</t>
  </si>
  <si>
    <t>Стоимость оборудования без учета доп. перевозки</t>
  </si>
  <si>
    <t>Стоимость оборудования Заказчика</t>
  </si>
  <si>
    <t>Стоимость оборудования Подрядчика</t>
  </si>
  <si>
    <t>Доп. перевозка оборудования</t>
  </si>
  <si>
    <t xml:space="preserve">Итого с НР и СП </t>
  </si>
  <si>
    <t>в том числе (работы и затраты):</t>
  </si>
  <si>
    <t>Строительные работы</t>
  </si>
  <si>
    <t>Оборудование</t>
  </si>
  <si>
    <t>Строительно-монтажные работы (СМР)</t>
  </si>
  <si>
    <t>Справочно:</t>
  </si>
  <si>
    <t>Стоимость материальных ресурсов и оборудования (всего)</t>
  </si>
  <si>
    <t>Стоимость материальных ресурсов и оборудования Заказчика</t>
  </si>
  <si>
    <t>Стоимость материальных ресурсов и оборудования Подрядчика</t>
  </si>
  <si>
    <t>Трудозатраты рабочих</t>
  </si>
  <si>
    <t xml:space="preserve">   Стены монолит 17-20 этажи</t>
  </si>
  <si>
    <t xml:space="preserve"> Стены монолит 17-20 этажи</t>
  </si>
  <si>
    <r>
      <t>Монтаж и демонтаж крупнощитовой опалубки стен (Стен)</t>
    </r>
    <r>
      <rPr>
        <sz val="8"/>
        <color rgb="FF0000FF"/>
        <rFont val="Arial"/>
        <family val="2"/>
        <charset val="204"/>
      </rPr>
      <t xml:space="preserve">  (Поправка: Прил. 6.5, п.3.6.8_1) </t>
    </r>
  </si>
  <si>
    <r>
      <t>Монтаж и демонтаж крупнощитовой опалубки стен (Несъемная опалубка)</t>
    </r>
    <r>
      <rPr>
        <sz val="8"/>
        <color rgb="FF0000FF"/>
        <rFont val="Arial"/>
        <family val="2"/>
        <charset val="204"/>
      </rPr>
      <t xml:space="preserve">  (Поправка: Прил. 6.5, п.3.6.8_1) </t>
    </r>
  </si>
  <si>
    <t>*1,05*0,75</t>
  </si>
  <si>
    <t>*1,12*0,8</t>
  </si>
  <si>
    <t xml:space="preserve">   [70,8 /  7,56] +  4% Трансп +  2% Заг.скл = 9.93 * 7.56 = 75.07</t>
  </si>
  <si>
    <t xml:space="preserve">   [8 425 /  7,56] +  4% Трансп +  2% Заг.скл = 1182.18 * 7.56 = 8937.28</t>
  </si>
  <si>
    <t xml:space="preserve">   [3 755,38 /  7,56] +  4% Трансп +  2% Заг.скл = 526.94 * 7.56 = 3983.67</t>
  </si>
  <si>
    <r>
      <t>Установка отдельных арматурных стержней диаметром до 8 мм и вязка каркасов для СТЕН монолитных Выше 0,00</t>
    </r>
    <r>
      <rPr>
        <sz val="8"/>
        <color rgb="FF0000FF"/>
        <rFont val="Arial"/>
        <family val="2"/>
        <charset val="204"/>
      </rPr>
      <t xml:space="preserve">  (Поправка: Прил. 6.5, п.3.6.8_1) </t>
    </r>
  </si>
  <si>
    <t xml:space="preserve">   [59 385,33 /  7,56] +  4% Трансп +  0,75% Заг.скл = 8230.68 * 7.56 = 62223.94</t>
  </si>
  <si>
    <r>
      <t>Установка отдельных арматурных стержней диаметром свыше 8 мм и вязка каркасов для СТЕН монолитных Выше 0,00</t>
    </r>
    <r>
      <rPr>
        <sz val="8"/>
        <color rgb="FF0000FF"/>
        <rFont val="Arial"/>
        <family val="2"/>
        <charset val="204"/>
      </rPr>
      <t xml:space="preserve">  (Поправка: Прил. 6.5, п.3.6.8_1) </t>
    </r>
  </si>
  <si>
    <t xml:space="preserve">   [132 198,48 /  7,56] +  4% Трансп +  0,75% Заг.скл = 18322.43 * 7.56 = 138517.57</t>
  </si>
  <si>
    <r>
      <t>Бетонирование конструкций наружных стен с помощью бадьи в крупнощитовой, объемно-переставной и блочной опалубках (без вычета проемов) толщиной до 20 см</t>
    </r>
    <r>
      <rPr>
        <sz val="8"/>
        <color rgb="FF0000FF"/>
        <rFont val="Arial"/>
        <family val="2"/>
        <charset val="204"/>
      </rPr>
      <t xml:space="preserve">  (Поправка: Прил. 6.5, п.3.6.8_1) </t>
    </r>
  </si>
  <si>
    <r>
      <t>Бетонирование конструкций наружных стен с помощью бадьи в крупнощитовой, объемно-переставной и блочной опалубках (без вычета проемов) толщиной до 30 см</t>
    </r>
    <r>
      <rPr>
        <sz val="8"/>
        <color rgb="FF0000FF"/>
        <rFont val="Arial"/>
        <family val="2"/>
        <charset val="204"/>
      </rPr>
      <t xml:space="preserve">  (Поправка: Прил. 6.5, п.3.6.8_1) </t>
    </r>
  </si>
  <si>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16 см (Стены )</t>
    </r>
    <r>
      <rPr>
        <sz val="8"/>
        <color rgb="FF0000FF"/>
        <rFont val="Arial"/>
        <family val="2"/>
        <charset val="204"/>
      </rPr>
      <t xml:space="preserve">  (Поправка: Прил. 6.5, п.3.6.8_1) </t>
    </r>
  </si>
  <si>
    <r>
      <t>Бетонирование конструкций внутренних стен с помощью бадьи в крупнощитовой, объемно-переставной и блочной опалубках (без вычета проемов) толщиной до 20 см</t>
    </r>
    <r>
      <rPr>
        <sz val="8"/>
        <color rgb="FF0000FF"/>
        <rFont val="Arial"/>
        <family val="2"/>
        <charset val="204"/>
      </rPr>
      <t xml:space="preserve">  (Поправка: Прил. 6.5, п.3.6.8_1) </t>
    </r>
  </si>
  <si>
    <t xml:space="preserve">   Материальные ресурсы</t>
  </si>
  <si>
    <t xml:space="preserve">   [198,1 /  7,56] +  4% Трансп +  2% Заг.скл = 27.8 * 7.56 = 210.17</t>
  </si>
  <si>
    <t xml:space="preserve">   [96 250 /  7,56] +  4% Трансп +  2% Заг.скл = 13505.55 * 7.56 = 102101.96</t>
  </si>
  <si>
    <t xml:space="preserve">   [25,15 /  7,56] +  4% Трансп +  2% Заг.скл = 3.53 * 7.56 = 26.69</t>
  </si>
  <si>
    <t xml:space="preserve">   [30,28 /  7,56] +  4% Трансп +  2% Заг.скл = 4.25 * 7.56 = 32.13</t>
  </si>
  <si>
    <t xml:space="preserve">   [201,1 /  7,56] +  4% Трансп +  2% Заг.скл = 28.21 * 7.56 = 213.27</t>
  </si>
  <si>
    <t xml:space="preserve">   [4 929,35 /  7,56] +  4% Трансп +  2% Заг.скл = 691.67 * 7.56 = 5229.03</t>
  </si>
  <si>
    <t xml:space="preserve">   [350 /  7,56] +  4% Трансп +  2% Заг.скл = 49.11 * 7.56 = 371.27</t>
  </si>
  <si>
    <r>
      <t>Установка закладных деталей при массе элементов до 5 кг</t>
    </r>
    <r>
      <rPr>
        <sz val="8"/>
        <color rgb="FF0000FF"/>
        <rFont val="Arial"/>
        <family val="2"/>
        <charset val="204"/>
      </rPr>
      <t xml:space="preserve">  (Поправка: Прил. 6.5, п.3.6.8_1) </t>
    </r>
  </si>
  <si>
    <t xml:space="preserve">   [111 468,54 /  7,56] +  4% Трансп +  0,75% Заг.скл = 15449.31 * 7.56 = 116796.78</t>
  </si>
  <si>
    <t xml:space="preserve">   [220 276,93 /  7,56] +  4% Трансп +  0,75% Заг.скл = 30529.92 * 7.56 = 230806.2</t>
  </si>
  <si>
    <r>
      <t>Установка закладных деталей при массе элементов до 20 кг</t>
    </r>
    <r>
      <rPr>
        <sz val="8"/>
        <color rgb="FF0000FF"/>
        <rFont val="Arial"/>
        <family val="2"/>
        <charset val="204"/>
      </rPr>
      <t xml:space="preserve">  (Поправка: Прил. 6.5, п.3.6.8_1) </t>
    </r>
  </si>
  <si>
    <r>
      <t>Окраска металлических огрунтованных поверхностей эмалью ПФ-115</t>
    </r>
    <r>
      <rPr>
        <sz val="8"/>
        <color rgb="FF0000FF"/>
        <rFont val="Arial"/>
        <family val="2"/>
        <charset val="204"/>
      </rPr>
      <t xml:space="preserve">  (Поправка: Прил. 6.5, п.3.6.8_1) </t>
    </r>
  </si>
  <si>
    <t>*2</t>
  </si>
  <si>
    <t xml:space="preserve">   [98 057 /  7,56] +  4% Трансп +  2% Заг.скл = 13759.11 * 7.56 = 104018.87</t>
  </si>
  <si>
    <t xml:space="preserve">   [124 030 /  7,56] +  4% Трансп +  2% Заг.скл = 17403.57 * 7.56 = 131570.99</t>
  </si>
  <si>
    <t xml:space="preserve">   [129 899,35 /  7,56] +  4% Трансп +  0,75% Заг.скл = 18003.77 * 7.56 = 136108.5</t>
  </si>
  <si>
    <t xml:space="preserve">   [2 222,22 /  7,56] +  4% Трансп +  2% Заг.скл = 311.81 * 7.56 = 2357.28</t>
  </si>
  <si>
    <t>*12,5</t>
  </si>
  <si>
    <t xml:space="preserve">   Перекрытие,  балки 17-20 этажи</t>
  </si>
  <si>
    <t xml:space="preserve"> Перекрытие,  балки 17-20 этажи</t>
  </si>
  <si>
    <r>
      <t>Монтаж и демонтаж крупнощитовой опалубки перекрытий</t>
    </r>
    <r>
      <rPr>
        <sz val="8"/>
        <color rgb="FF0000FF"/>
        <rFont val="Arial"/>
        <family val="2"/>
        <charset val="204"/>
      </rPr>
      <t xml:space="preserve">  (Поправка: Прил. 6.5, п.3.6.8_1) </t>
    </r>
  </si>
  <si>
    <t xml:space="preserve">   [975 /  7,56] +  4% Трансп +  2% Заг.скл = 136.81 * 7.56 = 1034.28</t>
  </si>
  <si>
    <r>
      <t>Установка отдельных арматурных стержней диаметром до 8 мм и вязка каркасов для ПЕРЕКРЫТИЙ монолитных Выше 0,00</t>
    </r>
    <r>
      <rPr>
        <sz val="8"/>
        <color rgb="FF0000FF"/>
        <rFont val="Arial"/>
        <family val="2"/>
        <charset val="204"/>
      </rPr>
      <t xml:space="preserve">  (Поправка: Прил. 6.5, п.3.6.8_1) </t>
    </r>
  </si>
  <si>
    <t xml:space="preserve">   [59 789,29 /  7,56] +  4% Трансп +  0,75% Заг.скл = 8286.68 * 7.56 = 62647.3</t>
  </si>
  <si>
    <t xml:space="preserve">   [108 459,62 /  7,56] +  4% Трансп +  0,75% Заг.скл = 15032.27 * 7.56 = 113643.96</t>
  </si>
  <si>
    <r>
      <t>Установка отдельных арматурных стержней диаметром свыше 8 мм и вязка каркасов для ПЕРЕКРЫТИЙ монолитных Выше 0,00</t>
    </r>
    <r>
      <rPr>
        <sz val="8"/>
        <color rgb="FF0000FF"/>
        <rFont val="Arial"/>
        <family val="2"/>
        <charset val="204"/>
      </rPr>
      <t xml:space="preserve">  (Поправка: Прил. 6.5, п.3.6.8_1) </t>
    </r>
  </si>
  <si>
    <t xml:space="preserve">   [96 989,57 /  7,56] +  4% Трансп +  0,75% Заг.скл = 13442.55 * 7.56 = 101625.68</t>
  </si>
  <si>
    <r>
      <t>Бетонирование перекрытий с помощью бадьи в крупнощитовой и объемно-переставной опалубках толщиной до 20 см (т.180)</t>
    </r>
    <r>
      <rPr>
        <sz val="8"/>
        <color rgb="FF0000FF"/>
        <rFont val="Arial"/>
        <family val="2"/>
        <charset val="204"/>
      </rPr>
      <t xml:space="preserve">  (Поправка: Прил. 6.5, п.3.6.8_1) </t>
    </r>
  </si>
  <si>
    <t xml:space="preserve">   [34,84 /  7,56] +  4% Трансп +  0,75% Заг.скл = 4.83 * 7.56 = 36.51</t>
  </si>
  <si>
    <t xml:space="preserve">   [228,01 /  7,56] +  4% Трансп +  2% Заг.скл = 32 * 7.56 = 241.92</t>
  </si>
  <si>
    <t xml:space="preserve">   [0,85 /  7,56] +  4% Трансп +  2% Заг.скл = .11 * 7.56 = .83</t>
  </si>
  <si>
    <t xml:space="preserve">   [111 949,22 /  7,56] +  4% Трансп +  0,75% Заг.скл = 15515.92 * 7.56 = 117300.36</t>
  </si>
  <si>
    <t xml:space="preserve">   [129 228,19 /  7,56] +  4% Трансп +  0,75% Заг.скл = 17910.76 * 7.56 = 135405.35</t>
  </si>
  <si>
    <t xml:space="preserve">   [175 000 /  7,56] +  4% Трансп +  2% Заг.скл = 24555.56 * 7.56 = 185640.03</t>
  </si>
  <si>
    <t xml:space="preserve">   [124 256,72 /  7,56] +  4% Трансп +  0,75% Заг.скл = 17221.71 * 7.56 = 130196.13</t>
  </si>
  <si>
    <r>
      <t>Изоляция изделиями из пенопласта насухо холодных поверхностей покрытий и перекрытий</t>
    </r>
    <r>
      <rPr>
        <sz val="8"/>
        <color rgb="FF0000FF"/>
        <rFont val="Arial"/>
        <family val="2"/>
        <charset val="204"/>
      </rPr>
      <t xml:space="preserve">  (Поправка: Сб.№26, п.1.26.19.5) </t>
    </r>
  </si>
  <si>
    <t>*1,5</t>
  </si>
  <si>
    <t xml:space="preserve">   [85 179,64 /  7,56] +  4% Трансп +  0,75% Заг.скл = 11805.72 * 7.56 = 89251.24</t>
  </si>
  <si>
    <t>*14</t>
  </si>
  <si>
    <t xml:space="preserve">Всего по локальной смете: </t>
  </si>
  <si>
    <t xml:space="preserve">Итого: </t>
  </si>
  <si>
    <t>Лимитированные затраты от СМР:</t>
  </si>
  <si>
    <t>Зимнее удорожание</t>
  </si>
  <si>
    <t>НДС</t>
  </si>
  <si>
    <t>Всего с НДС</t>
  </si>
  <si>
    <t>Сдал:</t>
  </si>
  <si>
    <t>[должность] / [подпись]</t>
  </si>
  <si>
    <t>[расшифровка подписи]</t>
  </si>
  <si>
    <t>М.П.</t>
  </si>
  <si>
    <t>Принял:</t>
  </si>
  <si>
    <t>Руководитель ПТС ООО "ОСУ-2"</t>
  </si>
  <si>
    <t>Когтев В.И.</t>
  </si>
  <si>
    <t>Исполнил:</t>
  </si>
  <si>
    <t>Ведущий инжененр-сметчик СРС ООО "ОДСК"</t>
  </si>
  <si>
    <t>Зимарина О.Ю.</t>
  </si>
  <si>
    <t>Проверил:</t>
  </si>
  <si>
    <t>Главный инженер-сметчик СРС ООО "ОДСК"</t>
  </si>
  <si>
    <t>Полшведкина А.Н.</t>
  </si>
  <si>
    <t>Конец</t>
  </si>
  <si>
    <t>SourceOb.2</t>
  </si>
  <si>
    <t>Параметры2.xls</t>
  </si>
  <si>
    <t>Ведущий инженер-сметчик СРС ООО "ОДСК"</t>
  </si>
  <si>
    <t>- уровень цен, использованный последний раз (1 - базовый / 2 - текущий)</t>
  </si>
  <si>
    <t>РАСЧЕТ СТОИМОСТИ</t>
  </si>
  <si>
    <t>материалов</t>
  </si>
  <si>
    <t>№</t>
  </si>
  <si>
    <t>п/п</t>
  </si>
  <si>
    <t>Обосно-</t>
  </si>
  <si>
    <t>вание</t>
  </si>
  <si>
    <t>норматива</t>
  </si>
  <si>
    <t>Наименование</t>
  </si>
  <si>
    <t>материала</t>
  </si>
  <si>
    <t>Единица</t>
  </si>
  <si>
    <t>измере-</t>
  </si>
  <si>
    <t>ния</t>
  </si>
  <si>
    <t>Коли-</t>
  </si>
  <si>
    <t>чество</t>
  </si>
  <si>
    <t>Цена,</t>
  </si>
  <si>
    <t>руб.</t>
  </si>
  <si>
    <t>Стои-</t>
  </si>
  <si>
    <t>мость</t>
  </si>
  <si>
    <t>Расчет цены ресурса,</t>
  </si>
  <si>
    <t>наименование поставщика материала,</t>
  </si>
  <si>
    <t>наименование прайса и номер строки в прайсе</t>
  </si>
  <si>
    <t>Материалы (неучтенные в расценках)</t>
  </si>
  <si>
    <t xml:space="preserve">Сметная цена в Текущем уровне (расчет)                                                                                                  ( [71 000 /  7,56] +  4% Трансп +  2% Заг.скл = 9962.53 * 7.56 = 75316.73 ) </t>
  </si>
  <si>
    <t>Без НДС</t>
  </si>
  <si>
    <t xml:space="preserve">Сметная цена в Текущем уровне (расчет)                                                                                                  ( [16 666,67 /  7,56] +  4% Трансп +  2% Заг.скл = 2338.63 * 7.56 = 17680.04 ) </t>
  </si>
  <si>
    <t xml:space="preserve">Сметная цена в Текущем уровне (расчет)                                                                                                  ( [56 777,82 /  7,56] +  4% Трансп +  0,75% Заг.скл = 7869.28 * 7.56 = 59491.76 ) </t>
  </si>
  <si>
    <t xml:space="preserve">Сметная цена в Текущем уровне (расчет)                                                                                                  ( [82 500 /  7,56] +  4% Трансп +  2% Заг.скл = 11576.19 * 7.56 = 87516 ) </t>
  </si>
  <si>
    <t xml:space="preserve">Сметная цена в Текущем уровне (расчет)                                                                                                  ( [333,45 /  7,56] +  4% Трансп +  0,75% Заг.скл = 46.21 * 7.56 = 349.35 ) </t>
  </si>
  <si>
    <t xml:space="preserve">Сметная цена в Текущем уровне (расчет)                                                                                                  ( [215,4 /  7,56] +  4% Трансп +  2% Заг.скл = 30.22 * 7.56 = 228.46 ) </t>
  </si>
  <si>
    <t xml:space="preserve">Сметная цена в Текущем уровне (расчет)                                                                                                  ( [6 948,56 /  7,56] +  4% Трансп +  2% Заг.скл = 975 * 7.56 = 7371 ) </t>
  </si>
  <si>
    <t xml:space="preserve">Сметная цена в Текущем уровне (расчет)                                                                                                  ( [30,51 /  7,56] +  4% Трансп +  2% Заг.скл = 4.28 * 7.56 = 32.36 ) </t>
  </si>
  <si>
    <t xml:space="preserve">Сметная цена в Текущем уровне (расчет)                                                                                                  ( [1,13 /  7,56] +  4% Трансп +  2% Заг.скл = .16 * 7.56 = 1.21 ) </t>
  </si>
  <si>
    <t xml:space="preserve">Сметная цена в Текущем уровне (расчет)                                                                                                  ( [0,62 /  7,56] +  4% Трансп +  2% Заг.скл = .08 * 7.56 = .6 ) </t>
  </si>
  <si>
    <t xml:space="preserve">Сметная цена в Текущем уровне (расчет)                                                                                                  ( [1,02 /  7,56] +  4% Трансп +  2% Заг.скл = .14 * 7.56 = 1.06 ) </t>
  </si>
  <si>
    <t xml:space="preserve">Сметная цена в Текущем уровне (расчет)                                                                                                  ( [80 392 /  7,56] +  4% Трансп +  0,75% Заг.скл = 11142.15 * 7.56 = 84234.65 ) </t>
  </si>
  <si>
    <t xml:space="preserve">Сметная цена в Текущем уровне (расчет)                                                                                                  ( [70,8 /  7,56] +  4% Трансп +  2% Заг.скл = 9.93 * 7.56 = 75.07 ) </t>
  </si>
  <si>
    <t xml:space="preserve">Сметная цена в Текущем уровне (расчет)                                                                                                  ( [8 425 /  7,56] +  4% Трансп +  2% Заг.скл = 1182.18 * 7.56 = 8937.28 ) </t>
  </si>
  <si>
    <t xml:space="preserve">Сметная цена в Текущем уровне (расчет)                                                                                                  ( [3 755,38 /  7,56] +  4% Трансп +  2% Заг.скл = 526.94 * 7.56 = 3983.67 ) </t>
  </si>
  <si>
    <t xml:space="preserve">Сметная цена в Текущем уровне (расчет)                                                                                                  ( [59 385,33 /  7,56] +  4% Трансп +  0,75% Заг.скл = 8230.68 * 7.56 = 62223.94 ) </t>
  </si>
  <si>
    <t xml:space="preserve">Сметная цена в Текущем уровне (расчет)                                                                                                  ( [132 198,48 /  7,56] +  4% Трансп +  0,75% Заг.скл = 18322.43 * 7.56 = 138517.57 ) </t>
  </si>
  <si>
    <t xml:space="preserve">Сметная цена в Текущем уровне (расчет)                                                                                                  ( [198,1 /  7,56] +  4% Трансп +  2% Заг.скл = 27.8 * 7.56 = 210.17 ) </t>
  </si>
  <si>
    <t xml:space="preserve">Сметная цена в Текущем уровне (расчет)                                                                                                  ( [96 250 /  7,56] +  4% Трансп +  2% Заг.скл = 13505.55 * 7.56 = 102101.96 ) </t>
  </si>
  <si>
    <t xml:space="preserve">Сметная цена в Текущем уровне (расчет)                                                                                                  ( [25,15 /  7,56] +  4% Трансп +  2% Заг.скл = 3.53 * 7.56 = 26.69 ) </t>
  </si>
  <si>
    <t xml:space="preserve">Сметная цена в Текущем уровне (расчет)                                                                                                  ( [30,28 /  7,56] +  4% Трансп +  2% Заг.скл = 4.25 * 7.56 = 32.13 ) </t>
  </si>
  <si>
    <t xml:space="preserve">Сметная цена в Текущем уровне (расчет)                                                                                                  ( [201,1 /  7,56] +  4% Трансп +  2% Заг.скл = 28.21 * 7.56 = 213.27 ) </t>
  </si>
  <si>
    <t xml:space="preserve">Сметная цена в Текущем уровне (расчет)                                                                                                  ( [4 929,35 /  7,56] +  4% Трансп +  2% Заг.скл = 691.67 * 7.56 = 5229.03 ) </t>
  </si>
  <si>
    <t xml:space="preserve">Сметная цена в Текущем уровне (расчет)                                                                                                  ( [350 /  7,56] +  4% Трансп +  2% Заг.скл = 49.11 * 7.56 = 371.27 ) </t>
  </si>
  <si>
    <t xml:space="preserve">Сметная цена в Текущем уровне (расчет)                                                                                                  ( [111 468,54 /  7,56] +  4% Трансп +  0,75% Заг.скл = 15449.31 * 7.56 = 116796.78 ) </t>
  </si>
  <si>
    <t xml:space="preserve">Сметная цена в Текущем уровне (расчет)                                                                                                  ( [220 276,93 /  7,56] +  4% Трансп +  0,75% Заг.скл = 30529.92 * 7.56 = 230806.2 ) </t>
  </si>
  <si>
    <t xml:space="preserve">Сметная цена в Текущем уровне (расчет)                                                                                                  ( [98 057 /  7,56] +  4% Трансп +  2% Заг.скл = 13759.11 * 7.56 = 104018.87 ) </t>
  </si>
  <si>
    <t xml:space="preserve">Сметная цена в Текущем уровне (расчет)                                                                                                  ( [124 030 /  7,56] +  4% Трансп +  2% Заг.скл = 17403.57 * 7.56 = 131570.99 ) </t>
  </si>
  <si>
    <t xml:space="preserve">Сметная цена в Текущем уровне (расчет)                                                                                                  ( [129 899,35 /  7,56] +  4% Трансп +  0,75% Заг.скл = 18003.77 * 7.56 = 136108.5 ) </t>
  </si>
  <si>
    <t xml:space="preserve">Сметная цена в Текущем уровне (расчет)                                                                                                  ( [2 222,22 /  7,56] +  4% Трансп +  2% Заг.скл = 311.81 * 7.56 = 2357.28 ) </t>
  </si>
  <si>
    <t xml:space="preserve">Сметная цена в Текущем уровне (расчет)                                                                                                  ( [975 /  7,56] +  4% Трансп +  2% Заг.скл = 136.81 * 7.56 = 1034.28 ) </t>
  </si>
  <si>
    <t xml:space="preserve">Сметная цена в Текущем уровне (расчет)                                                                                                  ( [59 789,29 /  7,56] +  4% Трансп +  0,75% Заг.скл = 8286.68 * 7.56 = 62647.3 ) </t>
  </si>
  <si>
    <t xml:space="preserve">Сметная цена в Текущем уровне (расчет)                                                                                                  ( [108 459,62 /  7,56] +  4% Трансп +  0,75% Заг.скл = 15032.27 * 7.56 = 113643.96 ) </t>
  </si>
  <si>
    <t xml:space="preserve">Сметная цена в Текущем уровне (расчет)                                                                                                  ( [96 989,57 /  7,56] +  4% Трансп +  0,75% Заг.скл = 13442.55 * 7.56 = 101625.68 ) </t>
  </si>
  <si>
    <t xml:space="preserve">Сметная цена в Текущем уровне (расчет)                                                                                                  ( [34,84 /  7,56] +  4% Трансп +  0,75% Заг.скл = 4.83 * 7.56 = 36.51 ) </t>
  </si>
  <si>
    <t xml:space="preserve">Сметная цена в Текущем уровне (расчет)                                                                                                  ( [228,01 /  7,56] +  4% Трансп +  2% Заг.скл = 32 * 7.56 = 241.92 ) </t>
  </si>
  <si>
    <t xml:space="preserve">Сметная цена в Текущем уровне (расчет)                                                                                                  ( [0,85 /  7,56] +  4% Трансп +  2% Заг.скл = .11 * 7.56 = .83 ) </t>
  </si>
  <si>
    <t xml:space="preserve">Сметная цена в Текущем уровне (расчет)                                                                                                  ( [111 949,22 /  7,56] +  4% Трансп +  0,75% Заг.скл = 15515.92 * 7.56 = 117300.36 ) </t>
  </si>
  <si>
    <t xml:space="preserve">Сметная цена в Текущем уровне (расчет)                                                                                                  ( [129 228,19 /  7,56] +  4% Трансп +  0,75% Заг.скл = 17910.76 * 7.56 = 135405.35 ) </t>
  </si>
  <si>
    <t xml:space="preserve">Сметная цена в Текущем уровне (расчет)                                                                                                  ( [175 000 /  7,56] +  4% Трансп +  2% Заг.скл = 24555.56 * 7.56 = 185640.03 ) </t>
  </si>
  <si>
    <t xml:space="preserve">Сметная цена в Текущем уровне (расчет)                                                                                                  ( [124 256,72 /  7,56] +  4% Трансп +  0,75% Заг.скл = 17221.71 * 7.56 = 130196.13 ) </t>
  </si>
  <si>
    <t xml:space="preserve">Сметная цена в Текущем уровне (расчет)                                                                                                  ( [85 179,64 /  7,56] +  4% Трансп +  0,75% Заг.скл = 11805.72 * 7.56 = 89251.24 ) </t>
  </si>
  <si>
    <t>- стоимость материалов (последний расчет)</t>
  </si>
  <si>
    <t>РЕСУРСНЫЙ РАСЧЕТ</t>
  </si>
  <si>
    <t>Составлено в уровне цен : 01.01.2000 г.</t>
  </si>
  <si>
    <t>ресурсов</t>
  </si>
  <si>
    <t>Трудовые ресурсы</t>
  </si>
  <si>
    <t>Сметная цена в Базовом уровне (соответствует СНБ) = 7.87</t>
  </si>
  <si>
    <t>Базовая цена = 0 (не задана)</t>
  </si>
  <si>
    <t>Сметная цена в Базовом уровне (соответствует СНБ) = 11.92</t>
  </si>
  <si>
    <t>Сметная цена в Базовом уровне (соответствует СНБ) = 8.71</t>
  </si>
  <si>
    <t>Сметная цена в Базовом уровне (соответствует СНБ) = 9.6</t>
  </si>
  <si>
    <t>Сметная цена в Базовом уровне (соответствует СНБ) = 9.48</t>
  </si>
  <si>
    <t>Сметная цена в Базовом уровне (соответствует СНБ) = 8.01</t>
  </si>
  <si>
    <t>Сметная цена в Базовом уровне (соответствует СНБ) = 9.15</t>
  </si>
  <si>
    <t>Сметная цена в Базовом уровне (соответствует СНБ) = 8.6</t>
  </si>
  <si>
    <t>Сметная цена в Базовом уровне (соответствует СНБ) = 10.3</t>
  </si>
  <si>
    <t>Машины</t>
  </si>
  <si>
    <t>По прайсу</t>
  </si>
  <si>
    <t>Сметная цена в Базовом уровне (занесена вручную) = 115.64</t>
  </si>
  <si>
    <t>Сметная цена в Базовом уровне (соответствует СНБ) = 112.67</t>
  </si>
  <si>
    <t>Сметная цена в Базовом уровне (соответствует СНБ) = 56.1</t>
  </si>
  <si>
    <t>Сметная цена в Базовом уровне (соответствует СНБ) = 93.37</t>
  </si>
  <si>
    <t>Сметная цена в Базовом уровне (соответствует СНБ) = 115.64</t>
  </si>
  <si>
    <t>Сметная цена в Базовом уровне (соответствует СНБ) = 1.83</t>
  </si>
  <si>
    <t>Сметная цена в Базовом уровне (соответствует СНБ) = 91.69</t>
  </si>
  <si>
    <t>Сметная цена в Базовом уровне (соответствует СНБ) = 52.5</t>
  </si>
  <si>
    <t>Сметная цена в Базовом уровне (соответствует СНБ) = 85.94</t>
  </si>
  <si>
    <t>Сметная цена в Базовом уровне (соответствует СНБ) = 113.81</t>
  </si>
  <si>
    <t>Сметная цена в Базовом уровне (соответствует СНБ) = 2.07</t>
  </si>
  <si>
    <t>Сметная цена в Базовом уровне (соответствует СНБ) = 88.42</t>
  </si>
  <si>
    <t>Сметная цена в Базовом уровне (соответствует СНБ) = 2.17</t>
  </si>
  <si>
    <t>Сметная цена в Базовом уровне (соответствует СНБ) = 6.81</t>
  </si>
  <si>
    <t>Сметная цена в Базовом уровне (соответствует СНБ) = 32.5</t>
  </si>
  <si>
    <t>Сметная цена в Базовом уровне (соответствует СНБ) = .5</t>
  </si>
  <si>
    <t>Сметная цена в Базовом уровне (соответствует СНБ) = 7.51</t>
  </si>
  <si>
    <t>Сметная цена в Базовом уровне (соответствует СНБ) = 6.62</t>
  </si>
  <si>
    <t>Сметная цена в Базовом уровне (соответствует СНБ) = 105.9</t>
  </si>
  <si>
    <t>Сметная цена в Базовом уровне (соответствует СНБ) = 8475</t>
  </si>
  <si>
    <t>Сметная цена в Базовом уровне (соответствует СНБ) = 1100</t>
  </si>
  <si>
    <t>Сметная цена в Базовом уровне (соответствует СНБ) = 5081.62</t>
  </si>
  <si>
    <t>Сметная цена в Базовом уровне (занесена вручную) = 1696.01</t>
  </si>
  <si>
    <t>Сметная цена в Базовом уровне (соответствует СНБ) = 87.58</t>
  </si>
  <si>
    <t>Сметная цена в Базовом уровне (соответствует СНБ) = 56.57</t>
  </si>
  <si>
    <t>Сметная цена в Базовом уровне (занесена вручную) = 878.79</t>
  </si>
  <si>
    <t>Сметная цена в Базовом уровне (соответствует СНБ) = 4.69</t>
  </si>
  <si>
    <t>Сметная цена в Базовом уровне (соответствует СНБ) = .24</t>
  </si>
  <si>
    <t>Сметная цена в Базовом уровне (соответствует СНБ) = .3</t>
  </si>
  <si>
    <t>Сметная цена в Базовом уровне (занесена вручную) = 10633.86</t>
  </si>
  <si>
    <t>Сметная цена в Базовом уровне (соответствует СНБ) = 6.26</t>
  </si>
  <si>
    <t>Сметная цена в Базовом уровне (соответствует СНБ) = 626.89</t>
  </si>
  <si>
    <t>Сметная цена в Базовом уровне (занесена вручную) = 459.1</t>
  </si>
  <si>
    <t>Сметная цена в Базовом уровне (соответствует СНБ) = 5132.9</t>
  </si>
  <si>
    <t xml:space="preserve">Сметная цена в Базовом уровне (расчет)                                                                                               ( [132 198,48 /  7,56] +  4% Трансп +  0,75% Заг.скл = 18322.43 ) </t>
  </si>
  <si>
    <t>Сметная цена в Базовом уровне (соответствует СНБ) = 75.03</t>
  </si>
  <si>
    <t>Сметная цена в Базовом уровне (занесена вручную) = 10559.12</t>
  </si>
  <si>
    <t>Сметная цена в Базовом уровне (соответствует СНБ) = 7.93</t>
  </si>
  <si>
    <t>Сметная цена в Базовом уровне (соответствует СНБ) = 56.95</t>
  </si>
  <si>
    <t>Сметная цена в Базовом уровне (занесена вручную) = 586.71</t>
  </si>
  <si>
    <t>Сметная цена в Базовом уровне (соответствует СНБ) = 90</t>
  </si>
  <si>
    <t>Сметная цена в Базовом уровне (занесена вручную) = 14744.52</t>
  </si>
  <si>
    <t xml:space="preserve">Сметная цена в Базовом уровне (расчет)                                                                                               ( [220 276,93 /  7,56] +  4% Трансп +  0,75% Заг.скл = 30529.92 ) </t>
  </si>
  <si>
    <t>Сметная цена в Базовом уровне (занесена вручную) = 6156.33</t>
  </si>
  <si>
    <t>Сметная цена в Базовом уровне (занесена вручную) = 14313</t>
  </si>
  <si>
    <t>Сметная цена в Базовом уровне (занесена вручную) = 18003.77</t>
  </si>
  <si>
    <t>Сметная цена в Базовом уровне (соответствует СНБ) = 391.34</t>
  </si>
  <si>
    <t>Сметная цена в Базовом уровне (соответствует СНБ) = 183.59</t>
  </si>
  <si>
    <t>Сметная цена в Базовом уровне (соответствует СНБ) = 5243.33</t>
  </si>
  <si>
    <t>Сметная цена в Базовом уровне (занесена вручную) = 14346.51</t>
  </si>
  <si>
    <t>Сметная цена в Базовом уровне (занесена вручную) = 12829.31</t>
  </si>
  <si>
    <t>Сметная цена в Базовом уровне (соответствует СНБ) = 9.38</t>
  </si>
  <si>
    <t>Сметная цена в Базовом уровне (соответствует СНБ) = 61.4</t>
  </si>
  <si>
    <t>Сметная цена в Базовом уровне (соответствует СНБ) = .28</t>
  </si>
  <si>
    <t>Сметная цена в Базовом уровне (занесена вручную) = 14571.47</t>
  </si>
  <si>
    <t>Сметная цена в Базовом уровне (занесена вручную) = 16366.06</t>
  </si>
  <si>
    <t>Сметная цена в Базовом уровне (соответствует СНБ) = 10380</t>
  </si>
  <si>
    <t>Сметная цена в Базовом уровне (занесена вручную) = 15447.19</t>
  </si>
  <si>
    <t>Сметная цена в Базовом уровне (занесена вручную) = 11267.15</t>
  </si>
  <si>
    <t>В том числе:</t>
  </si>
  <si>
    <t>Материальные ресурсы</t>
  </si>
  <si>
    <t>" У Т В Е Р Ж Д А Ю "</t>
  </si>
  <si>
    <t>__________________________</t>
  </si>
  <si>
    <t>"_____"_____________ _____г.</t>
  </si>
  <si>
    <t>ВЕДОМОСТЬ СПИСАНИЯ</t>
  </si>
  <si>
    <t>материалов и оборудования</t>
  </si>
  <si>
    <t>работ и ресурсов</t>
  </si>
  <si>
    <t>Объем</t>
  </si>
  <si>
    <t xml:space="preserve">работ </t>
  </si>
  <si>
    <t>Расход ресурсов</t>
  </si>
  <si>
    <t>на</t>
  </si>
  <si>
    <t>единицу</t>
  </si>
  <si>
    <t>по норме</t>
  </si>
  <si>
    <t>по факту</t>
  </si>
  <si>
    <t>Пере-</t>
  </si>
  <si>
    <t>расход</t>
  </si>
  <si>
    <t>Экономия</t>
  </si>
  <si>
    <t>Списать на</t>
  </si>
  <si>
    <t>себесто-</t>
  </si>
  <si>
    <t>имость</t>
  </si>
  <si>
    <t>Смета: Монтаж конструкций здания выше 0.000. Монолитный каркас 17-20 этажей 2 сек</t>
  </si>
  <si>
    <t>Раздел: Пилоны 17-20 этажи</t>
  </si>
  <si>
    <t>Раздел: Стены монолит 17-20 этажи</t>
  </si>
  <si>
    <t>Раздел: Перекрытие,  балки 17-20 этажи</t>
  </si>
  <si>
    <t>ЛОКАЛЬНАЯ СМЕТА № 5.3.1.24.3</t>
  </si>
  <si>
    <t xml:space="preserve"> 5.3.1.24.3  Монтаж конструкций здания выше 0.000. Монолитный каркас 1 этаж 2 секции</t>
  </si>
  <si>
    <t xml:space="preserve"> Пилоны 1-го этажа </t>
  </si>
  <si>
    <t xml:space="preserve"> Стены монолит 1-го этажа </t>
  </si>
  <si>
    <t xml:space="preserve"> Перекрытие,  балки 1-го этажа </t>
  </si>
  <si>
    <t xml:space="preserve"> 5.3.1.23.3  Монтаж конструкций здания выше 0.000. Монолитный каркас 1-го этажа  1 секции </t>
  </si>
  <si>
    <t xml:space="preserve"> Перекрытие,  балки 1 этаж </t>
  </si>
  <si>
    <t xml:space="preserve"> Стены монолит 1 этаж </t>
  </si>
  <si>
    <t xml:space="preserve"> Пилоны 1 этаж </t>
  </si>
  <si>
    <t>Сроки производства работ : с момента заключения договора до  30.06.2025 г.</t>
  </si>
  <si>
    <t xml:space="preserve">Примечание: </t>
  </si>
  <si>
    <t>Основные материалы предоставляет Генподрядчик</t>
  </si>
  <si>
    <t>Разгрузка материалов: За счет Подрядчика. Входит в стоимость работ и дополнительной компенсации не подлежит</t>
  </si>
  <si>
    <t>В стоимость работ входят все затраты подрядчика: ОЗП рабочих, накладные расходы и сметная прибыль, стоимость расходных материалов</t>
  </si>
  <si>
    <t>Обеспечение водой, электроэнергией- Генподрядчик с последующей компенсацией затрат подрядчиком</t>
  </si>
  <si>
    <t>Обеспечение бытовыми помещениями (вагон-бытовками) - Подрядчик</t>
  </si>
  <si>
    <t>Охрана объекта- Генподрядчик</t>
  </si>
  <si>
    <t>Работы выполняются в соответствии с требованиями нормативных документов СП, СНиП, ГОСТ и т.д.</t>
  </si>
  <si>
    <t>После подписания договора подряда:  разработка и предоставление ППР на выполняемые работы</t>
  </si>
  <si>
    <t>Ведение журналов работ. Ежемесячное предоставление АОСР</t>
  </si>
  <si>
    <t>Закрытие объемов выполненных работ осуществляется ежемесячно до 18 числа. При сдаче выполненных работ, подрядчик предоставляет генподрядчику справку, подписанную ответственным представителем генподрядчика "О состоянии мест производства работ, отсутствии мусора и т.д.)</t>
  </si>
  <si>
    <t>Гарантийное удержание -5% от суммы выполненных работ за отчетный период, Гарантийные удержания накапливаются ГЕНПОДРЯДЧИКОМ и будут выплачены ПОДРЯДЧИКУ по истечении 66 (шестидесяти шести) месяцев с даты подписания Сторонами акта полностью выполненного  комплекса работ по настоящему договору.</t>
  </si>
  <si>
    <t>Гарантийный срок на выполняемые работы  - 66 месяцев</t>
  </si>
  <si>
    <t>После подписания договора подряда подрядчик предоставляет в адрес генподрядчика следующий пакет документов: приказ на ответственного производитлея работ, лицензию СРО (при наличии), копии удостоверений на работников (по охране труда, электробезопасности, пожарной безопасности, на стропальщиков), список работников, которые будут задействованы на объекте для лиц, не граждан РФ - патент, разрешение на работу, график производства работ.</t>
  </si>
  <si>
    <t xml:space="preserve">Наличие необходимых документов для выполнения данного вида работ.  </t>
  </si>
  <si>
    <t xml:space="preserve">Указать количество работников в штате организации </t>
  </si>
  <si>
    <t xml:space="preserve">Опыт подтверждающий выполнение данного вида работ. (договор, акты выполненных работ на сумму договора) </t>
  </si>
  <si>
    <t>Указать список спецтехники. Предоставить договора аренды спецтехники.</t>
  </si>
  <si>
    <t>Проект рассмотрен. Расчет договорной цены  выполнен в соответствии с проектом.</t>
  </si>
  <si>
    <t>С условиями договора ознакомлен и согласен. Принимается типовая форма договора в редакции Генподрядчика.</t>
  </si>
  <si>
    <t>С условиями финансирования согласен.</t>
  </si>
  <si>
    <t xml:space="preserve">Приложения (копии документов): </t>
  </si>
  <si>
    <t>свидетельство о допуске к ведению работ (СРО)  желательно;</t>
  </si>
  <si>
    <t>свидетельство о регистрации юридического лица (ОГРН);</t>
  </si>
  <si>
    <t>свидетельство о постановке на учет юридического лица  в налоговом органе  (ИНН);</t>
  </si>
  <si>
    <t>устав организации;</t>
  </si>
  <si>
    <t>выписка из ЕГРЮЛ ;</t>
  </si>
  <si>
    <t>документы, подтверждающие полномочия на право подписания договора (приказ о назначении на должность, протокол, решение, доверенность от организации на подписанта о наделении полномочий).</t>
  </si>
  <si>
    <t>бухгалтерский баланс (форма 1,2,5)</t>
  </si>
  <si>
    <t>Начальник ПТС</t>
  </si>
  <si>
    <t>В. И. Когтев</t>
  </si>
  <si>
    <t xml:space="preserve">Объем работ указан на 1 этаж 1 и 2 секции </t>
  </si>
  <si>
    <r>
      <t xml:space="preserve">Объем бетона на одном этаже </t>
    </r>
    <r>
      <rPr>
        <b/>
        <sz val="9"/>
        <color rgb="FFFF0000"/>
        <rFont val="Arial"/>
        <family val="2"/>
        <charset val="204"/>
      </rPr>
      <t xml:space="preserve">180,6 м3 секции 2. </t>
    </r>
  </si>
  <si>
    <t>Механизмы:- Подрядчик, с возможность заключения договора на услуги крана</t>
  </si>
  <si>
    <t>УДТВЕРЖДАЮ</t>
  </si>
  <si>
    <t xml:space="preserve">Директор ООО "ОСУ-2" </t>
  </si>
  <si>
    <t>Посулихин А.А.</t>
  </si>
  <si>
    <t xml:space="preserve">ТЕХНИЧЕСКОЕ ЗАДАНИЕ </t>
  </si>
  <si>
    <t>Вид работ:  Монтаж конструкций здания выше 0,000</t>
  </si>
  <si>
    <t>ООО "______________________________" готово выполнить полный комплекс работ на нижеследующих условиях:</t>
  </si>
  <si>
    <t>ИНН   ______________________________</t>
  </si>
  <si>
    <r>
      <t xml:space="preserve">карточка учета организации; - </t>
    </r>
    <r>
      <rPr>
        <b/>
        <sz val="10"/>
        <rFont val="Arial Narrow"/>
        <family val="2"/>
        <charset val="204"/>
      </rPr>
      <t>АНКЕТА ОРГАНИЗАЦИИ</t>
    </r>
  </si>
  <si>
    <t>Комплекс работ "Монтаж  конструкций здания выше 0,000 на объекте: "Комплекс из 2-х многоквартирных домов, расположенных по адресу г. Орел, б-р Молодежи,  участок 2а. 1-й этап строительства – многоквартирный дом корпус 2 (поз.1)" (объем указан на один этаж секции 1 и 2)</t>
  </si>
  <si>
    <t>Расходные материалы, инструменты, оборудование  и т.д.  - подрядчика</t>
  </si>
  <si>
    <t>Стоимость выполнения работ фиксируется на период выполнения работ.</t>
  </si>
  <si>
    <r>
      <rPr>
        <b/>
        <sz val="9"/>
        <color rgb="FFFF0000"/>
        <rFont val="Arial"/>
        <family val="2"/>
        <charset val="204"/>
      </rPr>
      <t>Стоимость  1 м3 за комплекс</t>
    </r>
    <r>
      <rPr>
        <sz val="9"/>
        <color rgb="FFFF0000"/>
        <rFont val="Arial"/>
        <family val="2"/>
        <charset val="204"/>
      </rPr>
      <t xml:space="preserve"> </t>
    </r>
    <r>
      <rPr>
        <b/>
        <sz val="9"/>
        <color rgb="FFFF0000"/>
        <rFont val="Arial"/>
        <family val="2"/>
        <charset val="204"/>
      </rPr>
      <t>работ</t>
    </r>
    <r>
      <rPr>
        <sz val="9"/>
        <color rgb="FFFF0000"/>
        <rFont val="Arial"/>
        <family val="2"/>
        <charset val="204"/>
      </rPr>
      <t xml:space="preserve"> по монтажу монолитных конструкций </t>
    </r>
  </si>
  <si>
    <r>
      <rPr>
        <b/>
        <sz val="9"/>
        <color rgb="FFFF0000"/>
        <rFont val="Arial"/>
        <family val="2"/>
        <charset val="204"/>
      </rPr>
      <t>Стоимость  1 м3 за комплекс</t>
    </r>
    <r>
      <rPr>
        <sz val="9"/>
        <color rgb="FFFF0000"/>
        <rFont val="Arial"/>
        <family val="2"/>
        <charset val="204"/>
      </rPr>
      <t xml:space="preserve"> </t>
    </r>
    <r>
      <rPr>
        <b/>
        <sz val="9"/>
        <color rgb="FFFF0000"/>
        <rFont val="Arial"/>
        <family val="2"/>
        <charset val="204"/>
      </rPr>
      <t>работ</t>
    </r>
    <r>
      <rPr>
        <sz val="9"/>
        <color rgb="FFFF0000"/>
        <rFont val="Arial"/>
        <family val="2"/>
        <charset val="204"/>
      </rPr>
      <t xml:space="preserve"> по монтажу монолитных конструкций</t>
    </r>
    <r>
      <rPr>
        <b/>
        <sz val="9"/>
        <color rgb="FFFF0000"/>
        <rFont val="Arial"/>
        <family val="2"/>
        <charset val="204"/>
      </rPr>
      <t/>
    </r>
  </si>
  <si>
    <r>
      <t xml:space="preserve">Объем бетона на одном этаже </t>
    </r>
    <r>
      <rPr>
        <b/>
        <sz val="9"/>
        <color rgb="FFFF0000"/>
        <rFont val="Arial"/>
        <family val="2"/>
        <charset val="204"/>
      </rPr>
      <t xml:space="preserve">184,12 м3 секции 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</si>
</sst>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2" x14ac:knownFonts="1">
    <font>
      <sz val="10"/>
      <name val="Arial"/>
      <charset val="204"/>
    </font>
    <font>
      <b/>
      <sz val="10"/>
      <color indexed="12"/>
      <name val="Arial"/>
      <family val="2"/>
      <charset val="204"/>
    </font>
    <font>
      <sz val="10"/>
      <color indexed="18"/>
      <name val="Arial"/>
      <family val="2"/>
      <charset val="204"/>
    </font>
    <font>
      <b/>
      <sz val="10"/>
      <color indexed="16"/>
      <name val="Arial"/>
      <family val="2"/>
      <charset val="204"/>
    </font>
    <font>
      <b/>
      <sz val="10"/>
      <color indexed="20"/>
      <name val="Arial"/>
      <family val="2"/>
      <charset val="204"/>
    </font>
    <font>
      <b/>
      <sz val="10"/>
      <color indexed="17"/>
      <name val="Arial"/>
      <family val="2"/>
      <charset val="204"/>
    </font>
    <font>
      <sz val="10"/>
      <color indexed="17"/>
      <name val="Arial"/>
      <family val="2"/>
      <charset val="204"/>
    </font>
    <font>
      <sz val="10"/>
      <color indexed="12"/>
      <name val="Arial"/>
      <family val="2"/>
      <charset val="204"/>
    </font>
    <font>
      <sz val="10"/>
      <color indexed="14"/>
      <name val="Arial"/>
      <family val="2"/>
      <charset val="204"/>
    </font>
    <font>
      <sz val="10"/>
      <color indexed="16"/>
      <name val="Arial"/>
      <family val="2"/>
      <charset val="204"/>
    </font>
    <font>
      <b/>
      <sz val="10"/>
      <color indexed="14"/>
      <name val="Arial"/>
      <family val="2"/>
      <charset val="204"/>
    </font>
    <font>
      <sz val="10"/>
      <name val="Arial"/>
      <family val="2"/>
      <charset val="204"/>
    </font>
    <font>
      <sz val="8"/>
      <name val="Arial"/>
      <family val="2"/>
      <charset val="204"/>
    </font>
    <font>
      <b/>
      <sz val="8"/>
      <name val="Arial"/>
      <family val="2"/>
      <charset val="204"/>
    </font>
    <font>
      <sz val="7"/>
      <name val="Arial"/>
      <family val="2"/>
      <charset val="204"/>
    </font>
    <font>
      <b/>
      <sz val="7"/>
      <name val="Arial"/>
      <family val="2"/>
      <charset val="204"/>
    </font>
    <font>
      <sz val="9"/>
      <color indexed="81"/>
      <name val="Tahoma"/>
      <family val="2"/>
      <charset val="204"/>
    </font>
    <font>
      <sz val="10"/>
      <color rgb="FFFFFFFF"/>
      <name val="Arial"/>
      <family val="2"/>
      <charset val="204"/>
    </font>
    <font>
      <b/>
      <sz val="10"/>
      <name val="Arial"/>
      <family val="2"/>
      <charset val="204"/>
    </font>
    <font>
      <sz val="6"/>
      <name val="Arial"/>
      <family val="2"/>
      <charset val="204"/>
    </font>
    <font>
      <b/>
      <sz val="14"/>
      <name val="Times New Roman"/>
      <family val="1"/>
      <charset val="204"/>
    </font>
    <font>
      <b/>
      <sz val="12"/>
      <name val="Times New Roman"/>
      <family val="1"/>
      <charset val="204"/>
    </font>
    <font>
      <sz val="9"/>
      <name val="Arial"/>
      <family val="2"/>
      <charset val="204"/>
    </font>
    <font>
      <b/>
      <u/>
      <sz val="10"/>
      <name val="Arial"/>
      <family val="2"/>
      <charset val="204"/>
    </font>
    <font>
      <b/>
      <sz val="9"/>
      <name val="Arial"/>
      <family val="2"/>
      <charset val="204"/>
    </font>
    <font>
      <b/>
      <u/>
      <sz val="9"/>
      <name val="Arial"/>
      <family val="2"/>
      <charset val="204"/>
    </font>
    <font>
      <sz val="7"/>
      <color rgb="FF0000FF"/>
      <name val="Arial"/>
      <family val="2"/>
      <charset val="204"/>
    </font>
    <font>
      <sz val="9"/>
      <color rgb="FF800000"/>
      <name val="Arial"/>
      <family val="2"/>
      <charset val="204"/>
    </font>
    <font>
      <sz val="8"/>
      <color rgb="FF0000FF"/>
      <name val="Arial"/>
      <family val="2"/>
      <charset val="204"/>
    </font>
    <font>
      <sz val="9"/>
      <color rgb="FF0000FF"/>
      <name val="Arial"/>
      <family val="2"/>
      <charset val="204"/>
    </font>
    <font>
      <sz val="8"/>
      <color rgb="FFFF0000"/>
      <name val="Arial"/>
      <family val="2"/>
      <charset val="204"/>
    </font>
    <font>
      <sz val="9"/>
      <color rgb="FFFF0000"/>
      <name val="Arial"/>
      <family val="2"/>
      <charset val="204"/>
    </font>
    <font>
      <sz val="10"/>
      <color rgb="FF008000"/>
      <name val="Arial"/>
      <family val="2"/>
      <charset val="204"/>
    </font>
    <font>
      <sz val="8"/>
      <color rgb="FF008000"/>
      <name val="Arial"/>
      <family val="2"/>
      <charset val="204"/>
    </font>
    <font>
      <sz val="9"/>
      <color rgb="FF008000"/>
      <name val="Arial"/>
      <family val="2"/>
      <charset val="204"/>
    </font>
    <font>
      <b/>
      <sz val="9"/>
      <color rgb="FF008000"/>
      <name val="Arial"/>
      <family val="2"/>
      <charset val="204"/>
    </font>
    <font>
      <sz val="10"/>
      <color rgb="FF000080"/>
      <name val="Arial"/>
      <family val="2"/>
      <charset val="204"/>
    </font>
    <font>
      <sz val="8"/>
      <color rgb="FF000080"/>
      <name val="Arial"/>
      <family val="2"/>
      <charset val="204"/>
    </font>
    <font>
      <sz val="9"/>
      <color rgb="FF000080"/>
      <name val="Arial"/>
      <family val="2"/>
      <charset val="204"/>
    </font>
    <font>
      <i/>
      <sz val="10"/>
      <color rgb="FF000080"/>
      <name val="Arial"/>
      <family val="2"/>
      <charset val="204"/>
    </font>
    <font>
      <sz val="10"/>
      <color rgb="FF800000"/>
      <name val="Arial"/>
      <family val="2"/>
      <charset val="204"/>
    </font>
    <font>
      <sz val="10"/>
      <color rgb="FF0000FF"/>
      <name val="Arial"/>
      <family val="2"/>
      <charset val="204"/>
    </font>
    <font>
      <sz val="10"/>
      <color rgb="FFFF0000"/>
      <name val="Arial"/>
      <family val="2"/>
      <charset val="204"/>
    </font>
    <font>
      <sz val="10"/>
      <color rgb="FFFF00FF"/>
      <name val="Arial"/>
      <family val="2"/>
      <charset val="204"/>
    </font>
    <font>
      <i/>
      <sz val="10"/>
      <color rgb="FFFF00FF"/>
      <name val="Arial"/>
      <family val="2"/>
      <charset val="204"/>
    </font>
    <font>
      <sz val="8"/>
      <name val="Times New Roman Cyr"/>
      <charset val="204"/>
    </font>
    <font>
      <b/>
      <u/>
      <sz val="12"/>
      <name val="Times New Roman"/>
      <family val="1"/>
      <charset val="204"/>
    </font>
    <font>
      <sz val="9"/>
      <color rgb="FFFFFFFF"/>
      <name val="Arial"/>
      <family val="2"/>
      <charset val="204"/>
    </font>
    <font>
      <sz val="8"/>
      <name val="Times New Roman"/>
      <family val="1"/>
      <charset val="204"/>
    </font>
    <font>
      <sz val="9"/>
      <color rgb="FFFF00FF"/>
      <name val="Arial"/>
      <family val="2"/>
      <charset val="204"/>
    </font>
    <font>
      <b/>
      <i/>
      <u/>
      <sz val="11"/>
      <color rgb="FF004080"/>
      <name val="Times New Roman"/>
      <family val="1"/>
      <charset val="204"/>
    </font>
    <font>
      <b/>
      <i/>
      <sz val="11"/>
      <name val="Times New Roman"/>
      <family val="1"/>
      <charset val="204"/>
    </font>
    <font>
      <b/>
      <sz val="9"/>
      <color rgb="FF800000"/>
      <name val="Arial"/>
      <family val="2"/>
      <charset val="204"/>
    </font>
    <font>
      <sz val="11"/>
      <name val="Arial Narrow"/>
      <family val="2"/>
      <charset val="204"/>
    </font>
    <font>
      <b/>
      <sz val="11"/>
      <name val="Arial Narrow"/>
      <family val="2"/>
      <charset val="204"/>
    </font>
    <font>
      <b/>
      <sz val="11"/>
      <color rgb="FF00B0F0"/>
      <name val="Arial Narrow"/>
      <family val="2"/>
      <charset val="204"/>
    </font>
    <font>
      <sz val="11"/>
      <color rgb="FF00B0F0"/>
      <name val="Arial Narrow"/>
      <family val="2"/>
      <charset val="204"/>
    </font>
    <font>
      <sz val="8"/>
      <color rgb="FF00B0F0"/>
      <name val="Arial Narrow"/>
      <family val="2"/>
      <charset val="204"/>
    </font>
    <font>
      <sz val="8"/>
      <name val="Arial Narrow"/>
      <family val="2"/>
      <charset val="204"/>
    </font>
    <font>
      <b/>
      <sz val="9"/>
      <color rgb="FFFF0000"/>
      <name val="Arial"/>
      <family val="2"/>
      <charset val="204"/>
    </font>
    <font>
      <sz val="9"/>
      <color rgb="FF00B0F0"/>
      <name val="Arial Narrow"/>
      <family val="2"/>
      <charset val="204"/>
    </font>
    <font>
      <sz val="9"/>
      <name val="Arial Narrow"/>
      <family val="2"/>
      <charset val="204"/>
    </font>
    <font>
      <b/>
      <sz val="9"/>
      <name val="Arial Narrow"/>
      <family val="2"/>
      <charset val="204"/>
    </font>
    <font>
      <u/>
      <sz val="9"/>
      <name val="Arial Narrow"/>
      <family val="2"/>
      <charset val="204"/>
    </font>
    <font>
      <b/>
      <u/>
      <sz val="9"/>
      <name val="Arial Narrow"/>
      <family val="2"/>
      <charset val="204"/>
    </font>
    <font>
      <b/>
      <sz val="9"/>
      <color rgb="FF00B0F0"/>
      <name val="Arial Narrow"/>
      <family val="2"/>
      <charset val="204"/>
    </font>
    <font>
      <b/>
      <sz val="10"/>
      <name val="Arial Narrow"/>
      <family val="2"/>
      <charset val="204"/>
    </font>
    <font>
      <sz val="10"/>
      <name val="Arial Narrow"/>
      <family val="2"/>
      <charset val="204"/>
    </font>
    <font>
      <b/>
      <sz val="10"/>
      <color rgb="FF00B0F0"/>
      <name val="Arial Narrow"/>
      <family val="2"/>
      <charset val="204"/>
    </font>
    <font>
      <b/>
      <sz val="10"/>
      <color rgb="FFFF0000"/>
      <name val="Arial Narrow"/>
      <family val="2"/>
      <charset val="204"/>
    </font>
    <font>
      <sz val="10"/>
      <color rgb="FFFF0000"/>
      <name val="Arial Narrow"/>
      <family val="2"/>
      <charset val="204"/>
    </font>
    <font>
      <sz val="10"/>
      <color rgb="FF00B0F0"/>
      <name val="Arial Narrow"/>
      <family val="2"/>
      <charset val="204"/>
    </font>
  </fonts>
  <fills count="2">
    <fill>
      <patternFill patternType="none"/>
    </fill>
    <fill>
      <patternFill patternType="gray125"/>
    </fill>
  </fills>
  <borders count="43">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1" fillId="0" borderId="0"/>
    <xf numFmtId="0" fontId="11" fillId="0" borderId="0"/>
  </cellStyleXfs>
  <cellXfs count="390">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right"/>
    </xf>
    <xf numFmtId="0" fontId="0" fillId="0" borderId="0" xfId="0" applyAlignment="1">
      <alignment horizontal="right" vertical="top"/>
    </xf>
    <xf numFmtId="0" fontId="11" fillId="0" borderId="0" xfId="0" applyFont="1"/>
    <xf numFmtId="0" fontId="12" fillId="0" borderId="0" xfId="0" applyFont="1"/>
    <xf numFmtId="0" fontId="13" fillId="0" borderId="0" xfId="0" applyFont="1"/>
    <xf numFmtId="0" fontId="14" fillId="0" borderId="0" xfId="0" applyFont="1"/>
    <xf numFmtId="0" fontId="14" fillId="0" borderId="0" xfId="0" applyFont="1" applyAlignment="1">
      <alignment horizontal="righ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0" fontId="14" fillId="0" borderId="0" xfId="0" applyFont="1" applyAlignment="1">
      <alignment horizontal="left" vertical="top"/>
    </xf>
    <xf numFmtId="0" fontId="11" fillId="0" borderId="0" xfId="0" applyFont="1" applyAlignment="1">
      <alignment wrapText="1"/>
    </xf>
    <xf numFmtId="0" fontId="17" fillId="0" borderId="0" xfId="0" applyFont="1"/>
    <xf numFmtId="0" fontId="11" fillId="0" borderId="0" xfId="0" applyFont="1" applyAlignment="1">
      <alignment horizontal="right"/>
    </xf>
    <xf numFmtId="0" fontId="18" fillId="0" borderId="0" xfId="0" applyFont="1"/>
    <xf numFmtId="0" fontId="18" fillId="0" borderId="0" xfId="0" applyFont="1" applyAlignment="1">
      <alignment wrapText="1"/>
    </xf>
    <xf numFmtId="49" fontId="18" fillId="0" borderId="0" xfId="0" applyNumberFormat="1" applyFont="1" applyAlignment="1">
      <alignment wrapText="1"/>
    </xf>
    <xf numFmtId="0" fontId="14" fillId="0" borderId="2" xfId="0" applyFont="1" applyBorder="1" applyAlignment="1">
      <alignment horizontal="center" vertical="top"/>
    </xf>
    <xf numFmtId="0" fontId="14" fillId="0" borderId="4" xfId="0" applyFont="1" applyBorder="1" applyAlignment="1">
      <alignment horizontal="center" vertical="top"/>
    </xf>
    <xf numFmtId="49" fontId="13" fillId="0" borderId="0" xfId="0" applyNumberFormat="1" applyFont="1" applyAlignment="1">
      <alignment wrapText="1"/>
    </xf>
    <xf numFmtId="14" fontId="0" fillId="0" borderId="0" xfId="0" applyNumberFormat="1"/>
    <xf numFmtId="0" fontId="0" fillId="0" borderId="2" xfId="0" applyBorder="1"/>
    <xf numFmtId="0" fontId="0" fillId="0" borderId="6" xfId="0" applyBorder="1"/>
    <xf numFmtId="0" fontId="14" fillId="0" borderId="2" xfId="0" applyFont="1" applyBorder="1" applyAlignment="1">
      <alignment horizontal="center" vertical="center"/>
    </xf>
    <xf numFmtId="0" fontId="14" fillId="0" borderId="10" xfId="0" applyFont="1" applyBorder="1" applyAlignment="1">
      <alignment horizontal="center" vertical="center"/>
    </xf>
    <xf numFmtId="0" fontId="15" fillId="0" borderId="0" xfId="0" applyFont="1"/>
    <xf numFmtId="49" fontId="15" fillId="0" borderId="12" xfId="0" applyNumberFormat="1" applyFont="1" applyBorder="1" applyAlignment="1">
      <alignment horizontal="center" vertical="center"/>
    </xf>
    <xf numFmtId="14" fontId="15" fillId="0" borderId="12"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right"/>
    </xf>
    <xf numFmtId="0" fontId="22" fillId="0" borderId="0" xfId="0" applyFont="1"/>
    <xf numFmtId="0" fontId="22" fillId="0" borderId="0" xfId="0" applyFont="1" applyAlignment="1">
      <alignment wrapText="1"/>
    </xf>
    <xf numFmtId="49" fontId="22" fillId="0" borderId="0" xfId="0" applyNumberFormat="1" applyFont="1" applyAlignment="1">
      <alignment wrapText="1"/>
    </xf>
    <xf numFmtId="0" fontId="19" fillId="0" borderId="0" xfId="0" applyFont="1" applyAlignment="1">
      <alignment horizontal="right" shrinkToFit="1"/>
    </xf>
    <xf numFmtId="4" fontId="13" fillId="0" borderId="0" xfId="0" applyNumberFormat="1" applyFont="1" applyAlignment="1">
      <alignment horizontal="right" shrinkToFit="1"/>
    </xf>
    <xf numFmtId="4" fontId="12" fillId="0" borderId="0" xfId="0" applyNumberFormat="1" applyFont="1" applyAlignment="1">
      <alignment horizontal="right" shrinkToFit="1"/>
    </xf>
    <xf numFmtId="0" fontId="22" fillId="0" borderId="13" xfId="0" applyFont="1" applyBorder="1" applyAlignment="1">
      <alignment horizontal="center" wrapText="1"/>
    </xf>
    <xf numFmtId="0" fontId="0" fillId="0" borderId="19" xfId="0" applyBorder="1"/>
    <xf numFmtId="0" fontId="24" fillId="0" borderId="0" xfId="0" applyFont="1" applyAlignment="1">
      <alignment wrapText="1"/>
    </xf>
    <xf numFmtId="0" fontId="0" fillId="0" borderId="3" xfId="0" applyBorder="1"/>
    <xf numFmtId="0" fontId="12" fillId="0" borderId="24" xfId="0" applyFont="1" applyBorder="1" applyAlignment="1">
      <alignment horizontal="left" vertical="top" wrapText="1"/>
    </xf>
    <xf numFmtId="0" fontId="22" fillId="0" borderId="23" xfId="0" applyFont="1" applyBorder="1" applyAlignment="1">
      <alignment horizontal="left" vertical="top" wrapText="1"/>
    </xf>
    <xf numFmtId="0" fontId="12" fillId="0" borderId="23" xfId="0" applyFont="1" applyBorder="1" applyAlignment="1">
      <alignment horizontal="right" wrapText="1"/>
    </xf>
    <xf numFmtId="0" fontId="22" fillId="0" borderId="23" xfId="0" applyFont="1" applyBorder="1" applyAlignment="1">
      <alignment horizontal="right" shrinkToFit="1"/>
    </xf>
    <xf numFmtId="4" fontId="22" fillId="0" borderId="23" xfId="0" applyNumberFormat="1" applyFont="1" applyBorder="1" applyAlignment="1">
      <alignment horizontal="right" shrinkToFit="1"/>
    </xf>
    <xf numFmtId="3" fontId="24" fillId="0" borderId="23" xfId="0" applyNumberFormat="1" applyFont="1" applyBorder="1" applyAlignment="1">
      <alignment horizontal="right" shrinkToFit="1"/>
    </xf>
    <xf numFmtId="0" fontId="27" fillId="0" borderId="23" xfId="0" applyFont="1" applyBorder="1" applyAlignment="1">
      <alignment horizontal="right" shrinkToFit="1"/>
    </xf>
    <xf numFmtId="3" fontId="24" fillId="0" borderId="25" xfId="0" applyNumberFormat="1" applyFont="1" applyBorder="1" applyAlignment="1">
      <alignment horizontal="right" shrinkToFit="1"/>
    </xf>
    <xf numFmtId="49" fontId="12" fillId="0" borderId="23" xfId="0" applyNumberFormat="1" applyFont="1" applyBorder="1" applyAlignment="1">
      <alignment horizontal="left" vertical="top" wrapText="1"/>
    </xf>
    <xf numFmtId="49" fontId="26" fillId="0" borderId="23" xfId="0" applyNumberFormat="1" applyFont="1" applyBorder="1" applyAlignment="1">
      <alignment horizontal="left" vertical="top" wrapText="1" shrinkToFit="1"/>
    </xf>
    <xf numFmtId="0" fontId="0" fillId="0" borderId="10" xfId="0" applyBorder="1"/>
    <xf numFmtId="0" fontId="0" fillId="0" borderId="26" xfId="0" applyBorder="1"/>
    <xf numFmtId="0" fontId="0" fillId="0" borderId="27" xfId="0" applyBorder="1"/>
    <xf numFmtId="0" fontId="12" fillId="0" borderId="26" xfId="0" applyFont="1" applyBorder="1" applyAlignment="1">
      <alignment horizontal="left" vertical="top" wrapText="1"/>
    </xf>
    <xf numFmtId="0" fontId="12" fillId="0" borderId="10" xfId="0" applyFont="1" applyBorder="1" applyAlignment="1">
      <alignment horizontal="left" vertical="top" wrapText="1"/>
    </xf>
    <xf numFmtId="0" fontId="12" fillId="0" borderId="10" xfId="0" applyFont="1" applyBorder="1" applyAlignment="1">
      <alignment horizontal="right" wrapText="1"/>
    </xf>
    <xf numFmtId="0" fontId="22" fillId="0" borderId="10" xfId="0" applyFont="1" applyBorder="1" applyAlignment="1">
      <alignment horizontal="right" shrinkToFit="1"/>
    </xf>
    <xf numFmtId="4" fontId="22" fillId="0" borderId="10" xfId="0" applyNumberFormat="1" applyFont="1" applyBorder="1" applyAlignment="1">
      <alignment horizontal="right" shrinkToFit="1"/>
    </xf>
    <xf numFmtId="0" fontId="29" fillId="0" borderId="10" xfId="0" applyFont="1" applyBorder="1" applyAlignment="1">
      <alignment horizontal="left" shrinkToFit="1"/>
    </xf>
    <xf numFmtId="3" fontId="22" fillId="0" borderId="10" xfId="0" applyNumberFormat="1" applyFont="1" applyBorder="1" applyAlignment="1">
      <alignment horizontal="right" shrinkToFit="1"/>
    </xf>
    <xf numFmtId="0" fontId="27" fillId="0" borderId="10" xfId="0" applyFont="1" applyBorder="1" applyAlignment="1">
      <alignment horizontal="right" shrinkToFit="1"/>
    </xf>
    <xf numFmtId="3" fontId="22" fillId="0" borderId="27" xfId="0" applyNumberFormat="1" applyFont="1" applyBorder="1" applyAlignment="1">
      <alignment horizontal="right" shrinkToFit="1"/>
    </xf>
    <xf numFmtId="4" fontId="0" fillId="0" borderId="0" xfId="0" applyNumberFormat="1"/>
    <xf numFmtId="0" fontId="0" fillId="0" borderId="28" xfId="0" applyBorder="1"/>
    <xf numFmtId="0" fontId="0" fillId="0" borderId="15" xfId="0" applyBorder="1"/>
    <xf numFmtId="0" fontId="12" fillId="0" borderId="15" xfId="0" applyFont="1" applyBorder="1" applyAlignment="1">
      <alignment horizontal="left" vertical="top" wrapText="1"/>
    </xf>
    <xf numFmtId="0" fontId="12" fillId="0" borderId="28" xfId="0" applyFont="1" applyBorder="1" applyAlignment="1">
      <alignment horizontal="left" vertical="top" wrapText="1"/>
    </xf>
    <xf numFmtId="0" fontId="12" fillId="0" borderId="28" xfId="0" applyFont="1" applyBorder="1" applyAlignment="1">
      <alignment horizontal="right" wrapText="1"/>
    </xf>
    <xf numFmtId="0" fontId="22" fillId="0" borderId="28" xfId="0" applyFont="1" applyBorder="1" applyAlignment="1">
      <alignment horizontal="right" shrinkToFit="1"/>
    </xf>
    <xf numFmtId="4" fontId="22" fillId="0" borderId="28" xfId="0" applyNumberFormat="1" applyFont="1" applyBorder="1" applyAlignment="1">
      <alignment horizontal="right" shrinkToFit="1"/>
    </xf>
    <xf numFmtId="0" fontId="29" fillId="0" borderId="28" xfId="0" applyFont="1" applyBorder="1" applyAlignment="1">
      <alignment horizontal="left" shrinkToFit="1"/>
    </xf>
    <xf numFmtId="3" fontId="22" fillId="0" borderId="28" xfId="0" applyNumberFormat="1" applyFont="1" applyBorder="1" applyAlignment="1">
      <alignment horizontal="right" shrinkToFit="1"/>
    </xf>
    <xf numFmtId="0" fontId="27" fillId="0" borderId="28" xfId="0" applyFont="1" applyBorder="1" applyAlignment="1">
      <alignment horizontal="right" shrinkToFit="1"/>
    </xf>
    <xf numFmtId="3" fontId="22" fillId="0" borderId="29" xfId="0" applyNumberFormat="1" applyFont="1" applyBorder="1" applyAlignment="1">
      <alignment horizontal="right" shrinkToFit="1"/>
    </xf>
    <xf numFmtId="0" fontId="30" fillId="0" borderId="15" xfId="0" applyFont="1" applyBorder="1" applyAlignment="1">
      <alignment horizontal="left" vertical="top" wrapText="1"/>
    </xf>
    <xf numFmtId="0" fontId="30" fillId="0" borderId="28" xfId="0" applyFont="1" applyBorder="1" applyAlignment="1">
      <alignment horizontal="left" vertical="top" wrapText="1"/>
    </xf>
    <xf numFmtId="0" fontId="30" fillId="0" borderId="28" xfId="0" applyFont="1" applyBorder="1" applyAlignment="1">
      <alignment horizontal="right" wrapText="1"/>
    </xf>
    <xf numFmtId="0" fontId="31" fillId="0" borderId="28" xfId="0" applyFont="1" applyBorder="1" applyAlignment="1">
      <alignment horizontal="right" shrinkToFit="1"/>
    </xf>
    <xf numFmtId="4" fontId="31" fillId="0" borderId="28" xfId="0" applyNumberFormat="1" applyFont="1" applyBorder="1" applyAlignment="1">
      <alignment horizontal="left" shrinkToFit="1"/>
    </xf>
    <xf numFmtId="0" fontId="31" fillId="0" borderId="28" xfId="0" applyFont="1" applyBorder="1" applyAlignment="1">
      <alignment horizontal="left" shrinkToFit="1"/>
    </xf>
    <xf numFmtId="4" fontId="31" fillId="0" borderId="28" xfId="0" applyNumberFormat="1" applyFont="1" applyBorder="1" applyAlignment="1">
      <alignment horizontal="right" shrinkToFit="1"/>
    </xf>
    <xf numFmtId="3" fontId="31" fillId="0" borderId="28" xfId="0" applyNumberFormat="1" applyFont="1" applyBorder="1" applyAlignment="1">
      <alignment horizontal="right" shrinkToFit="1"/>
    </xf>
    <xf numFmtId="3" fontId="31" fillId="0" borderId="29" xfId="0" applyNumberFormat="1" applyFont="1" applyBorder="1" applyAlignment="1">
      <alignment horizontal="right" shrinkToFit="1"/>
    </xf>
    <xf numFmtId="9" fontId="31" fillId="0" borderId="28" xfId="0" applyNumberFormat="1" applyFont="1" applyBorder="1" applyAlignment="1">
      <alignment horizontal="right" shrinkToFit="1"/>
    </xf>
    <xf numFmtId="4" fontId="12" fillId="0" borderId="28" xfId="0" applyNumberFormat="1" applyFont="1" applyBorder="1" applyAlignment="1">
      <alignment horizontal="right" vertical="top" shrinkToFit="1"/>
    </xf>
    <xf numFmtId="0" fontId="0" fillId="0" borderId="30" xfId="0" applyBorder="1"/>
    <xf numFmtId="0" fontId="0" fillId="0" borderId="31" xfId="0" applyBorder="1"/>
    <xf numFmtId="0" fontId="33" fillId="0" borderId="30" xfId="0" applyFont="1" applyBorder="1" applyAlignment="1">
      <alignment horizontal="left" vertical="top" wrapText="1"/>
    </xf>
    <xf numFmtId="0" fontId="34" fillId="0" borderId="6" xfId="0" applyFont="1" applyBorder="1" applyAlignment="1">
      <alignment horizontal="left" vertical="top" wrapText="1"/>
    </xf>
    <xf numFmtId="0" fontId="33" fillId="0" borderId="6" xfId="0" applyFont="1" applyBorder="1" applyAlignment="1">
      <alignment horizontal="right" wrapText="1"/>
    </xf>
    <xf numFmtId="0" fontId="34" fillId="0" borderId="6" xfId="0" applyFont="1" applyBorder="1" applyAlignment="1">
      <alignment horizontal="right" shrinkToFit="1"/>
    </xf>
    <xf numFmtId="4" fontId="34" fillId="0" borderId="6" xfId="0" applyNumberFormat="1" applyFont="1" applyBorder="1" applyAlignment="1">
      <alignment horizontal="right" shrinkToFit="1"/>
    </xf>
    <xf numFmtId="0" fontId="29" fillId="0" borderId="6" xfId="0" applyFont="1" applyBorder="1" applyAlignment="1">
      <alignment horizontal="left" shrinkToFit="1"/>
    </xf>
    <xf numFmtId="3" fontId="34" fillId="0" borderId="6" xfId="0" applyNumberFormat="1" applyFont="1" applyBorder="1" applyAlignment="1">
      <alignment horizontal="right" shrinkToFit="1"/>
    </xf>
    <xf numFmtId="0" fontId="27" fillId="0" borderId="6" xfId="0" applyFont="1" applyBorder="1" applyAlignment="1">
      <alignment horizontal="right" shrinkToFit="1"/>
    </xf>
    <xf numFmtId="3" fontId="34" fillId="0" borderId="31" xfId="0" applyNumberFormat="1" applyFont="1" applyBorder="1" applyAlignment="1">
      <alignment horizontal="right" shrinkToFit="1"/>
    </xf>
    <xf numFmtId="49" fontId="33" fillId="0" borderId="6" xfId="0" applyNumberFormat="1" applyFont="1" applyBorder="1" applyAlignment="1">
      <alignment horizontal="left" vertical="top" wrapText="1"/>
    </xf>
    <xf numFmtId="4" fontId="2" fillId="0" borderId="0" xfId="0" applyNumberFormat="1" applyFont="1"/>
    <xf numFmtId="0" fontId="28" fillId="0" borderId="10" xfId="0" applyFont="1" applyBorder="1" applyAlignment="1">
      <alignment horizontal="left" vertical="top"/>
    </xf>
    <xf numFmtId="0" fontId="32" fillId="0" borderId="0" xfId="0" applyFont="1"/>
    <xf numFmtId="0" fontId="28" fillId="0" borderId="6" xfId="0" applyFont="1" applyBorder="1" applyAlignment="1">
      <alignment horizontal="left" vertical="top"/>
    </xf>
    <xf numFmtId="0" fontId="33" fillId="0" borderId="26" xfId="0" applyFont="1" applyBorder="1" applyAlignment="1">
      <alignment horizontal="left" vertical="top" wrapText="1"/>
    </xf>
    <xf numFmtId="49" fontId="33" fillId="0" borderId="10" xfId="0" applyNumberFormat="1" applyFont="1" applyBorder="1" applyAlignment="1">
      <alignment horizontal="left" vertical="top" wrapText="1"/>
    </xf>
    <xf numFmtId="0" fontId="34" fillId="0" borderId="10" xfId="0" applyFont="1" applyBorder="1" applyAlignment="1">
      <alignment horizontal="left" vertical="top" wrapText="1"/>
    </xf>
    <xf numFmtId="0" fontId="33" fillId="0" borderId="10" xfId="0" applyFont="1" applyBorder="1" applyAlignment="1">
      <alignment horizontal="right" wrapText="1"/>
    </xf>
    <xf numFmtId="0" fontId="34" fillId="0" borderId="10" xfId="0" applyFont="1" applyBorder="1" applyAlignment="1">
      <alignment horizontal="right" shrinkToFit="1"/>
    </xf>
    <xf numFmtId="4" fontId="34" fillId="0" borderId="10" xfId="0" applyNumberFormat="1" applyFont="1" applyBorder="1" applyAlignment="1">
      <alignment horizontal="right" shrinkToFit="1"/>
    </xf>
    <xf numFmtId="3" fontId="34" fillId="0" borderId="10" xfId="0" applyNumberFormat="1" applyFont="1" applyBorder="1" applyAlignment="1">
      <alignment horizontal="right" shrinkToFit="1"/>
    </xf>
    <xf numFmtId="3" fontId="34" fillId="0" borderId="27" xfId="0" applyNumberFormat="1" applyFont="1" applyBorder="1" applyAlignment="1">
      <alignment horizontal="right" shrinkToFit="1"/>
    </xf>
    <xf numFmtId="0" fontId="18" fillId="0" borderId="28" xfId="0" applyFont="1" applyBorder="1" applyAlignment="1">
      <alignment vertical="top" shrinkToFit="1"/>
    </xf>
    <xf numFmtId="0" fontId="18" fillId="0" borderId="15" xfId="0" applyFont="1" applyBorder="1" applyAlignment="1">
      <alignment vertical="top" shrinkToFit="1"/>
    </xf>
    <xf numFmtId="0" fontId="35" fillId="0" borderId="32" xfId="0" applyFont="1" applyBorder="1" applyAlignment="1">
      <alignment vertical="top" shrinkToFit="1"/>
    </xf>
    <xf numFmtId="0" fontId="35" fillId="0" borderId="33" xfId="0" applyFont="1" applyBorder="1" applyAlignment="1">
      <alignment vertical="top" shrinkToFit="1"/>
    </xf>
    <xf numFmtId="0" fontId="12" fillId="0" borderId="30" xfId="0" applyFont="1" applyBorder="1" applyAlignment="1">
      <alignment horizontal="left" vertical="top" wrapText="1"/>
    </xf>
    <xf numFmtId="0" fontId="22" fillId="0" borderId="6" xfId="0" applyFont="1" applyBorder="1" applyAlignment="1">
      <alignment horizontal="left" vertical="top" wrapText="1"/>
    </xf>
    <xf numFmtId="0" fontId="12" fillId="0" borderId="6" xfId="0" applyFont="1" applyBorder="1" applyAlignment="1">
      <alignment horizontal="right" wrapText="1"/>
    </xf>
    <xf numFmtId="0" fontId="22" fillId="0" borderId="6" xfId="0" applyFont="1" applyBorder="1" applyAlignment="1">
      <alignment horizontal="right" shrinkToFit="1"/>
    </xf>
    <xf numFmtId="4" fontId="22" fillId="0" borderId="6" xfId="0" applyNumberFormat="1" applyFont="1" applyBorder="1" applyAlignment="1">
      <alignment horizontal="right" shrinkToFit="1"/>
    </xf>
    <xf numFmtId="3" fontId="24" fillId="0" borderId="6" xfId="0" applyNumberFormat="1" applyFont="1" applyBorder="1" applyAlignment="1">
      <alignment horizontal="right" shrinkToFit="1"/>
    </xf>
    <xf numFmtId="3" fontId="24" fillId="0" borderId="31" xfId="0" applyNumberFormat="1" applyFont="1" applyBorder="1" applyAlignment="1">
      <alignment horizontal="right" shrinkToFit="1"/>
    </xf>
    <xf numFmtId="49" fontId="12" fillId="0" borderId="6" xfId="0" applyNumberFormat="1" applyFont="1" applyBorder="1" applyAlignment="1">
      <alignment horizontal="left" vertical="top" wrapText="1"/>
    </xf>
    <xf numFmtId="49" fontId="26" fillId="0" borderId="6" xfId="0" applyNumberFormat="1" applyFont="1" applyBorder="1" applyAlignment="1">
      <alignment horizontal="left" vertical="top" wrapText="1" shrinkToFit="1"/>
    </xf>
    <xf numFmtId="0" fontId="37" fillId="0" borderId="32" xfId="0" applyFont="1" applyBorder="1" applyAlignment="1">
      <alignment horizontal="left" vertical="top" wrapText="1"/>
    </xf>
    <xf numFmtId="49" fontId="37" fillId="0" borderId="33" xfId="0" applyNumberFormat="1" applyFont="1" applyBorder="1" applyAlignment="1">
      <alignment horizontal="left" vertical="top" wrapText="1"/>
    </xf>
    <xf numFmtId="0" fontId="38" fillId="0" borderId="33" xfId="0" applyFont="1" applyBorder="1" applyAlignment="1">
      <alignment horizontal="left" vertical="top" wrapText="1"/>
    </xf>
    <xf numFmtId="0" fontId="37" fillId="0" borderId="33" xfId="0" applyFont="1" applyBorder="1" applyAlignment="1">
      <alignment horizontal="right" wrapText="1"/>
    </xf>
    <xf numFmtId="0" fontId="38" fillId="0" borderId="33" xfId="0" applyFont="1" applyBorder="1" applyAlignment="1">
      <alignment horizontal="right" shrinkToFit="1"/>
    </xf>
    <xf numFmtId="4" fontId="38" fillId="0" borderId="33" xfId="0" applyNumberFormat="1" applyFont="1" applyBorder="1" applyAlignment="1">
      <alignment horizontal="right" shrinkToFit="1"/>
    </xf>
    <xf numFmtId="0" fontId="29" fillId="0" borderId="33" xfId="0" applyFont="1" applyBorder="1" applyAlignment="1">
      <alignment horizontal="left" shrinkToFit="1"/>
    </xf>
    <xf numFmtId="3" fontId="38" fillId="0" borderId="33" xfId="0" applyNumberFormat="1" applyFont="1" applyBorder="1" applyAlignment="1">
      <alignment horizontal="right" shrinkToFit="1"/>
    </xf>
    <xf numFmtId="0" fontId="27" fillId="0" borderId="33" xfId="0" applyFont="1" applyBorder="1" applyAlignment="1">
      <alignment horizontal="right" shrinkToFit="1"/>
    </xf>
    <xf numFmtId="3" fontId="38" fillId="0" borderId="39" xfId="0" applyNumberFormat="1" applyFont="1" applyBorder="1" applyAlignment="1">
      <alignment horizontal="right" shrinkToFit="1"/>
    </xf>
    <xf numFmtId="0" fontId="0" fillId="0" borderId="19" xfId="0" applyBorder="1" applyAlignment="1">
      <alignment shrinkToFit="1"/>
    </xf>
    <xf numFmtId="0" fontId="18" fillId="0" borderId="19" xfId="0" applyFont="1" applyBorder="1" applyAlignment="1">
      <alignment shrinkToFit="1"/>
    </xf>
    <xf numFmtId="3" fontId="18" fillId="0" borderId="19" xfId="0" applyNumberFormat="1" applyFont="1" applyBorder="1" applyAlignment="1">
      <alignment shrinkToFit="1"/>
    </xf>
    <xf numFmtId="0" fontId="36" fillId="0" borderId="0" xfId="0" applyFont="1"/>
    <xf numFmtId="0" fontId="39" fillId="0" borderId="0" xfId="0" applyFont="1"/>
    <xf numFmtId="3" fontId="11" fillId="0" borderId="0" xfId="0" applyNumberFormat="1" applyFont="1" applyAlignment="1">
      <alignment shrinkToFit="1"/>
    </xf>
    <xf numFmtId="0" fontId="39" fillId="0" borderId="0" xfId="0" applyFont="1" applyAlignment="1">
      <alignment horizontal="left" indent="1"/>
    </xf>
    <xf numFmtId="0" fontId="40" fillId="0" borderId="0" xfId="0" applyFont="1"/>
    <xf numFmtId="0" fontId="40" fillId="0" borderId="0" xfId="0" applyFont="1" applyAlignment="1">
      <alignment horizontal="left" indent="2"/>
    </xf>
    <xf numFmtId="3" fontId="40" fillId="0" borderId="0" xfId="0" applyNumberFormat="1" applyFont="1" applyAlignment="1">
      <alignment shrinkToFit="1"/>
    </xf>
    <xf numFmtId="0" fontId="39" fillId="0" borderId="0" xfId="0" applyFont="1" applyAlignment="1">
      <alignment horizontal="left" indent="3"/>
    </xf>
    <xf numFmtId="0" fontId="40" fillId="0" borderId="0" xfId="0" applyFont="1" applyAlignment="1">
      <alignment horizontal="left" indent="4"/>
    </xf>
    <xf numFmtId="0" fontId="41" fillId="0" borderId="0" xfId="0" applyFont="1"/>
    <xf numFmtId="0" fontId="41" fillId="0" borderId="0" xfId="0" applyFont="1" applyAlignment="1">
      <alignment horizontal="left" indent="2"/>
    </xf>
    <xf numFmtId="3" fontId="41" fillId="0" borderId="0" xfId="0" applyNumberFormat="1" applyFont="1" applyAlignment="1">
      <alignment shrinkToFit="1"/>
    </xf>
    <xf numFmtId="0" fontId="41" fillId="0" borderId="0" xfId="0" applyFont="1" applyAlignment="1">
      <alignment horizontal="left" indent="4"/>
    </xf>
    <xf numFmtId="0" fontId="32" fillId="0" borderId="0" xfId="0" applyFont="1" applyAlignment="1">
      <alignment horizontal="left" indent="2"/>
    </xf>
    <xf numFmtId="3" fontId="32" fillId="0" borderId="0" xfId="0" applyNumberFormat="1" applyFont="1" applyAlignment="1">
      <alignment shrinkToFit="1"/>
    </xf>
    <xf numFmtId="0" fontId="32" fillId="0" borderId="0" xfId="0" applyFont="1" applyAlignment="1">
      <alignment horizontal="left" indent="3"/>
    </xf>
    <xf numFmtId="0" fontId="32" fillId="0" borderId="0" xfId="0" applyFont="1" applyAlignment="1">
      <alignment horizontal="left" indent="4"/>
    </xf>
    <xf numFmtId="0" fontId="32" fillId="0" borderId="0" xfId="0" applyFont="1" applyAlignment="1">
      <alignment horizontal="left" indent="6"/>
    </xf>
    <xf numFmtId="0" fontId="36" fillId="0" borderId="0" xfId="0" applyFont="1" applyAlignment="1">
      <alignment horizontal="left" indent="2"/>
    </xf>
    <xf numFmtId="3" fontId="36" fillId="0" borderId="0" xfId="0" applyNumberFormat="1" applyFont="1" applyAlignment="1">
      <alignment shrinkToFit="1"/>
    </xf>
    <xf numFmtId="0" fontId="42" fillId="0" borderId="0" xfId="0" applyFont="1"/>
    <xf numFmtId="3" fontId="42" fillId="0" borderId="0" xfId="0" applyNumberFormat="1" applyFont="1" applyAlignment="1">
      <alignment shrinkToFit="1"/>
    </xf>
    <xf numFmtId="0" fontId="43" fillId="0" borderId="0" xfId="0" applyFont="1"/>
    <xf numFmtId="3" fontId="43" fillId="0" borderId="0" xfId="0" applyNumberFormat="1" applyFont="1" applyAlignment="1">
      <alignment shrinkToFit="1"/>
    </xf>
    <xf numFmtId="0" fontId="44" fillId="0" borderId="0" xfId="0" applyFont="1" applyAlignment="1">
      <alignment horizontal="left" indent="1"/>
    </xf>
    <xf numFmtId="0" fontId="44" fillId="0" borderId="0" xfId="0" applyFont="1"/>
    <xf numFmtId="0" fontId="43" fillId="0" borderId="0" xfId="0" applyFont="1" applyAlignment="1">
      <alignment horizontal="left" indent="2"/>
    </xf>
    <xf numFmtId="0" fontId="43" fillId="0" borderId="0" xfId="0" applyFont="1" applyAlignment="1">
      <alignment horizontal="left" indent="4"/>
    </xf>
    <xf numFmtId="0" fontId="11" fillId="0" borderId="0" xfId="0" applyFont="1" applyAlignment="1">
      <alignment horizontal="left" indent="2"/>
    </xf>
    <xf numFmtId="3" fontId="18" fillId="0" borderId="0" xfId="0" applyNumberFormat="1" applyFont="1" applyAlignment="1">
      <alignment shrinkToFit="1"/>
    </xf>
    <xf numFmtId="0" fontId="11" fillId="0" borderId="0" xfId="0" applyFont="1" applyAlignment="1">
      <alignment horizontal="left" indent="1"/>
    </xf>
    <xf numFmtId="4" fontId="11" fillId="0" borderId="0" xfId="0" applyNumberFormat="1" applyFont="1" applyAlignment="1">
      <alignment shrinkToFit="1"/>
    </xf>
    <xf numFmtId="0" fontId="28" fillId="0" borderId="10" xfId="0" applyFont="1" applyBorder="1" applyAlignment="1">
      <alignment horizontal="left" vertical="top" shrinkToFit="1"/>
    </xf>
    <xf numFmtId="0" fontId="12" fillId="0" borderId="16" xfId="0" applyFont="1" applyBorder="1" applyAlignment="1">
      <alignment horizontal="left" vertical="top" wrapText="1"/>
    </xf>
    <xf numFmtId="0" fontId="12" fillId="0" borderId="40" xfId="0" applyFont="1" applyBorder="1" applyAlignment="1">
      <alignment horizontal="left" vertical="top" wrapText="1"/>
    </xf>
    <xf numFmtId="0" fontId="12" fillId="0" borderId="40" xfId="0" applyFont="1" applyBorder="1" applyAlignment="1">
      <alignment horizontal="right" wrapText="1"/>
    </xf>
    <xf numFmtId="0" fontId="22" fillId="0" borderId="40" xfId="0" applyFont="1" applyBorder="1" applyAlignment="1">
      <alignment horizontal="right" shrinkToFit="1"/>
    </xf>
    <xf numFmtId="4" fontId="22" fillId="0" borderId="40" xfId="0" applyNumberFormat="1" applyFont="1" applyBorder="1" applyAlignment="1">
      <alignment horizontal="right" shrinkToFit="1"/>
    </xf>
    <xf numFmtId="0" fontId="29" fillId="0" borderId="40" xfId="0" applyFont="1" applyBorder="1" applyAlignment="1">
      <alignment horizontal="left" shrinkToFit="1"/>
    </xf>
    <xf numFmtId="4" fontId="12" fillId="0" borderId="40" xfId="0" applyNumberFormat="1" applyFont="1" applyBorder="1" applyAlignment="1">
      <alignment horizontal="right" vertical="top" shrinkToFit="1"/>
    </xf>
    <xf numFmtId="0" fontId="27" fillId="0" borderId="40" xfId="0" applyFont="1" applyBorder="1" applyAlignment="1">
      <alignment horizontal="right" shrinkToFit="1"/>
    </xf>
    <xf numFmtId="3" fontId="22" fillId="0" borderId="41" xfId="0" applyNumberFormat="1" applyFont="1" applyBorder="1" applyAlignment="1">
      <alignment horizontal="right" shrinkToFit="1"/>
    </xf>
    <xf numFmtId="0" fontId="11" fillId="0" borderId="0" xfId="0" applyFont="1" applyAlignment="1">
      <alignment horizontal="left"/>
    </xf>
    <xf numFmtId="4" fontId="18" fillId="0" borderId="0" xfId="0" applyNumberFormat="1" applyFont="1" applyAlignment="1">
      <alignment shrinkToFit="1"/>
    </xf>
    <xf numFmtId="0" fontId="12" fillId="0" borderId="0" xfId="0" applyFont="1" applyAlignment="1">
      <alignment horizontal="left"/>
    </xf>
    <xf numFmtId="0" fontId="12" fillId="0" borderId="9" xfId="0" applyFont="1" applyBorder="1" applyAlignment="1">
      <alignment horizontal="left"/>
    </xf>
    <xf numFmtId="0" fontId="12" fillId="0" borderId="0" xfId="0" applyFont="1" applyAlignment="1">
      <alignment wrapText="1"/>
    </xf>
    <xf numFmtId="0" fontId="45" fillId="0" borderId="0" xfId="0" applyFont="1" applyAlignment="1">
      <alignment horizontal="left"/>
    </xf>
    <xf numFmtId="0" fontId="45" fillId="0" borderId="0" xfId="0" applyFont="1"/>
    <xf numFmtId="4" fontId="17" fillId="0" borderId="0" xfId="0" applyNumberFormat="1" applyFont="1"/>
    <xf numFmtId="0" fontId="12" fillId="0" borderId="9" xfId="0" applyFont="1" applyBorder="1" applyAlignment="1">
      <alignment horizontal="left" wrapText="1"/>
    </xf>
    <xf numFmtId="0" fontId="21" fillId="0" borderId="0" xfId="0" applyFont="1" applyAlignment="1">
      <alignment wrapText="1"/>
    </xf>
    <xf numFmtId="0" fontId="22" fillId="0" borderId="2" xfId="0" applyFont="1" applyBorder="1" applyAlignment="1">
      <alignment horizontal="center"/>
    </xf>
    <xf numFmtId="0" fontId="22" fillId="0" borderId="10" xfId="0" applyFont="1" applyBorder="1" applyAlignment="1">
      <alignment horizontal="center"/>
    </xf>
    <xf numFmtId="0" fontId="22" fillId="0" borderId="1" xfId="0" applyFont="1" applyBorder="1" applyAlignment="1">
      <alignment horizontal="center"/>
    </xf>
    <xf numFmtId="0" fontId="22" fillId="0" borderId="28" xfId="0" applyFont="1" applyBorder="1" applyAlignment="1">
      <alignment horizontal="center"/>
    </xf>
    <xf numFmtId="0" fontId="47" fillId="0" borderId="0" xfId="0" applyFont="1"/>
    <xf numFmtId="0" fontId="18" fillId="0" borderId="0" xfId="0" applyFont="1" applyAlignment="1">
      <alignment horizontal="left" vertical="top"/>
    </xf>
    <xf numFmtId="4" fontId="18" fillId="0" borderId="0" xfId="0" applyNumberFormat="1" applyFont="1" applyAlignment="1">
      <alignment horizontal="right" vertical="top" shrinkToFit="1"/>
    </xf>
    <xf numFmtId="0" fontId="0" fillId="0" borderId="6" xfId="0" applyFill="1" applyBorder="1"/>
    <xf numFmtId="0" fontId="18" fillId="0" borderId="6" xfId="0" applyFont="1" applyFill="1" applyBorder="1" applyAlignment="1">
      <alignment horizontal="left" vertical="top"/>
    </xf>
    <xf numFmtId="4" fontId="18" fillId="0" borderId="6" xfId="0" applyNumberFormat="1" applyFont="1" applyFill="1" applyBorder="1" applyAlignment="1">
      <alignment horizontal="right" vertical="top" shrinkToFit="1"/>
    </xf>
    <xf numFmtId="0" fontId="18" fillId="0" borderId="6" xfId="0" applyFont="1" applyFill="1" applyBorder="1"/>
    <xf numFmtId="0" fontId="22" fillId="0" borderId="6" xfId="0" applyFont="1" applyFill="1" applyBorder="1" applyAlignment="1">
      <alignment horizontal="center" vertical="top" shrinkToFit="1"/>
    </xf>
    <xf numFmtId="0" fontId="22" fillId="0" borderId="6" xfId="0" applyFont="1" applyFill="1" applyBorder="1" applyAlignment="1">
      <alignment horizontal="left" vertical="top" wrapText="1"/>
    </xf>
    <xf numFmtId="0" fontId="22" fillId="0" borderId="6" xfId="0" applyFont="1" applyFill="1" applyBorder="1" applyAlignment="1">
      <alignment horizontal="right" shrinkToFit="1"/>
    </xf>
    <xf numFmtId="4" fontId="22" fillId="0" borderId="6" xfId="0" applyNumberFormat="1" applyFont="1" applyFill="1" applyBorder="1" applyAlignment="1">
      <alignment horizontal="right" shrinkToFit="1"/>
    </xf>
    <xf numFmtId="0" fontId="34" fillId="0" borderId="6" xfId="0" applyFont="1" applyFill="1" applyBorder="1" applyAlignment="1">
      <alignment horizontal="left" vertical="top" wrapText="1"/>
    </xf>
    <xf numFmtId="0" fontId="48" fillId="0" borderId="0" xfId="0" applyFont="1" applyAlignment="1">
      <alignment horizontal="left"/>
    </xf>
    <xf numFmtId="0" fontId="48" fillId="0" borderId="0" xfId="0" applyFont="1"/>
    <xf numFmtId="0" fontId="31" fillId="0" borderId="6" xfId="0" applyFont="1" applyFill="1" applyBorder="1" applyAlignment="1">
      <alignment horizontal="left" vertical="top" wrapText="1"/>
    </xf>
    <xf numFmtId="0" fontId="0" fillId="0" borderId="10" xfId="0" applyFill="1" applyBorder="1"/>
    <xf numFmtId="0" fontId="18" fillId="0" borderId="10" xfId="0" applyFont="1" applyFill="1" applyBorder="1" applyAlignment="1">
      <alignment horizontal="left" vertical="top"/>
    </xf>
    <xf numFmtId="4" fontId="18" fillId="0" borderId="10" xfId="0" applyNumberFormat="1" applyFont="1" applyFill="1" applyBorder="1" applyAlignment="1">
      <alignment horizontal="right" vertical="top" shrinkToFit="1"/>
    </xf>
    <xf numFmtId="0" fontId="0" fillId="0" borderId="8" xfId="0" applyBorder="1"/>
    <xf numFmtId="0" fontId="49" fillId="0" borderId="6" xfId="0" applyFont="1" applyFill="1" applyBorder="1" applyAlignment="1">
      <alignment horizontal="left" vertical="top" wrapText="1"/>
    </xf>
    <xf numFmtId="0" fontId="18" fillId="0" borderId="0" xfId="0" applyFont="1" applyAlignment="1">
      <alignment horizontal="left" vertical="top" indent="1"/>
    </xf>
    <xf numFmtId="0" fontId="51" fillId="0" borderId="0" xfId="0" applyFont="1" applyAlignment="1">
      <alignment wrapText="1"/>
    </xf>
    <xf numFmtId="0" fontId="2" fillId="0" borderId="0" xfId="0" applyNumberFormat="1" applyFont="1"/>
    <xf numFmtId="0" fontId="52" fillId="0" borderId="6" xfId="0" applyFont="1" applyFill="1" applyBorder="1" applyAlignment="1">
      <alignment horizontal="center" vertical="top" shrinkToFit="1"/>
    </xf>
    <xf numFmtId="0" fontId="52" fillId="0" borderId="6" xfId="0" applyFont="1" applyFill="1" applyBorder="1" applyAlignment="1">
      <alignment horizontal="left" vertical="top" wrapText="1"/>
    </xf>
    <xf numFmtId="0" fontId="52" fillId="0" borderId="6" xfId="0" applyFont="1" applyFill="1" applyBorder="1" applyAlignment="1">
      <alignment horizontal="right" shrinkToFit="1"/>
    </xf>
    <xf numFmtId="0" fontId="52" fillId="0" borderId="6" xfId="0" applyFont="1" applyFill="1" applyBorder="1"/>
    <xf numFmtId="0" fontId="34" fillId="0" borderId="6" xfId="0" applyFont="1" applyFill="1" applyBorder="1" applyAlignment="1">
      <alignment horizontal="center" vertical="top" shrinkToFit="1"/>
    </xf>
    <xf numFmtId="0" fontId="34" fillId="0" borderId="6" xfId="0" applyFont="1" applyFill="1" applyBorder="1" applyAlignment="1">
      <alignment horizontal="left" vertical="top" wrapText="1" indent="1"/>
    </xf>
    <xf numFmtId="0" fontId="34" fillId="0" borderId="6" xfId="0" applyFont="1" applyFill="1" applyBorder="1" applyAlignment="1">
      <alignment horizontal="right" shrinkToFit="1"/>
    </xf>
    <xf numFmtId="0" fontId="31" fillId="0" borderId="6" xfId="0" applyFont="1" applyFill="1" applyBorder="1" applyAlignment="1">
      <alignment horizontal="right" shrinkToFit="1"/>
    </xf>
    <xf numFmtId="0" fontId="34" fillId="0" borderId="6" xfId="0" applyFont="1" applyFill="1" applyBorder="1"/>
    <xf numFmtId="0" fontId="18" fillId="0" borderId="19" xfId="0" applyFont="1" applyBorder="1"/>
    <xf numFmtId="0" fontId="53" fillId="0" borderId="0" xfId="1" applyFont="1" applyProtection="1"/>
    <xf numFmtId="0" fontId="54" fillId="0" borderId="0" xfId="1" applyFont="1" applyProtection="1"/>
    <xf numFmtId="0" fontId="55" fillId="0" borderId="0" xfId="1" applyFont="1" applyProtection="1"/>
    <xf numFmtId="0" fontId="56" fillId="0" borderId="0" xfId="1" applyFont="1" applyProtection="1"/>
    <xf numFmtId="0" fontId="53" fillId="0" borderId="0" xfId="1" applyFont="1" applyAlignment="1" applyProtection="1">
      <alignment horizontal="right"/>
    </xf>
    <xf numFmtId="0" fontId="56" fillId="0" borderId="0" xfId="1" applyFont="1" applyAlignment="1" applyProtection="1">
      <alignment vertical="top"/>
    </xf>
    <xf numFmtId="0" fontId="53" fillId="0" borderId="0" xfId="1" applyFont="1" applyAlignment="1" applyProtection="1">
      <alignment horizontal="right" vertical="top"/>
    </xf>
    <xf numFmtId="0" fontId="53" fillId="0" borderId="0" xfId="1" applyFont="1" applyAlignment="1" applyProtection="1">
      <alignment vertical="top"/>
    </xf>
    <xf numFmtId="49" fontId="53" fillId="0" borderId="0" xfId="1" applyNumberFormat="1" applyFont="1" applyAlignment="1" applyProtection="1">
      <alignment horizontal="right" vertical="top"/>
    </xf>
    <xf numFmtId="0" fontId="57" fillId="0" borderId="0" xfId="1" applyFont="1" applyAlignment="1" applyProtection="1">
      <alignment vertical="top"/>
    </xf>
    <xf numFmtId="49" fontId="58" fillId="0" borderId="0" xfId="1" applyNumberFormat="1" applyFont="1" applyAlignment="1" applyProtection="1">
      <alignment horizontal="right" vertical="top"/>
    </xf>
    <xf numFmtId="0" fontId="56" fillId="0" borderId="0" xfId="1" applyFont="1" applyBorder="1" applyProtection="1"/>
    <xf numFmtId="0" fontId="31" fillId="0" borderId="0" xfId="0" applyFont="1" applyFill="1" applyBorder="1" applyAlignment="1">
      <alignment horizontal="left" vertical="top" wrapText="1"/>
    </xf>
    <xf numFmtId="0" fontId="60" fillId="0" borderId="0" xfId="0" applyFont="1" applyProtection="1"/>
    <xf numFmtId="0" fontId="60" fillId="0" borderId="0" xfId="0" applyFont="1" applyAlignment="1" applyProtection="1">
      <alignment horizontal="center"/>
    </xf>
    <xf numFmtId="0" fontId="60" fillId="0" borderId="0" xfId="1" applyFont="1" applyProtection="1"/>
    <xf numFmtId="0" fontId="60" fillId="0" borderId="9" xfId="0" applyFont="1" applyBorder="1" applyAlignment="1" applyProtection="1">
      <alignment horizontal="center"/>
    </xf>
    <xf numFmtId="2" fontId="60" fillId="0" borderId="9" xfId="0" applyNumberFormat="1" applyFont="1" applyBorder="1" applyProtection="1"/>
    <xf numFmtId="2" fontId="61" fillId="0" borderId="0" xfId="0" applyNumberFormat="1" applyFont="1" applyAlignment="1" applyProtection="1">
      <alignment horizontal="right"/>
    </xf>
    <xf numFmtId="0" fontId="60" fillId="0" borderId="0" xfId="0" applyFont="1" applyBorder="1" applyAlignment="1" applyProtection="1">
      <alignment horizontal="center"/>
    </xf>
    <xf numFmtId="2" fontId="60" fillId="0" borderId="0" xfId="0" applyNumberFormat="1" applyFont="1" applyBorder="1" applyProtection="1"/>
    <xf numFmtId="0" fontId="60" fillId="0" borderId="0" xfId="1" applyFont="1" applyAlignment="1" applyProtection="1">
      <alignment horizontal="center"/>
    </xf>
    <xf numFmtId="0" fontId="60" fillId="0" borderId="0" xfId="1" applyFont="1" applyBorder="1" applyAlignment="1" applyProtection="1">
      <alignment horizontal="center"/>
    </xf>
    <xf numFmtId="2" fontId="60" fillId="0" borderId="0" xfId="1" applyNumberFormat="1" applyFont="1" applyBorder="1" applyProtection="1"/>
    <xf numFmtId="2" fontId="61" fillId="0" borderId="0" xfId="1" applyNumberFormat="1" applyFont="1" applyBorder="1" applyAlignment="1" applyProtection="1">
      <alignment horizontal="right"/>
    </xf>
    <xf numFmtId="0" fontId="61" fillId="0" borderId="0" xfId="1" applyFont="1" applyProtection="1"/>
    <xf numFmtId="0" fontId="61" fillId="0" borderId="0" xfId="1" applyFont="1" applyAlignment="1" applyProtection="1">
      <alignment horizontal="center"/>
    </xf>
    <xf numFmtId="0" fontId="61" fillId="0" borderId="0" xfId="1" applyFont="1" applyAlignment="1" applyProtection="1"/>
    <xf numFmtId="0" fontId="62" fillId="0" borderId="0" xfId="1" applyFont="1" applyAlignment="1" applyProtection="1"/>
    <xf numFmtId="2" fontId="61" fillId="0" borderId="0" xfId="1" applyNumberFormat="1" applyFont="1" applyProtection="1"/>
    <xf numFmtId="2" fontId="61" fillId="0" borderId="0" xfId="1" applyNumberFormat="1" applyFont="1" applyBorder="1" applyProtection="1"/>
    <xf numFmtId="0" fontId="63" fillId="0" borderId="0" xfId="1" applyFont="1" applyAlignment="1" applyProtection="1">
      <alignment vertical="center" wrapText="1"/>
    </xf>
    <xf numFmtId="0" fontId="63" fillId="0" borderId="0" xfId="1" applyFont="1" applyBorder="1" applyAlignment="1" applyProtection="1">
      <alignment horizontal="center" vertical="center" wrapText="1"/>
    </xf>
    <xf numFmtId="0" fontId="64" fillId="0" borderId="0" xfId="1" applyFont="1" applyAlignment="1" applyProtection="1">
      <alignment vertical="center" wrapText="1"/>
    </xf>
    <xf numFmtId="0" fontId="65" fillId="0" borderId="0" xfId="1" applyFont="1" applyProtection="1"/>
    <xf numFmtId="0" fontId="62" fillId="0" borderId="0" xfId="1" applyFont="1" applyBorder="1" applyAlignment="1" applyProtection="1">
      <alignment horizontal="left" vertical="center" wrapText="1"/>
      <protection locked="0"/>
    </xf>
    <xf numFmtId="2" fontId="62" fillId="0" borderId="0" xfId="1" applyNumberFormat="1" applyFont="1" applyBorder="1" applyAlignment="1" applyProtection="1">
      <alignment horizontal="left" vertical="center" wrapText="1"/>
      <protection locked="0"/>
    </xf>
    <xf numFmtId="2" fontId="67" fillId="0" borderId="0" xfId="1" applyNumberFormat="1" applyFont="1" applyAlignment="1" applyProtection="1">
      <alignment horizontal="center"/>
      <protection locked="0"/>
    </xf>
    <xf numFmtId="2" fontId="66" fillId="0" borderId="0" xfId="1" applyNumberFormat="1" applyFont="1" applyProtection="1">
      <protection locked="0"/>
    </xf>
    <xf numFmtId="0" fontId="68" fillId="0" borderId="0" xfId="1" applyFont="1" applyProtection="1"/>
    <xf numFmtId="0" fontId="66" fillId="0" borderId="0" xfId="1" applyFont="1" applyBorder="1" applyAlignment="1" applyProtection="1">
      <alignment horizontal="left"/>
      <protection locked="0"/>
    </xf>
    <xf numFmtId="0" fontId="69" fillId="0" borderId="0" xfId="1" applyFont="1" applyBorder="1" applyAlignment="1" applyProtection="1">
      <alignment horizontal="left"/>
      <protection locked="0"/>
    </xf>
    <xf numFmtId="2" fontId="70" fillId="0" borderId="0" xfId="1" applyNumberFormat="1" applyFont="1" applyAlignment="1" applyProtection="1">
      <alignment horizontal="center"/>
      <protection locked="0"/>
    </xf>
    <xf numFmtId="2" fontId="69" fillId="0" borderId="0" xfId="1" applyNumberFormat="1" applyFont="1" applyProtection="1">
      <protection locked="0"/>
    </xf>
    <xf numFmtId="0" fontId="66" fillId="0" borderId="0" xfId="0" applyFont="1" applyBorder="1" applyAlignment="1" applyProtection="1">
      <alignment horizontal="left"/>
      <protection locked="0"/>
    </xf>
    <xf numFmtId="0" fontId="67" fillId="0" borderId="0" xfId="1" applyFont="1" applyAlignment="1" applyProtection="1">
      <alignment horizontal="center"/>
      <protection locked="0"/>
    </xf>
    <xf numFmtId="2" fontId="67" fillId="0" borderId="0" xfId="1" applyNumberFormat="1" applyFont="1" applyProtection="1">
      <protection locked="0"/>
    </xf>
    <xf numFmtId="0" fontId="71" fillId="0" borderId="0" xfId="1" applyFont="1" applyProtection="1"/>
    <xf numFmtId="0" fontId="67" fillId="0" borderId="0" xfId="0" applyNumberFormat="1" applyFont="1" applyFill="1" applyBorder="1" applyAlignment="1" applyProtection="1">
      <alignment vertical="top" wrapText="1"/>
    </xf>
    <xf numFmtId="0" fontId="66" fillId="0" borderId="0" xfId="2" applyFont="1" applyBorder="1" applyAlignment="1" applyProtection="1">
      <alignment wrapText="1"/>
      <protection locked="0"/>
    </xf>
    <xf numFmtId="0" fontId="67" fillId="0" borderId="0" xfId="1" applyFont="1" applyBorder="1" applyAlignment="1" applyProtection="1">
      <alignment horizontal="left"/>
      <protection locked="0"/>
    </xf>
    <xf numFmtId="0" fontId="71" fillId="0" borderId="0" xfId="1" applyFont="1" applyAlignment="1" applyProtection="1">
      <alignment vertical="top"/>
    </xf>
    <xf numFmtId="2" fontId="67" fillId="0" borderId="0" xfId="1" applyNumberFormat="1" applyFont="1" applyFill="1" applyBorder="1" applyAlignment="1" applyProtection="1">
      <alignment vertical="top"/>
    </xf>
    <xf numFmtId="2" fontId="67" fillId="0" borderId="0" xfId="1" applyNumberFormat="1" applyFont="1" applyAlignment="1" applyProtection="1">
      <alignment vertical="top"/>
    </xf>
    <xf numFmtId="0" fontId="67" fillId="0" borderId="0" xfId="1" applyNumberFormat="1" applyFont="1" applyFill="1" applyBorder="1" applyAlignment="1" applyProtection="1">
      <alignment vertical="top"/>
    </xf>
    <xf numFmtId="0" fontId="67" fillId="0" borderId="0" xfId="1" applyNumberFormat="1" applyFont="1" applyFill="1" applyBorder="1" applyAlignment="1" applyProtection="1">
      <alignment horizontal="left" vertical="top"/>
    </xf>
    <xf numFmtId="2" fontId="67" fillId="0" borderId="0" xfId="1" applyNumberFormat="1" applyFont="1" applyFill="1" applyBorder="1" applyAlignment="1" applyProtection="1">
      <alignment horizontal="left" vertical="top"/>
    </xf>
    <xf numFmtId="2" fontId="67" fillId="0" borderId="0" xfId="1" applyNumberFormat="1" applyFont="1" applyAlignment="1" applyProtection="1">
      <alignment horizontal="left" vertical="top"/>
    </xf>
    <xf numFmtId="0" fontId="71" fillId="0" borderId="0" xfId="1" applyFont="1" applyBorder="1" applyAlignment="1" applyProtection="1">
      <alignment horizontal="center"/>
    </xf>
    <xf numFmtId="2" fontId="71" fillId="0" borderId="0" xfId="1" applyNumberFormat="1" applyFont="1" applyBorder="1" applyProtection="1"/>
    <xf numFmtId="0" fontId="71" fillId="0" borderId="0" xfId="1" applyFont="1" applyBorder="1" applyProtection="1"/>
    <xf numFmtId="0" fontId="67" fillId="0" borderId="0" xfId="1" applyFont="1" applyBorder="1" applyAlignment="1" applyProtection="1">
      <alignment horizontal="center"/>
    </xf>
    <xf numFmtId="2" fontId="67" fillId="0" borderId="0" xfId="1" applyNumberFormat="1" applyFont="1" applyProtection="1"/>
    <xf numFmtId="2" fontId="71" fillId="0" borderId="0" xfId="1" applyNumberFormat="1" applyFont="1" applyProtection="1"/>
    <xf numFmtId="0" fontId="71" fillId="0" borderId="0" xfId="1" applyFont="1" applyAlignment="1" applyProtection="1">
      <alignment horizontal="center"/>
    </xf>
    <xf numFmtId="0" fontId="11" fillId="0" borderId="0" xfId="0" applyFont="1" applyAlignment="1">
      <alignment horizontal="center" wrapText="1"/>
    </xf>
    <xf numFmtId="0" fontId="13" fillId="0" borderId="0" xfId="0" applyFont="1"/>
    <xf numFmtId="0" fontId="50" fillId="0" borderId="2" xfId="0" applyFont="1" applyBorder="1" applyAlignment="1">
      <alignment horizontal="left" wrapText="1"/>
    </xf>
    <xf numFmtId="0" fontId="0" fillId="0" borderId="3" xfId="0" applyBorder="1" applyAlignment="1">
      <alignment horizontal="left" wrapText="1"/>
    </xf>
    <xf numFmtId="0" fontId="0" fillId="0" borderId="8" xfId="0" applyBorder="1" applyAlignment="1">
      <alignment horizontal="left" wrapText="1"/>
    </xf>
    <xf numFmtId="0" fontId="11" fillId="0" borderId="0" xfId="0" applyFont="1" applyBorder="1" applyAlignment="1">
      <alignment horizontal="left" vertical="top" wrapText="1"/>
    </xf>
    <xf numFmtId="0" fontId="0" fillId="0" borderId="0" xfId="0" applyBorder="1" applyAlignment="1">
      <alignment horizontal="left" vertical="top" wrapText="1"/>
    </xf>
    <xf numFmtId="0" fontId="11" fillId="0" borderId="3" xfId="0" applyFont="1" applyBorder="1" applyAlignment="1">
      <alignment horizontal="left" vertical="top" wrapText="1"/>
    </xf>
    <xf numFmtId="0" fontId="0" fillId="0" borderId="3" xfId="0" applyBorder="1" applyAlignment="1">
      <alignment horizontal="left" vertical="top" wrapText="1"/>
    </xf>
    <xf numFmtId="0" fontId="11" fillId="0" borderId="5" xfId="0" applyFont="1"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center" wrapText="1"/>
    </xf>
    <xf numFmtId="0" fontId="20" fillId="0" borderId="0" xfId="0" applyFont="1" applyAlignment="1">
      <alignment horizontal="center" wrapText="1"/>
    </xf>
    <xf numFmtId="0" fontId="18" fillId="0" borderId="0" xfId="0" applyFont="1" applyAlignment="1">
      <alignment horizontal="center" wrapText="1"/>
    </xf>
    <xf numFmtId="0" fontId="46" fillId="0" borderId="0" xfId="0" applyFont="1" applyAlignment="1">
      <alignment horizontal="left"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50" fillId="0" borderId="6" xfId="0" applyFont="1" applyFill="1" applyBorder="1" applyAlignment="1">
      <alignment horizontal="left" wrapText="1" indent="1"/>
    </xf>
    <xf numFmtId="0" fontId="0" fillId="0" borderId="6" xfId="0" applyFill="1" applyBorder="1" applyAlignment="1">
      <alignment horizontal="left" wrapText="1" indent="1"/>
    </xf>
    <xf numFmtId="0" fontId="12" fillId="0" borderId="9" xfId="0" applyFont="1" applyBorder="1" applyAlignment="1">
      <alignment horizontal="left" wrapText="1"/>
    </xf>
    <xf numFmtId="0" fontId="48" fillId="0" borderId="3" xfId="0" applyFont="1" applyBorder="1" applyAlignment="1">
      <alignment horizontal="center"/>
    </xf>
    <xf numFmtId="0" fontId="67" fillId="0" borderId="0" xfId="1" applyNumberFormat="1" applyFont="1" applyFill="1" applyBorder="1" applyAlignment="1" applyProtection="1">
      <alignment horizontal="justify" vertical="top"/>
    </xf>
    <xf numFmtId="0" fontId="67" fillId="0" borderId="0" xfId="1" applyNumberFormat="1" applyFont="1" applyFill="1" applyBorder="1" applyAlignment="1" applyProtection="1">
      <alignment horizontal="left" vertical="top"/>
    </xf>
    <xf numFmtId="0" fontId="67" fillId="0" borderId="0" xfId="1" applyNumberFormat="1" applyFont="1" applyFill="1" applyBorder="1" applyAlignment="1" applyProtection="1">
      <alignment horizontal="left" vertical="top" wrapText="1"/>
    </xf>
    <xf numFmtId="0" fontId="66" fillId="0" borderId="0" xfId="2" applyFont="1" applyBorder="1" applyAlignment="1" applyProtection="1">
      <alignment horizontal="left" wrapText="1"/>
      <protection locked="0"/>
    </xf>
    <xf numFmtId="0" fontId="66" fillId="0" borderId="0" xfId="1" applyFont="1" applyBorder="1" applyAlignment="1" applyProtection="1">
      <alignment horizontal="left" wrapText="1"/>
      <protection locked="0"/>
    </xf>
    <xf numFmtId="0" fontId="67" fillId="0" borderId="0" xfId="0" applyNumberFormat="1" applyFont="1" applyFill="1" applyBorder="1" applyAlignment="1" applyProtection="1">
      <alignment horizontal="left" vertical="top" wrapText="1"/>
    </xf>
    <xf numFmtId="0" fontId="66" fillId="0" borderId="0" xfId="0" applyFont="1" applyBorder="1" applyAlignment="1" applyProtection="1">
      <alignment horizontal="left" wrapText="1"/>
      <protection locked="0"/>
    </xf>
    <xf numFmtId="0" fontId="25" fillId="0" borderId="0" xfId="0" applyFont="1" applyAlignment="1">
      <alignment horizontal="right" vertical="top" wrapText="1"/>
    </xf>
    <xf numFmtId="0" fontId="25" fillId="0" borderId="0" xfId="0" applyFont="1" applyAlignment="1">
      <alignment horizontal="left" vertical="top" wrapText="1"/>
    </xf>
    <xf numFmtId="0" fontId="66" fillId="0" borderId="0" xfId="1" applyFont="1" applyBorder="1" applyAlignment="1" applyProtection="1">
      <alignment horizontal="left"/>
      <protection locked="0"/>
    </xf>
    <xf numFmtId="49" fontId="18" fillId="0" borderId="0" xfId="0" applyNumberFormat="1" applyFont="1" applyFill="1" applyBorder="1" applyAlignment="1">
      <alignment horizontal="left" vertical="top" wrapText="1"/>
    </xf>
    <xf numFmtId="0" fontId="18" fillId="0" borderId="0" xfId="0" applyFont="1" applyAlignment="1"/>
    <xf numFmtId="0" fontId="0" fillId="0" borderId="0" xfId="0" applyAlignment="1"/>
    <xf numFmtId="0" fontId="14" fillId="0" borderId="11" xfId="0" applyFont="1" applyBorder="1" applyAlignment="1">
      <alignment horizontal="center" vertical="top" wrapText="1"/>
    </xf>
    <xf numFmtId="0" fontId="14" fillId="0" borderId="14" xfId="0" applyFont="1" applyBorder="1" applyAlignment="1">
      <alignment horizontal="center" vertical="top" wrapText="1"/>
    </xf>
    <xf numFmtId="0" fontId="12" fillId="0" borderId="11" xfId="0" applyFont="1" applyBorder="1" applyAlignment="1">
      <alignment horizontal="center" vertical="top" wrapText="1"/>
    </xf>
    <xf numFmtId="0" fontId="12" fillId="0" borderId="14" xfId="0" applyFont="1" applyBorder="1" applyAlignment="1">
      <alignment horizontal="center" vertical="top" wrapText="1"/>
    </xf>
    <xf numFmtId="0" fontId="12" fillId="0" borderId="17" xfId="0" applyFont="1" applyBorder="1" applyAlignment="1">
      <alignment horizontal="center" vertical="top" wrapText="1"/>
    </xf>
    <xf numFmtId="0" fontId="12" fillId="0" borderId="18" xfId="0" applyFont="1" applyBorder="1" applyAlignment="1">
      <alignment horizontal="center" vertical="top" wrapText="1"/>
    </xf>
    <xf numFmtId="0" fontId="12" fillId="0" borderId="42" xfId="0" applyFont="1" applyBorder="1" applyAlignment="1">
      <alignment horizontal="center" vertical="top" wrapText="1"/>
    </xf>
    <xf numFmtId="0" fontId="61" fillId="0" borderId="0" xfId="0" applyFont="1" applyAlignment="1" applyProtection="1">
      <alignment horizontal="center"/>
    </xf>
    <xf numFmtId="2" fontId="61" fillId="0" borderId="0" xfId="0" applyNumberFormat="1" applyFont="1" applyAlignment="1" applyProtection="1">
      <alignment horizontal="right"/>
    </xf>
    <xf numFmtId="0" fontId="62" fillId="0" borderId="0" xfId="1" applyFont="1" applyAlignment="1" applyProtection="1">
      <alignment horizontal="center"/>
    </xf>
    <xf numFmtId="2" fontId="62" fillId="0" borderId="0" xfId="1" applyNumberFormat="1" applyFont="1" applyBorder="1" applyAlignment="1" applyProtection="1">
      <alignment horizontal="center"/>
    </xf>
    <xf numFmtId="0" fontId="24" fillId="0" borderId="0" xfId="1" applyFont="1" applyAlignment="1">
      <alignment horizontal="left" vertical="top" wrapText="1"/>
    </xf>
    <xf numFmtId="0" fontId="61" fillId="0" borderId="0" xfId="1" applyFont="1" applyAlignment="1" applyProtection="1">
      <alignment horizontal="left" wrapText="1"/>
    </xf>
    <xf numFmtId="0" fontId="64" fillId="0" borderId="0" xfId="1" applyFont="1" applyBorder="1" applyAlignment="1" applyProtection="1">
      <alignment horizontal="left" wrapText="1"/>
    </xf>
    <xf numFmtId="0" fontId="62" fillId="0" borderId="0" xfId="1" applyFont="1" applyBorder="1" applyAlignment="1" applyProtection="1">
      <alignment horizontal="left" vertical="center" wrapText="1"/>
      <protection locked="0"/>
    </xf>
    <xf numFmtId="0" fontId="15" fillId="0" borderId="0" xfId="0" applyFont="1" applyAlignment="1">
      <alignment horizontal="right"/>
    </xf>
    <xf numFmtId="0" fontId="12" fillId="0" borderId="2" xfId="0" applyFont="1" applyBorder="1" applyAlignment="1">
      <alignment horizontal="center"/>
    </xf>
    <xf numFmtId="0" fontId="12" fillId="0" borderId="8" xfId="0" applyFont="1" applyBorder="1" applyAlignment="1">
      <alignment horizontal="center"/>
    </xf>
    <xf numFmtId="49" fontId="14" fillId="0" borderId="2" xfId="0" applyNumberFormat="1" applyFont="1" applyBorder="1" applyAlignment="1">
      <alignment horizontal="center"/>
    </xf>
    <xf numFmtId="0" fontId="14" fillId="0" borderId="8" xfId="0" applyFont="1" applyBorder="1" applyAlignment="1">
      <alignment horizontal="center"/>
    </xf>
    <xf numFmtId="49" fontId="12" fillId="0" borderId="2" xfId="0" applyNumberFormat="1" applyFont="1" applyBorder="1" applyAlignment="1">
      <alignment horizontal="center"/>
    </xf>
    <xf numFmtId="49" fontId="0" fillId="0" borderId="8" xfId="0" applyNumberFormat="1" applyBorder="1" applyAlignment="1">
      <alignment horizontal="center"/>
    </xf>
    <xf numFmtId="0" fontId="18" fillId="0" borderId="3" xfId="0" applyFont="1" applyBorder="1" applyAlignment="1">
      <alignment horizontal="left" vertical="top" wrapText="1"/>
    </xf>
    <xf numFmtId="49" fontId="12" fillId="0" borderId="8" xfId="0" applyNumberFormat="1" applyFont="1" applyBorder="1" applyAlignment="1">
      <alignment horizontal="center"/>
    </xf>
    <xf numFmtId="49" fontId="18" fillId="0" borderId="5" xfId="0" applyNumberFormat="1" applyFont="1" applyBorder="1" applyAlignment="1">
      <alignment horizontal="left" vertical="top" wrapText="1"/>
    </xf>
    <xf numFmtId="0" fontId="18" fillId="0" borderId="5" xfId="0" applyFont="1" applyBorder="1" applyAlignment="1">
      <alignment horizontal="left" vertical="top" wrapText="1"/>
    </xf>
    <xf numFmtId="0" fontId="21" fillId="0" borderId="0" xfId="0" applyFont="1" applyAlignment="1">
      <alignment horizontal="center" wrapText="1"/>
    </xf>
    <xf numFmtId="0" fontId="18" fillId="0" borderId="0" xfId="0" applyFont="1" applyAlignment="1">
      <alignment horizontal="center" vertical="top" wrapText="1"/>
    </xf>
    <xf numFmtId="0" fontId="0" fillId="0" borderId="0" xfId="0" applyAlignment="1">
      <alignment horizontal="center" vertical="top" wrapText="1"/>
    </xf>
    <xf numFmtId="4" fontId="14" fillId="0" borderId="9" xfId="0" applyNumberFormat="1" applyFont="1" applyBorder="1" applyAlignment="1">
      <alignment horizontal="right" shrinkToFit="1"/>
    </xf>
    <xf numFmtId="0" fontId="22" fillId="0" borderId="0" xfId="0" applyFont="1" applyAlignment="1">
      <alignment horizontal="left" vertical="top" wrapText="1"/>
    </xf>
    <xf numFmtId="0" fontId="14" fillId="0" borderId="0" xfId="0" applyFont="1" applyAlignment="1">
      <alignment horizontal="right" vertical="top"/>
    </xf>
    <xf numFmtId="49" fontId="13" fillId="0" borderId="2" xfId="0" applyNumberFormat="1" applyFont="1" applyBorder="1" applyAlignment="1">
      <alignment horizontal="center" vertical="top" wrapText="1"/>
    </xf>
    <xf numFmtId="0" fontId="13" fillId="0" borderId="8" xfId="0" applyFont="1" applyBorder="1" applyAlignment="1">
      <alignment horizontal="center" vertical="top" wrapText="1"/>
    </xf>
    <xf numFmtId="14" fontId="13" fillId="0" borderId="2" xfId="0" applyNumberFormat="1" applyFont="1" applyBorder="1" applyAlignment="1">
      <alignment horizontal="center" vertical="top"/>
    </xf>
    <xf numFmtId="0" fontId="13" fillId="0" borderId="8" xfId="0" applyFont="1" applyBorder="1" applyAlignment="1">
      <alignment horizontal="center" vertical="top"/>
    </xf>
    <xf numFmtId="49" fontId="12" fillId="0" borderId="4" xfId="0" applyNumberFormat="1" applyFont="1" applyBorder="1" applyAlignment="1">
      <alignment horizontal="center"/>
    </xf>
    <xf numFmtId="49" fontId="12" fillId="0" borderId="7" xfId="0" applyNumberFormat="1" applyFont="1" applyBorder="1" applyAlignment="1">
      <alignment horizontal="center"/>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49" fontId="22" fillId="0" borderId="0" xfId="0" applyNumberFormat="1" applyFont="1" applyAlignment="1">
      <alignment horizontal="left" vertical="top" wrapText="1"/>
    </xf>
    <xf numFmtId="0" fontId="23" fillId="0" borderId="0" xfId="0" applyFont="1" applyAlignment="1">
      <alignment horizontal="center" wrapText="1"/>
    </xf>
    <xf numFmtId="3" fontId="35" fillId="0" borderId="34" xfId="0" applyNumberFormat="1" applyFont="1" applyBorder="1" applyAlignment="1">
      <alignment vertical="top" shrinkToFit="1"/>
    </xf>
    <xf numFmtId="3" fontId="35" fillId="0" borderId="35" xfId="0" applyNumberFormat="1" applyFont="1" applyBorder="1" applyAlignment="1">
      <alignment vertical="top" shrinkToFit="1"/>
    </xf>
    <xf numFmtId="3" fontId="35" fillId="0" borderId="36" xfId="0" applyNumberFormat="1" applyFont="1" applyBorder="1" applyAlignment="1">
      <alignment vertical="top" shrinkToFit="1"/>
    </xf>
    <xf numFmtId="3" fontId="18" fillId="0" borderId="21" xfId="0" applyNumberFormat="1" applyFont="1" applyBorder="1" applyAlignment="1">
      <alignment vertical="top" shrinkToFit="1"/>
    </xf>
    <xf numFmtId="3" fontId="18" fillId="0" borderId="20" xfId="0" applyNumberFormat="1" applyFont="1" applyBorder="1" applyAlignment="1">
      <alignment vertical="top" shrinkToFit="1"/>
    </xf>
    <xf numFmtId="3" fontId="18" fillId="0" borderId="22" xfId="0" applyNumberFormat="1" applyFont="1" applyBorder="1" applyAlignment="1">
      <alignment vertical="top" shrinkToFit="1"/>
    </xf>
    <xf numFmtId="0" fontId="0" fillId="0" borderId="1" xfId="0" applyBorder="1" applyAlignment="1"/>
    <xf numFmtId="0" fontId="0" fillId="0" borderId="37" xfId="0" applyBorder="1" applyAlignment="1"/>
    <xf numFmtId="0" fontId="0" fillId="0" borderId="38" xfId="0" applyBorder="1" applyAlignment="1"/>
    <xf numFmtId="0" fontId="45" fillId="0" borderId="3" xfId="0" applyFont="1" applyBorder="1" applyAlignment="1">
      <alignment horizontal="center"/>
    </xf>
  </cellXfs>
  <cellStyles count="3">
    <cellStyle name="Обычный" xfId="0" builtinId="0"/>
    <cellStyle name="Обычный 2" xfId="1"/>
    <cellStyle name="Обычный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89"/>
  <sheetViews>
    <sheetView workbookViewId="0">
      <selection sqref="A1:K1"/>
    </sheetView>
  </sheetViews>
  <sheetFormatPr defaultRowHeight="12.75" x14ac:dyDescent="0.2"/>
  <cols>
    <col min="1" max="1" width="7.7109375" customWidth="1"/>
    <col min="2" max="2" width="10.7109375" customWidth="1"/>
    <col min="3" max="3" width="36.7109375" customWidth="1"/>
    <col min="4" max="4" width="9.7109375" customWidth="1"/>
    <col min="5" max="5" width="8.7109375" customWidth="1"/>
    <col min="6" max="11" width="9.7109375" customWidth="1"/>
    <col min="15" max="69" width="0" hidden="1" customWidth="1"/>
    <col min="70" max="70" width="108.7109375" hidden="1" customWidth="1"/>
    <col min="71" max="71" width="118.7109375" hidden="1" customWidth="1"/>
    <col min="72" max="72" width="0" hidden="1" customWidth="1"/>
    <col min="73" max="73" width="125.7109375" hidden="1" customWidth="1"/>
    <col min="74" max="76" width="0" hidden="1" customWidth="1"/>
    <col min="77" max="77" width="37.7109375" hidden="1" customWidth="1"/>
    <col min="78" max="78" width="19.7109375" hidden="1" customWidth="1"/>
    <col min="79" max="79" width="37.7109375" hidden="1" customWidth="1"/>
    <col min="80" max="256" width="0" hidden="1" customWidth="1"/>
  </cols>
  <sheetData>
    <row r="1" spans="1:255" s="15" customFormat="1" ht="11.25" x14ac:dyDescent="0.2">
      <c r="A1" s="303" t="s">
        <v>792</v>
      </c>
      <c r="B1" s="303"/>
      <c r="C1" s="303"/>
      <c r="D1" s="303"/>
      <c r="E1" s="303"/>
      <c r="F1" s="303"/>
      <c r="G1" s="303"/>
      <c r="H1" s="303"/>
      <c r="I1" s="303"/>
      <c r="J1" s="303"/>
      <c r="K1" s="303"/>
    </row>
    <row r="2" spans="1:255" x14ac:dyDescent="0.2">
      <c r="H2" s="302" t="s">
        <v>1154</v>
      </c>
      <c r="I2" s="302"/>
      <c r="J2" s="302"/>
      <c r="K2" s="302"/>
    </row>
    <row r="3" spans="1:255" x14ac:dyDescent="0.2">
      <c r="H3" s="302"/>
      <c r="I3" s="302"/>
      <c r="J3" s="302"/>
      <c r="K3" s="302"/>
      <c r="CA3" s="22">
        <f>H3</f>
        <v>0</v>
      </c>
      <c r="IU3" s="23"/>
    </row>
    <row r="4" spans="1:255" x14ac:dyDescent="0.2">
      <c r="H4" s="302"/>
      <c r="I4" s="302"/>
      <c r="J4" s="302"/>
      <c r="K4" s="302"/>
      <c r="CA4" s="22">
        <f>H4</f>
        <v>0</v>
      </c>
      <c r="IU4" s="23"/>
    </row>
    <row r="5" spans="1:255" x14ac:dyDescent="0.2">
      <c r="H5" s="302"/>
      <c r="I5" s="302"/>
      <c r="J5" s="302"/>
      <c r="K5" s="302"/>
    </row>
    <row r="6" spans="1:255" x14ac:dyDescent="0.2">
      <c r="H6" s="302" t="s">
        <v>1155</v>
      </c>
      <c r="I6" s="302"/>
      <c r="J6" s="302"/>
      <c r="K6" s="302"/>
    </row>
    <row r="7" spans="1:255" x14ac:dyDescent="0.2">
      <c r="H7" s="302"/>
      <c r="I7" s="302"/>
      <c r="J7" s="302"/>
      <c r="K7" s="302"/>
      <c r="CA7" s="22">
        <f>H7</f>
        <v>0</v>
      </c>
      <c r="IU7" s="23"/>
    </row>
    <row r="8" spans="1:255" x14ac:dyDescent="0.2">
      <c r="H8" s="302" t="s">
        <v>1156</v>
      </c>
      <c r="I8" s="302"/>
      <c r="J8" s="302"/>
      <c r="K8" s="302"/>
    </row>
    <row r="11" spans="1:255" x14ac:dyDescent="0.2">
      <c r="A11" s="20" t="s">
        <v>799</v>
      </c>
      <c r="B11" s="19"/>
      <c r="C11" s="307"/>
      <c r="D11" s="308"/>
      <c r="E11" s="308"/>
      <c r="F11" s="308"/>
      <c r="G11" s="308"/>
      <c r="H11" s="308"/>
      <c r="I11" s="308"/>
      <c r="J11" s="308"/>
      <c r="K11" s="308"/>
      <c r="BR11" s="22">
        <f>C11</f>
        <v>0</v>
      </c>
      <c r="IU11" s="23"/>
    </row>
    <row r="12" spans="1:255" x14ac:dyDescent="0.2">
      <c r="A12" s="20" t="s">
        <v>801</v>
      </c>
      <c r="B12" s="19"/>
      <c r="C12" s="309"/>
      <c r="D12" s="310"/>
      <c r="E12" s="310"/>
      <c r="F12" s="310"/>
      <c r="G12" s="310"/>
      <c r="H12" s="310"/>
      <c r="I12" s="310"/>
      <c r="J12" s="310"/>
      <c r="K12" s="310"/>
      <c r="BR12" s="22">
        <f>C12</f>
        <v>0</v>
      </c>
      <c r="IU12" s="23"/>
    </row>
    <row r="13" spans="1:255" x14ac:dyDescent="0.2">
      <c r="A13" s="20" t="s">
        <v>803</v>
      </c>
      <c r="B13" s="19"/>
      <c r="C13" s="311"/>
      <c r="D13" s="312"/>
      <c r="E13" s="312"/>
      <c r="F13" s="312"/>
      <c r="G13" s="312"/>
      <c r="H13" s="312"/>
      <c r="I13" s="312"/>
      <c r="J13" s="312"/>
      <c r="K13" s="312"/>
      <c r="BR13" s="22">
        <f>C13</f>
        <v>0</v>
      </c>
      <c r="IU13" s="23"/>
    </row>
    <row r="14" spans="1:255" x14ac:dyDescent="0.2">
      <c r="A14" s="313"/>
      <c r="B14" s="313"/>
      <c r="C14" s="313"/>
      <c r="D14" s="313"/>
      <c r="E14" s="313"/>
      <c r="F14" s="313"/>
      <c r="G14" s="313"/>
      <c r="H14" s="313"/>
      <c r="I14" s="313"/>
      <c r="J14" s="313"/>
      <c r="K14" s="313"/>
    </row>
    <row r="15" spans="1:255" ht="18.75" x14ac:dyDescent="0.3">
      <c r="A15" s="314" t="s">
        <v>1157</v>
      </c>
      <c r="B15" s="314"/>
      <c r="C15" s="314"/>
      <c r="D15" s="314"/>
      <c r="E15" s="314"/>
      <c r="F15" s="314"/>
      <c r="G15" s="314"/>
      <c r="H15" s="314"/>
      <c r="I15" s="314"/>
      <c r="J15" s="314"/>
      <c r="K15" s="314"/>
    </row>
    <row r="16" spans="1:255" x14ac:dyDescent="0.2">
      <c r="A16" s="315" t="s">
        <v>1158</v>
      </c>
      <c r="B16" s="315"/>
      <c r="C16" s="315"/>
      <c r="D16" s="315"/>
      <c r="E16" s="315"/>
      <c r="F16" s="315"/>
      <c r="G16" s="315"/>
      <c r="H16" s="315"/>
      <c r="I16" s="315"/>
      <c r="J16" s="315"/>
      <c r="K16" s="315"/>
    </row>
    <row r="17" spans="1:255" x14ac:dyDescent="0.2">
      <c r="A17" s="315" t="s">
        <v>8</v>
      </c>
      <c r="B17" s="315"/>
      <c r="C17" s="315"/>
      <c r="D17" s="315"/>
      <c r="E17" s="315"/>
      <c r="F17" s="315"/>
      <c r="G17" s="315"/>
      <c r="H17" s="315"/>
      <c r="I17" s="315"/>
      <c r="J17" s="315"/>
      <c r="K17" s="315"/>
    </row>
    <row r="18" spans="1:255" ht="31.5" x14ac:dyDescent="0.25">
      <c r="A18" s="14" t="s">
        <v>805</v>
      </c>
      <c r="B18" s="316" t="s">
        <v>5</v>
      </c>
      <c r="C18" s="316"/>
      <c r="D18" s="316"/>
      <c r="E18" s="316"/>
      <c r="F18" s="316"/>
      <c r="G18" s="316"/>
      <c r="H18" s="316"/>
      <c r="I18" s="316"/>
      <c r="J18" s="316"/>
      <c r="K18" s="316"/>
      <c r="BS18" s="199" t="str">
        <f>B18</f>
        <v>Комплекс из 2-х многоквартирных домов, расположенных по адресу г.Орел, б-р Молодежи, участок 2а. 1-й этап строительства - многоквартирный дом корпус 2 (поз.1)</v>
      </c>
      <c r="IU18" s="23"/>
    </row>
    <row r="20" spans="1:255" x14ac:dyDescent="0.2">
      <c r="A20" s="200" t="s">
        <v>1013</v>
      </c>
      <c r="B20" s="200" t="s">
        <v>1015</v>
      </c>
      <c r="C20" s="200" t="s">
        <v>1018</v>
      </c>
      <c r="D20" s="200" t="s">
        <v>1020</v>
      </c>
      <c r="E20" s="200" t="s">
        <v>1160</v>
      </c>
      <c r="F20" s="317" t="s">
        <v>1162</v>
      </c>
      <c r="G20" s="318"/>
      <c r="H20" s="318"/>
      <c r="I20" s="200" t="s">
        <v>1167</v>
      </c>
      <c r="J20" s="200"/>
      <c r="K20" s="201" t="s">
        <v>1170</v>
      </c>
    </row>
    <row r="21" spans="1:255" x14ac:dyDescent="0.2">
      <c r="A21" s="202" t="s">
        <v>1014</v>
      </c>
      <c r="B21" s="202" t="s">
        <v>1016</v>
      </c>
      <c r="C21" s="202" t="s">
        <v>1159</v>
      </c>
      <c r="D21" s="202" t="s">
        <v>1021</v>
      </c>
      <c r="E21" s="202" t="s">
        <v>1161</v>
      </c>
      <c r="F21" s="200" t="s">
        <v>1163</v>
      </c>
      <c r="G21" s="200" t="s">
        <v>1165</v>
      </c>
      <c r="H21" s="200" t="s">
        <v>1166</v>
      </c>
      <c r="I21" s="202" t="s">
        <v>1168</v>
      </c>
      <c r="J21" s="202" t="s">
        <v>1169</v>
      </c>
      <c r="K21" s="203" t="s">
        <v>1171</v>
      </c>
    </row>
    <row r="22" spans="1:255" x14ac:dyDescent="0.2">
      <c r="A22" s="202"/>
      <c r="B22" s="202" t="s">
        <v>1017</v>
      </c>
      <c r="C22" s="202"/>
      <c r="D22" s="202" t="s">
        <v>1022</v>
      </c>
      <c r="E22" s="202"/>
      <c r="F22" s="202" t="s">
        <v>1164</v>
      </c>
      <c r="G22" s="202"/>
      <c r="H22" s="202"/>
      <c r="I22" s="202"/>
      <c r="J22" s="202"/>
      <c r="K22" s="203" t="s">
        <v>1172</v>
      </c>
    </row>
    <row r="23" spans="1:255" x14ac:dyDescent="0.2">
      <c r="A23" s="200">
        <v>1</v>
      </c>
      <c r="B23" s="200">
        <v>2</v>
      </c>
      <c r="C23" s="200">
        <v>3</v>
      </c>
      <c r="D23" s="200">
        <v>4</v>
      </c>
      <c r="E23" s="200">
        <v>5</v>
      </c>
      <c r="F23" s="200">
        <v>6</v>
      </c>
      <c r="G23" s="200">
        <v>7</v>
      </c>
      <c r="H23" s="200">
        <v>8</v>
      </c>
      <c r="I23" s="200">
        <v>9</v>
      </c>
      <c r="J23" s="200">
        <v>10</v>
      </c>
      <c r="K23" s="201">
        <v>11</v>
      </c>
    </row>
    <row r="24" spans="1:255" ht="15" x14ac:dyDescent="0.25">
      <c r="A24" s="304" t="s">
        <v>1173</v>
      </c>
      <c r="B24" s="305"/>
      <c r="C24" s="305"/>
      <c r="D24" s="305"/>
      <c r="E24" s="305"/>
      <c r="F24" s="305"/>
      <c r="G24" s="305"/>
      <c r="H24" s="305"/>
      <c r="I24" s="305"/>
      <c r="J24" s="305"/>
      <c r="K24" s="306"/>
      <c r="BU24" s="225" t="str">
        <f>A24</f>
        <v>Смета: Монтаж конструкций здания выше 0.000. Монолитный каркас 17-20 этажей 2 сек</v>
      </c>
      <c r="IU24" s="23"/>
    </row>
    <row r="25" spans="1:255" ht="15" x14ac:dyDescent="0.25">
      <c r="A25" s="319" t="s">
        <v>1174</v>
      </c>
      <c r="B25" s="320"/>
      <c r="C25" s="320"/>
      <c r="D25" s="320"/>
      <c r="E25" s="320"/>
      <c r="F25" s="320"/>
      <c r="G25" s="320"/>
      <c r="H25" s="320"/>
      <c r="I25" s="320"/>
      <c r="J25" s="320"/>
      <c r="K25" s="320"/>
      <c r="BU25" s="225" t="str">
        <f>A25</f>
        <v>Раздел: Пилоны 17-20 этажи</v>
      </c>
      <c r="IU25" s="23"/>
    </row>
    <row r="26" spans="1:255" ht="36" x14ac:dyDescent="0.2">
      <c r="A26" s="227" t="s">
        <v>18</v>
      </c>
      <c r="B26" s="228" t="s">
        <v>19</v>
      </c>
      <c r="C26" s="228" t="s">
        <v>20</v>
      </c>
      <c r="D26" s="228" t="s">
        <v>21</v>
      </c>
      <c r="E26" s="229">
        <f>Source!I28</f>
        <v>6.6924999999999999</v>
      </c>
      <c r="F26" s="229"/>
      <c r="G26" s="229"/>
      <c r="H26" s="229"/>
      <c r="I26" s="229"/>
      <c r="J26" s="230"/>
      <c r="K26" s="230"/>
    </row>
    <row r="27" spans="1:255" x14ac:dyDescent="0.2">
      <c r="A27" s="231"/>
      <c r="B27" s="215" t="s">
        <v>31</v>
      </c>
      <c r="C27" s="232" t="s">
        <v>32</v>
      </c>
      <c r="D27" s="215" t="s">
        <v>33</v>
      </c>
      <c r="E27" s="233"/>
      <c r="F27" s="233">
        <v>2.6499813223757935E-4</v>
      </c>
      <c r="G27" s="233">
        <f>F27*E26</f>
        <v>1.7734999999999997E-3</v>
      </c>
      <c r="H27" s="233">
        <f>G27</f>
        <v>1.7734999999999997E-3</v>
      </c>
      <c r="I27" s="234" t="str">
        <f>IF(AND((G27-H27)&lt;0,H27&gt;0),ABS(G27-H27)," ")</f>
        <v xml:space="preserve"> </v>
      </c>
      <c r="J27" s="235" t="str">
        <f>IF(AND((G27-H27)&gt;0, H27&gt;0),G27-H27," ")</f>
        <v xml:space="preserve"> </v>
      </c>
      <c r="K27" s="235"/>
    </row>
    <row r="28" spans="1:255" ht="36" x14ac:dyDescent="0.2">
      <c r="A28" s="231"/>
      <c r="B28" s="215" t="s">
        <v>42</v>
      </c>
      <c r="C28" s="232" t="s">
        <v>43</v>
      </c>
      <c r="D28" s="215" t="s">
        <v>44</v>
      </c>
      <c r="E28" s="233"/>
      <c r="F28" s="233">
        <v>8.9870003735524843E-3</v>
      </c>
      <c r="G28" s="233">
        <f>F28*E26</f>
        <v>6.0145499999999998E-2</v>
      </c>
      <c r="H28" s="233">
        <f>G28</f>
        <v>6.0145499999999998E-2</v>
      </c>
      <c r="I28" s="234" t="str">
        <f>IF(AND((G28-H28)&lt;0,H28&gt;0),ABS(G28-H28)," ")</f>
        <v xml:space="preserve"> </v>
      </c>
      <c r="J28" s="235" t="str">
        <f>IF(AND((G28-H28)&gt;0, H28&gt;0),G28-H28," ")</f>
        <v xml:space="preserve"> </v>
      </c>
      <c r="K28" s="235"/>
    </row>
    <row r="29" spans="1:255" ht="48" x14ac:dyDescent="0.2">
      <c r="A29" s="227" t="s">
        <v>40</v>
      </c>
      <c r="B29" s="228" t="s">
        <v>47</v>
      </c>
      <c r="C29" s="228" t="s">
        <v>48</v>
      </c>
      <c r="D29" s="228" t="s">
        <v>49</v>
      </c>
      <c r="E29" s="229">
        <f>Source!I34</f>
        <v>0.3725</v>
      </c>
      <c r="F29" s="229"/>
      <c r="G29" s="229"/>
      <c r="H29" s="229"/>
      <c r="I29" s="229"/>
      <c r="J29" s="230"/>
      <c r="K29" s="230"/>
    </row>
    <row r="30" spans="1:255" ht="24" x14ac:dyDescent="0.2">
      <c r="A30" s="231"/>
      <c r="B30" s="215" t="s">
        <v>54</v>
      </c>
      <c r="C30" s="232" t="s">
        <v>55</v>
      </c>
      <c r="D30" s="215" t="s">
        <v>33</v>
      </c>
      <c r="E30" s="233"/>
      <c r="F30" s="233">
        <v>1</v>
      </c>
      <c r="G30" s="233">
        <f>F30*E29</f>
        <v>0.3725</v>
      </c>
      <c r="H30" s="233">
        <f>G30</f>
        <v>0.3725</v>
      </c>
      <c r="I30" s="234" t="str">
        <f>IF(AND((G30-H30)&lt;0,H30&gt;0),ABS(G30-H30)," ")</f>
        <v xml:space="preserve"> </v>
      </c>
      <c r="J30" s="235" t="str">
        <f>IF(AND((G30-H30)&gt;0, H30&gt;0),G30-H30," ")</f>
        <v xml:space="preserve"> </v>
      </c>
      <c r="K30" s="235"/>
    </row>
    <row r="31" spans="1:255" ht="48" x14ac:dyDescent="0.2">
      <c r="A31" s="227" t="s">
        <v>62</v>
      </c>
      <c r="B31" s="228" t="s">
        <v>63</v>
      </c>
      <c r="C31" s="228" t="s">
        <v>64</v>
      </c>
      <c r="D31" s="228" t="s">
        <v>49</v>
      </c>
      <c r="E31" s="229">
        <f>Source!I38</f>
        <v>2.0665</v>
      </c>
      <c r="F31" s="229"/>
      <c r="G31" s="229"/>
      <c r="H31" s="229"/>
      <c r="I31" s="229"/>
      <c r="J31" s="230"/>
      <c r="K31" s="230"/>
    </row>
    <row r="32" spans="1:255" ht="24" x14ac:dyDescent="0.2">
      <c r="A32" s="231"/>
      <c r="B32" s="215" t="s">
        <v>54</v>
      </c>
      <c r="C32" s="232" t="s">
        <v>55</v>
      </c>
      <c r="D32" s="215" t="s">
        <v>33</v>
      </c>
      <c r="E32" s="233"/>
      <c r="F32" s="233">
        <v>1</v>
      </c>
      <c r="G32" s="233">
        <f>F32*E31</f>
        <v>2.0665</v>
      </c>
      <c r="H32" s="233">
        <f>G32</f>
        <v>2.0665</v>
      </c>
      <c r="I32" s="234" t="str">
        <f>IF(AND((G32-H32)&lt;0,H32&gt;0),ABS(G32-H32)," ")</f>
        <v xml:space="preserve"> </v>
      </c>
      <c r="J32" s="235" t="str">
        <f>IF(AND((G32-H32)&gt;0, H32&gt;0),G32-H32," ")</f>
        <v xml:space="preserve"> </v>
      </c>
      <c r="K32" s="235"/>
    </row>
    <row r="33" spans="1:11" ht="60" x14ac:dyDescent="0.2">
      <c r="A33" s="227" t="s">
        <v>39</v>
      </c>
      <c r="B33" s="228" t="s">
        <v>67</v>
      </c>
      <c r="C33" s="228" t="s">
        <v>68</v>
      </c>
      <c r="D33" s="228" t="s">
        <v>21</v>
      </c>
      <c r="E33" s="229">
        <f>Source!I42</f>
        <v>2.2799999999999998</v>
      </c>
      <c r="F33" s="229"/>
      <c r="G33" s="229"/>
      <c r="H33" s="229"/>
      <c r="I33" s="229"/>
      <c r="J33" s="230"/>
      <c r="K33" s="230"/>
    </row>
    <row r="34" spans="1:11" x14ac:dyDescent="0.2">
      <c r="A34" s="231"/>
      <c r="B34" s="215" t="s">
        <v>1092</v>
      </c>
      <c r="C34" s="232" t="s">
        <v>72</v>
      </c>
      <c r="D34" s="215" t="s">
        <v>33</v>
      </c>
      <c r="E34" s="233"/>
      <c r="F34" s="233">
        <v>4.1999999999999997E-3</v>
      </c>
      <c r="G34" s="233">
        <f>F34*E33</f>
        <v>9.5759999999999994E-3</v>
      </c>
      <c r="H34" s="233">
        <f t="shared" ref="H34:H42" si="0">G34</f>
        <v>9.5759999999999994E-3</v>
      </c>
      <c r="I34" s="234" t="str">
        <f t="shared" ref="I34:I42" si="1">IF(AND((G34-H34)&lt;0,H34&gt;0),ABS(G34-H34)," ")</f>
        <v xml:space="preserve"> </v>
      </c>
      <c r="J34" s="235" t="str">
        <f t="shared" ref="J34:J42" si="2">IF(AND((G34-H34)&gt;0, H34&gt;0),G34-H34," ")</f>
        <v xml:space="preserve"> </v>
      </c>
      <c r="K34" s="235"/>
    </row>
    <row r="35" spans="1:11" ht="24" x14ac:dyDescent="0.2">
      <c r="A35" s="231"/>
      <c r="B35" s="215" t="s">
        <v>76</v>
      </c>
      <c r="C35" s="232" t="s">
        <v>77</v>
      </c>
      <c r="D35" s="215" t="s">
        <v>78</v>
      </c>
      <c r="E35" s="233"/>
      <c r="F35" s="233">
        <v>3</v>
      </c>
      <c r="G35" s="233">
        <f>F35*E33</f>
        <v>6.84</v>
      </c>
      <c r="H35" s="233">
        <f t="shared" si="0"/>
        <v>6.84</v>
      </c>
      <c r="I35" s="234" t="str">
        <f t="shared" si="1"/>
        <v xml:space="preserve"> </v>
      </c>
      <c r="J35" s="235" t="str">
        <f t="shared" si="2"/>
        <v xml:space="preserve"> </v>
      </c>
      <c r="K35" s="235"/>
    </row>
    <row r="36" spans="1:11" ht="24" x14ac:dyDescent="0.2">
      <c r="A36" s="231"/>
      <c r="B36" s="215" t="s">
        <v>82</v>
      </c>
      <c r="C36" s="232" t="s">
        <v>83</v>
      </c>
      <c r="D36" s="215" t="s">
        <v>78</v>
      </c>
      <c r="E36" s="233"/>
      <c r="F36" s="233">
        <v>3</v>
      </c>
      <c r="G36" s="233">
        <f>F36*E33</f>
        <v>6.84</v>
      </c>
      <c r="H36" s="233">
        <f t="shared" si="0"/>
        <v>6.84</v>
      </c>
      <c r="I36" s="234" t="str">
        <f t="shared" si="1"/>
        <v xml:space="preserve"> </v>
      </c>
      <c r="J36" s="235" t="str">
        <f t="shared" si="2"/>
        <v xml:space="preserve"> </v>
      </c>
      <c r="K36" s="235"/>
    </row>
    <row r="37" spans="1:11" ht="24" x14ac:dyDescent="0.2">
      <c r="A37" s="231"/>
      <c r="B37" s="215" t="s">
        <v>1092</v>
      </c>
      <c r="C37" s="232" t="s">
        <v>88</v>
      </c>
      <c r="D37" s="215" t="s">
        <v>44</v>
      </c>
      <c r="E37" s="233"/>
      <c r="F37" s="233">
        <v>3.0449999999999999</v>
      </c>
      <c r="G37" s="233">
        <f>F37*E33</f>
        <v>6.9425999999999997</v>
      </c>
      <c r="H37" s="233">
        <f t="shared" si="0"/>
        <v>6.9425999999999997</v>
      </c>
      <c r="I37" s="234" t="str">
        <f t="shared" si="1"/>
        <v xml:space="preserve"> </v>
      </c>
      <c r="J37" s="235" t="str">
        <f t="shared" si="2"/>
        <v xml:space="preserve"> </v>
      </c>
      <c r="K37" s="235"/>
    </row>
    <row r="38" spans="1:11" x14ac:dyDescent="0.2">
      <c r="A38" s="231"/>
      <c r="B38" s="215" t="s">
        <v>92</v>
      </c>
      <c r="C38" s="232" t="s">
        <v>93</v>
      </c>
      <c r="D38" s="215" t="s">
        <v>94</v>
      </c>
      <c r="E38" s="233"/>
      <c r="F38" s="233">
        <v>5.3879999999999999</v>
      </c>
      <c r="G38" s="233">
        <f>F38*E33</f>
        <v>12.28464</v>
      </c>
      <c r="H38" s="233">
        <f t="shared" si="0"/>
        <v>12.28464</v>
      </c>
      <c r="I38" s="234" t="str">
        <f t="shared" si="1"/>
        <v xml:space="preserve"> </v>
      </c>
      <c r="J38" s="235" t="str">
        <f t="shared" si="2"/>
        <v xml:space="preserve"> </v>
      </c>
      <c r="K38" s="235"/>
    </row>
    <row r="39" spans="1:11" ht="24" x14ac:dyDescent="0.2">
      <c r="A39" s="231"/>
      <c r="B39" s="215" t="s">
        <v>101</v>
      </c>
      <c r="C39" s="232" t="s">
        <v>102</v>
      </c>
      <c r="D39" s="215" t="s">
        <v>103</v>
      </c>
      <c r="E39" s="233"/>
      <c r="F39" s="233">
        <v>23</v>
      </c>
      <c r="G39" s="233">
        <f>F39*E33</f>
        <v>52.44</v>
      </c>
      <c r="H39" s="233">
        <f t="shared" si="0"/>
        <v>52.44</v>
      </c>
      <c r="I39" s="234" t="str">
        <f t="shared" si="1"/>
        <v xml:space="preserve"> </v>
      </c>
      <c r="J39" s="235" t="str">
        <f t="shared" si="2"/>
        <v xml:space="preserve"> </v>
      </c>
      <c r="K39" s="235"/>
    </row>
    <row r="40" spans="1:11" ht="24" x14ac:dyDescent="0.2">
      <c r="A40" s="231"/>
      <c r="B40" s="215" t="s">
        <v>107</v>
      </c>
      <c r="C40" s="232" t="s">
        <v>108</v>
      </c>
      <c r="D40" s="215" t="s">
        <v>103</v>
      </c>
      <c r="E40" s="233"/>
      <c r="F40" s="233">
        <v>12</v>
      </c>
      <c r="G40" s="233">
        <f>F40*E33</f>
        <v>27.36</v>
      </c>
      <c r="H40" s="233">
        <f t="shared" si="0"/>
        <v>27.36</v>
      </c>
      <c r="I40" s="234" t="str">
        <f t="shared" si="1"/>
        <v xml:space="preserve"> </v>
      </c>
      <c r="J40" s="235" t="str">
        <f t="shared" si="2"/>
        <v xml:space="preserve"> </v>
      </c>
      <c r="K40" s="235"/>
    </row>
    <row r="41" spans="1:11" ht="24" x14ac:dyDescent="0.2">
      <c r="A41" s="231"/>
      <c r="B41" s="215" t="s">
        <v>112</v>
      </c>
      <c r="C41" s="232" t="s">
        <v>113</v>
      </c>
      <c r="D41" s="215" t="s">
        <v>103</v>
      </c>
      <c r="E41" s="233"/>
      <c r="F41" s="233">
        <v>12</v>
      </c>
      <c r="G41" s="233">
        <f>F41*E33</f>
        <v>27.36</v>
      </c>
      <c r="H41" s="233">
        <f t="shared" si="0"/>
        <v>27.36</v>
      </c>
      <c r="I41" s="234" t="str">
        <f t="shared" si="1"/>
        <v xml:space="preserve"> </v>
      </c>
      <c r="J41" s="235" t="str">
        <f t="shared" si="2"/>
        <v xml:space="preserve"> </v>
      </c>
      <c r="K41" s="235"/>
    </row>
    <row r="42" spans="1:11" ht="36" x14ac:dyDescent="0.2">
      <c r="A42" s="231"/>
      <c r="B42" s="215" t="s">
        <v>1092</v>
      </c>
      <c r="C42" s="232" t="s">
        <v>118</v>
      </c>
      <c r="D42" s="215" t="s">
        <v>33</v>
      </c>
      <c r="E42" s="233"/>
      <c r="F42" s="233">
        <v>9.5098684210526325E-4</v>
      </c>
      <c r="G42" s="233">
        <f>F42*E33</f>
        <v>2.16825E-3</v>
      </c>
      <c r="H42" s="233">
        <f t="shared" si="0"/>
        <v>2.16825E-3</v>
      </c>
      <c r="I42" s="234" t="str">
        <f t="shared" si="1"/>
        <v xml:space="preserve"> </v>
      </c>
      <c r="J42" s="235" t="str">
        <f t="shared" si="2"/>
        <v xml:space="preserve"> </v>
      </c>
      <c r="K42" s="235"/>
    </row>
    <row r="43" spans="1:11" ht="60" x14ac:dyDescent="0.2">
      <c r="A43" s="227" t="s">
        <v>121</v>
      </c>
      <c r="B43" s="228" t="s">
        <v>122</v>
      </c>
      <c r="C43" s="228" t="s">
        <v>123</v>
      </c>
      <c r="D43" s="228" t="s">
        <v>21</v>
      </c>
      <c r="E43" s="229">
        <f>Source!I62</f>
        <v>4.4124999999999996</v>
      </c>
      <c r="F43" s="229"/>
      <c r="G43" s="229"/>
      <c r="H43" s="229"/>
      <c r="I43" s="229"/>
      <c r="J43" s="230"/>
      <c r="K43" s="230"/>
    </row>
    <row r="44" spans="1:11" x14ac:dyDescent="0.2">
      <c r="A44" s="231"/>
      <c r="B44" s="215" t="s">
        <v>1092</v>
      </c>
      <c r="C44" s="232" t="s">
        <v>72</v>
      </c>
      <c r="D44" s="215" t="s">
        <v>33</v>
      </c>
      <c r="E44" s="233"/>
      <c r="F44" s="233">
        <v>4.2000000000000006E-3</v>
      </c>
      <c r="G44" s="233">
        <f>F44*E43</f>
        <v>1.85325E-2</v>
      </c>
      <c r="H44" s="233">
        <f t="shared" ref="H44:H52" si="3">G44</f>
        <v>1.85325E-2</v>
      </c>
      <c r="I44" s="234" t="str">
        <f t="shared" ref="I44:I52" si="4">IF(AND((G44-H44)&lt;0,H44&gt;0),ABS(G44-H44)," ")</f>
        <v xml:space="preserve"> </v>
      </c>
      <c r="J44" s="235" t="str">
        <f t="shared" ref="J44:J52" si="5">IF(AND((G44-H44)&gt;0, H44&gt;0),G44-H44," ")</f>
        <v xml:space="preserve"> </v>
      </c>
      <c r="K44" s="235"/>
    </row>
    <row r="45" spans="1:11" ht="24" x14ac:dyDescent="0.2">
      <c r="A45" s="231"/>
      <c r="B45" s="215" t="s">
        <v>76</v>
      </c>
      <c r="C45" s="232" t="s">
        <v>77</v>
      </c>
      <c r="D45" s="215" t="s">
        <v>78</v>
      </c>
      <c r="E45" s="233"/>
      <c r="F45" s="233">
        <v>2.6628895184135981</v>
      </c>
      <c r="G45" s="233">
        <f>F45*E43</f>
        <v>11.75</v>
      </c>
      <c r="H45" s="233">
        <f t="shared" si="3"/>
        <v>11.75</v>
      </c>
      <c r="I45" s="234" t="str">
        <f t="shared" si="4"/>
        <v xml:space="preserve"> </v>
      </c>
      <c r="J45" s="235" t="str">
        <f t="shared" si="5"/>
        <v xml:space="preserve"> </v>
      </c>
      <c r="K45" s="235"/>
    </row>
    <row r="46" spans="1:11" ht="24" x14ac:dyDescent="0.2">
      <c r="A46" s="231"/>
      <c r="B46" s="215" t="s">
        <v>82</v>
      </c>
      <c r="C46" s="232" t="s">
        <v>83</v>
      </c>
      <c r="D46" s="215" t="s">
        <v>78</v>
      </c>
      <c r="E46" s="233"/>
      <c r="F46" s="233">
        <v>2.6628895184135981</v>
      </c>
      <c r="G46" s="233">
        <f>F46*E43</f>
        <v>11.75</v>
      </c>
      <c r="H46" s="233">
        <f t="shared" si="3"/>
        <v>11.75</v>
      </c>
      <c r="I46" s="234" t="str">
        <f t="shared" si="4"/>
        <v xml:space="preserve"> </v>
      </c>
      <c r="J46" s="235" t="str">
        <f t="shared" si="5"/>
        <v xml:space="preserve"> </v>
      </c>
      <c r="K46" s="235"/>
    </row>
    <row r="47" spans="1:11" ht="24" x14ac:dyDescent="0.2">
      <c r="A47" s="231"/>
      <c r="B47" s="215" t="s">
        <v>1092</v>
      </c>
      <c r="C47" s="232" t="s">
        <v>88</v>
      </c>
      <c r="D47" s="215" t="s">
        <v>44</v>
      </c>
      <c r="E47" s="233"/>
      <c r="F47" s="233">
        <v>2.702832861189802</v>
      </c>
      <c r="G47" s="233">
        <f>F47*E43</f>
        <v>11.926250000000001</v>
      </c>
      <c r="H47" s="233">
        <f t="shared" si="3"/>
        <v>11.926250000000001</v>
      </c>
      <c r="I47" s="234" t="str">
        <f t="shared" si="4"/>
        <v xml:space="preserve"> </v>
      </c>
      <c r="J47" s="235" t="str">
        <f t="shared" si="5"/>
        <v xml:space="preserve"> </v>
      </c>
      <c r="K47" s="235"/>
    </row>
    <row r="48" spans="1:11" x14ac:dyDescent="0.2">
      <c r="A48" s="231"/>
      <c r="B48" s="215" t="s">
        <v>1092</v>
      </c>
      <c r="C48" s="232" t="s">
        <v>93</v>
      </c>
      <c r="D48" s="215" t="s">
        <v>94</v>
      </c>
      <c r="E48" s="233"/>
      <c r="F48" s="233">
        <v>5.3880000000000008</v>
      </c>
      <c r="G48" s="233">
        <f>F48*E43</f>
        <v>23.774550000000001</v>
      </c>
      <c r="H48" s="233">
        <f t="shared" si="3"/>
        <v>23.774550000000001</v>
      </c>
      <c r="I48" s="234" t="str">
        <f t="shared" si="4"/>
        <v xml:space="preserve"> </v>
      </c>
      <c r="J48" s="235" t="str">
        <f t="shared" si="5"/>
        <v xml:space="preserve"> </v>
      </c>
      <c r="K48" s="235"/>
    </row>
    <row r="49" spans="1:255" x14ac:dyDescent="0.2">
      <c r="A49" s="231"/>
      <c r="B49" s="215" t="s">
        <v>1092</v>
      </c>
      <c r="C49" s="232" t="s">
        <v>102</v>
      </c>
      <c r="D49" s="215" t="s">
        <v>103</v>
      </c>
      <c r="E49" s="233"/>
      <c r="F49" s="233">
        <v>23</v>
      </c>
      <c r="G49" s="233">
        <f>F49*E43</f>
        <v>101.4875</v>
      </c>
      <c r="H49" s="233">
        <f t="shared" si="3"/>
        <v>101.4875</v>
      </c>
      <c r="I49" s="234" t="str">
        <f t="shared" si="4"/>
        <v xml:space="preserve"> </v>
      </c>
      <c r="J49" s="235" t="str">
        <f t="shared" si="5"/>
        <v xml:space="preserve"> </v>
      </c>
      <c r="K49" s="235"/>
    </row>
    <row r="50" spans="1:255" ht="24" x14ac:dyDescent="0.2">
      <c r="A50" s="231"/>
      <c r="B50" s="215" t="s">
        <v>107</v>
      </c>
      <c r="C50" s="232" t="s">
        <v>108</v>
      </c>
      <c r="D50" s="215" t="s">
        <v>103</v>
      </c>
      <c r="E50" s="233"/>
      <c r="F50" s="233">
        <v>12.000000000000002</v>
      </c>
      <c r="G50" s="233">
        <f>F50*E43</f>
        <v>52.95</v>
      </c>
      <c r="H50" s="233">
        <f t="shared" si="3"/>
        <v>52.95</v>
      </c>
      <c r="I50" s="234" t="str">
        <f t="shared" si="4"/>
        <v xml:space="preserve"> </v>
      </c>
      <c r="J50" s="235" t="str">
        <f t="shared" si="5"/>
        <v xml:space="preserve"> </v>
      </c>
      <c r="K50" s="235"/>
    </row>
    <row r="51" spans="1:255" x14ac:dyDescent="0.2">
      <c r="A51" s="231"/>
      <c r="B51" s="215" t="s">
        <v>1092</v>
      </c>
      <c r="C51" s="232" t="s">
        <v>113</v>
      </c>
      <c r="D51" s="215" t="s">
        <v>103</v>
      </c>
      <c r="E51" s="233"/>
      <c r="F51" s="233">
        <v>12.000000000000002</v>
      </c>
      <c r="G51" s="233">
        <f>F51*E43</f>
        <v>52.95</v>
      </c>
      <c r="H51" s="233">
        <f t="shared" si="3"/>
        <v>52.95</v>
      </c>
      <c r="I51" s="234" t="str">
        <f t="shared" si="4"/>
        <v xml:space="preserve"> </v>
      </c>
      <c r="J51" s="235" t="str">
        <f t="shared" si="5"/>
        <v xml:space="preserve"> </v>
      </c>
      <c r="K51" s="235"/>
    </row>
    <row r="52" spans="1:255" ht="36" x14ac:dyDescent="0.2">
      <c r="A52" s="231"/>
      <c r="B52" s="215" t="s">
        <v>1092</v>
      </c>
      <c r="C52" s="232" t="s">
        <v>118</v>
      </c>
      <c r="D52" s="215" t="s">
        <v>33</v>
      </c>
      <c r="E52" s="233"/>
      <c r="F52" s="233">
        <v>9.5099150141643072E-4</v>
      </c>
      <c r="G52" s="233">
        <f>F52*E43</f>
        <v>4.1962500000000003E-3</v>
      </c>
      <c r="H52" s="233">
        <f t="shared" si="3"/>
        <v>4.1962500000000003E-3</v>
      </c>
      <c r="I52" s="234" t="str">
        <f t="shared" si="4"/>
        <v xml:space="preserve"> </v>
      </c>
      <c r="J52" s="235" t="str">
        <f t="shared" si="5"/>
        <v xml:space="preserve"> </v>
      </c>
      <c r="K52" s="235"/>
    </row>
    <row r="53" spans="1:255" ht="15" x14ac:dyDescent="0.25">
      <c r="A53" s="319" t="s">
        <v>1175</v>
      </c>
      <c r="B53" s="320"/>
      <c r="C53" s="320"/>
      <c r="D53" s="320"/>
      <c r="E53" s="320"/>
      <c r="F53" s="320"/>
      <c r="G53" s="320"/>
      <c r="H53" s="320"/>
      <c r="I53" s="320"/>
      <c r="J53" s="320"/>
      <c r="K53" s="320"/>
      <c r="BU53" s="225" t="str">
        <f>A53</f>
        <v>Раздел: Стены монолит 17-20 этажи</v>
      </c>
      <c r="IU53" s="23"/>
    </row>
    <row r="54" spans="1:255" ht="36" x14ac:dyDescent="0.2">
      <c r="A54" s="227" t="s">
        <v>197</v>
      </c>
      <c r="B54" s="228" t="s">
        <v>19</v>
      </c>
      <c r="C54" s="228" t="s">
        <v>198</v>
      </c>
      <c r="D54" s="228" t="s">
        <v>21</v>
      </c>
      <c r="E54" s="229">
        <f>Source!I119</f>
        <v>31.5625</v>
      </c>
      <c r="F54" s="229"/>
      <c r="G54" s="229"/>
      <c r="H54" s="229"/>
      <c r="I54" s="229"/>
      <c r="J54" s="230"/>
      <c r="K54" s="230"/>
    </row>
    <row r="55" spans="1:255" x14ac:dyDescent="0.2">
      <c r="A55" s="231"/>
      <c r="B55" s="215" t="s">
        <v>31</v>
      </c>
      <c r="C55" s="232" t="s">
        <v>32</v>
      </c>
      <c r="D55" s="215" t="s">
        <v>33</v>
      </c>
      <c r="E55" s="233"/>
      <c r="F55" s="233">
        <v>2.6499801980198022E-4</v>
      </c>
      <c r="G55" s="233">
        <f>F55*E54</f>
        <v>8.3639999999999999E-3</v>
      </c>
      <c r="H55" s="233">
        <f>G55</f>
        <v>8.3639999999999999E-3</v>
      </c>
      <c r="I55" s="234" t="str">
        <f>IF(AND((G55-H55)&lt;0,H55&gt;0),ABS(G55-H55)," ")</f>
        <v xml:space="preserve"> </v>
      </c>
      <c r="J55" s="235" t="str">
        <f>IF(AND((G55-H55)&gt;0, H55&gt;0),G55-H55," ")</f>
        <v xml:space="preserve"> </v>
      </c>
      <c r="K55" s="235"/>
    </row>
    <row r="56" spans="1:255" ht="36" x14ac:dyDescent="0.2">
      <c r="A56" s="231"/>
      <c r="B56" s="215" t="s">
        <v>42</v>
      </c>
      <c r="C56" s="232" t="s">
        <v>43</v>
      </c>
      <c r="D56" s="215" t="s">
        <v>44</v>
      </c>
      <c r="E56" s="233"/>
      <c r="F56" s="233">
        <v>8.9870019801980196E-3</v>
      </c>
      <c r="G56" s="233">
        <f>F56*E54</f>
        <v>0.28365224999999999</v>
      </c>
      <c r="H56" s="233">
        <f>G56</f>
        <v>0.28365224999999999</v>
      </c>
      <c r="I56" s="234" t="str">
        <f>IF(AND((G56-H56)&lt;0,H56&gt;0),ABS(G56-H56)," ")</f>
        <v xml:space="preserve"> </v>
      </c>
      <c r="J56" s="235" t="str">
        <f>IF(AND((G56-H56)&gt;0, H56&gt;0),G56-H56," ")</f>
        <v xml:space="preserve"> </v>
      </c>
      <c r="K56" s="235"/>
    </row>
    <row r="57" spans="1:255" ht="36" x14ac:dyDescent="0.2">
      <c r="A57" s="227" t="s">
        <v>201</v>
      </c>
      <c r="B57" s="228" t="s">
        <v>19</v>
      </c>
      <c r="C57" s="228" t="s">
        <v>202</v>
      </c>
      <c r="D57" s="228" t="s">
        <v>21</v>
      </c>
      <c r="E57" s="229">
        <f>Source!I125</f>
        <v>9.2799999999999994</v>
      </c>
      <c r="F57" s="229"/>
      <c r="G57" s="229"/>
      <c r="H57" s="229"/>
      <c r="I57" s="229"/>
      <c r="J57" s="230"/>
      <c r="K57" s="230"/>
    </row>
    <row r="58" spans="1:255" ht="36" x14ac:dyDescent="0.2">
      <c r="A58" s="231"/>
      <c r="B58" s="215" t="s">
        <v>206</v>
      </c>
      <c r="C58" s="232" t="s">
        <v>207</v>
      </c>
      <c r="D58" s="215" t="s">
        <v>208</v>
      </c>
      <c r="E58" s="233"/>
      <c r="F58" s="233">
        <v>5</v>
      </c>
      <c r="G58" s="233">
        <f>F58*E57</f>
        <v>46.4</v>
      </c>
      <c r="H58" s="233">
        <f>G58</f>
        <v>46.4</v>
      </c>
      <c r="I58" s="234" t="str">
        <f>IF(AND((G58-H58)&lt;0,H58&gt;0),ABS(G58-H58)," ")</f>
        <v xml:space="preserve"> </v>
      </c>
      <c r="J58" s="235" t="str">
        <f>IF(AND((G58-H58)&gt;0, H58&gt;0),G58-H58," ")</f>
        <v xml:space="preserve"> </v>
      </c>
      <c r="K58" s="235"/>
    </row>
    <row r="59" spans="1:255" ht="24" x14ac:dyDescent="0.2">
      <c r="A59" s="231"/>
      <c r="B59" s="215" t="s">
        <v>212</v>
      </c>
      <c r="C59" s="232" t="s">
        <v>213</v>
      </c>
      <c r="D59" s="215" t="s">
        <v>44</v>
      </c>
      <c r="E59" s="233"/>
      <c r="F59" s="233">
        <v>3.9568965517241383E-3</v>
      </c>
      <c r="G59" s="233">
        <f>F59*E57</f>
        <v>3.6720000000000003E-2</v>
      </c>
      <c r="H59" s="233">
        <f>G59</f>
        <v>3.6720000000000003E-2</v>
      </c>
      <c r="I59" s="234" t="str">
        <f>IF(AND((G59-H59)&lt;0,H59&gt;0),ABS(G59-H59)," ")</f>
        <v xml:space="preserve"> </v>
      </c>
      <c r="J59" s="235" t="str">
        <f>IF(AND((G59-H59)&gt;0, H59&gt;0),G59-H59," ")</f>
        <v xml:space="preserve"> </v>
      </c>
      <c r="K59" s="235"/>
    </row>
    <row r="60" spans="1:255" ht="24" x14ac:dyDescent="0.2">
      <c r="A60" s="231"/>
      <c r="B60" s="215" t="s">
        <v>1092</v>
      </c>
      <c r="C60" s="232" t="s">
        <v>218</v>
      </c>
      <c r="D60" s="215" t="s">
        <v>44</v>
      </c>
      <c r="E60" s="233"/>
      <c r="F60" s="233">
        <v>0.45724137931034486</v>
      </c>
      <c r="G60" s="233">
        <f>F60*E57</f>
        <v>4.2431999999999999</v>
      </c>
      <c r="H60" s="233">
        <f>G60</f>
        <v>4.2431999999999999</v>
      </c>
      <c r="I60" s="234" t="str">
        <f>IF(AND((G60-H60)&lt;0,H60&gt;0),ABS(G60-H60)," ")</f>
        <v xml:space="preserve"> </v>
      </c>
      <c r="J60" s="235" t="str">
        <f>IF(AND((G60-H60)&gt;0, H60&gt;0),G60-H60," ")</f>
        <v xml:space="preserve"> </v>
      </c>
      <c r="K60" s="235"/>
    </row>
    <row r="61" spans="1:255" ht="48" x14ac:dyDescent="0.2">
      <c r="A61" s="227" t="s">
        <v>221</v>
      </c>
      <c r="B61" s="228" t="s">
        <v>222</v>
      </c>
      <c r="C61" s="228" t="s">
        <v>223</v>
      </c>
      <c r="D61" s="228" t="s">
        <v>49</v>
      </c>
      <c r="E61" s="229">
        <f>Source!I133</f>
        <v>0.66100000000000003</v>
      </c>
      <c r="F61" s="229"/>
      <c r="G61" s="229"/>
      <c r="H61" s="229"/>
      <c r="I61" s="229"/>
      <c r="J61" s="230"/>
      <c r="K61" s="230"/>
    </row>
    <row r="62" spans="1:255" ht="24" x14ac:dyDescent="0.2">
      <c r="A62" s="231"/>
      <c r="B62" s="215" t="s">
        <v>226</v>
      </c>
      <c r="C62" s="232" t="s">
        <v>227</v>
      </c>
      <c r="D62" s="215" t="s">
        <v>33</v>
      </c>
      <c r="E62" s="233"/>
      <c r="F62" s="233">
        <v>1</v>
      </c>
      <c r="G62" s="233">
        <f>F62*E61</f>
        <v>0.66100000000000003</v>
      </c>
      <c r="H62" s="233">
        <f>G62</f>
        <v>0.66100000000000003</v>
      </c>
      <c r="I62" s="234" t="str">
        <f>IF(AND((G62-H62)&lt;0,H62&gt;0),ABS(G62-H62)," ")</f>
        <v xml:space="preserve"> </v>
      </c>
      <c r="J62" s="235" t="str">
        <f>IF(AND((G62-H62)&gt;0, H62&gt;0),G62-H62," ")</f>
        <v xml:space="preserve"> </v>
      </c>
      <c r="K62" s="235"/>
    </row>
    <row r="63" spans="1:255" ht="48" x14ac:dyDescent="0.2">
      <c r="A63" s="227" t="s">
        <v>230</v>
      </c>
      <c r="B63" s="228" t="s">
        <v>231</v>
      </c>
      <c r="C63" s="228" t="s">
        <v>232</v>
      </c>
      <c r="D63" s="228" t="s">
        <v>49</v>
      </c>
      <c r="E63" s="229">
        <f>Source!I137</f>
        <v>10.11375</v>
      </c>
      <c r="F63" s="229"/>
      <c r="G63" s="229"/>
      <c r="H63" s="229"/>
      <c r="I63" s="229"/>
      <c r="J63" s="230"/>
      <c r="K63" s="230"/>
    </row>
    <row r="64" spans="1:255" ht="24" x14ac:dyDescent="0.2">
      <c r="A64" s="231"/>
      <c r="B64" s="215" t="s">
        <v>226</v>
      </c>
      <c r="C64" s="232" t="s">
        <v>227</v>
      </c>
      <c r="D64" s="215" t="s">
        <v>33</v>
      </c>
      <c r="E64" s="233"/>
      <c r="F64" s="233">
        <v>0.99982696823631201</v>
      </c>
      <c r="G64" s="233">
        <f>F64*E63</f>
        <v>10.112</v>
      </c>
      <c r="H64" s="233">
        <f>G64</f>
        <v>10.112</v>
      </c>
      <c r="I64" s="234" t="str">
        <f>IF(AND((G64-H64)&lt;0,H64&gt;0),ABS(G64-H64)," ")</f>
        <v xml:space="preserve"> </v>
      </c>
      <c r="J64" s="235" t="str">
        <f>IF(AND((G64-H64)&gt;0, H64&gt;0),G64-H64," ")</f>
        <v xml:space="preserve"> </v>
      </c>
      <c r="K64" s="235"/>
    </row>
    <row r="65" spans="1:11" x14ac:dyDescent="0.2">
      <c r="A65" s="231"/>
      <c r="B65" s="215" t="s">
        <v>1092</v>
      </c>
      <c r="C65" s="232" t="s">
        <v>237</v>
      </c>
      <c r="D65" s="215" t="s">
        <v>33</v>
      </c>
      <c r="E65" s="233"/>
      <c r="F65" s="233">
        <v>1.8242491657397109E-4</v>
      </c>
      <c r="G65" s="233">
        <f>F65*E63</f>
        <v>1.8450000000000001E-3</v>
      </c>
      <c r="H65" s="233">
        <f>G65</f>
        <v>1.8450000000000001E-3</v>
      </c>
      <c r="I65" s="234" t="str">
        <f>IF(AND((G65-H65)&lt;0,H65&gt;0),ABS(G65-H65)," ")</f>
        <v xml:space="preserve"> </v>
      </c>
      <c r="J65" s="235" t="str">
        <f>IF(AND((G65-H65)&gt;0, H65&gt;0),G65-H65," ")</f>
        <v xml:space="preserve"> </v>
      </c>
      <c r="K65" s="235"/>
    </row>
    <row r="66" spans="1:11" ht="60" x14ac:dyDescent="0.2">
      <c r="A66" s="227" t="s">
        <v>239</v>
      </c>
      <c r="B66" s="228" t="s">
        <v>240</v>
      </c>
      <c r="C66" s="228" t="s">
        <v>241</v>
      </c>
      <c r="D66" s="228" t="s">
        <v>21</v>
      </c>
      <c r="E66" s="229">
        <f>Source!I143</f>
        <v>4.9504999999999999</v>
      </c>
      <c r="F66" s="229"/>
      <c r="G66" s="229"/>
      <c r="H66" s="229"/>
      <c r="I66" s="229"/>
      <c r="J66" s="230"/>
      <c r="K66" s="230"/>
    </row>
    <row r="67" spans="1:11" x14ac:dyDescent="0.2">
      <c r="A67" s="231"/>
      <c r="B67" s="215" t="s">
        <v>1092</v>
      </c>
      <c r="C67" s="232" t="s">
        <v>72</v>
      </c>
      <c r="D67" s="215" t="s">
        <v>33</v>
      </c>
      <c r="E67" s="233"/>
      <c r="F67" s="233">
        <v>4.1999798000202006E-3</v>
      </c>
      <c r="G67" s="233">
        <f>F67*E66</f>
        <v>2.0792000000000001E-2</v>
      </c>
      <c r="H67" s="233">
        <f t="shared" ref="H67:H75" si="6">G67</f>
        <v>2.0792000000000001E-2</v>
      </c>
      <c r="I67" s="234" t="str">
        <f t="shared" ref="I67:I75" si="7">IF(AND((G67-H67)&lt;0,H67&gt;0),ABS(G67-H67)," ")</f>
        <v xml:space="preserve"> </v>
      </c>
      <c r="J67" s="235" t="str">
        <f t="shared" ref="J67:J75" si="8">IF(AND((G67-H67)&gt;0, H67&gt;0),G67-H67," ")</f>
        <v xml:space="preserve"> </v>
      </c>
      <c r="K67" s="235"/>
    </row>
    <row r="68" spans="1:11" ht="24" x14ac:dyDescent="0.2">
      <c r="A68" s="231"/>
      <c r="B68" s="215" t="s">
        <v>76</v>
      </c>
      <c r="C68" s="232" t="s">
        <v>245</v>
      </c>
      <c r="D68" s="215" t="s">
        <v>78</v>
      </c>
      <c r="E68" s="233"/>
      <c r="F68" s="233">
        <v>1.7755782244217755</v>
      </c>
      <c r="G68" s="233">
        <f>F68*E66</f>
        <v>8.7899999999999991</v>
      </c>
      <c r="H68" s="233">
        <f t="shared" si="6"/>
        <v>8.7899999999999991</v>
      </c>
      <c r="I68" s="234" t="str">
        <f t="shared" si="7"/>
        <v xml:space="preserve"> </v>
      </c>
      <c r="J68" s="235" t="str">
        <f t="shared" si="8"/>
        <v xml:space="preserve"> </v>
      </c>
      <c r="K68" s="235"/>
    </row>
    <row r="69" spans="1:11" ht="24" x14ac:dyDescent="0.2">
      <c r="A69" s="231"/>
      <c r="B69" s="215" t="s">
        <v>82</v>
      </c>
      <c r="C69" s="232" t="s">
        <v>247</v>
      </c>
      <c r="D69" s="215" t="s">
        <v>78</v>
      </c>
      <c r="E69" s="233"/>
      <c r="F69" s="233">
        <v>1.7755782244217755</v>
      </c>
      <c r="G69" s="233">
        <f>F69*E66</f>
        <v>8.7899999999999991</v>
      </c>
      <c r="H69" s="233">
        <f t="shared" si="6"/>
        <v>8.7899999999999991</v>
      </c>
      <c r="I69" s="234" t="str">
        <f t="shared" si="7"/>
        <v xml:space="preserve"> </v>
      </c>
      <c r="J69" s="235" t="str">
        <f t="shared" si="8"/>
        <v xml:space="preserve"> </v>
      </c>
      <c r="K69" s="235"/>
    </row>
    <row r="70" spans="1:11" ht="24" x14ac:dyDescent="0.2">
      <c r="A70" s="231"/>
      <c r="B70" s="215" t="s">
        <v>1092</v>
      </c>
      <c r="C70" s="232" t="s">
        <v>88</v>
      </c>
      <c r="D70" s="215" t="s">
        <v>44</v>
      </c>
      <c r="E70" s="233"/>
      <c r="F70" s="233">
        <v>1.8022118977881021</v>
      </c>
      <c r="G70" s="233">
        <f>F70*E66</f>
        <v>8.9218499999999992</v>
      </c>
      <c r="H70" s="233">
        <f t="shared" si="6"/>
        <v>8.9218499999999992</v>
      </c>
      <c r="I70" s="234" t="str">
        <f t="shared" si="7"/>
        <v xml:space="preserve"> </v>
      </c>
      <c r="J70" s="235" t="str">
        <f t="shared" si="8"/>
        <v xml:space="preserve"> </v>
      </c>
      <c r="K70" s="235"/>
    </row>
    <row r="71" spans="1:11" x14ac:dyDescent="0.2">
      <c r="A71" s="231"/>
      <c r="B71" s="215" t="s">
        <v>1092</v>
      </c>
      <c r="C71" s="232" t="s">
        <v>93</v>
      </c>
      <c r="D71" s="215" t="s">
        <v>94</v>
      </c>
      <c r="E71" s="233"/>
      <c r="F71" s="233">
        <v>5.3879999999999999</v>
      </c>
      <c r="G71" s="233">
        <f>F71*E66</f>
        <v>26.673293999999999</v>
      </c>
      <c r="H71" s="233">
        <f t="shared" si="6"/>
        <v>26.673293999999999</v>
      </c>
      <c r="I71" s="234" t="str">
        <f t="shared" si="7"/>
        <v xml:space="preserve"> </v>
      </c>
      <c r="J71" s="235" t="str">
        <f t="shared" si="8"/>
        <v xml:space="preserve"> </v>
      </c>
      <c r="K71" s="235"/>
    </row>
    <row r="72" spans="1:11" x14ac:dyDescent="0.2">
      <c r="A72" s="231"/>
      <c r="B72" s="215" t="s">
        <v>1092</v>
      </c>
      <c r="C72" s="232" t="s">
        <v>102</v>
      </c>
      <c r="D72" s="215" t="s">
        <v>103</v>
      </c>
      <c r="E72" s="233"/>
      <c r="F72" s="233">
        <v>23.000000000000004</v>
      </c>
      <c r="G72" s="233">
        <f>F72*E66</f>
        <v>113.86150000000002</v>
      </c>
      <c r="H72" s="233">
        <f t="shared" si="6"/>
        <v>113.86150000000002</v>
      </c>
      <c r="I72" s="234" t="str">
        <f t="shared" si="7"/>
        <v xml:space="preserve"> </v>
      </c>
      <c r="J72" s="235" t="str">
        <f t="shared" si="8"/>
        <v xml:space="preserve"> </v>
      </c>
      <c r="K72" s="235"/>
    </row>
    <row r="73" spans="1:11" ht="24" x14ac:dyDescent="0.2">
      <c r="A73" s="231"/>
      <c r="B73" s="215" t="s">
        <v>107</v>
      </c>
      <c r="C73" s="232" t="s">
        <v>108</v>
      </c>
      <c r="D73" s="215" t="s">
        <v>103</v>
      </c>
      <c r="E73" s="233"/>
      <c r="F73" s="233">
        <v>12</v>
      </c>
      <c r="G73" s="233">
        <f>F73*E66</f>
        <v>59.405999999999999</v>
      </c>
      <c r="H73" s="233">
        <f t="shared" si="6"/>
        <v>59.405999999999999</v>
      </c>
      <c r="I73" s="234" t="str">
        <f t="shared" si="7"/>
        <v xml:space="preserve"> </v>
      </c>
      <c r="J73" s="235" t="str">
        <f t="shared" si="8"/>
        <v xml:space="preserve"> </v>
      </c>
      <c r="K73" s="235"/>
    </row>
    <row r="74" spans="1:11" x14ac:dyDescent="0.2">
      <c r="A74" s="231"/>
      <c r="B74" s="215" t="s">
        <v>1092</v>
      </c>
      <c r="C74" s="232" t="s">
        <v>113</v>
      </c>
      <c r="D74" s="215" t="s">
        <v>103</v>
      </c>
      <c r="E74" s="233"/>
      <c r="F74" s="233">
        <v>12</v>
      </c>
      <c r="G74" s="233">
        <f>F74*E66</f>
        <v>59.405999999999999</v>
      </c>
      <c r="H74" s="233">
        <f t="shared" si="6"/>
        <v>59.405999999999999</v>
      </c>
      <c r="I74" s="234" t="str">
        <f t="shared" si="7"/>
        <v xml:space="preserve"> </v>
      </c>
      <c r="J74" s="235" t="str">
        <f t="shared" si="8"/>
        <v xml:space="preserve"> </v>
      </c>
      <c r="K74" s="235"/>
    </row>
    <row r="75" spans="1:11" ht="36" x14ac:dyDescent="0.2">
      <c r="A75" s="231"/>
      <c r="B75" s="215" t="s">
        <v>1092</v>
      </c>
      <c r="C75" s="232" t="s">
        <v>118</v>
      </c>
      <c r="D75" s="215" t="s">
        <v>33</v>
      </c>
      <c r="E75" s="233"/>
      <c r="F75" s="233">
        <v>9.5101504898495112E-4</v>
      </c>
      <c r="G75" s="233">
        <f>F75*E66</f>
        <v>4.7080000000000004E-3</v>
      </c>
      <c r="H75" s="233">
        <f t="shared" si="6"/>
        <v>4.7080000000000004E-3</v>
      </c>
      <c r="I75" s="234" t="str">
        <f t="shared" si="7"/>
        <v xml:space="preserve"> </v>
      </c>
      <c r="J75" s="235" t="str">
        <f t="shared" si="8"/>
        <v xml:space="preserve"> </v>
      </c>
      <c r="K75" s="235"/>
    </row>
    <row r="76" spans="1:11" ht="60" x14ac:dyDescent="0.2">
      <c r="A76" s="227" t="s">
        <v>254</v>
      </c>
      <c r="B76" s="228" t="s">
        <v>67</v>
      </c>
      <c r="C76" s="228" t="s">
        <v>255</v>
      </c>
      <c r="D76" s="228" t="s">
        <v>21</v>
      </c>
      <c r="E76" s="229">
        <f>Source!I163</f>
        <v>0.34599999999999997</v>
      </c>
      <c r="F76" s="229"/>
      <c r="G76" s="229"/>
      <c r="H76" s="229"/>
      <c r="I76" s="229"/>
      <c r="J76" s="230"/>
      <c r="K76" s="230"/>
    </row>
    <row r="77" spans="1:11" x14ac:dyDescent="0.2">
      <c r="A77" s="231"/>
      <c r="B77" s="215" t="s">
        <v>1092</v>
      </c>
      <c r="C77" s="232" t="s">
        <v>72</v>
      </c>
      <c r="D77" s="215" t="s">
        <v>33</v>
      </c>
      <c r="E77" s="233"/>
      <c r="F77" s="233">
        <v>4.20014450867052E-3</v>
      </c>
      <c r="G77" s="233">
        <f>F77*E76</f>
        <v>1.4532499999999999E-3</v>
      </c>
      <c r="H77" s="233">
        <f t="shared" ref="H77:H85" si="9">G77</f>
        <v>1.4532499999999999E-3</v>
      </c>
      <c r="I77" s="234" t="str">
        <f t="shared" ref="I77:I85" si="10">IF(AND((G77-H77)&lt;0,H77&gt;0),ABS(G77-H77)," ")</f>
        <v xml:space="preserve"> </v>
      </c>
      <c r="J77" s="235" t="str">
        <f t="shared" ref="J77:J85" si="11">IF(AND((G77-H77)&gt;0, H77&gt;0),G77-H77," ")</f>
        <v xml:space="preserve"> </v>
      </c>
      <c r="K77" s="235"/>
    </row>
    <row r="78" spans="1:11" ht="24" x14ac:dyDescent="0.2">
      <c r="A78" s="231"/>
      <c r="B78" s="215" t="s">
        <v>76</v>
      </c>
      <c r="C78" s="232" t="s">
        <v>245</v>
      </c>
      <c r="D78" s="215" t="s">
        <v>78</v>
      </c>
      <c r="E78" s="233"/>
      <c r="F78" s="233">
        <v>2.5</v>
      </c>
      <c r="G78" s="233">
        <f>F78*E76</f>
        <v>0.86499999999999999</v>
      </c>
      <c r="H78" s="233">
        <f t="shared" si="9"/>
        <v>0.86499999999999999</v>
      </c>
      <c r="I78" s="234" t="str">
        <f t="shared" si="10"/>
        <v xml:space="preserve"> </v>
      </c>
      <c r="J78" s="235" t="str">
        <f t="shared" si="11"/>
        <v xml:space="preserve"> </v>
      </c>
      <c r="K78" s="235"/>
    </row>
    <row r="79" spans="1:11" ht="24" x14ac:dyDescent="0.2">
      <c r="A79" s="231"/>
      <c r="B79" s="215" t="s">
        <v>82</v>
      </c>
      <c r="C79" s="232" t="s">
        <v>247</v>
      </c>
      <c r="D79" s="215" t="s">
        <v>78</v>
      </c>
      <c r="E79" s="233"/>
      <c r="F79" s="233">
        <v>2.5</v>
      </c>
      <c r="G79" s="233">
        <f>F79*E76</f>
        <v>0.86499999999999999</v>
      </c>
      <c r="H79" s="233">
        <f t="shared" si="9"/>
        <v>0.86499999999999999</v>
      </c>
      <c r="I79" s="234" t="str">
        <f t="shared" si="10"/>
        <v xml:space="preserve"> </v>
      </c>
      <c r="J79" s="235" t="str">
        <f t="shared" si="11"/>
        <v xml:space="preserve"> </v>
      </c>
      <c r="K79" s="235"/>
    </row>
    <row r="80" spans="1:11" ht="24" x14ac:dyDescent="0.2">
      <c r="A80" s="231"/>
      <c r="B80" s="215" t="s">
        <v>1092</v>
      </c>
      <c r="C80" s="232" t="s">
        <v>88</v>
      </c>
      <c r="D80" s="215" t="s">
        <v>44</v>
      </c>
      <c r="E80" s="233"/>
      <c r="F80" s="233">
        <v>2.5375000000000001</v>
      </c>
      <c r="G80" s="233">
        <f>F80*E76</f>
        <v>0.87797499999999995</v>
      </c>
      <c r="H80" s="233">
        <f t="shared" si="9"/>
        <v>0.87797499999999995</v>
      </c>
      <c r="I80" s="234" t="str">
        <f t="shared" si="10"/>
        <v xml:space="preserve"> </v>
      </c>
      <c r="J80" s="235" t="str">
        <f t="shared" si="11"/>
        <v xml:space="preserve"> </v>
      </c>
      <c r="K80" s="235"/>
    </row>
    <row r="81" spans="1:11" x14ac:dyDescent="0.2">
      <c r="A81" s="231"/>
      <c r="B81" s="215" t="s">
        <v>1092</v>
      </c>
      <c r="C81" s="232" t="s">
        <v>93</v>
      </c>
      <c r="D81" s="215" t="s">
        <v>94</v>
      </c>
      <c r="E81" s="233"/>
      <c r="F81" s="233">
        <v>5.3879999999999999</v>
      </c>
      <c r="G81" s="233">
        <f>F81*E76</f>
        <v>1.8642479999999999</v>
      </c>
      <c r="H81" s="233">
        <f t="shared" si="9"/>
        <v>1.8642479999999999</v>
      </c>
      <c r="I81" s="234" t="str">
        <f t="shared" si="10"/>
        <v xml:space="preserve"> </v>
      </c>
      <c r="J81" s="235" t="str">
        <f t="shared" si="11"/>
        <v xml:space="preserve"> </v>
      </c>
      <c r="K81" s="235"/>
    </row>
    <row r="82" spans="1:11" x14ac:dyDescent="0.2">
      <c r="A82" s="231"/>
      <c r="B82" s="215" t="s">
        <v>1092</v>
      </c>
      <c r="C82" s="232" t="s">
        <v>102</v>
      </c>
      <c r="D82" s="215" t="s">
        <v>103</v>
      </c>
      <c r="E82" s="233"/>
      <c r="F82" s="233">
        <v>23.000000000000004</v>
      </c>
      <c r="G82" s="233">
        <f>F82*E76</f>
        <v>7.9580000000000011</v>
      </c>
      <c r="H82" s="233">
        <f t="shared" si="9"/>
        <v>7.9580000000000011</v>
      </c>
      <c r="I82" s="234" t="str">
        <f t="shared" si="10"/>
        <v xml:space="preserve"> </v>
      </c>
      <c r="J82" s="235" t="str">
        <f t="shared" si="11"/>
        <v xml:space="preserve"> </v>
      </c>
      <c r="K82" s="235"/>
    </row>
    <row r="83" spans="1:11" ht="24" x14ac:dyDescent="0.2">
      <c r="A83" s="231"/>
      <c r="B83" s="215" t="s">
        <v>107</v>
      </c>
      <c r="C83" s="232" t="s">
        <v>108</v>
      </c>
      <c r="D83" s="215" t="s">
        <v>103</v>
      </c>
      <c r="E83" s="233"/>
      <c r="F83" s="233">
        <v>12.000000000000002</v>
      </c>
      <c r="G83" s="233">
        <f>F83*E76</f>
        <v>4.1520000000000001</v>
      </c>
      <c r="H83" s="233">
        <f t="shared" si="9"/>
        <v>4.1520000000000001</v>
      </c>
      <c r="I83" s="234" t="str">
        <f t="shared" si="10"/>
        <v xml:space="preserve"> </v>
      </c>
      <c r="J83" s="235" t="str">
        <f t="shared" si="11"/>
        <v xml:space="preserve"> </v>
      </c>
      <c r="K83" s="235"/>
    </row>
    <row r="84" spans="1:11" x14ac:dyDescent="0.2">
      <c r="A84" s="231"/>
      <c r="B84" s="215" t="s">
        <v>1092</v>
      </c>
      <c r="C84" s="232" t="s">
        <v>113</v>
      </c>
      <c r="D84" s="215" t="s">
        <v>103</v>
      </c>
      <c r="E84" s="233"/>
      <c r="F84" s="233">
        <v>12.000000000000002</v>
      </c>
      <c r="G84" s="233">
        <f>F84*E76</f>
        <v>4.1520000000000001</v>
      </c>
      <c r="H84" s="233">
        <f t="shared" si="9"/>
        <v>4.1520000000000001</v>
      </c>
      <c r="I84" s="234" t="str">
        <f t="shared" si="10"/>
        <v xml:space="preserve"> </v>
      </c>
      <c r="J84" s="235" t="str">
        <f t="shared" si="11"/>
        <v xml:space="preserve"> </v>
      </c>
      <c r="K84" s="235"/>
    </row>
    <row r="85" spans="1:11" ht="36" x14ac:dyDescent="0.2">
      <c r="A85" s="231"/>
      <c r="B85" s="215" t="s">
        <v>1092</v>
      </c>
      <c r="C85" s="232" t="s">
        <v>118</v>
      </c>
      <c r="D85" s="215" t="s">
        <v>33</v>
      </c>
      <c r="E85" s="233"/>
      <c r="F85" s="233">
        <v>9.5086705202312137E-4</v>
      </c>
      <c r="G85" s="233">
        <f>F85*E76</f>
        <v>3.2899999999999997E-4</v>
      </c>
      <c r="H85" s="233">
        <f t="shared" si="9"/>
        <v>3.2899999999999997E-4</v>
      </c>
      <c r="I85" s="234" t="str">
        <f t="shared" si="10"/>
        <v xml:space="preserve"> </v>
      </c>
      <c r="J85" s="235" t="str">
        <f t="shared" si="11"/>
        <v xml:space="preserve"> </v>
      </c>
      <c r="K85" s="235"/>
    </row>
    <row r="86" spans="1:11" ht="60" x14ac:dyDescent="0.2">
      <c r="A86" s="227" t="s">
        <v>265</v>
      </c>
      <c r="B86" s="228" t="s">
        <v>266</v>
      </c>
      <c r="C86" s="228" t="s">
        <v>267</v>
      </c>
      <c r="D86" s="228" t="s">
        <v>21</v>
      </c>
      <c r="E86" s="229">
        <f>Source!I183</f>
        <v>6.2257499999999997</v>
      </c>
      <c r="F86" s="229"/>
      <c r="G86" s="229"/>
      <c r="H86" s="229"/>
      <c r="I86" s="229"/>
      <c r="J86" s="230"/>
      <c r="K86" s="230"/>
    </row>
    <row r="87" spans="1:11" x14ac:dyDescent="0.2">
      <c r="A87" s="231"/>
      <c r="B87" s="215" t="s">
        <v>1092</v>
      </c>
      <c r="C87" s="232" t="s">
        <v>72</v>
      </c>
      <c r="D87" s="215" t="s">
        <v>33</v>
      </c>
      <c r="E87" s="233"/>
      <c r="F87" s="233">
        <v>4.2000160623218092E-3</v>
      </c>
      <c r="G87" s="233">
        <f>F87*E86</f>
        <v>2.6148250000000001E-2</v>
      </c>
      <c r="H87" s="233">
        <f t="shared" ref="H87:H95" si="12">G87</f>
        <v>2.6148250000000001E-2</v>
      </c>
      <c r="I87" s="234" t="str">
        <f t="shared" ref="I87:I95" si="13">IF(AND((G87-H87)&lt;0,H87&gt;0),ABS(G87-H87)," ")</f>
        <v xml:space="preserve"> </v>
      </c>
      <c r="J87" s="235" t="str">
        <f t="shared" ref="J87:J95" si="14">IF(AND((G87-H87)&gt;0, H87&gt;0),G87-H87," ")</f>
        <v xml:space="preserve"> </v>
      </c>
      <c r="K87" s="235"/>
    </row>
    <row r="88" spans="1:11" ht="24" x14ac:dyDescent="0.2">
      <c r="A88" s="231"/>
      <c r="B88" s="215" t="s">
        <v>76</v>
      </c>
      <c r="C88" s="232" t="s">
        <v>271</v>
      </c>
      <c r="D88" s="215" t="s">
        <v>78</v>
      </c>
      <c r="E88" s="233"/>
      <c r="F88" s="233">
        <v>0.9181223145805727</v>
      </c>
      <c r="G88" s="233">
        <f>F88*E86</f>
        <v>5.7160000000000002</v>
      </c>
      <c r="H88" s="233">
        <f t="shared" si="12"/>
        <v>5.7160000000000002</v>
      </c>
      <c r="I88" s="234" t="str">
        <f t="shared" si="13"/>
        <v xml:space="preserve"> </v>
      </c>
      <c r="J88" s="235" t="str">
        <f t="shared" si="14"/>
        <v xml:space="preserve"> </v>
      </c>
      <c r="K88" s="235"/>
    </row>
    <row r="89" spans="1:11" ht="24" x14ac:dyDescent="0.2">
      <c r="A89" s="231"/>
      <c r="B89" s="215" t="s">
        <v>82</v>
      </c>
      <c r="C89" s="232" t="s">
        <v>273</v>
      </c>
      <c r="D89" s="215" t="s">
        <v>78</v>
      </c>
      <c r="E89" s="233"/>
      <c r="F89" s="233">
        <v>0.9181223145805727</v>
      </c>
      <c r="G89" s="233">
        <f>F89*E86</f>
        <v>5.7160000000000002</v>
      </c>
      <c r="H89" s="233">
        <f t="shared" si="12"/>
        <v>5.7160000000000002</v>
      </c>
      <c r="I89" s="234" t="str">
        <f t="shared" si="13"/>
        <v xml:space="preserve"> </v>
      </c>
      <c r="J89" s="235" t="str">
        <f t="shared" si="14"/>
        <v xml:space="preserve"> </v>
      </c>
      <c r="K89" s="235"/>
    </row>
    <row r="90" spans="1:11" ht="24" x14ac:dyDescent="0.2">
      <c r="A90" s="231"/>
      <c r="B90" s="215" t="s">
        <v>1092</v>
      </c>
      <c r="C90" s="232" t="s">
        <v>88</v>
      </c>
      <c r="D90" s="215" t="s">
        <v>44</v>
      </c>
      <c r="E90" s="233"/>
      <c r="F90" s="233">
        <v>1.4640324458900533</v>
      </c>
      <c r="G90" s="233">
        <f>F90*E86</f>
        <v>9.1146999999999991</v>
      </c>
      <c r="H90" s="233">
        <f t="shared" si="12"/>
        <v>9.1146999999999991</v>
      </c>
      <c r="I90" s="234" t="str">
        <f t="shared" si="13"/>
        <v xml:space="preserve"> </v>
      </c>
      <c r="J90" s="235" t="str">
        <f t="shared" si="14"/>
        <v xml:space="preserve"> </v>
      </c>
      <c r="K90" s="235"/>
    </row>
    <row r="91" spans="1:11" x14ac:dyDescent="0.2">
      <c r="A91" s="231"/>
      <c r="B91" s="215" t="s">
        <v>1092</v>
      </c>
      <c r="C91" s="232" t="s">
        <v>93</v>
      </c>
      <c r="D91" s="215" t="s">
        <v>94</v>
      </c>
      <c r="E91" s="233"/>
      <c r="F91" s="233">
        <v>5.3880000000000008</v>
      </c>
      <c r="G91" s="233">
        <f>F91*E86</f>
        <v>33.544341000000003</v>
      </c>
      <c r="H91" s="233">
        <f t="shared" si="12"/>
        <v>33.544341000000003</v>
      </c>
      <c r="I91" s="234" t="str">
        <f t="shared" si="13"/>
        <v xml:space="preserve"> </v>
      </c>
      <c r="J91" s="235" t="str">
        <f t="shared" si="14"/>
        <v xml:space="preserve"> </v>
      </c>
      <c r="K91" s="235"/>
    </row>
    <row r="92" spans="1:11" x14ac:dyDescent="0.2">
      <c r="A92" s="231"/>
      <c r="B92" s="215" t="s">
        <v>1092</v>
      </c>
      <c r="C92" s="232" t="s">
        <v>102</v>
      </c>
      <c r="D92" s="215" t="s">
        <v>103</v>
      </c>
      <c r="E92" s="233"/>
      <c r="F92" s="233">
        <v>23</v>
      </c>
      <c r="G92" s="233">
        <f>F92*E86</f>
        <v>143.19225</v>
      </c>
      <c r="H92" s="233">
        <f t="shared" si="12"/>
        <v>143.19225</v>
      </c>
      <c r="I92" s="234" t="str">
        <f t="shared" si="13"/>
        <v xml:space="preserve"> </v>
      </c>
      <c r="J92" s="235" t="str">
        <f t="shared" si="14"/>
        <v xml:space="preserve"> </v>
      </c>
      <c r="K92" s="235"/>
    </row>
    <row r="93" spans="1:11" ht="24" x14ac:dyDescent="0.2">
      <c r="A93" s="231"/>
      <c r="B93" s="215" t="s">
        <v>107</v>
      </c>
      <c r="C93" s="232" t="s">
        <v>108</v>
      </c>
      <c r="D93" s="215" t="s">
        <v>103</v>
      </c>
      <c r="E93" s="233"/>
      <c r="F93" s="233">
        <v>12.000000000000002</v>
      </c>
      <c r="G93" s="233">
        <f>F93*E86</f>
        <v>74.709000000000003</v>
      </c>
      <c r="H93" s="233">
        <f t="shared" si="12"/>
        <v>74.709000000000003</v>
      </c>
      <c r="I93" s="234" t="str">
        <f t="shared" si="13"/>
        <v xml:space="preserve"> </v>
      </c>
      <c r="J93" s="235" t="str">
        <f t="shared" si="14"/>
        <v xml:space="preserve"> </v>
      </c>
      <c r="K93" s="235"/>
    </row>
    <row r="94" spans="1:11" x14ac:dyDescent="0.2">
      <c r="A94" s="231"/>
      <c r="B94" s="215" t="s">
        <v>1092</v>
      </c>
      <c r="C94" s="232" t="s">
        <v>113</v>
      </c>
      <c r="D94" s="215" t="s">
        <v>103</v>
      </c>
      <c r="E94" s="233"/>
      <c r="F94" s="233">
        <v>12.000000000000002</v>
      </c>
      <c r="G94" s="233">
        <f>F94*E86</f>
        <v>74.709000000000003</v>
      </c>
      <c r="H94" s="233">
        <f t="shared" si="12"/>
        <v>74.709000000000003</v>
      </c>
      <c r="I94" s="234" t="str">
        <f t="shared" si="13"/>
        <v xml:space="preserve"> </v>
      </c>
      <c r="J94" s="235" t="str">
        <f t="shared" si="14"/>
        <v xml:space="preserve"> </v>
      </c>
      <c r="K94" s="235"/>
    </row>
    <row r="95" spans="1:11" ht="36" x14ac:dyDescent="0.2">
      <c r="A95" s="231"/>
      <c r="B95" s="215" t="s">
        <v>1092</v>
      </c>
      <c r="C95" s="232" t="s">
        <v>118</v>
      </c>
      <c r="D95" s="215" t="s">
        <v>33</v>
      </c>
      <c r="E95" s="233"/>
      <c r="F95" s="233">
        <v>9.5100991848371687E-4</v>
      </c>
      <c r="G95" s="233">
        <f>F95*E86</f>
        <v>5.9207499999999998E-3</v>
      </c>
      <c r="H95" s="233">
        <f t="shared" si="12"/>
        <v>5.9207499999999998E-3</v>
      </c>
      <c r="I95" s="234" t="str">
        <f t="shared" si="13"/>
        <v xml:space="preserve"> </v>
      </c>
      <c r="J95" s="235" t="str">
        <f t="shared" si="14"/>
        <v xml:space="preserve"> </v>
      </c>
      <c r="K95" s="235"/>
    </row>
    <row r="96" spans="1:11" ht="60" x14ac:dyDescent="0.2">
      <c r="A96" s="227" t="s">
        <v>280</v>
      </c>
      <c r="B96" s="228" t="s">
        <v>281</v>
      </c>
      <c r="C96" s="228" t="s">
        <v>282</v>
      </c>
      <c r="D96" s="228" t="s">
        <v>21</v>
      </c>
      <c r="E96" s="229">
        <f>Source!I203</f>
        <v>29.320499999999999</v>
      </c>
      <c r="F96" s="229"/>
      <c r="G96" s="229"/>
      <c r="H96" s="229"/>
      <c r="I96" s="229"/>
      <c r="J96" s="230"/>
      <c r="K96" s="230"/>
    </row>
    <row r="97" spans="1:11" x14ac:dyDescent="0.2">
      <c r="A97" s="231"/>
      <c r="B97" s="215" t="s">
        <v>1092</v>
      </c>
      <c r="C97" s="232" t="s">
        <v>72</v>
      </c>
      <c r="D97" s="215" t="s">
        <v>33</v>
      </c>
      <c r="E97" s="233"/>
      <c r="F97" s="233">
        <v>4.2010027114135163E-3</v>
      </c>
      <c r="G97" s="233">
        <f>F97*E96</f>
        <v>0.12317550000000001</v>
      </c>
      <c r="H97" s="233">
        <f t="shared" ref="H97:H105" si="15">G97</f>
        <v>0.12317550000000001</v>
      </c>
      <c r="I97" s="234" t="str">
        <f t="shared" ref="I97:I105" si="16">IF(AND((G97-H97)&lt;0,H97&gt;0),ABS(G97-H97)," ")</f>
        <v xml:space="preserve"> </v>
      </c>
      <c r="J97" s="235" t="str">
        <f t="shared" ref="J97:J105" si="17">IF(AND((G97-H97)&gt;0, H97&gt;0),G97-H97," ")</f>
        <v xml:space="preserve"> </v>
      </c>
      <c r="K97" s="235"/>
    </row>
    <row r="98" spans="1:11" ht="24" x14ac:dyDescent="0.2">
      <c r="A98" s="231"/>
      <c r="B98" s="215" t="s">
        <v>76</v>
      </c>
      <c r="C98" s="232" t="s">
        <v>286</v>
      </c>
      <c r="D98" s="215" t="s">
        <v>78</v>
      </c>
      <c r="E98" s="233"/>
      <c r="F98" s="233">
        <v>1.7240497263007111</v>
      </c>
      <c r="G98" s="233">
        <f>F98*E96</f>
        <v>50.55</v>
      </c>
      <c r="H98" s="233">
        <f t="shared" si="15"/>
        <v>50.55</v>
      </c>
      <c r="I98" s="234" t="str">
        <f t="shared" si="16"/>
        <v xml:space="preserve"> </v>
      </c>
      <c r="J98" s="235" t="str">
        <f t="shared" si="17"/>
        <v xml:space="preserve"> </v>
      </c>
      <c r="K98" s="235"/>
    </row>
    <row r="99" spans="1:11" ht="24" x14ac:dyDescent="0.2">
      <c r="A99" s="231"/>
      <c r="B99" s="215" t="s">
        <v>82</v>
      </c>
      <c r="C99" s="232" t="s">
        <v>288</v>
      </c>
      <c r="D99" s="215" t="s">
        <v>78</v>
      </c>
      <c r="E99" s="233"/>
      <c r="F99" s="233">
        <v>1.7240497263007111</v>
      </c>
      <c r="G99" s="233">
        <f>F99*E96</f>
        <v>50.55</v>
      </c>
      <c r="H99" s="233">
        <f t="shared" si="15"/>
        <v>50.55</v>
      </c>
      <c r="I99" s="234" t="str">
        <f t="shared" si="16"/>
        <v xml:space="preserve"> </v>
      </c>
      <c r="J99" s="235" t="str">
        <f t="shared" si="17"/>
        <v xml:space="preserve"> </v>
      </c>
      <c r="K99" s="235"/>
    </row>
    <row r="100" spans="1:11" ht="24" x14ac:dyDescent="0.2">
      <c r="A100" s="231"/>
      <c r="B100" s="215" t="s">
        <v>1092</v>
      </c>
      <c r="C100" s="232" t="s">
        <v>88</v>
      </c>
      <c r="D100" s="215" t="s">
        <v>44</v>
      </c>
      <c r="E100" s="233"/>
      <c r="F100" s="233">
        <v>1.9299210450026432</v>
      </c>
      <c r="G100" s="233">
        <f>F100*E96</f>
        <v>56.58625</v>
      </c>
      <c r="H100" s="233">
        <f t="shared" si="15"/>
        <v>56.58625</v>
      </c>
      <c r="I100" s="234" t="str">
        <f t="shared" si="16"/>
        <v xml:space="preserve"> </v>
      </c>
      <c r="J100" s="235" t="str">
        <f t="shared" si="17"/>
        <v xml:space="preserve"> </v>
      </c>
      <c r="K100" s="235"/>
    </row>
    <row r="101" spans="1:11" x14ac:dyDescent="0.2">
      <c r="A101" s="231"/>
      <c r="B101" s="215" t="s">
        <v>1092</v>
      </c>
      <c r="C101" s="232" t="s">
        <v>93</v>
      </c>
      <c r="D101" s="215" t="s">
        <v>94</v>
      </c>
      <c r="E101" s="233"/>
      <c r="F101" s="233">
        <v>5.3880000000000008</v>
      </c>
      <c r="G101" s="233">
        <f>F101*E96</f>
        <v>157.97885400000001</v>
      </c>
      <c r="H101" s="233">
        <f t="shared" si="15"/>
        <v>157.97885400000001</v>
      </c>
      <c r="I101" s="234" t="str">
        <f t="shared" si="16"/>
        <v xml:space="preserve"> </v>
      </c>
      <c r="J101" s="235" t="str">
        <f t="shared" si="17"/>
        <v xml:space="preserve"> </v>
      </c>
      <c r="K101" s="235"/>
    </row>
    <row r="102" spans="1:11" x14ac:dyDescent="0.2">
      <c r="A102" s="231"/>
      <c r="B102" s="215" t="s">
        <v>1092</v>
      </c>
      <c r="C102" s="232" t="s">
        <v>102</v>
      </c>
      <c r="D102" s="215" t="s">
        <v>103</v>
      </c>
      <c r="E102" s="233"/>
      <c r="F102" s="233">
        <v>23</v>
      </c>
      <c r="G102" s="233">
        <f>F102*E96</f>
        <v>674.37149999999997</v>
      </c>
      <c r="H102" s="233">
        <f t="shared" si="15"/>
        <v>674.37149999999997</v>
      </c>
      <c r="I102" s="234" t="str">
        <f t="shared" si="16"/>
        <v xml:space="preserve"> </v>
      </c>
      <c r="J102" s="235" t="str">
        <f t="shared" si="17"/>
        <v xml:space="preserve"> </v>
      </c>
      <c r="K102" s="235"/>
    </row>
    <row r="103" spans="1:11" ht="24" x14ac:dyDescent="0.2">
      <c r="A103" s="231"/>
      <c r="B103" s="215" t="s">
        <v>107</v>
      </c>
      <c r="C103" s="232" t="s">
        <v>108</v>
      </c>
      <c r="D103" s="215" t="s">
        <v>103</v>
      </c>
      <c r="E103" s="233"/>
      <c r="F103" s="233">
        <v>12</v>
      </c>
      <c r="G103" s="233">
        <f>F103*E96</f>
        <v>351.846</v>
      </c>
      <c r="H103" s="233">
        <f t="shared" si="15"/>
        <v>351.846</v>
      </c>
      <c r="I103" s="234" t="str">
        <f t="shared" si="16"/>
        <v xml:space="preserve"> </v>
      </c>
      <c r="J103" s="235" t="str">
        <f t="shared" si="17"/>
        <v xml:space="preserve"> </v>
      </c>
      <c r="K103" s="235"/>
    </row>
    <row r="104" spans="1:11" x14ac:dyDescent="0.2">
      <c r="A104" s="231"/>
      <c r="B104" s="215" t="s">
        <v>1092</v>
      </c>
      <c r="C104" s="232" t="s">
        <v>113</v>
      </c>
      <c r="D104" s="215" t="s">
        <v>103</v>
      </c>
      <c r="E104" s="233"/>
      <c r="F104" s="233">
        <v>12</v>
      </c>
      <c r="G104" s="233">
        <f>F104*E96</f>
        <v>351.846</v>
      </c>
      <c r="H104" s="233">
        <f t="shared" si="15"/>
        <v>351.846</v>
      </c>
      <c r="I104" s="234" t="str">
        <f t="shared" si="16"/>
        <v xml:space="preserve"> </v>
      </c>
      <c r="J104" s="235" t="str">
        <f t="shared" si="17"/>
        <v xml:space="preserve"> </v>
      </c>
      <c r="K104" s="235"/>
    </row>
    <row r="105" spans="1:11" ht="36" x14ac:dyDescent="0.2">
      <c r="A105" s="231"/>
      <c r="B105" s="215" t="s">
        <v>1092</v>
      </c>
      <c r="C105" s="232" t="s">
        <v>118</v>
      </c>
      <c r="D105" s="215" t="s">
        <v>33</v>
      </c>
      <c r="E105" s="233"/>
      <c r="F105" s="233">
        <v>9.5099844818471719E-4</v>
      </c>
      <c r="G105" s="233">
        <f>F105*E96</f>
        <v>2.7883749999999999E-2</v>
      </c>
      <c r="H105" s="233">
        <f t="shared" si="15"/>
        <v>2.7883749999999999E-2</v>
      </c>
      <c r="I105" s="234" t="str">
        <f t="shared" si="16"/>
        <v xml:space="preserve"> </v>
      </c>
      <c r="J105" s="235" t="str">
        <f t="shared" si="17"/>
        <v xml:space="preserve"> </v>
      </c>
      <c r="K105" s="235"/>
    </row>
    <row r="106" spans="1:11" ht="24" x14ac:dyDescent="0.2">
      <c r="A106" s="227" t="s">
        <v>295</v>
      </c>
      <c r="B106" s="228" t="s">
        <v>296</v>
      </c>
      <c r="C106" s="228" t="s">
        <v>297</v>
      </c>
      <c r="D106" s="228" t="s">
        <v>298</v>
      </c>
      <c r="E106" s="229">
        <f>Source!I223</f>
        <v>0.12</v>
      </c>
      <c r="F106" s="229"/>
      <c r="G106" s="229"/>
      <c r="H106" s="229"/>
      <c r="I106" s="229"/>
      <c r="J106" s="230"/>
      <c r="K106" s="230"/>
    </row>
    <row r="107" spans="1:11" x14ac:dyDescent="0.2">
      <c r="A107" s="231"/>
      <c r="B107" s="215" t="s">
        <v>303</v>
      </c>
      <c r="C107" s="232" t="s">
        <v>304</v>
      </c>
      <c r="D107" s="215" t="s">
        <v>305</v>
      </c>
      <c r="E107" s="233"/>
      <c r="F107" s="233">
        <v>28.37</v>
      </c>
      <c r="G107" s="233">
        <f>F107*E106</f>
        <v>3.4043999999999999</v>
      </c>
      <c r="H107" s="233">
        <f>G107</f>
        <v>3.4043999999999999</v>
      </c>
      <c r="I107" s="234" t="str">
        <f>IF(AND((G107-H107)&lt;0,H107&gt;0),ABS(G107-H107)," ")</f>
        <v xml:space="preserve"> </v>
      </c>
      <c r="J107" s="235" t="str">
        <f>IF(AND((G107-H107)&gt;0, H107&gt;0),G107-H107," ")</f>
        <v xml:space="preserve"> </v>
      </c>
      <c r="K107" s="235"/>
    </row>
    <row r="108" spans="1:11" ht="36" x14ac:dyDescent="0.2">
      <c r="A108" s="227" t="s">
        <v>308</v>
      </c>
      <c r="B108" s="228" t="s">
        <v>309</v>
      </c>
      <c r="C108" s="228" t="s">
        <v>310</v>
      </c>
      <c r="D108" s="228" t="s">
        <v>298</v>
      </c>
      <c r="E108" s="229">
        <f>Source!I227</f>
        <v>0.72</v>
      </c>
      <c r="F108" s="229"/>
      <c r="G108" s="229"/>
      <c r="H108" s="229"/>
      <c r="I108" s="229"/>
      <c r="J108" s="230"/>
      <c r="K108" s="230"/>
    </row>
    <row r="109" spans="1:11" x14ac:dyDescent="0.2">
      <c r="A109" s="231"/>
      <c r="B109" s="215" t="s">
        <v>1092</v>
      </c>
      <c r="C109" s="232" t="s">
        <v>317</v>
      </c>
      <c r="D109" s="215" t="s">
        <v>33</v>
      </c>
      <c r="E109" s="233"/>
      <c r="F109" s="233">
        <v>2.204861111111111E-3</v>
      </c>
      <c r="G109" s="233">
        <f>F109*E108</f>
        <v>1.5874999999999999E-3</v>
      </c>
      <c r="H109" s="233">
        <f>G109</f>
        <v>1.5874999999999999E-3</v>
      </c>
      <c r="I109" s="234" t="str">
        <f>IF(AND((G109-H109)&lt;0,H109&gt;0),ABS(G109-H109)," ")</f>
        <v xml:space="preserve"> </v>
      </c>
      <c r="J109" s="235" t="str">
        <f>IF(AND((G109-H109)&gt;0, H109&gt;0),G109-H109," ")</f>
        <v xml:space="preserve"> </v>
      </c>
      <c r="K109" s="235"/>
    </row>
    <row r="110" spans="1:11" x14ac:dyDescent="0.2">
      <c r="A110" s="231"/>
      <c r="B110" s="215" t="s">
        <v>321</v>
      </c>
      <c r="C110" s="232" t="s">
        <v>322</v>
      </c>
      <c r="D110" s="215" t="s">
        <v>323</v>
      </c>
      <c r="E110" s="233"/>
      <c r="F110" s="233">
        <v>79.166666666666671</v>
      </c>
      <c r="G110" s="233">
        <f>F110*E108</f>
        <v>57</v>
      </c>
      <c r="H110" s="233">
        <f>G110</f>
        <v>57</v>
      </c>
      <c r="I110" s="234" t="str">
        <f>IF(AND((G110-H110)&lt;0,H110&gt;0),ABS(G110-H110)," ")</f>
        <v xml:space="preserve"> </v>
      </c>
      <c r="J110" s="235" t="str">
        <f>IF(AND((G110-H110)&gt;0, H110&gt;0),G110-H110," ")</f>
        <v xml:space="preserve"> </v>
      </c>
      <c r="K110" s="235"/>
    </row>
    <row r="111" spans="1:11" x14ac:dyDescent="0.2">
      <c r="A111" s="231"/>
      <c r="B111" s="215" t="s">
        <v>321</v>
      </c>
      <c r="C111" s="232" t="s">
        <v>328</v>
      </c>
      <c r="D111" s="215" t="s">
        <v>323</v>
      </c>
      <c r="E111" s="233"/>
      <c r="F111" s="233">
        <v>95.138888888888886</v>
      </c>
      <c r="G111" s="233">
        <f>F111*E108</f>
        <v>68.5</v>
      </c>
      <c r="H111" s="233">
        <f>G111</f>
        <v>68.5</v>
      </c>
      <c r="I111" s="234" t="str">
        <f>IF(AND((G111-H111)&lt;0,H111&gt;0),ABS(G111-H111)," ")</f>
        <v xml:space="preserve"> </v>
      </c>
      <c r="J111" s="235" t="str">
        <f>IF(AND((G111-H111)&gt;0, H111&gt;0),G111-H111," ")</f>
        <v xml:space="preserve"> </v>
      </c>
      <c r="K111" s="235"/>
    </row>
    <row r="112" spans="1:11" ht="48" x14ac:dyDescent="0.2">
      <c r="A112" s="231"/>
      <c r="B112" s="215" t="s">
        <v>331</v>
      </c>
      <c r="C112" s="232" t="s">
        <v>332</v>
      </c>
      <c r="D112" s="215" t="s">
        <v>333</v>
      </c>
      <c r="E112" s="233"/>
      <c r="F112" s="233">
        <v>10</v>
      </c>
      <c r="G112" s="233">
        <f>F112*E108</f>
        <v>7.1999999999999993</v>
      </c>
      <c r="H112" s="233">
        <f>G112</f>
        <v>7.1999999999999993</v>
      </c>
      <c r="I112" s="234" t="str">
        <f>IF(AND((G112-H112)&lt;0,H112&gt;0),ABS(G112-H112)," ")</f>
        <v xml:space="preserve"> </v>
      </c>
      <c r="J112" s="235" t="str">
        <f>IF(AND((G112-H112)&gt;0, H112&gt;0),G112-H112," ")</f>
        <v xml:space="preserve"> </v>
      </c>
      <c r="K112" s="235"/>
    </row>
    <row r="113" spans="1:11" ht="24" x14ac:dyDescent="0.2">
      <c r="A113" s="231"/>
      <c r="B113" s="215" t="s">
        <v>1092</v>
      </c>
      <c r="C113" s="232" t="s">
        <v>338</v>
      </c>
      <c r="D113" s="215" t="s">
        <v>44</v>
      </c>
      <c r="E113" s="233"/>
      <c r="F113" s="233">
        <v>2.1025000000000002E-2</v>
      </c>
      <c r="G113" s="233">
        <f>F113*E108</f>
        <v>1.5138E-2</v>
      </c>
      <c r="H113" s="233">
        <f>G113</f>
        <v>1.5138E-2</v>
      </c>
      <c r="I113" s="234" t="str">
        <f>IF(AND((G113-H113)&lt;0,H113&gt;0),ABS(G113-H113)," ")</f>
        <v xml:space="preserve"> </v>
      </c>
      <c r="J113" s="235" t="str">
        <f>IF(AND((G113-H113)&gt;0, H113&gt;0),G113-H113," ")</f>
        <v xml:space="preserve"> </v>
      </c>
      <c r="K113" s="235"/>
    </row>
    <row r="114" spans="1:11" ht="36" x14ac:dyDescent="0.2">
      <c r="A114" s="227" t="s">
        <v>341</v>
      </c>
      <c r="B114" s="228" t="s">
        <v>342</v>
      </c>
      <c r="C114" s="228" t="s">
        <v>343</v>
      </c>
      <c r="D114" s="228" t="s">
        <v>298</v>
      </c>
      <c r="E114" s="229">
        <f>Source!I239</f>
        <v>0.19</v>
      </c>
      <c r="F114" s="229"/>
      <c r="G114" s="229"/>
      <c r="H114" s="229"/>
      <c r="I114" s="229"/>
      <c r="J114" s="230"/>
      <c r="K114" s="230"/>
    </row>
    <row r="115" spans="1:11" x14ac:dyDescent="0.2">
      <c r="A115" s="231"/>
      <c r="B115" s="215" t="s">
        <v>1092</v>
      </c>
      <c r="C115" s="232" t="s">
        <v>317</v>
      </c>
      <c r="D115" s="215" t="s">
        <v>33</v>
      </c>
      <c r="E115" s="233"/>
      <c r="F115" s="233">
        <v>2.2000000000000001E-3</v>
      </c>
      <c r="G115" s="233">
        <f>F115*E114</f>
        <v>4.1800000000000002E-4</v>
      </c>
      <c r="H115" s="233">
        <f>G115</f>
        <v>4.1800000000000002E-4</v>
      </c>
      <c r="I115" s="234" t="str">
        <f>IF(AND((G115-H115)&lt;0,H115&gt;0),ABS(G115-H115)," ")</f>
        <v xml:space="preserve"> </v>
      </c>
      <c r="J115" s="235" t="str">
        <f>IF(AND((G115-H115)&gt;0, H115&gt;0),G115-H115," ")</f>
        <v xml:space="preserve"> </v>
      </c>
      <c r="K115" s="235"/>
    </row>
    <row r="116" spans="1:11" x14ac:dyDescent="0.2">
      <c r="A116" s="231"/>
      <c r="B116" s="215" t="s">
        <v>321</v>
      </c>
      <c r="C116" s="232" t="s">
        <v>322</v>
      </c>
      <c r="D116" s="215" t="s">
        <v>323</v>
      </c>
      <c r="E116" s="233"/>
      <c r="F116" s="233">
        <v>78.94736842105263</v>
      </c>
      <c r="G116" s="233">
        <f>F116*E114</f>
        <v>15</v>
      </c>
      <c r="H116" s="233">
        <f>G116</f>
        <v>15</v>
      </c>
      <c r="I116" s="234" t="str">
        <f>IF(AND((G116-H116)&lt;0,H116&gt;0),ABS(G116-H116)," ")</f>
        <v xml:space="preserve"> </v>
      </c>
      <c r="J116" s="235" t="str">
        <f>IF(AND((G116-H116)&gt;0, H116&gt;0),G116-H116," ")</f>
        <v xml:space="preserve"> </v>
      </c>
      <c r="K116" s="235"/>
    </row>
    <row r="117" spans="1:11" x14ac:dyDescent="0.2">
      <c r="A117" s="231"/>
      <c r="B117" s="215" t="s">
        <v>321</v>
      </c>
      <c r="C117" s="232" t="s">
        <v>328</v>
      </c>
      <c r="D117" s="215" t="s">
        <v>323</v>
      </c>
      <c r="E117" s="233"/>
      <c r="F117" s="233">
        <v>94.73684210526315</v>
      </c>
      <c r="G117" s="233">
        <f>F117*E114</f>
        <v>18</v>
      </c>
      <c r="H117" s="233">
        <f>G117</f>
        <v>18</v>
      </c>
      <c r="I117" s="234" t="str">
        <f>IF(AND((G117-H117)&lt;0,H117&gt;0),ABS(G117-H117)," ")</f>
        <v xml:space="preserve"> </v>
      </c>
      <c r="J117" s="235" t="str">
        <f>IF(AND((G117-H117)&gt;0, H117&gt;0),G117-H117," ")</f>
        <v xml:space="preserve"> </v>
      </c>
      <c r="K117" s="235"/>
    </row>
    <row r="118" spans="1:11" ht="48" x14ac:dyDescent="0.2">
      <c r="A118" s="231"/>
      <c r="B118" s="215" t="s">
        <v>349</v>
      </c>
      <c r="C118" s="232" t="s">
        <v>350</v>
      </c>
      <c r="D118" s="215" t="s">
        <v>333</v>
      </c>
      <c r="E118" s="233"/>
      <c r="F118" s="233">
        <v>10</v>
      </c>
      <c r="G118" s="233">
        <f>F118*E114</f>
        <v>1.9</v>
      </c>
      <c r="H118" s="233">
        <f>G118</f>
        <v>1.9</v>
      </c>
      <c r="I118" s="234" t="str">
        <f>IF(AND((G118-H118)&lt;0,H118&gt;0),ABS(G118-H118)," ")</f>
        <v xml:space="preserve"> </v>
      </c>
      <c r="J118" s="235" t="str">
        <f>IF(AND((G118-H118)&gt;0, H118&gt;0),G118-H118," ")</f>
        <v xml:space="preserve"> </v>
      </c>
      <c r="K118" s="235"/>
    </row>
    <row r="119" spans="1:11" ht="24" x14ac:dyDescent="0.2">
      <c r="A119" s="231"/>
      <c r="B119" s="215" t="s">
        <v>1092</v>
      </c>
      <c r="C119" s="232" t="s">
        <v>338</v>
      </c>
      <c r="D119" s="215" t="s">
        <v>44</v>
      </c>
      <c r="E119" s="233"/>
      <c r="F119" s="233">
        <v>2.0999999999999998E-2</v>
      </c>
      <c r="G119" s="233">
        <f>F119*E114</f>
        <v>3.9899999999999996E-3</v>
      </c>
      <c r="H119" s="233">
        <f>G119</f>
        <v>3.9899999999999996E-3</v>
      </c>
      <c r="I119" s="234" t="str">
        <f>IF(AND((G119-H119)&lt;0,H119&gt;0),ABS(G119-H119)," ")</f>
        <v xml:space="preserve"> </v>
      </c>
      <c r="J119" s="235" t="str">
        <f>IF(AND((G119-H119)&gt;0, H119&gt;0),G119-H119," ")</f>
        <v xml:space="preserve"> </v>
      </c>
      <c r="K119" s="235"/>
    </row>
    <row r="120" spans="1:11" ht="48" x14ac:dyDescent="0.2">
      <c r="A120" s="227" t="s">
        <v>354</v>
      </c>
      <c r="B120" s="228" t="s">
        <v>355</v>
      </c>
      <c r="C120" s="228" t="s">
        <v>356</v>
      </c>
      <c r="D120" s="228" t="s">
        <v>49</v>
      </c>
      <c r="E120" s="229">
        <f>Source!I251</f>
        <v>3.32E-2</v>
      </c>
      <c r="F120" s="229"/>
      <c r="G120" s="229"/>
      <c r="H120" s="229"/>
      <c r="I120" s="229"/>
      <c r="J120" s="230"/>
      <c r="K120" s="230"/>
    </row>
    <row r="121" spans="1:11" x14ac:dyDescent="0.2">
      <c r="A121" s="231"/>
      <c r="B121" s="215" t="s">
        <v>1092</v>
      </c>
      <c r="C121" s="232" t="s">
        <v>317</v>
      </c>
      <c r="D121" s="215" t="s">
        <v>33</v>
      </c>
      <c r="E121" s="233"/>
      <c r="F121" s="233">
        <v>6.0015060240963848E-3</v>
      </c>
      <c r="G121" s="233">
        <f>F121*E120</f>
        <v>1.9924999999999999E-4</v>
      </c>
      <c r="H121" s="233">
        <f>G121</f>
        <v>1.9924999999999999E-4</v>
      </c>
      <c r="I121" s="234" t="str">
        <f>IF(AND((G121-H121)&lt;0,H121&gt;0),ABS(G121-H121)," ")</f>
        <v xml:space="preserve"> </v>
      </c>
      <c r="J121" s="235" t="str">
        <f>IF(AND((G121-H121)&gt;0, H121&gt;0),G121-H121," ")</f>
        <v xml:space="preserve"> </v>
      </c>
      <c r="K121" s="235"/>
    </row>
    <row r="122" spans="1:11" ht="36" x14ac:dyDescent="0.2">
      <c r="A122" s="231"/>
      <c r="B122" s="215" t="s">
        <v>1092</v>
      </c>
      <c r="C122" s="232" t="s">
        <v>361</v>
      </c>
      <c r="D122" s="215" t="s">
        <v>33</v>
      </c>
      <c r="E122" s="233"/>
      <c r="F122" s="233">
        <v>0.59337349397590355</v>
      </c>
      <c r="G122" s="233">
        <f>F122*E120</f>
        <v>1.9699999999999999E-2</v>
      </c>
      <c r="H122" s="233">
        <f>G122</f>
        <v>1.9699999999999999E-2</v>
      </c>
      <c r="I122" s="234" t="str">
        <f>IF(AND((G122-H122)&lt;0,H122&gt;0),ABS(G122-H122)," ")</f>
        <v xml:space="preserve"> </v>
      </c>
      <c r="J122" s="235" t="str">
        <f>IF(AND((G122-H122)&gt;0, H122&gt;0),G122-H122," ")</f>
        <v xml:space="preserve"> </v>
      </c>
      <c r="K122" s="235"/>
    </row>
    <row r="123" spans="1:11" ht="36" x14ac:dyDescent="0.2">
      <c r="A123" s="231"/>
      <c r="B123" s="215" t="s">
        <v>1092</v>
      </c>
      <c r="C123" s="232" t="s">
        <v>366</v>
      </c>
      <c r="D123" s="215" t="s">
        <v>33</v>
      </c>
      <c r="E123" s="233"/>
      <c r="F123" s="233">
        <v>0.40662650602409639</v>
      </c>
      <c r="G123" s="233">
        <f>F123*E120</f>
        <v>1.35E-2</v>
      </c>
      <c r="H123" s="233">
        <f>G123</f>
        <v>1.35E-2</v>
      </c>
      <c r="I123" s="234" t="str">
        <f>IF(AND((G123-H123)&lt;0,H123&gt;0),ABS(G123-H123)," ")</f>
        <v xml:space="preserve"> </v>
      </c>
      <c r="J123" s="235" t="str">
        <f>IF(AND((G123-H123)&gt;0, H123&gt;0),G123-H123," ")</f>
        <v xml:space="preserve"> </v>
      </c>
      <c r="K123" s="235"/>
    </row>
    <row r="124" spans="1:11" ht="48" x14ac:dyDescent="0.2">
      <c r="A124" s="227" t="s">
        <v>368</v>
      </c>
      <c r="B124" s="228" t="s">
        <v>369</v>
      </c>
      <c r="C124" s="228" t="s">
        <v>370</v>
      </c>
      <c r="D124" s="228" t="s">
        <v>49</v>
      </c>
      <c r="E124" s="229">
        <f>Source!I259</f>
        <v>0.12559999999999999</v>
      </c>
      <c r="F124" s="229"/>
      <c r="G124" s="229"/>
      <c r="H124" s="229"/>
      <c r="I124" s="229"/>
      <c r="J124" s="230"/>
      <c r="K124" s="230"/>
    </row>
    <row r="125" spans="1:11" x14ac:dyDescent="0.2">
      <c r="A125" s="231"/>
      <c r="B125" s="215" t="s">
        <v>1092</v>
      </c>
      <c r="C125" s="232" t="s">
        <v>317</v>
      </c>
      <c r="D125" s="215" t="s">
        <v>33</v>
      </c>
      <c r="E125" s="233"/>
      <c r="F125" s="233">
        <v>5.9992038216560521E-3</v>
      </c>
      <c r="G125" s="233">
        <f>F125*E124</f>
        <v>7.5350000000000005E-4</v>
      </c>
      <c r="H125" s="233">
        <f>G125</f>
        <v>7.5350000000000005E-4</v>
      </c>
      <c r="I125" s="234" t="str">
        <f>IF(AND((G125-H125)&lt;0,H125&gt;0),ABS(G125-H125)," ")</f>
        <v xml:space="preserve"> </v>
      </c>
      <c r="J125" s="235" t="str">
        <f>IF(AND((G125-H125)&gt;0, H125&gt;0),G125-H125," ")</f>
        <v xml:space="preserve"> </v>
      </c>
      <c r="K125" s="235"/>
    </row>
    <row r="126" spans="1:11" ht="36" x14ac:dyDescent="0.2">
      <c r="A126" s="231"/>
      <c r="B126" s="215" t="s">
        <v>1092</v>
      </c>
      <c r="C126" s="232" t="s">
        <v>361</v>
      </c>
      <c r="D126" s="215" t="s">
        <v>33</v>
      </c>
      <c r="E126" s="233"/>
      <c r="F126" s="233">
        <v>1</v>
      </c>
      <c r="G126" s="233">
        <f>F126*E124</f>
        <v>0.12559999999999999</v>
      </c>
      <c r="H126" s="233">
        <f>G126</f>
        <v>0.12559999999999999</v>
      </c>
      <c r="I126" s="234" t="str">
        <f>IF(AND((G126-H126)&lt;0,H126&gt;0),ABS(G126-H126)," ")</f>
        <v xml:space="preserve"> </v>
      </c>
      <c r="J126" s="235" t="str">
        <f>IF(AND((G126-H126)&gt;0, H126&gt;0),G126-H126," ")</f>
        <v xml:space="preserve"> </v>
      </c>
      <c r="K126" s="235"/>
    </row>
    <row r="127" spans="1:11" ht="60" x14ac:dyDescent="0.2">
      <c r="A127" s="227" t="s">
        <v>374</v>
      </c>
      <c r="B127" s="228" t="s">
        <v>375</v>
      </c>
      <c r="C127" s="228" t="s">
        <v>376</v>
      </c>
      <c r="D127" s="228" t="s">
        <v>377</v>
      </c>
      <c r="E127" s="229" t="e">
        <f>Source!I265</f>
        <v>#REF!</v>
      </c>
      <c r="F127" s="229"/>
      <c r="G127" s="229"/>
      <c r="H127" s="229"/>
      <c r="I127" s="229"/>
      <c r="J127" s="230"/>
      <c r="K127" s="230"/>
    </row>
    <row r="128" spans="1:11" x14ac:dyDescent="0.2">
      <c r="A128" s="231"/>
      <c r="B128" s="215" t="s">
        <v>1092</v>
      </c>
      <c r="C128" s="232" t="s">
        <v>384</v>
      </c>
      <c r="D128" s="215" t="s">
        <v>33</v>
      </c>
      <c r="E128" s="233"/>
      <c r="F128" s="233">
        <v>2.8E-3</v>
      </c>
      <c r="G128" s="233" t="e">
        <f>F128*E127</f>
        <v>#REF!</v>
      </c>
      <c r="H128" s="233" t="e">
        <f>G128</f>
        <v>#REF!</v>
      </c>
      <c r="I128" s="234" t="e">
        <f>IF(AND((G128-H128)&lt;0,H128&gt;0),ABS(G128-H128)," ")</f>
        <v>#REF!</v>
      </c>
      <c r="J128" s="235" t="e">
        <f>IF(AND((G128-H128)&gt;0, H128&gt;0),G128-H128," ")</f>
        <v>#REF!</v>
      </c>
      <c r="K128" s="235"/>
    </row>
    <row r="129" spans="1:255" x14ac:dyDescent="0.2">
      <c r="A129" s="231"/>
      <c r="B129" s="215" t="s">
        <v>1092</v>
      </c>
      <c r="C129" s="232" t="s">
        <v>389</v>
      </c>
      <c r="D129" s="215" t="s">
        <v>33</v>
      </c>
      <c r="E129" s="233"/>
      <c r="F129" s="233">
        <v>3.7999999999999999E-2</v>
      </c>
      <c r="G129" s="233" t="e">
        <f>F129*E127</f>
        <v>#REF!</v>
      </c>
      <c r="H129" s="233" t="e">
        <f>G129</f>
        <v>#REF!</v>
      </c>
      <c r="I129" s="234" t="e">
        <f>IF(AND((G129-H129)&lt;0,H129&gt;0),ABS(G129-H129)," ")</f>
        <v>#REF!</v>
      </c>
      <c r="J129" s="235" t="e">
        <f>IF(AND((G129-H129)&gt;0, H129&gt;0),G129-H129," ")</f>
        <v>#REF!</v>
      </c>
      <c r="K129" s="235"/>
    </row>
    <row r="130" spans="1:255" ht="48" x14ac:dyDescent="0.2">
      <c r="A130" s="227" t="s">
        <v>393</v>
      </c>
      <c r="B130" s="228" t="s">
        <v>394</v>
      </c>
      <c r="C130" s="228" t="s">
        <v>395</v>
      </c>
      <c r="D130" s="228" t="s">
        <v>396</v>
      </c>
      <c r="E130" s="229" t="e">
        <f>Source!I273</f>
        <v>#REF!</v>
      </c>
      <c r="F130" s="229"/>
      <c r="G130" s="229"/>
      <c r="H130" s="229"/>
      <c r="I130" s="229"/>
      <c r="J130" s="230"/>
      <c r="K130" s="230"/>
    </row>
    <row r="131" spans="1:255" x14ac:dyDescent="0.2">
      <c r="A131" s="231"/>
      <c r="B131" s="215" t="s">
        <v>1092</v>
      </c>
      <c r="C131" s="232" t="s">
        <v>402</v>
      </c>
      <c r="D131" s="215" t="s">
        <v>33</v>
      </c>
      <c r="E131" s="233"/>
      <c r="F131" s="233">
        <v>3.9E-2</v>
      </c>
      <c r="G131" s="233" t="e">
        <f>F131*E130</f>
        <v>#REF!</v>
      </c>
      <c r="H131" s="233" t="e">
        <f>G131</f>
        <v>#REF!</v>
      </c>
      <c r="I131" s="234" t="e">
        <f>IF(AND((G131-H131)&lt;0,H131&gt;0),ABS(G131-H131)," ")</f>
        <v>#REF!</v>
      </c>
      <c r="J131" s="235" t="e">
        <f>IF(AND((G131-H131)&gt;0, H131&gt;0),G131-H131," ")</f>
        <v>#REF!</v>
      </c>
      <c r="K131" s="235"/>
    </row>
    <row r="132" spans="1:255" ht="36" x14ac:dyDescent="0.2">
      <c r="A132" s="231"/>
      <c r="B132" s="215" t="s">
        <v>406</v>
      </c>
      <c r="C132" s="232" t="s">
        <v>407</v>
      </c>
      <c r="D132" s="215" t="s">
        <v>323</v>
      </c>
      <c r="E132" s="233"/>
      <c r="F132" s="233">
        <v>7.6666750000000006</v>
      </c>
      <c r="G132" s="233" t="e">
        <f>F132*E130</f>
        <v>#REF!</v>
      </c>
      <c r="H132" s="233" t="e">
        <f>G132</f>
        <v>#REF!</v>
      </c>
      <c r="I132" s="234" t="e">
        <f>IF(AND((G132-H132)&lt;0,H132&gt;0),ABS(G132-H132)," ")</f>
        <v>#REF!</v>
      </c>
      <c r="J132" s="235" t="e">
        <f>IF(AND((G132-H132)&gt;0, H132&gt;0),G132-H132," ")</f>
        <v>#REF!</v>
      </c>
      <c r="K132" s="235"/>
    </row>
    <row r="133" spans="1:255" ht="36" x14ac:dyDescent="0.2">
      <c r="A133" s="227" t="s">
        <v>410</v>
      </c>
      <c r="B133" s="228" t="s">
        <v>411</v>
      </c>
      <c r="C133" s="228" t="s">
        <v>412</v>
      </c>
      <c r="D133" s="228" t="s">
        <v>396</v>
      </c>
      <c r="E133" s="229" t="e">
        <f>Source!I279</f>
        <v>#REF!</v>
      </c>
      <c r="F133" s="229"/>
      <c r="G133" s="229"/>
      <c r="H133" s="229"/>
      <c r="I133" s="229"/>
      <c r="J133" s="230"/>
      <c r="K133" s="230"/>
    </row>
    <row r="134" spans="1:255" ht="15" x14ac:dyDescent="0.25">
      <c r="A134" s="319" t="s">
        <v>1176</v>
      </c>
      <c r="B134" s="320"/>
      <c r="C134" s="320"/>
      <c r="D134" s="320"/>
      <c r="E134" s="320"/>
      <c r="F134" s="320"/>
      <c r="G134" s="320"/>
      <c r="H134" s="320"/>
      <c r="I134" s="320"/>
      <c r="J134" s="320"/>
      <c r="K134" s="320"/>
      <c r="BU134" s="225" t="str">
        <f>A134</f>
        <v>Раздел: Перекрытие,  балки 17-20 этажи</v>
      </c>
      <c r="IU134" s="23"/>
    </row>
    <row r="135" spans="1:255" ht="36" x14ac:dyDescent="0.2">
      <c r="A135" s="227" t="s">
        <v>416</v>
      </c>
      <c r="B135" s="228" t="s">
        <v>417</v>
      </c>
      <c r="C135" s="228" t="s">
        <v>418</v>
      </c>
      <c r="D135" s="228" t="s">
        <v>21</v>
      </c>
      <c r="E135" s="229">
        <f>Source!I316</f>
        <v>52.2</v>
      </c>
      <c r="F135" s="229"/>
      <c r="G135" s="229"/>
      <c r="H135" s="229"/>
      <c r="I135" s="229"/>
      <c r="J135" s="230"/>
      <c r="K135" s="230"/>
    </row>
    <row r="136" spans="1:255" ht="24" x14ac:dyDescent="0.2">
      <c r="A136" s="231"/>
      <c r="B136" s="215" t="s">
        <v>421</v>
      </c>
      <c r="C136" s="232" t="s">
        <v>422</v>
      </c>
      <c r="D136" s="215" t="s">
        <v>423</v>
      </c>
      <c r="E136" s="233"/>
      <c r="F136" s="233">
        <v>0.122</v>
      </c>
      <c r="G136" s="233">
        <f>F136*E135</f>
        <v>6.3684000000000003</v>
      </c>
      <c r="H136" s="233">
        <f>G136</f>
        <v>6.3684000000000003</v>
      </c>
      <c r="I136" s="234" t="str">
        <f>IF(AND((G136-H136)&lt;0,H136&gt;0),ABS(G136-H136)," ")</f>
        <v xml:space="preserve"> </v>
      </c>
      <c r="J136" s="235" t="str">
        <f>IF(AND((G136-H136)&gt;0, H136&gt;0),G136-H136," ")</f>
        <v xml:space="preserve"> </v>
      </c>
      <c r="K136" s="235"/>
    </row>
    <row r="137" spans="1:255" x14ac:dyDescent="0.2">
      <c r="A137" s="231"/>
      <c r="B137" s="215" t="s">
        <v>31</v>
      </c>
      <c r="C137" s="232" t="s">
        <v>32</v>
      </c>
      <c r="D137" s="215" t="s">
        <v>33</v>
      </c>
      <c r="E137" s="233"/>
      <c r="F137" s="233">
        <v>2.6499999999999999E-4</v>
      </c>
      <c r="G137" s="233">
        <f>F137*E135</f>
        <v>1.3833E-2</v>
      </c>
      <c r="H137" s="233">
        <f>G137</f>
        <v>1.3833E-2</v>
      </c>
      <c r="I137" s="234" t="str">
        <f>IF(AND((G137-H137)&lt;0,H137&gt;0),ABS(G137-H137)," ")</f>
        <v xml:space="preserve"> </v>
      </c>
      <c r="J137" s="235" t="str">
        <f>IF(AND((G137-H137)&gt;0, H137&gt;0),G137-H137," ")</f>
        <v xml:space="preserve"> </v>
      </c>
      <c r="K137" s="235"/>
    </row>
    <row r="138" spans="1:255" ht="36" x14ac:dyDescent="0.2">
      <c r="A138" s="231"/>
      <c r="B138" s="215" t="s">
        <v>42</v>
      </c>
      <c r="C138" s="232" t="s">
        <v>43</v>
      </c>
      <c r="D138" s="215" t="s">
        <v>44</v>
      </c>
      <c r="E138" s="233"/>
      <c r="F138" s="233">
        <v>8.9870019157088123E-3</v>
      </c>
      <c r="G138" s="233">
        <f>F138*E135</f>
        <v>0.46912150000000002</v>
      </c>
      <c r="H138" s="233">
        <f>G138</f>
        <v>0.46912150000000002</v>
      </c>
      <c r="I138" s="234" t="str">
        <f>IF(AND((G138-H138)&lt;0,H138&gt;0),ABS(G138-H138)," ")</f>
        <v xml:space="preserve"> </v>
      </c>
      <c r="J138" s="235" t="str">
        <f>IF(AND((G138-H138)&gt;0, H138&gt;0),G138-H138," ")</f>
        <v xml:space="preserve"> </v>
      </c>
      <c r="K138" s="235"/>
    </row>
    <row r="139" spans="1:255" ht="48" x14ac:dyDescent="0.2">
      <c r="A139" s="227" t="s">
        <v>428</v>
      </c>
      <c r="B139" s="228" t="s">
        <v>429</v>
      </c>
      <c r="C139" s="228" t="s">
        <v>430</v>
      </c>
      <c r="D139" s="228" t="s">
        <v>49</v>
      </c>
      <c r="E139" s="229">
        <f>Source!I324</f>
        <v>3.0692499999999998</v>
      </c>
      <c r="F139" s="229"/>
      <c r="G139" s="229"/>
      <c r="H139" s="229"/>
      <c r="I139" s="229"/>
      <c r="J139" s="230"/>
      <c r="K139" s="230"/>
    </row>
    <row r="140" spans="1:255" ht="36" x14ac:dyDescent="0.2">
      <c r="A140" s="231"/>
      <c r="B140" s="215" t="s">
        <v>433</v>
      </c>
      <c r="C140" s="232" t="s">
        <v>434</v>
      </c>
      <c r="D140" s="215" t="s">
        <v>33</v>
      </c>
      <c r="E140" s="233"/>
      <c r="F140" s="233">
        <v>0.99925063126170888</v>
      </c>
      <c r="G140" s="233">
        <f>F140*E139</f>
        <v>3.0669499999999998</v>
      </c>
      <c r="H140" s="233">
        <f>G140</f>
        <v>3.0669499999999998</v>
      </c>
      <c r="I140" s="234" t="str">
        <f>IF(AND((G140-H140)&lt;0,H140&gt;0),ABS(G140-H140)," ")</f>
        <v xml:space="preserve"> </v>
      </c>
      <c r="J140" s="235" t="str">
        <f>IF(AND((G140-H140)&gt;0, H140&gt;0),G140-H140," ")</f>
        <v xml:space="preserve"> </v>
      </c>
      <c r="K140" s="235"/>
    </row>
    <row r="141" spans="1:255" ht="36" x14ac:dyDescent="0.2">
      <c r="A141" s="231"/>
      <c r="B141" s="215" t="s">
        <v>1092</v>
      </c>
      <c r="C141" s="232" t="s">
        <v>439</v>
      </c>
      <c r="D141" s="215" t="s">
        <v>33</v>
      </c>
      <c r="E141" s="233"/>
      <c r="F141" s="233">
        <v>7.4936873829111351E-4</v>
      </c>
      <c r="G141" s="233">
        <f>F141*E139</f>
        <v>2.3E-3</v>
      </c>
      <c r="H141" s="233">
        <f>G141</f>
        <v>2.3E-3</v>
      </c>
      <c r="I141" s="234" t="str">
        <f>IF(AND((G141-H141)&lt;0,H141&gt;0),ABS(G141-H141)," ")</f>
        <v xml:space="preserve"> </v>
      </c>
      <c r="J141" s="235" t="str">
        <f>IF(AND((G141-H141)&gt;0, H141&gt;0),G141-H141," ")</f>
        <v xml:space="preserve"> </v>
      </c>
      <c r="K141" s="235"/>
    </row>
    <row r="142" spans="1:255" ht="48" x14ac:dyDescent="0.2">
      <c r="A142" s="227" t="s">
        <v>442</v>
      </c>
      <c r="B142" s="228" t="s">
        <v>443</v>
      </c>
      <c r="C142" s="228" t="s">
        <v>444</v>
      </c>
      <c r="D142" s="228" t="s">
        <v>49</v>
      </c>
      <c r="E142" s="229">
        <f>Source!I330</f>
        <v>8.2267499999999991</v>
      </c>
      <c r="F142" s="229"/>
      <c r="G142" s="229"/>
      <c r="H142" s="229"/>
      <c r="I142" s="229"/>
      <c r="J142" s="230"/>
      <c r="K142" s="230"/>
    </row>
    <row r="143" spans="1:255" ht="36" x14ac:dyDescent="0.2">
      <c r="A143" s="231"/>
      <c r="B143" s="215" t="s">
        <v>1092</v>
      </c>
      <c r="C143" s="232" t="s">
        <v>448</v>
      </c>
      <c r="D143" s="215" t="s">
        <v>33</v>
      </c>
      <c r="E143" s="233"/>
      <c r="F143" s="233">
        <v>2.9173124259276144E-2</v>
      </c>
      <c r="G143" s="233">
        <f>F143*E142</f>
        <v>0.24</v>
      </c>
      <c r="H143" s="233">
        <f>G143</f>
        <v>0.24</v>
      </c>
      <c r="I143" s="234" t="str">
        <f>IF(AND((G143-H143)&lt;0,H143&gt;0),ABS(G143-H143)," ")</f>
        <v xml:space="preserve"> </v>
      </c>
      <c r="J143" s="235" t="str">
        <f>IF(AND((G143-H143)&gt;0, H143&gt;0),G143-H143," ")</f>
        <v xml:space="preserve"> </v>
      </c>
      <c r="K143" s="235"/>
    </row>
    <row r="144" spans="1:255" ht="36" x14ac:dyDescent="0.2">
      <c r="A144" s="231"/>
      <c r="B144" s="215" t="s">
        <v>1092</v>
      </c>
      <c r="C144" s="232" t="s">
        <v>439</v>
      </c>
      <c r="D144" s="215" t="s">
        <v>33</v>
      </c>
      <c r="E144" s="233"/>
      <c r="F144" s="233">
        <v>0.16473698605159998</v>
      </c>
      <c r="G144" s="233">
        <f>F144*E142</f>
        <v>1.3552500000000001</v>
      </c>
      <c r="H144" s="233">
        <f>G144</f>
        <v>1.3552500000000001</v>
      </c>
      <c r="I144" s="234" t="str">
        <f>IF(AND((G144-H144)&lt;0,H144&gt;0),ABS(G144-H144)," ")</f>
        <v xml:space="preserve"> </v>
      </c>
      <c r="J144" s="235" t="str">
        <f>IF(AND((G144-H144)&gt;0, H144&gt;0),G144-H144," ")</f>
        <v xml:space="preserve"> </v>
      </c>
      <c r="K144" s="235"/>
    </row>
    <row r="145" spans="1:11" ht="36" x14ac:dyDescent="0.2">
      <c r="A145" s="231"/>
      <c r="B145" s="215" t="s">
        <v>1092</v>
      </c>
      <c r="C145" s="232" t="s">
        <v>453</v>
      </c>
      <c r="D145" s="215" t="s">
        <v>33</v>
      </c>
      <c r="E145" s="233"/>
      <c r="F145" s="233">
        <v>3.3731424924788042E-3</v>
      </c>
      <c r="G145" s="233">
        <f>F145*E142</f>
        <v>2.775E-2</v>
      </c>
      <c r="H145" s="233">
        <f>G145</f>
        <v>2.775E-2</v>
      </c>
      <c r="I145" s="234" t="str">
        <f>IF(AND((G145-H145)&lt;0,H145&gt;0),ABS(G145-H145)," ")</f>
        <v xml:space="preserve"> </v>
      </c>
      <c r="J145" s="235" t="str">
        <f>IF(AND((G145-H145)&gt;0, H145&gt;0),G145-H145," ")</f>
        <v xml:space="preserve"> </v>
      </c>
      <c r="K145" s="235"/>
    </row>
    <row r="146" spans="1:11" ht="36" x14ac:dyDescent="0.2">
      <c r="A146" s="231"/>
      <c r="B146" s="215" t="s">
        <v>433</v>
      </c>
      <c r="C146" s="232" t="s">
        <v>434</v>
      </c>
      <c r="D146" s="215" t="s">
        <v>33</v>
      </c>
      <c r="E146" s="233"/>
      <c r="F146" s="233">
        <v>0.8027167471966451</v>
      </c>
      <c r="G146" s="233">
        <f>F146*E142</f>
        <v>6.6037499999999998</v>
      </c>
      <c r="H146" s="233">
        <f>G146</f>
        <v>6.6037499999999998</v>
      </c>
      <c r="I146" s="234" t="str">
        <f>IF(AND((G146-H146)&lt;0,H146&gt;0),ABS(G146-H146)," ")</f>
        <v xml:space="preserve"> </v>
      </c>
      <c r="J146" s="235" t="str">
        <f>IF(AND((G146-H146)&gt;0, H146&gt;0),G146-H146," ")</f>
        <v xml:space="preserve"> </v>
      </c>
      <c r="K146" s="235"/>
    </row>
    <row r="147" spans="1:11" ht="48" x14ac:dyDescent="0.2">
      <c r="A147" s="227" t="s">
        <v>455</v>
      </c>
      <c r="B147" s="228" t="s">
        <v>456</v>
      </c>
      <c r="C147" s="228" t="s">
        <v>457</v>
      </c>
      <c r="D147" s="228" t="s">
        <v>21</v>
      </c>
      <c r="E147" s="229">
        <f>Source!I340</f>
        <v>52.2</v>
      </c>
      <c r="F147" s="229"/>
      <c r="G147" s="229"/>
      <c r="H147" s="229"/>
      <c r="I147" s="229"/>
      <c r="J147" s="230"/>
      <c r="K147" s="230"/>
    </row>
    <row r="148" spans="1:11" x14ac:dyDescent="0.2">
      <c r="A148" s="231"/>
      <c r="B148" s="215" t="s">
        <v>1092</v>
      </c>
      <c r="C148" s="232" t="s">
        <v>72</v>
      </c>
      <c r="D148" s="215" t="s">
        <v>33</v>
      </c>
      <c r="E148" s="233"/>
      <c r="F148" s="233">
        <v>2.0999999999999999E-3</v>
      </c>
      <c r="G148" s="233">
        <f>F148*E147</f>
        <v>0.10962</v>
      </c>
      <c r="H148" s="233">
        <f>G148</f>
        <v>0.10962</v>
      </c>
      <c r="I148" s="234" t="str">
        <f>IF(AND((G148-H148)&lt;0,H148&gt;0),ABS(G148-H148)," ")</f>
        <v xml:space="preserve"> </v>
      </c>
      <c r="J148" s="235" t="str">
        <f>IF(AND((G148-H148)&gt;0, H148&gt;0),G148-H148," ")</f>
        <v xml:space="preserve"> </v>
      </c>
      <c r="K148" s="235"/>
    </row>
    <row r="149" spans="1:11" ht="24" x14ac:dyDescent="0.2">
      <c r="A149" s="231"/>
      <c r="B149" s="215" t="s">
        <v>461</v>
      </c>
      <c r="C149" s="232" t="s">
        <v>462</v>
      </c>
      <c r="D149" s="215" t="s">
        <v>78</v>
      </c>
      <c r="E149" s="233"/>
      <c r="F149" s="233">
        <v>1.6788793103448276</v>
      </c>
      <c r="G149" s="233">
        <f>F149*E147</f>
        <v>87.637500000000003</v>
      </c>
      <c r="H149" s="233">
        <f>G149</f>
        <v>87.637500000000003</v>
      </c>
      <c r="I149" s="234" t="str">
        <f>IF(AND((G149-H149)&lt;0,H149&gt;0),ABS(G149-H149)," ")</f>
        <v xml:space="preserve"> </v>
      </c>
      <c r="J149" s="235" t="str">
        <f>IF(AND((G149-H149)&gt;0, H149&gt;0),G149-H149," ")</f>
        <v xml:space="preserve"> </v>
      </c>
      <c r="K149" s="235"/>
    </row>
    <row r="150" spans="1:11" ht="24" x14ac:dyDescent="0.2">
      <c r="A150" s="231"/>
      <c r="B150" s="215" t="s">
        <v>466</v>
      </c>
      <c r="C150" s="232" t="s">
        <v>467</v>
      </c>
      <c r="D150" s="215" t="s">
        <v>78</v>
      </c>
      <c r="E150" s="233"/>
      <c r="F150" s="233">
        <v>1.6788793103448276</v>
      </c>
      <c r="G150" s="233">
        <f>F150*E147</f>
        <v>87.637500000000003</v>
      </c>
      <c r="H150" s="233">
        <f>G150</f>
        <v>87.637500000000003</v>
      </c>
      <c r="I150" s="234" t="str">
        <f>IF(AND((G150-H150)&lt;0,H150&gt;0),ABS(G150-H150)," ")</f>
        <v xml:space="preserve"> </v>
      </c>
      <c r="J150" s="235" t="str">
        <f>IF(AND((G150-H150)&gt;0, H150&gt;0),G150-H150," ")</f>
        <v xml:space="preserve"> </v>
      </c>
      <c r="K150" s="235"/>
    </row>
    <row r="151" spans="1:11" ht="24" x14ac:dyDescent="0.2">
      <c r="A151" s="231"/>
      <c r="B151" s="215" t="s">
        <v>1092</v>
      </c>
      <c r="C151" s="232" t="s">
        <v>88</v>
      </c>
      <c r="D151" s="215" t="s">
        <v>44</v>
      </c>
      <c r="E151" s="233"/>
      <c r="F151" s="233">
        <v>1.7040624999999998</v>
      </c>
      <c r="G151" s="233">
        <f>F151*E147</f>
        <v>88.952062499999997</v>
      </c>
      <c r="H151" s="233">
        <f>G151</f>
        <v>88.952062499999997</v>
      </c>
      <c r="I151" s="234" t="str">
        <f>IF(AND((G151-H151)&lt;0,H151&gt;0),ABS(G151-H151)," ")</f>
        <v xml:space="preserve"> </v>
      </c>
      <c r="J151" s="235" t="str">
        <f>IF(AND((G151-H151)&gt;0, H151&gt;0),G151-H151," ")</f>
        <v xml:space="preserve"> </v>
      </c>
      <c r="K151" s="235"/>
    </row>
    <row r="152" spans="1:11" ht="24" x14ac:dyDescent="0.2">
      <c r="A152" s="231"/>
      <c r="B152" s="215" t="s">
        <v>472</v>
      </c>
      <c r="C152" s="232" t="s">
        <v>473</v>
      </c>
      <c r="D152" s="215" t="s">
        <v>103</v>
      </c>
      <c r="E152" s="233"/>
      <c r="F152" s="233">
        <v>22.999999999999996</v>
      </c>
      <c r="G152" s="233">
        <f>F152*E147</f>
        <v>1200.5999999999999</v>
      </c>
      <c r="H152" s="233">
        <f>G152</f>
        <v>1200.5999999999999</v>
      </c>
      <c r="I152" s="234" t="str">
        <f>IF(AND((G152-H152)&lt;0,H152&gt;0),ABS(G152-H152)," ")</f>
        <v xml:space="preserve"> </v>
      </c>
      <c r="J152" s="235" t="str">
        <f>IF(AND((G152-H152)&gt;0, H152&gt;0),G152-H152," ")</f>
        <v xml:space="preserve"> </v>
      </c>
      <c r="K152" s="235"/>
    </row>
    <row r="153" spans="1:11" ht="48" x14ac:dyDescent="0.2">
      <c r="A153" s="227" t="s">
        <v>477</v>
      </c>
      <c r="B153" s="228" t="s">
        <v>355</v>
      </c>
      <c r="C153" s="228" t="s">
        <v>356</v>
      </c>
      <c r="D153" s="228" t="s">
        <v>49</v>
      </c>
      <c r="E153" s="229">
        <f>Source!I354</f>
        <v>7.3200000000000001E-2</v>
      </c>
      <c r="F153" s="229"/>
      <c r="G153" s="229"/>
      <c r="H153" s="229"/>
      <c r="I153" s="229"/>
      <c r="J153" s="230"/>
      <c r="K153" s="230"/>
    </row>
    <row r="154" spans="1:11" x14ac:dyDescent="0.2">
      <c r="A154" s="231"/>
      <c r="B154" s="215" t="s">
        <v>1092</v>
      </c>
      <c r="C154" s="232" t="s">
        <v>317</v>
      </c>
      <c r="D154" s="215" t="s">
        <v>33</v>
      </c>
      <c r="E154" s="233"/>
      <c r="F154" s="233">
        <v>5.9972677595628411E-3</v>
      </c>
      <c r="G154" s="233">
        <f>F154*E153</f>
        <v>4.3899999999999999E-4</v>
      </c>
      <c r="H154" s="233">
        <f>G154</f>
        <v>4.3899999999999999E-4</v>
      </c>
      <c r="I154" s="234" t="str">
        <f>IF(AND((G154-H154)&lt;0,H154&gt;0),ABS(G154-H154)," ")</f>
        <v xml:space="preserve"> </v>
      </c>
      <c r="J154" s="235" t="str">
        <f>IF(AND((G154-H154)&gt;0, H154&gt;0),G154-H154," ")</f>
        <v xml:space="preserve"> </v>
      </c>
      <c r="K154" s="235"/>
    </row>
    <row r="155" spans="1:11" ht="24" x14ac:dyDescent="0.2">
      <c r="A155" s="231"/>
      <c r="B155" s="215" t="s">
        <v>1092</v>
      </c>
      <c r="C155" s="232" t="s">
        <v>481</v>
      </c>
      <c r="D155" s="215" t="s">
        <v>33</v>
      </c>
      <c r="E155" s="233"/>
      <c r="F155" s="233">
        <v>0.98508196721311481</v>
      </c>
      <c r="G155" s="233">
        <f>F155*E153</f>
        <v>7.2108000000000005E-2</v>
      </c>
      <c r="H155" s="233">
        <f>G155</f>
        <v>7.2108000000000005E-2</v>
      </c>
      <c r="I155" s="234" t="str">
        <f>IF(AND((G155-H155)&lt;0,H155&gt;0),ABS(G155-H155)," ")</f>
        <v xml:space="preserve"> </v>
      </c>
      <c r="J155" s="235" t="str">
        <f>IF(AND((G155-H155)&gt;0, H155&gt;0),G155-H155," ")</f>
        <v xml:space="preserve"> </v>
      </c>
      <c r="K155" s="235"/>
    </row>
    <row r="156" spans="1:11" ht="48" x14ac:dyDescent="0.2">
      <c r="A156" s="227" t="s">
        <v>484</v>
      </c>
      <c r="B156" s="228" t="s">
        <v>369</v>
      </c>
      <c r="C156" s="228" t="s">
        <v>370</v>
      </c>
      <c r="D156" s="228" t="s">
        <v>49</v>
      </c>
      <c r="E156" s="229">
        <f>Source!I360</f>
        <v>0.05</v>
      </c>
      <c r="F156" s="229"/>
      <c r="G156" s="229"/>
      <c r="H156" s="229"/>
      <c r="I156" s="229"/>
      <c r="J156" s="230"/>
      <c r="K156" s="230"/>
    </row>
    <row r="157" spans="1:11" x14ac:dyDescent="0.2">
      <c r="A157" s="231"/>
      <c r="B157" s="215" t="s">
        <v>1092</v>
      </c>
      <c r="C157" s="232" t="s">
        <v>317</v>
      </c>
      <c r="D157" s="215" t="s">
        <v>33</v>
      </c>
      <c r="E157" s="233"/>
      <c r="F157" s="233">
        <v>5.9999999999999993E-3</v>
      </c>
      <c r="G157" s="233">
        <f>F157*E156</f>
        <v>2.9999999999999997E-4</v>
      </c>
      <c r="H157" s="233">
        <f>G157</f>
        <v>2.9999999999999997E-4</v>
      </c>
      <c r="I157" s="234" t="str">
        <f>IF(AND((G157-H157)&lt;0,H157&gt;0),ABS(G157-H157)," ")</f>
        <v xml:space="preserve"> </v>
      </c>
      <c r="J157" s="235" t="str">
        <f>IF(AND((G157-H157)&gt;0, H157&gt;0),G157-H157," ")</f>
        <v xml:space="preserve"> </v>
      </c>
      <c r="K157" s="235"/>
    </row>
    <row r="158" spans="1:11" ht="24" x14ac:dyDescent="0.2">
      <c r="A158" s="231"/>
      <c r="B158" s="215" t="s">
        <v>1092</v>
      </c>
      <c r="C158" s="232" t="s">
        <v>488</v>
      </c>
      <c r="D158" s="215" t="s">
        <v>33</v>
      </c>
      <c r="E158" s="233"/>
      <c r="F158" s="233">
        <v>0.9464999999999999</v>
      </c>
      <c r="G158" s="233">
        <f>F158*E156</f>
        <v>4.7324999999999999E-2</v>
      </c>
      <c r="H158" s="233">
        <f>G158</f>
        <v>4.7324999999999999E-2</v>
      </c>
      <c r="I158" s="234" t="str">
        <f>IF(AND((G158-H158)&lt;0,H158&gt;0),ABS(G158-H158)," ")</f>
        <v xml:space="preserve"> </v>
      </c>
      <c r="J158" s="235" t="str">
        <f>IF(AND((G158-H158)&gt;0, H158&gt;0),G158-H158," ")</f>
        <v xml:space="preserve"> </v>
      </c>
      <c r="K158" s="235"/>
    </row>
    <row r="159" spans="1:11" ht="24" x14ac:dyDescent="0.2">
      <c r="A159" s="231"/>
      <c r="B159" s="215" t="s">
        <v>1092</v>
      </c>
      <c r="C159" s="232" t="s">
        <v>492</v>
      </c>
      <c r="D159" s="215" t="s">
        <v>33</v>
      </c>
      <c r="E159" s="233"/>
      <c r="F159" s="233">
        <v>5.3899999999999997E-2</v>
      </c>
      <c r="G159" s="233">
        <f>F159*E156</f>
        <v>2.6949999999999999E-3</v>
      </c>
      <c r="H159" s="233">
        <f>G159</f>
        <v>2.6949999999999999E-3</v>
      </c>
      <c r="I159" s="234" t="str">
        <f>IF(AND((G159-H159)&lt;0,H159&gt;0),ABS(G159-H159)," ")</f>
        <v xml:space="preserve"> </v>
      </c>
      <c r="J159" s="235" t="str">
        <f>IF(AND((G159-H159)&gt;0, H159&gt;0),G159-H159," ")</f>
        <v xml:space="preserve"> </v>
      </c>
      <c r="K159" s="235"/>
    </row>
    <row r="160" spans="1:11" ht="48" x14ac:dyDescent="0.2">
      <c r="A160" s="227" t="s">
        <v>493</v>
      </c>
      <c r="B160" s="228" t="s">
        <v>494</v>
      </c>
      <c r="C160" s="228" t="s">
        <v>495</v>
      </c>
      <c r="D160" s="228" t="s">
        <v>496</v>
      </c>
      <c r="E160" s="229">
        <f>Source!I368</f>
        <v>4.0750000000000001E-2</v>
      </c>
      <c r="F160" s="229"/>
      <c r="G160" s="229"/>
      <c r="H160" s="229"/>
      <c r="I160" s="229"/>
      <c r="J160" s="230"/>
      <c r="K160" s="230"/>
    </row>
    <row r="161" spans="1:11" x14ac:dyDescent="0.2">
      <c r="A161" s="231"/>
      <c r="B161" s="215" t="s">
        <v>501</v>
      </c>
      <c r="C161" s="232" t="s">
        <v>502</v>
      </c>
      <c r="D161" s="215" t="s">
        <v>33</v>
      </c>
      <c r="E161" s="233"/>
      <c r="F161" s="233">
        <v>3.9999999999999994E-2</v>
      </c>
      <c r="G161" s="233">
        <f>F161*E160</f>
        <v>1.6299999999999997E-3</v>
      </c>
      <c r="H161" s="233">
        <f>G161</f>
        <v>1.6299999999999997E-3</v>
      </c>
      <c r="I161" s="234" t="str">
        <f>IF(AND((G161-H161)&lt;0,H161&gt;0),ABS(G161-H161)," ")</f>
        <v xml:space="preserve"> </v>
      </c>
      <c r="J161" s="235" t="str">
        <f>IF(AND((G161-H161)&gt;0, H161&gt;0),G161-H161," ")</f>
        <v xml:space="preserve"> </v>
      </c>
      <c r="K161" s="235"/>
    </row>
    <row r="162" spans="1:11" x14ac:dyDescent="0.2">
      <c r="A162" s="231"/>
      <c r="B162" s="215" t="s">
        <v>1092</v>
      </c>
      <c r="C162" s="232" t="s">
        <v>507</v>
      </c>
      <c r="D162" s="215" t="s">
        <v>33</v>
      </c>
      <c r="E162" s="233"/>
      <c r="F162" s="233">
        <v>1</v>
      </c>
      <c r="G162" s="233">
        <f>F162*E160</f>
        <v>4.0750000000000001E-2</v>
      </c>
      <c r="H162" s="233">
        <f>G162</f>
        <v>4.0750000000000001E-2</v>
      </c>
      <c r="I162" s="234" t="str">
        <f>IF(AND((G162-H162)&lt;0,H162&gt;0),ABS(G162-H162)," ")</f>
        <v xml:space="preserve"> </v>
      </c>
      <c r="J162" s="235" t="str">
        <f>IF(AND((G162-H162)&gt;0, H162&gt;0),G162-H162," ")</f>
        <v xml:space="preserve"> </v>
      </c>
      <c r="K162" s="235"/>
    </row>
    <row r="163" spans="1:11" ht="60" x14ac:dyDescent="0.2">
      <c r="A163" s="227" t="s">
        <v>510</v>
      </c>
      <c r="B163" s="228" t="s">
        <v>375</v>
      </c>
      <c r="C163" s="228" t="s">
        <v>376</v>
      </c>
      <c r="D163" s="228" t="s">
        <v>377</v>
      </c>
      <c r="E163" s="229" t="e">
        <f>Source!I374</f>
        <v>#REF!</v>
      </c>
      <c r="F163" s="229"/>
      <c r="G163" s="229"/>
      <c r="H163" s="229"/>
      <c r="I163" s="229"/>
      <c r="J163" s="230"/>
      <c r="K163" s="230"/>
    </row>
    <row r="164" spans="1:11" x14ac:dyDescent="0.2">
      <c r="A164" s="231"/>
      <c r="B164" s="215" t="s">
        <v>1092</v>
      </c>
      <c r="C164" s="232" t="s">
        <v>384</v>
      </c>
      <c r="D164" s="215" t="s">
        <v>33</v>
      </c>
      <c r="E164" s="233"/>
      <c r="F164" s="233">
        <v>2.8E-3</v>
      </c>
      <c r="G164" s="233" t="e">
        <f>F164*E163</f>
        <v>#REF!</v>
      </c>
      <c r="H164" s="233" t="e">
        <f>G164</f>
        <v>#REF!</v>
      </c>
      <c r="I164" s="234" t="e">
        <f>IF(AND((G164-H164)&lt;0,H164&gt;0),ABS(G164-H164)," ")</f>
        <v>#REF!</v>
      </c>
      <c r="J164" s="235" t="e">
        <f>IF(AND((G164-H164)&gt;0, H164&gt;0),G164-H164," ")</f>
        <v>#REF!</v>
      </c>
      <c r="K164" s="235"/>
    </row>
    <row r="165" spans="1:11" x14ac:dyDescent="0.2">
      <c r="A165" s="231"/>
      <c r="B165" s="215" t="s">
        <v>1092</v>
      </c>
      <c r="C165" s="232" t="s">
        <v>389</v>
      </c>
      <c r="D165" s="215" t="s">
        <v>33</v>
      </c>
      <c r="E165" s="233"/>
      <c r="F165" s="233">
        <v>3.7999999999999999E-2</v>
      </c>
      <c r="G165" s="233" t="e">
        <f>F165*E163</f>
        <v>#REF!</v>
      </c>
      <c r="H165" s="233" t="e">
        <f>G165</f>
        <v>#REF!</v>
      </c>
      <c r="I165" s="234" t="e">
        <f>IF(AND((G165-H165)&lt;0,H165&gt;0),ABS(G165-H165)," ")</f>
        <v>#REF!</v>
      </c>
      <c r="J165" s="235" t="e">
        <f>IF(AND((G165-H165)&gt;0, H165&gt;0),G165-H165," ")</f>
        <v>#REF!</v>
      </c>
      <c r="K165" s="235"/>
    </row>
    <row r="166" spans="1:11" ht="36" x14ac:dyDescent="0.2">
      <c r="A166" s="227" t="s">
        <v>513</v>
      </c>
      <c r="B166" s="228" t="s">
        <v>514</v>
      </c>
      <c r="C166" s="228" t="s">
        <v>515</v>
      </c>
      <c r="D166" s="228" t="s">
        <v>516</v>
      </c>
      <c r="E166" s="229" t="e">
        <f>Source!I380</f>
        <v>#REF!</v>
      </c>
      <c r="F166" s="229"/>
      <c r="G166" s="229"/>
      <c r="H166" s="229"/>
      <c r="I166" s="229"/>
      <c r="J166" s="230"/>
      <c r="K166" s="230"/>
    </row>
    <row r="167" spans="1:11" x14ac:dyDescent="0.2">
      <c r="A167" s="231"/>
      <c r="B167" s="215" t="s">
        <v>1092</v>
      </c>
      <c r="C167" s="232" t="s">
        <v>524</v>
      </c>
      <c r="D167" s="215" t="s">
        <v>44</v>
      </c>
      <c r="E167" s="233"/>
      <c r="F167" s="233">
        <v>1.0199999999999998</v>
      </c>
      <c r="G167" s="233" t="e">
        <f>F167*E166</f>
        <v>#REF!</v>
      </c>
      <c r="H167" s="233" t="e">
        <f>G167</f>
        <v>#REF!</v>
      </c>
      <c r="I167" s="234" t="e">
        <f>IF(AND((G167-H167)&lt;0,H167&gt;0),ABS(G167-H167)," ")</f>
        <v>#REF!</v>
      </c>
      <c r="J167" s="235" t="e">
        <f>IF(AND((G167-H167)&gt;0, H167&gt;0),G167-H167," ")</f>
        <v>#REF!</v>
      </c>
      <c r="K167" s="235"/>
    </row>
    <row r="168" spans="1:11" ht="36" x14ac:dyDescent="0.2">
      <c r="A168" s="227" t="s">
        <v>525</v>
      </c>
      <c r="B168" s="228" t="s">
        <v>309</v>
      </c>
      <c r="C168" s="228" t="s">
        <v>310</v>
      </c>
      <c r="D168" s="228" t="s">
        <v>298</v>
      </c>
      <c r="E168" s="229">
        <f>Source!I384</f>
        <v>0.68</v>
      </c>
      <c r="F168" s="229"/>
      <c r="G168" s="229"/>
      <c r="H168" s="229"/>
      <c r="I168" s="229"/>
      <c r="J168" s="230"/>
      <c r="K168" s="230"/>
    </row>
    <row r="169" spans="1:11" x14ac:dyDescent="0.2">
      <c r="A169" s="231"/>
      <c r="B169" s="215" t="s">
        <v>1092</v>
      </c>
      <c r="C169" s="232" t="s">
        <v>317</v>
      </c>
      <c r="D169" s="215" t="s">
        <v>33</v>
      </c>
      <c r="E169" s="233"/>
      <c r="F169" s="233">
        <v>2.1999999999999997E-3</v>
      </c>
      <c r="G169" s="233">
        <f>F169*E168</f>
        <v>1.4959999999999999E-3</v>
      </c>
      <c r="H169" s="233">
        <f t="shared" ref="H169:H174" si="18">G169</f>
        <v>1.4959999999999999E-3</v>
      </c>
      <c r="I169" s="234" t="str">
        <f t="shared" ref="I169:I174" si="19">IF(AND((G169-H169)&lt;0,H169&gt;0),ABS(G169-H169)," ")</f>
        <v xml:space="preserve"> </v>
      </c>
      <c r="J169" s="235" t="str">
        <f t="shared" ref="J169:J174" si="20">IF(AND((G169-H169)&gt;0, H169&gt;0),G169-H169," ")</f>
        <v xml:space="preserve"> </v>
      </c>
      <c r="K169" s="235"/>
    </row>
    <row r="170" spans="1:11" x14ac:dyDescent="0.2">
      <c r="A170" s="231"/>
      <c r="B170" s="215" t="s">
        <v>321</v>
      </c>
      <c r="C170" s="232" t="s">
        <v>528</v>
      </c>
      <c r="D170" s="215" t="s">
        <v>323</v>
      </c>
      <c r="E170" s="233"/>
      <c r="F170" s="233">
        <v>41.17647058823529</v>
      </c>
      <c r="G170" s="233">
        <f>F170*E168</f>
        <v>28</v>
      </c>
      <c r="H170" s="233">
        <f t="shared" si="18"/>
        <v>28</v>
      </c>
      <c r="I170" s="234" t="str">
        <f t="shared" si="19"/>
        <v xml:space="preserve"> </v>
      </c>
      <c r="J170" s="235" t="str">
        <f t="shared" si="20"/>
        <v xml:space="preserve"> </v>
      </c>
      <c r="K170" s="235"/>
    </row>
    <row r="171" spans="1:11" x14ac:dyDescent="0.2">
      <c r="A171" s="231"/>
      <c r="B171" s="215" t="s">
        <v>321</v>
      </c>
      <c r="C171" s="232" t="s">
        <v>328</v>
      </c>
      <c r="D171" s="215" t="s">
        <v>323</v>
      </c>
      <c r="E171" s="233"/>
      <c r="F171" s="233">
        <v>54.411764705882348</v>
      </c>
      <c r="G171" s="233">
        <f>F171*E168</f>
        <v>37</v>
      </c>
      <c r="H171" s="233">
        <f t="shared" si="18"/>
        <v>37</v>
      </c>
      <c r="I171" s="234" t="str">
        <f t="shared" si="19"/>
        <v xml:space="preserve"> </v>
      </c>
      <c r="J171" s="235" t="str">
        <f t="shared" si="20"/>
        <v xml:space="preserve"> </v>
      </c>
      <c r="K171" s="235"/>
    </row>
    <row r="172" spans="1:11" ht="48" x14ac:dyDescent="0.2">
      <c r="A172" s="231"/>
      <c r="B172" s="215" t="s">
        <v>331</v>
      </c>
      <c r="C172" s="232" t="s">
        <v>332</v>
      </c>
      <c r="D172" s="215" t="s">
        <v>333</v>
      </c>
      <c r="E172" s="233"/>
      <c r="F172" s="233">
        <v>9.9999999999999982</v>
      </c>
      <c r="G172" s="233">
        <f>F172*E168</f>
        <v>6.7999999999999989</v>
      </c>
      <c r="H172" s="233">
        <f t="shared" si="18"/>
        <v>6.7999999999999989</v>
      </c>
      <c r="I172" s="234" t="str">
        <f t="shared" si="19"/>
        <v xml:space="preserve"> </v>
      </c>
      <c r="J172" s="235" t="str">
        <f t="shared" si="20"/>
        <v xml:space="preserve"> </v>
      </c>
      <c r="K172" s="235"/>
    </row>
    <row r="173" spans="1:11" ht="24" x14ac:dyDescent="0.2">
      <c r="A173" s="231"/>
      <c r="B173" s="215" t="s">
        <v>1092</v>
      </c>
      <c r="C173" s="232" t="s">
        <v>533</v>
      </c>
      <c r="D173" s="215" t="s">
        <v>33</v>
      </c>
      <c r="E173" s="233"/>
      <c r="F173" s="233">
        <v>6.0000000000000001E-3</v>
      </c>
      <c r="G173" s="233">
        <f>F173*E168</f>
        <v>4.0800000000000003E-3</v>
      </c>
      <c r="H173" s="233">
        <f t="shared" si="18"/>
        <v>4.0800000000000003E-3</v>
      </c>
      <c r="I173" s="234" t="str">
        <f t="shared" si="19"/>
        <v xml:space="preserve"> </v>
      </c>
      <c r="J173" s="235" t="str">
        <f t="shared" si="20"/>
        <v xml:space="preserve"> </v>
      </c>
      <c r="K173" s="235"/>
    </row>
    <row r="174" spans="1:11" ht="24" x14ac:dyDescent="0.2">
      <c r="A174" s="231"/>
      <c r="B174" s="215" t="s">
        <v>1092</v>
      </c>
      <c r="C174" s="232" t="s">
        <v>338</v>
      </c>
      <c r="D174" s="215" t="s">
        <v>44</v>
      </c>
      <c r="E174" s="233"/>
      <c r="F174" s="233">
        <v>2.0999999999999998E-2</v>
      </c>
      <c r="G174" s="233">
        <f>F174*E168</f>
        <v>1.4279999999999999E-2</v>
      </c>
      <c r="H174" s="233">
        <f t="shared" si="18"/>
        <v>1.4279999999999999E-2</v>
      </c>
      <c r="I174" s="234" t="str">
        <f t="shared" si="19"/>
        <v xml:space="preserve"> </v>
      </c>
      <c r="J174" s="235" t="str">
        <f t="shared" si="20"/>
        <v xml:space="preserve"> </v>
      </c>
      <c r="K174" s="235"/>
    </row>
    <row r="175" spans="1:11" ht="48" x14ac:dyDescent="0.2">
      <c r="A175" s="227" t="s">
        <v>537</v>
      </c>
      <c r="B175" s="228" t="s">
        <v>394</v>
      </c>
      <c r="C175" s="228" t="s">
        <v>538</v>
      </c>
      <c r="D175" s="228" t="s">
        <v>396</v>
      </c>
      <c r="E175" s="229" t="e">
        <f>Source!I398</f>
        <v>#REF!</v>
      </c>
      <c r="F175" s="229"/>
      <c r="G175" s="229"/>
      <c r="H175" s="229"/>
      <c r="I175" s="229"/>
      <c r="J175" s="230"/>
      <c r="K175" s="230"/>
    </row>
    <row r="176" spans="1:11" x14ac:dyDescent="0.2">
      <c r="A176" s="231"/>
      <c r="B176" s="215" t="s">
        <v>1092</v>
      </c>
      <c r="C176" s="232" t="s">
        <v>402</v>
      </c>
      <c r="D176" s="215" t="s">
        <v>33</v>
      </c>
      <c r="E176" s="233"/>
      <c r="F176" s="233">
        <v>4.8000000000000001E-2</v>
      </c>
      <c r="G176" s="233" t="e">
        <f>F176*E175</f>
        <v>#REF!</v>
      </c>
      <c r="H176" s="233" t="e">
        <f>G176</f>
        <v>#REF!</v>
      </c>
      <c r="I176" s="234" t="e">
        <f>IF(AND((G176-H176)&lt;0,H176&gt;0),ABS(G176-H176)," ")</f>
        <v>#REF!</v>
      </c>
      <c r="J176" s="235" t="e">
        <f>IF(AND((G176-H176)&gt;0, H176&gt;0),G176-H176," ")</f>
        <v>#REF!</v>
      </c>
      <c r="K176" s="235"/>
    </row>
    <row r="177" spans="1:255" ht="36" x14ac:dyDescent="0.2">
      <c r="A177" s="231"/>
      <c r="B177" s="215" t="s">
        <v>406</v>
      </c>
      <c r="C177" s="232" t="s">
        <v>407</v>
      </c>
      <c r="D177" s="215" t="s">
        <v>323</v>
      </c>
      <c r="E177" s="233"/>
      <c r="F177" s="233">
        <v>8.1666749999999997</v>
      </c>
      <c r="G177" s="233" t="e">
        <f>F177*E175</f>
        <v>#REF!</v>
      </c>
      <c r="H177" s="233" t="e">
        <f>G177</f>
        <v>#REF!</v>
      </c>
      <c r="I177" s="234" t="e">
        <f>IF(AND((G177-H177)&lt;0,H177&gt;0),ABS(G177-H177)," ")</f>
        <v>#REF!</v>
      </c>
      <c r="J177" s="235" t="e">
        <f>IF(AND((G177-H177)&gt;0, H177&gt;0),G177-H177," ")</f>
        <v>#REF!</v>
      </c>
      <c r="K177" s="235"/>
    </row>
    <row r="178" spans="1:255" ht="36" x14ac:dyDescent="0.2">
      <c r="A178" s="227" t="s">
        <v>541</v>
      </c>
      <c r="B178" s="228" t="s">
        <v>411</v>
      </c>
      <c r="C178" s="228" t="s">
        <v>412</v>
      </c>
      <c r="D178" s="228" t="s">
        <v>396</v>
      </c>
      <c r="E178" s="229" t="e">
        <f>Source!I404</f>
        <v>#REF!</v>
      </c>
      <c r="F178" s="229"/>
      <c r="G178" s="229"/>
      <c r="H178" s="229"/>
      <c r="I178" s="229"/>
      <c r="J178" s="230"/>
      <c r="K178" s="230"/>
    </row>
    <row r="181" spans="1:255" x14ac:dyDescent="0.2">
      <c r="A181" s="192" t="s">
        <v>802</v>
      </c>
      <c r="B181" s="192"/>
      <c r="C181" s="198" t="s">
        <v>998</v>
      </c>
      <c r="D181" s="193"/>
      <c r="E181" s="193"/>
      <c r="F181" s="321" t="s">
        <v>999</v>
      </c>
      <c r="G181" s="321"/>
      <c r="BY181" s="194" t="str">
        <f>C181</f>
        <v>Руководитель ПТС ООО "ОСУ-2"</v>
      </c>
      <c r="BZ181" s="194" t="str">
        <f>F181</f>
        <v>Когтев В.И.</v>
      </c>
      <c r="IU181" s="23"/>
    </row>
    <row r="182" spans="1:255" s="217" customFormat="1" ht="11.25" x14ac:dyDescent="0.2">
      <c r="A182" s="216"/>
      <c r="B182" s="216"/>
      <c r="C182" s="322" t="s">
        <v>994</v>
      </c>
      <c r="D182" s="322"/>
      <c r="E182" s="322"/>
      <c r="F182" s="322" t="s">
        <v>995</v>
      </c>
      <c r="G182" s="322"/>
    </row>
    <row r="183" spans="1:255" x14ac:dyDescent="0.2">
      <c r="A183" s="18"/>
      <c r="B183" s="18"/>
      <c r="C183" s="18"/>
      <c r="D183" s="11"/>
      <c r="E183" s="18"/>
      <c r="F183" s="18"/>
      <c r="G183" s="18"/>
    </row>
    <row r="184" spans="1:255" x14ac:dyDescent="0.2">
      <c r="A184" s="192" t="s">
        <v>1000</v>
      </c>
      <c r="B184" s="192"/>
      <c r="C184" s="198" t="s">
        <v>1009</v>
      </c>
      <c r="D184" s="193"/>
      <c r="E184" s="193"/>
      <c r="F184" s="321" t="s">
        <v>1002</v>
      </c>
      <c r="G184" s="321"/>
      <c r="BY184" s="194" t="str">
        <f>C184</f>
        <v>Ведущий инженер-сметчик СРС ООО "ОДСК"</v>
      </c>
      <c r="BZ184" s="194" t="str">
        <f>F184</f>
        <v>Зимарина О.Ю.</v>
      </c>
      <c r="IU184" s="23"/>
    </row>
    <row r="185" spans="1:255" s="217" customFormat="1" ht="11.25" x14ac:dyDescent="0.2">
      <c r="A185" s="216"/>
      <c r="B185" s="216"/>
      <c r="C185" s="322" t="s">
        <v>994</v>
      </c>
      <c r="D185" s="322"/>
      <c r="E185" s="322"/>
      <c r="F185" s="322" t="s">
        <v>995</v>
      </c>
      <c r="G185" s="322"/>
    </row>
    <row r="186" spans="1:255" x14ac:dyDescent="0.2">
      <c r="A186" s="18"/>
      <c r="B186" s="18"/>
      <c r="C186" s="18"/>
      <c r="D186" s="11"/>
      <c r="E186" s="18"/>
      <c r="F186" s="18"/>
      <c r="G186" s="18"/>
    </row>
    <row r="187" spans="1:255" x14ac:dyDescent="0.2">
      <c r="A187" s="192" t="s">
        <v>1003</v>
      </c>
      <c r="B187" s="192"/>
      <c r="C187" s="198" t="s">
        <v>1004</v>
      </c>
      <c r="D187" s="193"/>
      <c r="E187" s="193"/>
      <c r="F187" s="321" t="s">
        <v>1005</v>
      </c>
      <c r="G187" s="321"/>
      <c r="BY187" s="194" t="str">
        <f>C187</f>
        <v>Главный инженер-сметчик СРС ООО "ОДСК"</v>
      </c>
      <c r="BZ187" s="194" t="str">
        <f>F187</f>
        <v>Полшведкина А.Н.</v>
      </c>
      <c r="IU187" s="23"/>
    </row>
    <row r="188" spans="1:255" s="217" customFormat="1" ht="11.25" x14ac:dyDescent="0.2">
      <c r="A188" s="216"/>
      <c r="B188" s="216"/>
      <c r="C188" s="322" t="s">
        <v>994</v>
      </c>
      <c r="D188" s="322"/>
      <c r="E188" s="322"/>
      <c r="F188" s="322" t="s">
        <v>995</v>
      </c>
      <c r="G188" s="322"/>
    </row>
    <row r="189" spans="1:255" x14ac:dyDescent="0.2">
      <c r="A189" s="18"/>
      <c r="B189" s="18"/>
      <c r="C189" s="18"/>
      <c r="D189" s="11"/>
      <c r="E189" s="18"/>
      <c r="F189" s="18"/>
      <c r="G189" s="18"/>
    </row>
  </sheetData>
  <mergeCells count="30">
    <mergeCell ref="F184:G184"/>
    <mergeCell ref="C185:E185"/>
    <mergeCell ref="F185:G185"/>
    <mergeCell ref="F187:G187"/>
    <mergeCell ref="C188:E188"/>
    <mergeCell ref="F188:G188"/>
    <mergeCell ref="A25:K25"/>
    <mergeCell ref="A53:K53"/>
    <mergeCell ref="A134:K134"/>
    <mergeCell ref="F181:G181"/>
    <mergeCell ref="C182:E182"/>
    <mergeCell ref="F182:G182"/>
    <mergeCell ref="A24:K24"/>
    <mergeCell ref="H7:K7"/>
    <mergeCell ref="H8:K8"/>
    <mergeCell ref="C11:K11"/>
    <mergeCell ref="C12:K12"/>
    <mergeCell ref="C13:K13"/>
    <mergeCell ref="A14:K14"/>
    <mergeCell ref="A15:K15"/>
    <mergeCell ref="A16:K16"/>
    <mergeCell ref="A17:K17"/>
    <mergeCell ref="B18:K18"/>
    <mergeCell ref="F20:H20"/>
    <mergeCell ref="H6:K6"/>
    <mergeCell ref="A1:K1"/>
    <mergeCell ref="H2:K2"/>
    <mergeCell ref="H3:K3"/>
    <mergeCell ref="H4:K4"/>
    <mergeCell ref="H5:K5"/>
  </mergeCells>
  <pageMargins left="0.7" right="0.7" top="0.75" bottom="0.75" header="0.3" footer="0.3"/>
  <pageSetup paperSize="9" orientation="landscape" r:id="rId1"/>
  <headerFooter>
    <oddFooter>&amp;R&amp;P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536"/>
  <sheetViews>
    <sheetView workbookViewId="0"/>
  </sheetViews>
  <sheetFormatPr defaultColWidth="9.140625" defaultRowHeight="12.75" x14ac:dyDescent="0.2"/>
  <cols>
    <col min="1" max="256" width="9.140625" customWidth="1"/>
  </cols>
  <sheetData>
    <row r="1" spans="1:200" x14ac:dyDescent="0.2">
      <c r="A1">
        <f>ROW(Source!A28)</f>
        <v>28</v>
      </c>
      <c r="B1">
        <v>86326987</v>
      </c>
      <c r="C1">
        <v>86327224</v>
      </c>
      <c r="D1">
        <v>27493207</v>
      </c>
      <c r="E1">
        <v>1</v>
      </c>
      <c r="F1">
        <v>1</v>
      </c>
      <c r="G1">
        <v>1</v>
      </c>
      <c r="H1">
        <v>1</v>
      </c>
      <c r="I1" t="s">
        <v>623</v>
      </c>
      <c r="J1" t="s">
        <v>6</v>
      </c>
      <c r="K1" t="s">
        <v>624</v>
      </c>
      <c r="L1">
        <v>1369</v>
      </c>
      <c r="N1">
        <v>1013</v>
      </c>
      <c r="O1" t="s">
        <v>625</v>
      </c>
      <c r="P1" t="s">
        <v>625</v>
      </c>
      <c r="Q1">
        <v>1</v>
      </c>
      <c r="W1">
        <v>0</v>
      </c>
      <c r="X1">
        <v>-1900352537</v>
      </c>
      <c r="Y1">
        <f>(AT1*1.05)</f>
        <v>17.4405</v>
      </c>
      <c r="AA1">
        <v>0</v>
      </c>
      <c r="AB1">
        <v>0</v>
      </c>
      <c r="AC1">
        <v>0</v>
      </c>
      <c r="AD1">
        <v>7.87</v>
      </c>
      <c r="AE1">
        <v>0</v>
      </c>
      <c r="AF1">
        <v>0</v>
      </c>
      <c r="AG1">
        <v>0</v>
      </c>
      <c r="AH1">
        <v>7.87</v>
      </c>
      <c r="AI1">
        <v>1</v>
      </c>
      <c r="AJ1">
        <v>1</v>
      </c>
      <c r="AK1">
        <v>1</v>
      </c>
      <c r="AL1">
        <v>1</v>
      </c>
      <c r="AM1">
        <v>0</v>
      </c>
      <c r="AN1">
        <v>0</v>
      </c>
      <c r="AO1">
        <v>1</v>
      </c>
      <c r="AP1">
        <v>1</v>
      </c>
      <c r="AQ1">
        <v>0</v>
      </c>
      <c r="AR1">
        <v>0</v>
      </c>
      <c r="AS1" t="s">
        <v>6</v>
      </c>
      <c r="AT1">
        <v>16.61</v>
      </c>
      <c r="AU1" t="s">
        <v>25</v>
      </c>
      <c r="AV1">
        <v>1</v>
      </c>
      <c r="AW1">
        <v>2</v>
      </c>
      <c r="AX1">
        <v>86327233</v>
      </c>
      <c r="AY1">
        <v>1</v>
      </c>
      <c r="AZ1">
        <v>0</v>
      </c>
      <c r="BA1">
        <v>1</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CU1">
        <f>ROUND(AT1*Source!I28*AH1*AL1,0)</f>
        <v>875</v>
      </c>
      <c r="CV1">
        <f>ROUND(Y1*Source!I28,9)</f>
        <v>116.72054625</v>
      </c>
      <c r="CW1">
        <v>0</v>
      </c>
      <c r="CX1">
        <f>ROUND(Y1*Source!I28,9)</f>
        <v>116.72054625</v>
      </c>
      <c r="CY1">
        <f>AD1</f>
        <v>7.87</v>
      </c>
      <c r="CZ1">
        <f>AH1</f>
        <v>7.87</v>
      </c>
      <c r="DA1">
        <f>AL1</f>
        <v>1</v>
      </c>
      <c r="DB1">
        <f>ROUND((ROUND(AT1*CZ1,2)*1.05),2)</f>
        <v>137.26</v>
      </c>
      <c r="DC1">
        <f>ROUND((ROUND(AT1*AG1,2)*1.05),2)</f>
        <v>0</v>
      </c>
      <c r="DD1" t="s">
        <v>6</v>
      </c>
      <c r="DE1" t="s">
        <v>6</v>
      </c>
      <c r="DF1">
        <f t="shared" ref="DF1:DF14" si="0">ROUND(ROUND(AE1,0)*CX1,0)</f>
        <v>0</v>
      </c>
      <c r="DG1">
        <f t="shared" ref="DG1:DG10" si="1">ROUND(ROUND(AF1,0)*CX1,0)</f>
        <v>0</v>
      </c>
      <c r="DH1">
        <f>Source!I28*SmtRes!Y1</f>
        <v>116.72054625</v>
      </c>
      <c r="DI1">
        <f>AD1</f>
        <v>7.87</v>
      </c>
      <c r="DJ1">
        <f>EtalonRes!AB1</f>
        <v>7.87</v>
      </c>
      <c r="DK1">
        <f>Source!BA28</f>
        <v>1</v>
      </c>
      <c r="DL1" t="s">
        <v>6</v>
      </c>
      <c r="DM1">
        <v>0</v>
      </c>
      <c r="DN1" t="s">
        <v>6</v>
      </c>
      <c r="DO1">
        <v>0</v>
      </c>
      <c r="GQ1">
        <v>-1</v>
      </c>
      <c r="GR1">
        <v>-1</v>
      </c>
    </row>
    <row r="2" spans="1:200" x14ac:dyDescent="0.2">
      <c r="A2">
        <f>ROW(Source!A28)</f>
        <v>28</v>
      </c>
      <c r="B2">
        <v>86326987</v>
      </c>
      <c r="C2">
        <v>86327224</v>
      </c>
      <c r="D2">
        <v>121548</v>
      </c>
      <c r="E2">
        <v>1</v>
      </c>
      <c r="F2">
        <v>1</v>
      </c>
      <c r="G2">
        <v>1</v>
      </c>
      <c r="H2">
        <v>1</v>
      </c>
      <c r="I2" t="s">
        <v>40</v>
      </c>
      <c r="J2" t="s">
        <v>6</v>
      </c>
      <c r="K2" t="s">
        <v>626</v>
      </c>
      <c r="L2">
        <v>608254</v>
      </c>
      <c r="N2">
        <v>1013</v>
      </c>
      <c r="O2" t="s">
        <v>627</v>
      </c>
      <c r="P2" t="s">
        <v>627</v>
      </c>
      <c r="Q2">
        <v>1</v>
      </c>
      <c r="W2">
        <v>0</v>
      </c>
      <c r="X2">
        <v>-185737400</v>
      </c>
      <c r="Y2">
        <f>(AT2*1.12)</f>
        <v>5.6448000000000009</v>
      </c>
      <c r="AA2">
        <v>0</v>
      </c>
      <c r="AB2">
        <v>0</v>
      </c>
      <c r="AC2">
        <v>0</v>
      </c>
      <c r="AD2">
        <v>0</v>
      </c>
      <c r="AE2">
        <v>0</v>
      </c>
      <c r="AF2">
        <v>0</v>
      </c>
      <c r="AG2">
        <v>0</v>
      </c>
      <c r="AH2">
        <v>0</v>
      </c>
      <c r="AI2">
        <v>1</v>
      </c>
      <c r="AJ2">
        <v>1</v>
      </c>
      <c r="AK2">
        <v>1</v>
      </c>
      <c r="AL2">
        <v>1</v>
      </c>
      <c r="AM2">
        <v>0</v>
      </c>
      <c r="AN2">
        <v>0</v>
      </c>
      <c r="AO2">
        <v>1</v>
      </c>
      <c r="AP2">
        <v>1</v>
      </c>
      <c r="AQ2">
        <v>0</v>
      </c>
      <c r="AR2">
        <v>0</v>
      </c>
      <c r="AS2" t="s">
        <v>6</v>
      </c>
      <c r="AT2">
        <v>5.04</v>
      </c>
      <c r="AU2" t="s">
        <v>24</v>
      </c>
      <c r="AV2">
        <v>2</v>
      </c>
      <c r="AW2">
        <v>2</v>
      </c>
      <c r="AX2">
        <v>86327234</v>
      </c>
      <c r="AY2">
        <v>1</v>
      </c>
      <c r="AZ2">
        <v>0</v>
      </c>
      <c r="BA2">
        <v>2</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CV2">
        <v>0</v>
      </c>
      <c r="CW2">
        <v>0</v>
      </c>
      <c r="CX2">
        <f>ROUND(Y2*Source!I28,9)</f>
        <v>37.777824000000003</v>
      </c>
      <c r="CY2">
        <f>AD2</f>
        <v>0</v>
      </c>
      <c r="CZ2">
        <f>AH2</f>
        <v>0</v>
      </c>
      <c r="DA2">
        <f>AL2</f>
        <v>1</v>
      </c>
      <c r="DB2">
        <f>ROUND((ROUND(AT2*CZ2,2)*1.12),2)</f>
        <v>0</v>
      </c>
      <c r="DC2">
        <f>ROUND((ROUND(AT2*AG2,2)*1.12),2)</f>
        <v>0</v>
      </c>
      <c r="DD2" t="s">
        <v>6</v>
      </c>
      <c r="DE2" t="s">
        <v>6</v>
      </c>
      <c r="DF2">
        <f t="shared" si="0"/>
        <v>0</v>
      </c>
      <c r="DG2">
        <f t="shared" si="1"/>
        <v>0</v>
      </c>
      <c r="DH2">
        <f>Source!I28*SmtRes!Y2</f>
        <v>37.777824000000003</v>
      </c>
      <c r="DI2">
        <f>AD2</f>
        <v>0</v>
      </c>
      <c r="DJ2">
        <f>EtalonRes!AB2</f>
        <v>0</v>
      </c>
      <c r="DK2">
        <f>Source!BA28</f>
        <v>1</v>
      </c>
      <c r="DL2" t="s">
        <v>6</v>
      </c>
      <c r="DM2">
        <v>0</v>
      </c>
      <c r="DN2" t="s">
        <v>6</v>
      </c>
      <c r="DO2">
        <v>0</v>
      </c>
      <c r="GQ2">
        <v>-1</v>
      </c>
      <c r="GR2">
        <v>-1</v>
      </c>
    </row>
    <row r="3" spans="1:200" x14ac:dyDescent="0.2">
      <c r="A3">
        <f>ROW(Source!A28)</f>
        <v>28</v>
      </c>
      <c r="B3">
        <v>86326987</v>
      </c>
      <c r="C3">
        <v>86327224</v>
      </c>
      <c r="D3">
        <v>27439419</v>
      </c>
      <c r="E3">
        <v>1</v>
      </c>
      <c r="F3">
        <v>1</v>
      </c>
      <c r="G3">
        <v>1</v>
      </c>
      <c r="H3">
        <v>2</v>
      </c>
      <c r="I3" t="s">
        <v>628</v>
      </c>
      <c r="J3" t="s">
        <v>629</v>
      </c>
      <c r="K3" t="s">
        <v>630</v>
      </c>
      <c r="L3">
        <v>1368</v>
      </c>
      <c r="N3">
        <v>1011</v>
      </c>
      <c r="O3" t="s">
        <v>137</v>
      </c>
      <c r="P3" t="s">
        <v>137</v>
      </c>
      <c r="Q3">
        <v>1</v>
      </c>
      <c r="W3">
        <v>0</v>
      </c>
      <c r="X3">
        <v>1804162481</v>
      </c>
      <c r="Y3">
        <f>(AT3*1.12)</f>
        <v>3.3600000000000003</v>
      </c>
      <c r="AA3">
        <v>0</v>
      </c>
      <c r="AB3">
        <v>115.64</v>
      </c>
      <c r="AC3">
        <v>13.61</v>
      </c>
      <c r="AD3">
        <v>0</v>
      </c>
      <c r="AE3">
        <v>0</v>
      </c>
      <c r="AF3">
        <v>115.64</v>
      </c>
      <c r="AG3">
        <v>13.61</v>
      </c>
      <c r="AH3">
        <v>0</v>
      </c>
      <c r="AI3">
        <v>1</v>
      </c>
      <c r="AJ3">
        <v>1</v>
      </c>
      <c r="AK3">
        <v>1</v>
      </c>
      <c r="AL3">
        <v>1</v>
      </c>
      <c r="AM3">
        <v>0</v>
      </c>
      <c r="AN3">
        <v>0</v>
      </c>
      <c r="AO3">
        <v>1</v>
      </c>
      <c r="AP3">
        <v>1</v>
      </c>
      <c r="AQ3">
        <v>0</v>
      </c>
      <c r="AR3">
        <v>0</v>
      </c>
      <c r="AS3" t="s">
        <v>6</v>
      </c>
      <c r="AT3">
        <v>3</v>
      </c>
      <c r="AU3" t="s">
        <v>24</v>
      </c>
      <c r="AV3">
        <v>0</v>
      </c>
      <c r="AW3">
        <v>1</v>
      </c>
      <c r="AX3">
        <v>-1</v>
      </c>
      <c r="AY3">
        <v>0</v>
      </c>
      <c r="AZ3">
        <v>0</v>
      </c>
      <c r="BA3" t="s">
        <v>6</v>
      </c>
      <c r="BB3">
        <v>5</v>
      </c>
      <c r="BC3">
        <v>0</v>
      </c>
      <c r="BD3">
        <v>388.55040000000002</v>
      </c>
      <c r="BE3">
        <v>45.729600000000005</v>
      </c>
      <c r="BF3">
        <v>0</v>
      </c>
      <c r="BG3">
        <v>0</v>
      </c>
      <c r="BH3">
        <v>0</v>
      </c>
      <c r="BI3">
        <v>1</v>
      </c>
      <c r="BJ3">
        <v>0</v>
      </c>
      <c r="BK3">
        <v>0</v>
      </c>
      <c r="BL3">
        <v>0</v>
      </c>
      <c r="BM3">
        <v>0</v>
      </c>
      <c r="BN3">
        <v>0</v>
      </c>
      <c r="BO3">
        <v>0</v>
      </c>
      <c r="BP3">
        <v>0</v>
      </c>
      <c r="BQ3">
        <v>0</v>
      </c>
      <c r="BR3">
        <v>0</v>
      </c>
      <c r="BS3">
        <v>0</v>
      </c>
      <c r="BT3">
        <v>0</v>
      </c>
      <c r="BU3">
        <v>0</v>
      </c>
      <c r="BV3">
        <v>0</v>
      </c>
      <c r="BW3">
        <v>0</v>
      </c>
      <c r="CV3">
        <v>0</v>
      </c>
      <c r="CW3">
        <f>ROUND(Y3*Source!I28*DO3,9)</f>
        <v>0</v>
      </c>
      <c r="CX3">
        <f>ROUND(Y3*Source!I28,9)</f>
        <v>22.486799999999999</v>
      </c>
      <c r="CY3">
        <f>AB3</f>
        <v>115.64</v>
      </c>
      <c r="CZ3">
        <f>AF3</f>
        <v>115.64</v>
      </c>
      <c r="DA3">
        <f>AJ3</f>
        <v>1</v>
      </c>
      <c r="DB3">
        <f>ROUND((ROUND(AT3*CZ3,2)*1.12),2)</f>
        <v>388.55</v>
      </c>
      <c r="DC3">
        <f>ROUND((ROUND(AT3*AG3,2)*1.12),2)</f>
        <v>45.73</v>
      </c>
      <c r="DD3" t="s">
        <v>6</v>
      </c>
      <c r="DE3" t="s">
        <v>6</v>
      </c>
      <c r="DF3">
        <f t="shared" si="0"/>
        <v>0</v>
      </c>
      <c r="DG3">
        <f t="shared" si="1"/>
        <v>2608</v>
      </c>
      <c r="DH3">
        <f>Source!I28*SmtRes!Y3</f>
        <v>22.486800000000002</v>
      </c>
      <c r="DI3">
        <f>AB3</f>
        <v>115.64</v>
      </c>
      <c r="DJ3">
        <f>DG3</f>
        <v>2608</v>
      </c>
      <c r="DK3">
        <f>Source!BB28</f>
        <v>1</v>
      </c>
      <c r="DL3" t="s">
        <v>6</v>
      </c>
      <c r="DM3">
        <v>0</v>
      </c>
      <c r="DN3" t="s">
        <v>6</v>
      </c>
      <c r="DO3">
        <v>0</v>
      </c>
      <c r="GQ3">
        <v>-1</v>
      </c>
      <c r="GR3">
        <v>-1</v>
      </c>
    </row>
    <row r="4" spans="1:200" x14ac:dyDescent="0.2">
      <c r="A4">
        <f>ROW(Source!A28)</f>
        <v>28</v>
      </c>
      <c r="B4">
        <v>86326987</v>
      </c>
      <c r="C4">
        <v>86327224</v>
      </c>
      <c r="D4">
        <v>27439499</v>
      </c>
      <c r="E4">
        <v>1</v>
      </c>
      <c r="F4">
        <v>1</v>
      </c>
      <c r="G4">
        <v>1</v>
      </c>
      <c r="H4">
        <v>2</v>
      </c>
      <c r="I4" t="s">
        <v>631</v>
      </c>
      <c r="J4" t="s">
        <v>632</v>
      </c>
      <c r="K4" t="s">
        <v>633</v>
      </c>
      <c r="L4">
        <v>1368</v>
      </c>
      <c r="N4">
        <v>1011</v>
      </c>
      <c r="O4" t="s">
        <v>137</v>
      </c>
      <c r="P4" t="s">
        <v>137</v>
      </c>
      <c r="Q4">
        <v>1</v>
      </c>
      <c r="W4">
        <v>0</v>
      </c>
      <c r="X4">
        <v>1890856440</v>
      </c>
      <c r="Y4">
        <f>(AT4*1.12)</f>
        <v>0.49280000000000007</v>
      </c>
      <c r="AA4">
        <v>0</v>
      </c>
      <c r="AB4">
        <v>112.67</v>
      </c>
      <c r="AC4">
        <v>13.61</v>
      </c>
      <c r="AD4">
        <v>0</v>
      </c>
      <c r="AE4">
        <v>0</v>
      </c>
      <c r="AF4">
        <v>112.67</v>
      </c>
      <c r="AG4">
        <v>13.61</v>
      </c>
      <c r="AH4">
        <v>0</v>
      </c>
      <c r="AI4">
        <v>1</v>
      </c>
      <c r="AJ4">
        <v>1</v>
      </c>
      <c r="AK4">
        <v>1</v>
      </c>
      <c r="AL4">
        <v>1</v>
      </c>
      <c r="AM4">
        <v>0</v>
      </c>
      <c r="AN4">
        <v>0</v>
      </c>
      <c r="AO4">
        <v>1</v>
      </c>
      <c r="AP4">
        <v>1</v>
      </c>
      <c r="AQ4">
        <v>0</v>
      </c>
      <c r="AR4">
        <v>0</v>
      </c>
      <c r="AS4" t="s">
        <v>6</v>
      </c>
      <c r="AT4">
        <v>0.44</v>
      </c>
      <c r="AU4" t="s">
        <v>24</v>
      </c>
      <c r="AV4">
        <v>0</v>
      </c>
      <c r="AW4">
        <v>2</v>
      </c>
      <c r="AX4">
        <v>86327236</v>
      </c>
      <c r="AY4">
        <v>1</v>
      </c>
      <c r="AZ4">
        <v>0</v>
      </c>
      <c r="BA4">
        <v>4</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CV4">
        <v>0</v>
      </c>
      <c r="CW4">
        <f>ROUND(Y4*Source!I28*DO4,9)</f>
        <v>0</v>
      </c>
      <c r="CX4">
        <f>ROUND(Y4*Source!I28,9)</f>
        <v>3.2980640000000001</v>
      </c>
      <c r="CY4">
        <f>AB4</f>
        <v>112.67</v>
      </c>
      <c r="CZ4">
        <f>AF4</f>
        <v>112.67</v>
      </c>
      <c r="DA4">
        <f>AJ4</f>
        <v>1</v>
      </c>
      <c r="DB4">
        <f>ROUND((ROUND(AT4*CZ4,2)*1.12),2)</f>
        <v>55.52</v>
      </c>
      <c r="DC4">
        <f>ROUND((ROUND(AT4*AG4,2)*1.12),2)</f>
        <v>6.71</v>
      </c>
      <c r="DD4" t="s">
        <v>6</v>
      </c>
      <c r="DE4" t="s">
        <v>6</v>
      </c>
      <c r="DF4">
        <f t="shared" si="0"/>
        <v>0</v>
      </c>
      <c r="DG4">
        <f t="shared" si="1"/>
        <v>373</v>
      </c>
      <c r="DH4">
        <f>Source!I28*SmtRes!Y4</f>
        <v>3.2980640000000006</v>
      </c>
      <c r="DI4">
        <f>AB4</f>
        <v>112.67</v>
      </c>
      <c r="DJ4">
        <f>EtalonRes!Z4</f>
        <v>112.67</v>
      </c>
      <c r="DK4">
        <f>Source!BB28</f>
        <v>1</v>
      </c>
      <c r="DL4" t="s">
        <v>6</v>
      </c>
      <c r="DM4">
        <v>0</v>
      </c>
      <c r="DN4" t="s">
        <v>6</v>
      </c>
      <c r="DO4">
        <v>0</v>
      </c>
      <c r="GQ4">
        <v>-1</v>
      </c>
      <c r="GR4">
        <v>-1</v>
      </c>
    </row>
    <row r="5" spans="1:200" x14ac:dyDescent="0.2">
      <c r="A5">
        <f>ROW(Source!A28)</f>
        <v>28</v>
      </c>
      <c r="B5">
        <v>86326987</v>
      </c>
      <c r="C5">
        <v>86327224</v>
      </c>
      <c r="D5">
        <v>27439640</v>
      </c>
      <c r="E5">
        <v>1</v>
      </c>
      <c r="F5">
        <v>1</v>
      </c>
      <c r="G5">
        <v>1</v>
      </c>
      <c r="H5">
        <v>2</v>
      </c>
      <c r="I5" t="s">
        <v>634</v>
      </c>
      <c r="J5" t="s">
        <v>635</v>
      </c>
      <c r="K5" t="s">
        <v>636</v>
      </c>
      <c r="L5">
        <v>1368</v>
      </c>
      <c r="N5">
        <v>1011</v>
      </c>
      <c r="O5" t="s">
        <v>137</v>
      </c>
      <c r="P5" t="s">
        <v>137</v>
      </c>
      <c r="Q5">
        <v>1</v>
      </c>
      <c r="W5">
        <v>0</v>
      </c>
      <c r="X5">
        <v>1935701055</v>
      </c>
      <c r="Y5">
        <f>(AT5*1.12)</f>
        <v>1.7920000000000003</v>
      </c>
      <c r="AA5">
        <v>0</v>
      </c>
      <c r="AB5">
        <v>56.1</v>
      </c>
      <c r="AC5">
        <v>13.61</v>
      </c>
      <c r="AD5">
        <v>0</v>
      </c>
      <c r="AE5">
        <v>0</v>
      </c>
      <c r="AF5">
        <v>56.1</v>
      </c>
      <c r="AG5">
        <v>13.61</v>
      </c>
      <c r="AH5">
        <v>0</v>
      </c>
      <c r="AI5">
        <v>1</v>
      </c>
      <c r="AJ5">
        <v>1</v>
      </c>
      <c r="AK5">
        <v>1</v>
      </c>
      <c r="AL5">
        <v>1</v>
      </c>
      <c r="AM5">
        <v>0</v>
      </c>
      <c r="AN5">
        <v>0</v>
      </c>
      <c r="AO5">
        <v>1</v>
      </c>
      <c r="AP5">
        <v>1</v>
      </c>
      <c r="AQ5">
        <v>0</v>
      </c>
      <c r="AR5">
        <v>0</v>
      </c>
      <c r="AS5" t="s">
        <v>6</v>
      </c>
      <c r="AT5">
        <v>1.6</v>
      </c>
      <c r="AU5" t="s">
        <v>24</v>
      </c>
      <c r="AV5">
        <v>0</v>
      </c>
      <c r="AW5">
        <v>2</v>
      </c>
      <c r="AX5">
        <v>86327237</v>
      </c>
      <c r="AY5">
        <v>1</v>
      </c>
      <c r="AZ5">
        <v>0</v>
      </c>
      <c r="BA5">
        <v>5</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CV5">
        <v>0</v>
      </c>
      <c r="CW5">
        <f>ROUND(Y5*Source!I28*DO5,9)</f>
        <v>0</v>
      </c>
      <c r="CX5">
        <f>ROUND(Y5*Source!I28,9)</f>
        <v>11.99296</v>
      </c>
      <c r="CY5">
        <f>AB5</f>
        <v>56.1</v>
      </c>
      <c r="CZ5">
        <f>AF5</f>
        <v>56.1</v>
      </c>
      <c r="DA5">
        <f>AJ5</f>
        <v>1</v>
      </c>
      <c r="DB5">
        <f>ROUND((ROUND(AT5*CZ5,2)*1.12),2)</f>
        <v>100.53</v>
      </c>
      <c r="DC5">
        <f>ROUND((ROUND(AT5*AG5,2)*1.12),2)</f>
        <v>24.39</v>
      </c>
      <c r="DD5" t="s">
        <v>6</v>
      </c>
      <c r="DE5" t="s">
        <v>6</v>
      </c>
      <c r="DF5">
        <f t="shared" si="0"/>
        <v>0</v>
      </c>
      <c r="DG5">
        <f t="shared" si="1"/>
        <v>672</v>
      </c>
      <c r="DH5">
        <f>Source!I28*SmtRes!Y5</f>
        <v>11.992960000000002</v>
      </c>
      <c r="DI5">
        <f>AB5</f>
        <v>56.1</v>
      </c>
      <c r="DJ5">
        <f>EtalonRes!Z5</f>
        <v>56.1</v>
      </c>
      <c r="DK5">
        <f>Source!BB28</f>
        <v>1</v>
      </c>
      <c r="DL5" t="s">
        <v>6</v>
      </c>
      <c r="DM5">
        <v>0</v>
      </c>
      <c r="DN5" t="s">
        <v>6</v>
      </c>
      <c r="DO5">
        <v>0</v>
      </c>
      <c r="GQ5">
        <v>-1</v>
      </c>
      <c r="GR5">
        <v>-1</v>
      </c>
    </row>
    <row r="6" spans="1:200" x14ac:dyDescent="0.2">
      <c r="A6">
        <f>ROW(Source!A28)</f>
        <v>28</v>
      </c>
      <c r="B6">
        <v>86326987</v>
      </c>
      <c r="C6">
        <v>86327224</v>
      </c>
      <c r="D6">
        <v>27441327</v>
      </c>
      <c r="E6">
        <v>1</v>
      </c>
      <c r="F6">
        <v>1</v>
      </c>
      <c r="G6">
        <v>1</v>
      </c>
      <c r="H6">
        <v>2</v>
      </c>
      <c r="I6" t="s">
        <v>637</v>
      </c>
      <c r="J6" t="s">
        <v>638</v>
      </c>
      <c r="K6" t="s">
        <v>639</v>
      </c>
      <c r="L6">
        <v>1368</v>
      </c>
      <c r="N6">
        <v>1011</v>
      </c>
      <c r="O6" t="s">
        <v>137</v>
      </c>
      <c r="P6" t="s">
        <v>137</v>
      </c>
      <c r="Q6">
        <v>1</v>
      </c>
      <c r="W6">
        <v>0</v>
      </c>
      <c r="X6">
        <v>-1583389094</v>
      </c>
      <c r="Y6">
        <f>(AT6*1.12)</f>
        <v>0.6160000000000001</v>
      </c>
      <c r="AA6">
        <v>0</v>
      </c>
      <c r="AB6">
        <v>93.37</v>
      </c>
      <c r="AC6">
        <v>11.69</v>
      </c>
      <c r="AD6">
        <v>0</v>
      </c>
      <c r="AE6">
        <v>0</v>
      </c>
      <c r="AF6">
        <v>93.37</v>
      </c>
      <c r="AG6">
        <v>11.69</v>
      </c>
      <c r="AH6">
        <v>0</v>
      </c>
      <c r="AI6">
        <v>1</v>
      </c>
      <c r="AJ6">
        <v>1</v>
      </c>
      <c r="AK6">
        <v>1</v>
      </c>
      <c r="AL6">
        <v>1</v>
      </c>
      <c r="AM6">
        <v>0</v>
      </c>
      <c r="AN6">
        <v>0</v>
      </c>
      <c r="AO6">
        <v>1</v>
      </c>
      <c r="AP6">
        <v>1</v>
      </c>
      <c r="AQ6">
        <v>0</v>
      </c>
      <c r="AR6">
        <v>0</v>
      </c>
      <c r="AS6" t="s">
        <v>6</v>
      </c>
      <c r="AT6">
        <v>0.55000000000000004</v>
      </c>
      <c r="AU6" t="s">
        <v>24</v>
      </c>
      <c r="AV6">
        <v>0</v>
      </c>
      <c r="AW6">
        <v>2</v>
      </c>
      <c r="AX6">
        <v>86327238</v>
      </c>
      <c r="AY6">
        <v>1</v>
      </c>
      <c r="AZ6">
        <v>0</v>
      </c>
      <c r="BA6">
        <v>6</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CV6">
        <v>0</v>
      </c>
      <c r="CW6">
        <f>ROUND(Y6*Source!I28*DO6,9)</f>
        <v>0</v>
      </c>
      <c r="CX6">
        <f>ROUND(Y6*Source!I28,9)</f>
        <v>4.1225800000000001</v>
      </c>
      <c r="CY6">
        <f>AB6</f>
        <v>93.37</v>
      </c>
      <c r="CZ6">
        <f>AF6</f>
        <v>93.37</v>
      </c>
      <c r="DA6">
        <f>AJ6</f>
        <v>1</v>
      </c>
      <c r="DB6">
        <f>ROUND((ROUND(AT6*CZ6,2)*1.12),2)</f>
        <v>57.51</v>
      </c>
      <c r="DC6">
        <f>ROUND((ROUND(AT6*AG6,2)*1.12),2)</f>
        <v>7.2</v>
      </c>
      <c r="DD6" t="s">
        <v>6</v>
      </c>
      <c r="DE6" t="s">
        <v>6</v>
      </c>
      <c r="DF6">
        <f t="shared" si="0"/>
        <v>0</v>
      </c>
      <c r="DG6">
        <f t="shared" si="1"/>
        <v>383</v>
      </c>
      <c r="DH6">
        <f>Source!I28*SmtRes!Y6</f>
        <v>4.122580000000001</v>
      </c>
      <c r="DI6">
        <f>AB6</f>
        <v>93.37</v>
      </c>
      <c r="DJ6">
        <f>EtalonRes!Z6</f>
        <v>93.37</v>
      </c>
      <c r="DK6">
        <f>Source!BB28</f>
        <v>1</v>
      </c>
      <c r="DL6" t="s">
        <v>6</v>
      </c>
      <c r="DM6">
        <v>0</v>
      </c>
      <c r="DN6" t="s">
        <v>6</v>
      </c>
      <c r="DO6">
        <v>0</v>
      </c>
      <c r="GQ6">
        <v>-1</v>
      </c>
      <c r="GR6">
        <v>-1</v>
      </c>
    </row>
    <row r="7" spans="1:200" x14ac:dyDescent="0.2">
      <c r="A7">
        <f>ROW(Source!A28)</f>
        <v>28</v>
      </c>
      <c r="B7">
        <v>86326987</v>
      </c>
      <c r="C7">
        <v>86327224</v>
      </c>
      <c r="D7">
        <v>27378580</v>
      </c>
      <c r="E7">
        <v>1</v>
      </c>
      <c r="F7">
        <v>1</v>
      </c>
      <c r="G7">
        <v>1</v>
      </c>
      <c r="H7">
        <v>3</v>
      </c>
      <c r="I7" t="s">
        <v>31</v>
      </c>
      <c r="J7" t="s">
        <v>34</v>
      </c>
      <c r="K7" t="s">
        <v>32</v>
      </c>
      <c r="L7">
        <v>1348</v>
      </c>
      <c r="N7">
        <v>1009</v>
      </c>
      <c r="O7" t="s">
        <v>33</v>
      </c>
      <c r="P7" t="s">
        <v>33</v>
      </c>
      <c r="Q7">
        <v>1000</v>
      </c>
      <c r="W7">
        <v>0</v>
      </c>
      <c r="X7">
        <v>2105756975</v>
      </c>
      <c r="Y7">
        <f>AT7</f>
        <v>2.6499999999999999E-4</v>
      </c>
      <c r="AA7">
        <v>8475</v>
      </c>
      <c r="AB7">
        <v>0</v>
      </c>
      <c r="AC7">
        <v>0</v>
      </c>
      <c r="AD7">
        <v>0</v>
      </c>
      <c r="AE7">
        <v>8475</v>
      </c>
      <c r="AF7">
        <v>0</v>
      </c>
      <c r="AG7">
        <v>0</v>
      </c>
      <c r="AH7">
        <v>0</v>
      </c>
      <c r="AI7">
        <v>1</v>
      </c>
      <c r="AJ7">
        <v>1</v>
      </c>
      <c r="AK7">
        <v>1</v>
      </c>
      <c r="AL7">
        <v>1</v>
      </c>
      <c r="AM7">
        <v>0</v>
      </c>
      <c r="AN7">
        <v>0</v>
      </c>
      <c r="AO7">
        <v>0</v>
      </c>
      <c r="AP7">
        <v>1</v>
      </c>
      <c r="AQ7">
        <v>0</v>
      </c>
      <c r="AR7">
        <v>0</v>
      </c>
      <c r="AS7" t="s">
        <v>6</v>
      </c>
      <c r="AT7">
        <v>2.6499999999999999E-4</v>
      </c>
      <c r="AU7" t="s">
        <v>6</v>
      </c>
      <c r="AV7">
        <v>0</v>
      </c>
      <c r="AW7">
        <v>1</v>
      </c>
      <c r="AX7">
        <v>-1</v>
      </c>
      <c r="AY7">
        <v>0</v>
      </c>
      <c r="AZ7">
        <v>0</v>
      </c>
      <c r="BA7" t="s">
        <v>6</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CV7">
        <v>0</v>
      </c>
      <c r="CW7">
        <v>0</v>
      </c>
      <c r="CX7">
        <f>ROUND(Y7*Source!I28,9)</f>
        <v>1.773513E-3</v>
      </c>
      <c r="CY7">
        <f>AA7</f>
        <v>8475</v>
      </c>
      <c r="CZ7">
        <f>AE7</f>
        <v>8475</v>
      </c>
      <c r="DA7">
        <f>AI7</f>
        <v>1</v>
      </c>
      <c r="DB7">
        <f>ROUND(ROUND(AT7*CZ7,2),2)</f>
        <v>2.25</v>
      </c>
      <c r="DC7">
        <f>ROUND(ROUND(AT7*AG7,2),2)</f>
        <v>0</v>
      </c>
      <c r="DD7" t="s">
        <v>6</v>
      </c>
      <c r="DE7" t="s">
        <v>6</v>
      </c>
      <c r="DF7">
        <f t="shared" si="0"/>
        <v>15</v>
      </c>
      <c r="DG7">
        <f t="shared" si="1"/>
        <v>0</v>
      </c>
      <c r="DH7">
        <f>Source!I28*SmtRes!Y7</f>
        <v>1.7735124999999998E-3</v>
      </c>
      <c r="DI7">
        <f>AA7</f>
        <v>8475</v>
      </c>
      <c r="DJ7">
        <f>DF7</f>
        <v>15</v>
      </c>
      <c r="DK7">
        <f>Source!BC28</f>
        <v>1</v>
      </c>
      <c r="DL7" t="s">
        <v>6</v>
      </c>
      <c r="DM7">
        <v>0</v>
      </c>
      <c r="DN7" t="s">
        <v>6</v>
      </c>
      <c r="DO7">
        <v>0</v>
      </c>
      <c r="GP7">
        <v>1</v>
      </c>
      <c r="GQ7">
        <v>-1</v>
      </c>
      <c r="GR7">
        <v>-1</v>
      </c>
    </row>
    <row r="8" spans="1:200" x14ac:dyDescent="0.2">
      <c r="A8">
        <f>ROW(Source!A28)</f>
        <v>28</v>
      </c>
      <c r="B8">
        <v>86326987</v>
      </c>
      <c r="C8">
        <v>86327224</v>
      </c>
      <c r="D8">
        <v>27379786</v>
      </c>
      <c r="E8">
        <v>1</v>
      </c>
      <c r="F8">
        <v>1</v>
      </c>
      <c r="G8">
        <v>1</v>
      </c>
      <c r="H8">
        <v>3</v>
      </c>
      <c r="I8" t="s">
        <v>42</v>
      </c>
      <c r="J8" t="s">
        <v>45</v>
      </c>
      <c r="K8" t="s">
        <v>43</v>
      </c>
      <c r="L8">
        <v>1339</v>
      </c>
      <c r="N8">
        <v>1007</v>
      </c>
      <c r="O8" t="s">
        <v>44</v>
      </c>
      <c r="P8" t="s">
        <v>44</v>
      </c>
      <c r="Q8">
        <v>1</v>
      </c>
      <c r="W8">
        <v>0</v>
      </c>
      <c r="X8">
        <v>703937141</v>
      </c>
      <c r="Y8">
        <f>AT8</f>
        <v>8.9870000000000002E-3</v>
      </c>
      <c r="AA8">
        <v>1100</v>
      </c>
      <c r="AB8">
        <v>0</v>
      </c>
      <c r="AC8">
        <v>0</v>
      </c>
      <c r="AD8">
        <v>0</v>
      </c>
      <c r="AE8">
        <v>1100</v>
      </c>
      <c r="AF8">
        <v>0</v>
      </c>
      <c r="AG8">
        <v>0</v>
      </c>
      <c r="AH8">
        <v>0</v>
      </c>
      <c r="AI8">
        <v>1</v>
      </c>
      <c r="AJ8">
        <v>1</v>
      </c>
      <c r="AK8">
        <v>1</v>
      </c>
      <c r="AL8">
        <v>1</v>
      </c>
      <c r="AM8">
        <v>0</v>
      </c>
      <c r="AN8">
        <v>0</v>
      </c>
      <c r="AO8">
        <v>0</v>
      </c>
      <c r="AP8">
        <v>1</v>
      </c>
      <c r="AQ8">
        <v>0</v>
      </c>
      <c r="AR8">
        <v>0</v>
      </c>
      <c r="AS8" t="s">
        <v>6</v>
      </c>
      <c r="AT8">
        <v>8.9870000000000002E-3</v>
      </c>
      <c r="AU8" t="s">
        <v>6</v>
      </c>
      <c r="AV8">
        <v>0</v>
      </c>
      <c r="AW8">
        <v>2</v>
      </c>
      <c r="AX8">
        <v>86327240</v>
      </c>
      <c r="AY8">
        <v>1</v>
      </c>
      <c r="AZ8">
        <v>6144</v>
      </c>
      <c r="BA8">
        <v>8</v>
      </c>
      <c r="BB8">
        <v>3</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CV8">
        <v>0</v>
      </c>
      <c r="CW8">
        <v>0</v>
      </c>
      <c r="CX8">
        <f>ROUND(Y8*Source!I28,9)</f>
        <v>6.0145497999999999E-2</v>
      </c>
      <c r="CY8">
        <f>AA8</f>
        <v>1100</v>
      </c>
      <c r="CZ8">
        <f>AE8</f>
        <v>1100</v>
      </c>
      <c r="DA8">
        <f>AI8</f>
        <v>1</v>
      </c>
      <c r="DB8">
        <f>ROUND(ROUND(AT8*CZ8,2),2)</f>
        <v>9.89</v>
      </c>
      <c r="DC8">
        <f>ROUND(ROUND(AT8*AG8,2),2)</f>
        <v>0</v>
      </c>
      <c r="DD8" t="s">
        <v>6</v>
      </c>
      <c r="DE8" t="s">
        <v>6</v>
      </c>
      <c r="DF8">
        <f t="shared" si="0"/>
        <v>66</v>
      </c>
      <c r="DG8">
        <f t="shared" si="1"/>
        <v>0</v>
      </c>
      <c r="DH8">
        <f>Source!I28*SmtRes!Y8</f>
        <v>6.0145497499999999E-2</v>
      </c>
      <c r="DI8">
        <f>AA8</f>
        <v>1100</v>
      </c>
      <c r="DJ8">
        <f>EtalonRes!Y8</f>
        <v>1100</v>
      </c>
      <c r="DK8">
        <f>Source!BC28</f>
        <v>1</v>
      </c>
      <c r="DL8" t="s">
        <v>6</v>
      </c>
      <c r="DM8">
        <v>0</v>
      </c>
      <c r="DN8" t="s">
        <v>6</v>
      </c>
      <c r="DO8">
        <v>0</v>
      </c>
      <c r="GP8">
        <v>1</v>
      </c>
      <c r="GQ8">
        <v>-1</v>
      </c>
      <c r="GR8">
        <v>-1</v>
      </c>
    </row>
    <row r="9" spans="1:200" x14ac:dyDescent="0.2">
      <c r="A9">
        <f>ROW(Source!A29)</f>
        <v>29</v>
      </c>
      <c r="B9">
        <v>86326988</v>
      </c>
      <c r="C9">
        <v>86327224</v>
      </c>
      <c r="D9">
        <v>27493207</v>
      </c>
      <c r="E9">
        <v>1</v>
      </c>
      <c r="F9">
        <v>1</v>
      </c>
      <c r="G9">
        <v>1</v>
      </c>
      <c r="H9">
        <v>1</v>
      </c>
      <c r="I9" t="s">
        <v>623</v>
      </c>
      <c r="J9" t="s">
        <v>6</v>
      </c>
      <c r="K9" t="s">
        <v>624</v>
      </c>
      <c r="L9">
        <v>1369</v>
      </c>
      <c r="N9">
        <v>1013</v>
      </c>
      <c r="O9" t="s">
        <v>625</v>
      </c>
      <c r="P9" t="s">
        <v>625</v>
      </c>
      <c r="Q9">
        <v>1</v>
      </c>
      <c r="W9">
        <v>0</v>
      </c>
      <c r="X9">
        <v>-1900352537</v>
      </c>
      <c r="Y9">
        <f>(AT9*1.05)</f>
        <v>17.4405</v>
      </c>
      <c r="AA9">
        <v>0</v>
      </c>
      <c r="AB9">
        <v>0</v>
      </c>
      <c r="AC9">
        <v>0</v>
      </c>
      <c r="AD9">
        <v>283.87</v>
      </c>
      <c r="AE9">
        <v>0</v>
      </c>
      <c r="AF9">
        <v>0</v>
      </c>
      <c r="AG9">
        <v>0</v>
      </c>
      <c r="AH9">
        <v>7.87</v>
      </c>
      <c r="AI9">
        <v>1</v>
      </c>
      <c r="AJ9">
        <v>1</v>
      </c>
      <c r="AK9">
        <v>1</v>
      </c>
      <c r="AL9">
        <v>36.07</v>
      </c>
      <c r="AM9">
        <v>5</v>
      </c>
      <c r="AN9">
        <v>0</v>
      </c>
      <c r="AO9">
        <v>1</v>
      </c>
      <c r="AP9">
        <v>1</v>
      </c>
      <c r="AQ9">
        <v>0</v>
      </c>
      <c r="AR9">
        <v>0</v>
      </c>
      <c r="AS9" t="s">
        <v>6</v>
      </c>
      <c r="AT9">
        <v>16.61</v>
      </c>
      <c r="AU9" t="s">
        <v>25</v>
      </c>
      <c r="AV9">
        <v>1</v>
      </c>
      <c r="AW9">
        <v>2</v>
      </c>
      <c r="AX9">
        <v>86327233</v>
      </c>
      <c r="AY9">
        <v>1</v>
      </c>
      <c r="AZ9">
        <v>0</v>
      </c>
      <c r="BA9">
        <v>9</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CU9">
        <f>ROUND(AT9*Source!I29*AH9*AL9,0)</f>
        <v>31556</v>
      </c>
      <c r="CV9">
        <f>ROUND(Y9*Source!I29,9)</f>
        <v>116.72054625</v>
      </c>
      <c r="CW9">
        <v>0</v>
      </c>
      <c r="CX9">
        <f>ROUND(Y9*Source!I29,9)</f>
        <v>116.72054625</v>
      </c>
      <c r="CY9">
        <f>AD9</f>
        <v>283.87</v>
      </c>
      <c r="CZ9">
        <f>AH9</f>
        <v>7.87</v>
      </c>
      <c r="DA9">
        <f>AL9</f>
        <v>36.07</v>
      </c>
      <c r="DB9">
        <f>ROUND((ROUND(AT9*CZ9,2)*1.05),2)</f>
        <v>137.26</v>
      </c>
      <c r="DC9">
        <f>ROUND((ROUND(AT9*AG9,2)*1.05),2)</f>
        <v>0</v>
      </c>
      <c r="DD9" t="s">
        <v>6</v>
      </c>
      <c r="DE9" t="s">
        <v>6</v>
      </c>
      <c r="DF9">
        <f t="shared" si="0"/>
        <v>0</v>
      </c>
      <c r="DG9">
        <f t="shared" si="1"/>
        <v>0</v>
      </c>
      <c r="DH9">
        <f>Source!I29*SmtRes!Y9</f>
        <v>116.72054625</v>
      </c>
      <c r="DI9">
        <f>AD9</f>
        <v>283.87</v>
      </c>
      <c r="DJ9">
        <f>EtalonRes!AB9</f>
        <v>7.87</v>
      </c>
      <c r="DK9">
        <f>Source!BA29</f>
        <v>36.07</v>
      </c>
      <c r="DL9" t="s">
        <v>6</v>
      </c>
      <c r="DM9">
        <v>0</v>
      </c>
      <c r="DN9" t="s">
        <v>6</v>
      </c>
      <c r="DO9">
        <v>0</v>
      </c>
      <c r="GQ9">
        <v>-1</v>
      </c>
      <c r="GR9">
        <v>-1</v>
      </c>
    </row>
    <row r="10" spans="1:200" x14ac:dyDescent="0.2">
      <c r="A10">
        <f>ROW(Source!A29)</f>
        <v>29</v>
      </c>
      <c r="B10">
        <v>86326988</v>
      </c>
      <c r="C10">
        <v>86327224</v>
      </c>
      <c r="D10">
        <v>121548</v>
      </c>
      <c r="E10">
        <v>1</v>
      </c>
      <c r="F10">
        <v>1</v>
      </c>
      <c r="G10">
        <v>1</v>
      </c>
      <c r="H10">
        <v>1</v>
      </c>
      <c r="I10" t="s">
        <v>40</v>
      </c>
      <c r="J10" t="s">
        <v>6</v>
      </c>
      <c r="K10" t="s">
        <v>626</v>
      </c>
      <c r="L10">
        <v>608254</v>
      </c>
      <c r="N10">
        <v>1013</v>
      </c>
      <c r="O10" t="s">
        <v>627</v>
      </c>
      <c r="P10" t="s">
        <v>627</v>
      </c>
      <c r="Q10">
        <v>1</v>
      </c>
      <c r="W10">
        <v>0</v>
      </c>
      <c r="X10">
        <v>-185737400</v>
      </c>
      <c r="Y10">
        <f>(AT10*1.12)</f>
        <v>5.6448000000000009</v>
      </c>
      <c r="AA10">
        <v>0</v>
      </c>
      <c r="AB10">
        <v>0</v>
      </c>
      <c r="AC10">
        <v>0</v>
      </c>
      <c r="AD10">
        <v>0</v>
      </c>
      <c r="AE10">
        <v>0</v>
      </c>
      <c r="AF10">
        <v>0</v>
      </c>
      <c r="AG10">
        <v>0</v>
      </c>
      <c r="AH10">
        <v>0</v>
      </c>
      <c r="AI10">
        <v>1</v>
      </c>
      <c r="AJ10">
        <v>1</v>
      </c>
      <c r="AK10">
        <v>19.8</v>
      </c>
      <c r="AL10">
        <v>1</v>
      </c>
      <c r="AM10">
        <v>5</v>
      </c>
      <c r="AN10">
        <v>0</v>
      </c>
      <c r="AO10">
        <v>1</v>
      </c>
      <c r="AP10">
        <v>1</v>
      </c>
      <c r="AQ10">
        <v>0</v>
      </c>
      <c r="AR10">
        <v>0</v>
      </c>
      <c r="AS10" t="s">
        <v>6</v>
      </c>
      <c r="AT10">
        <v>5.04</v>
      </c>
      <c r="AU10" t="s">
        <v>24</v>
      </c>
      <c r="AV10">
        <v>2</v>
      </c>
      <c r="AW10">
        <v>2</v>
      </c>
      <c r="AX10">
        <v>86327234</v>
      </c>
      <c r="AY10">
        <v>1</v>
      </c>
      <c r="AZ10">
        <v>0</v>
      </c>
      <c r="BA10">
        <v>10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CV10">
        <v>0</v>
      </c>
      <c r="CW10">
        <v>0</v>
      </c>
      <c r="CX10">
        <f>ROUND(Y10*Source!I29,9)</f>
        <v>37.777824000000003</v>
      </c>
      <c r="CY10">
        <f>AD10</f>
        <v>0</v>
      </c>
      <c r="CZ10">
        <f>AH10</f>
        <v>0</v>
      </c>
      <c r="DA10">
        <f>AL10</f>
        <v>1</v>
      </c>
      <c r="DB10">
        <f>ROUND((ROUND(AT10*CZ10,2)*1.12),2)</f>
        <v>0</v>
      </c>
      <c r="DC10">
        <f>ROUND((ROUND(AT10*AG10,2)*1.12),2)</f>
        <v>0</v>
      </c>
      <c r="DD10" t="s">
        <v>6</v>
      </c>
      <c r="DE10" t="s">
        <v>6</v>
      </c>
      <c r="DF10">
        <f t="shared" si="0"/>
        <v>0</v>
      </c>
      <c r="DG10">
        <f t="shared" si="1"/>
        <v>0</v>
      </c>
      <c r="DH10">
        <f>Source!I29*SmtRes!Y10</f>
        <v>37.777824000000003</v>
      </c>
      <c r="DI10">
        <f>AD10</f>
        <v>0</v>
      </c>
      <c r="DJ10">
        <f>EtalonRes!AB10</f>
        <v>0</v>
      </c>
      <c r="DK10">
        <f>Source!BA29</f>
        <v>36.07</v>
      </c>
      <c r="DL10" t="s">
        <v>6</v>
      </c>
      <c r="DM10">
        <v>0</v>
      </c>
      <c r="DN10" t="s">
        <v>6</v>
      </c>
      <c r="DO10">
        <v>0</v>
      </c>
      <c r="GQ10">
        <v>-1</v>
      </c>
      <c r="GR10">
        <v>-1</v>
      </c>
    </row>
    <row r="11" spans="1:200" x14ac:dyDescent="0.2">
      <c r="A11">
        <f>ROW(Source!A29)</f>
        <v>29</v>
      </c>
      <c r="B11">
        <v>86326988</v>
      </c>
      <c r="C11">
        <v>86327224</v>
      </c>
      <c r="D11">
        <v>27439419</v>
      </c>
      <c r="E11">
        <v>1</v>
      </c>
      <c r="F11">
        <v>1</v>
      </c>
      <c r="G11">
        <v>1</v>
      </c>
      <c r="H11">
        <v>2</v>
      </c>
      <c r="I11" t="s">
        <v>628</v>
      </c>
      <c r="J11" t="s">
        <v>629</v>
      </c>
      <c r="K11" t="s">
        <v>630</v>
      </c>
      <c r="L11">
        <v>1368</v>
      </c>
      <c r="N11">
        <v>1011</v>
      </c>
      <c r="O11" t="s">
        <v>137</v>
      </c>
      <c r="P11" t="s">
        <v>137</v>
      </c>
      <c r="Q11">
        <v>1</v>
      </c>
      <c r="W11">
        <v>0</v>
      </c>
      <c r="X11">
        <v>1804162481</v>
      </c>
      <c r="Y11">
        <f>(AT11*1.12)</f>
        <v>3.3600000000000003</v>
      </c>
      <c r="AA11">
        <v>0</v>
      </c>
      <c r="AB11">
        <v>1075.45</v>
      </c>
      <c r="AC11">
        <v>269.48</v>
      </c>
      <c r="AD11">
        <v>0</v>
      </c>
      <c r="AE11">
        <v>0</v>
      </c>
      <c r="AF11">
        <v>115.64</v>
      </c>
      <c r="AG11">
        <v>13.61</v>
      </c>
      <c r="AH11">
        <v>0</v>
      </c>
      <c r="AI11">
        <v>1</v>
      </c>
      <c r="AJ11">
        <v>9.3000000000000007</v>
      </c>
      <c r="AK11">
        <v>19.8</v>
      </c>
      <c r="AL11">
        <v>1</v>
      </c>
      <c r="AM11">
        <v>5</v>
      </c>
      <c r="AN11">
        <v>0</v>
      </c>
      <c r="AO11">
        <v>1</v>
      </c>
      <c r="AP11">
        <v>1</v>
      </c>
      <c r="AQ11">
        <v>0</v>
      </c>
      <c r="AR11">
        <v>0</v>
      </c>
      <c r="AS11" t="s">
        <v>6</v>
      </c>
      <c r="AT11">
        <v>3</v>
      </c>
      <c r="AU11" t="s">
        <v>24</v>
      </c>
      <c r="AV11">
        <v>0</v>
      </c>
      <c r="AW11">
        <v>1</v>
      </c>
      <c r="AX11">
        <v>-1</v>
      </c>
      <c r="AY11">
        <v>0</v>
      </c>
      <c r="AZ11">
        <v>0</v>
      </c>
      <c r="BA11" t="s">
        <v>6</v>
      </c>
      <c r="BB11">
        <v>5</v>
      </c>
      <c r="BC11">
        <v>0</v>
      </c>
      <c r="BD11">
        <v>388.55040000000002</v>
      </c>
      <c r="BE11">
        <v>45.729600000000005</v>
      </c>
      <c r="BF11">
        <v>0</v>
      </c>
      <c r="BG11">
        <v>0</v>
      </c>
      <c r="BH11">
        <v>0</v>
      </c>
      <c r="BI11">
        <v>1</v>
      </c>
      <c r="BJ11">
        <v>0</v>
      </c>
      <c r="BK11">
        <v>0</v>
      </c>
      <c r="BL11">
        <v>0</v>
      </c>
      <c r="BM11">
        <v>0</v>
      </c>
      <c r="BN11">
        <v>0</v>
      </c>
      <c r="BO11">
        <v>0</v>
      </c>
      <c r="BP11">
        <v>0</v>
      </c>
      <c r="BQ11">
        <v>0</v>
      </c>
      <c r="BR11">
        <v>0</v>
      </c>
      <c r="BS11">
        <v>0</v>
      </c>
      <c r="BT11">
        <v>0</v>
      </c>
      <c r="BU11">
        <v>0</v>
      </c>
      <c r="BV11">
        <v>0</v>
      </c>
      <c r="BW11">
        <v>0</v>
      </c>
      <c r="CV11">
        <v>0</v>
      </c>
      <c r="CW11">
        <f>ROUND(Y11*Source!I29*DO11,9)</f>
        <v>0</v>
      </c>
      <c r="CX11">
        <f>ROUND(Y11*Source!I29,9)</f>
        <v>22.486799999999999</v>
      </c>
      <c r="CY11">
        <f>AB11</f>
        <v>1075.45</v>
      </c>
      <c r="CZ11">
        <f>AF11</f>
        <v>115.64</v>
      </c>
      <c r="DA11">
        <f>AJ11</f>
        <v>9.3000000000000007</v>
      </c>
      <c r="DB11">
        <f>ROUND((ROUND(AT11*CZ11,2)*1.12),2)</f>
        <v>388.55</v>
      </c>
      <c r="DC11">
        <f>ROUND((ROUND(AT11*AG11,2)*1.12),2)</f>
        <v>45.73</v>
      </c>
      <c r="DD11" t="s">
        <v>6</v>
      </c>
      <c r="DE11" t="s">
        <v>6</v>
      </c>
      <c r="DF11">
        <f t="shared" si="0"/>
        <v>0</v>
      </c>
      <c r="DG11">
        <f>ROUND(ROUND(AF11*AJ11,0)*CX11,0)</f>
        <v>24173</v>
      </c>
      <c r="DH11">
        <f>Source!I29*SmtRes!Y11</f>
        <v>22.486800000000002</v>
      </c>
      <c r="DI11">
        <f>AB11</f>
        <v>1075.45</v>
      </c>
      <c r="DJ11">
        <f>DG11</f>
        <v>24173</v>
      </c>
      <c r="DK11">
        <f>Source!BB29</f>
        <v>9.3000000000000007</v>
      </c>
      <c r="DL11" t="s">
        <v>6</v>
      </c>
      <c r="DM11">
        <v>0</v>
      </c>
      <c r="DN11" t="s">
        <v>6</v>
      </c>
      <c r="DO11">
        <v>0</v>
      </c>
      <c r="GQ11">
        <v>-1</v>
      </c>
      <c r="GR11">
        <v>-1</v>
      </c>
    </row>
    <row r="12" spans="1:200" x14ac:dyDescent="0.2">
      <c r="A12">
        <f>ROW(Source!A29)</f>
        <v>29</v>
      </c>
      <c r="B12">
        <v>86326988</v>
      </c>
      <c r="C12">
        <v>86327224</v>
      </c>
      <c r="D12">
        <v>27439499</v>
      </c>
      <c r="E12">
        <v>1</v>
      </c>
      <c r="F12">
        <v>1</v>
      </c>
      <c r="G12">
        <v>1</v>
      </c>
      <c r="H12">
        <v>2</v>
      </c>
      <c r="I12" t="s">
        <v>631</v>
      </c>
      <c r="J12" t="s">
        <v>632</v>
      </c>
      <c r="K12" t="s">
        <v>633</v>
      </c>
      <c r="L12">
        <v>1368</v>
      </c>
      <c r="N12">
        <v>1011</v>
      </c>
      <c r="O12" t="s">
        <v>137</v>
      </c>
      <c r="P12" t="s">
        <v>137</v>
      </c>
      <c r="Q12">
        <v>1</v>
      </c>
      <c r="W12">
        <v>0</v>
      </c>
      <c r="X12">
        <v>1890856440</v>
      </c>
      <c r="Y12">
        <f>(AT12*1.12)</f>
        <v>0.49280000000000007</v>
      </c>
      <c r="AA12">
        <v>0</v>
      </c>
      <c r="AB12">
        <v>1047.83</v>
      </c>
      <c r="AC12">
        <v>269.48</v>
      </c>
      <c r="AD12">
        <v>0</v>
      </c>
      <c r="AE12">
        <v>0</v>
      </c>
      <c r="AF12">
        <v>112.67</v>
      </c>
      <c r="AG12">
        <v>13.61</v>
      </c>
      <c r="AH12">
        <v>0</v>
      </c>
      <c r="AI12">
        <v>1</v>
      </c>
      <c r="AJ12">
        <v>9.3000000000000007</v>
      </c>
      <c r="AK12">
        <v>19.8</v>
      </c>
      <c r="AL12">
        <v>1</v>
      </c>
      <c r="AM12">
        <v>5</v>
      </c>
      <c r="AN12">
        <v>0</v>
      </c>
      <c r="AO12">
        <v>1</v>
      </c>
      <c r="AP12">
        <v>1</v>
      </c>
      <c r="AQ12">
        <v>0</v>
      </c>
      <c r="AR12">
        <v>0</v>
      </c>
      <c r="AS12" t="s">
        <v>6</v>
      </c>
      <c r="AT12">
        <v>0.44</v>
      </c>
      <c r="AU12" t="s">
        <v>24</v>
      </c>
      <c r="AV12">
        <v>0</v>
      </c>
      <c r="AW12">
        <v>2</v>
      </c>
      <c r="AX12">
        <v>86327236</v>
      </c>
      <c r="AY12">
        <v>1</v>
      </c>
      <c r="AZ12">
        <v>0</v>
      </c>
      <c r="BA12">
        <v>12</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CV12">
        <v>0</v>
      </c>
      <c r="CW12">
        <f>ROUND(Y12*Source!I29*DO12,9)</f>
        <v>0</v>
      </c>
      <c r="CX12">
        <f>ROUND(Y12*Source!I29,9)</f>
        <v>3.2980640000000001</v>
      </c>
      <c r="CY12">
        <f>AB12</f>
        <v>1047.83</v>
      </c>
      <c r="CZ12">
        <f>AF12</f>
        <v>112.67</v>
      </c>
      <c r="DA12">
        <f>AJ12</f>
        <v>9.3000000000000007</v>
      </c>
      <c r="DB12">
        <f>ROUND((ROUND(AT12*CZ12,2)*1.12),2)</f>
        <v>55.52</v>
      </c>
      <c r="DC12">
        <f>ROUND((ROUND(AT12*AG12,2)*1.12),2)</f>
        <v>6.71</v>
      </c>
      <c r="DD12" t="s">
        <v>6</v>
      </c>
      <c r="DE12" t="s">
        <v>6</v>
      </c>
      <c r="DF12">
        <f t="shared" si="0"/>
        <v>0</v>
      </c>
      <c r="DG12">
        <f>ROUND(ROUND(AF12*AJ12,0)*CX12,0)</f>
        <v>3456</v>
      </c>
      <c r="DH12">
        <f>Source!I29*SmtRes!Y12</f>
        <v>3.2980640000000006</v>
      </c>
      <c r="DI12">
        <f>AB12</f>
        <v>1047.83</v>
      </c>
      <c r="DJ12">
        <f>EtalonRes!Z12</f>
        <v>112.67</v>
      </c>
      <c r="DK12">
        <f>Source!BB29</f>
        <v>9.3000000000000007</v>
      </c>
      <c r="DL12" t="s">
        <v>6</v>
      </c>
      <c r="DM12">
        <v>0</v>
      </c>
      <c r="DN12" t="s">
        <v>6</v>
      </c>
      <c r="DO12">
        <v>0</v>
      </c>
      <c r="GQ12">
        <v>-1</v>
      </c>
      <c r="GR12">
        <v>-1</v>
      </c>
    </row>
    <row r="13" spans="1:200" x14ac:dyDescent="0.2">
      <c r="A13">
        <f>ROW(Source!A29)</f>
        <v>29</v>
      </c>
      <c r="B13">
        <v>86326988</v>
      </c>
      <c r="C13">
        <v>86327224</v>
      </c>
      <c r="D13">
        <v>27439640</v>
      </c>
      <c r="E13">
        <v>1</v>
      </c>
      <c r="F13">
        <v>1</v>
      </c>
      <c r="G13">
        <v>1</v>
      </c>
      <c r="H13">
        <v>2</v>
      </c>
      <c r="I13" t="s">
        <v>634</v>
      </c>
      <c r="J13" t="s">
        <v>635</v>
      </c>
      <c r="K13" t="s">
        <v>636</v>
      </c>
      <c r="L13">
        <v>1368</v>
      </c>
      <c r="N13">
        <v>1011</v>
      </c>
      <c r="O13" t="s">
        <v>137</v>
      </c>
      <c r="P13" t="s">
        <v>137</v>
      </c>
      <c r="Q13">
        <v>1</v>
      </c>
      <c r="W13">
        <v>0</v>
      </c>
      <c r="X13">
        <v>1935701055</v>
      </c>
      <c r="Y13">
        <f>(AT13*1.12)</f>
        <v>1.7920000000000003</v>
      </c>
      <c r="AA13">
        <v>0</v>
      </c>
      <c r="AB13">
        <v>521.73</v>
      </c>
      <c r="AC13">
        <v>269.48</v>
      </c>
      <c r="AD13">
        <v>0</v>
      </c>
      <c r="AE13">
        <v>0</v>
      </c>
      <c r="AF13">
        <v>56.1</v>
      </c>
      <c r="AG13">
        <v>13.61</v>
      </c>
      <c r="AH13">
        <v>0</v>
      </c>
      <c r="AI13">
        <v>1</v>
      </c>
      <c r="AJ13">
        <v>9.3000000000000007</v>
      </c>
      <c r="AK13">
        <v>19.8</v>
      </c>
      <c r="AL13">
        <v>1</v>
      </c>
      <c r="AM13">
        <v>5</v>
      </c>
      <c r="AN13">
        <v>0</v>
      </c>
      <c r="AO13">
        <v>1</v>
      </c>
      <c r="AP13">
        <v>1</v>
      </c>
      <c r="AQ13">
        <v>0</v>
      </c>
      <c r="AR13">
        <v>0</v>
      </c>
      <c r="AS13" t="s">
        <v>6</v>
      </c>
      <c r="AT13">
        <v>1.6</v>
      </c>
      <c r="AU13" t="s">
        <v>24</v>
      </c>
      <c r="AV13">
        <v>0</v>
      </c>
      <c r="AW13">
        <v>2</v>
      </c>
      <c r="AX13">
        <v>86327237</v>
      </c>
      <c r="AY13">
        <v>1</v>
      </c>
      <c r="AZ13">
        <v>0</v>
      </c>
      <c r="BA13">
        <v>13</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CV13">
        <v>0</v>
      </c>
      <c r="CW13">
        <f>ROUND(Y13*Source!I29*DO13,9)</f>
        <v>0</v>
      </c>
      <c r="CX13">
        <f>ROUND(Y13*Source!I29,9)</f>
        <v>11.99296</v>
      </c>
      <c r="CY13">
        <f>AB13</f>
        <v>521.73</v>
      </c>
      <c r="CZ13">
        <f>AF13</f>
        <v>56.1</v>
      </c>
      <c r="DA13">
        <f>AJ13</f>
        <v>9.3000000000000007</v>
      </c>
      <c r="DB13">
        <f>ROUND((ROUND(AT13*CZ13,2)*1.12),2)</f>
        <v>100.53</v>
      </c>
      <c r="DC13">
        <f>ROUND((ROUND(AT13*AG13,2)*1.12),2)</f>
        <v>24.39</v>
      </c>
      <c r="DD13" t="s">
        <v>6</v>
      </c>
      <c r="DE13" t="s">
        <v>6</v>
      </c>
      <c r="DF13">
        <f t="shared" si="0"/>
        <v>0</v>
      </c>
      <c r="DG13">
        <f>ROUND(ROUND(AF13*AJ13,0)*CX13,0)</f>
        <v>6260</v>
      </c>
      <c r="DH13">
        <f>Source!I29*SmtRes!Y13</f>
        <v>11.992960000000002</v>
      </c>
      <c r="DI13">
        <f>AB13</f>
        <v>521.73</v>
      </c>
      <c r="DJ13">
        <f>EtalonRes!Z13</f>
        <v>56.1</v>
      </c>
      <c r="DK13">
        <f>Source!BB29</f>
        <v>9.3000000000000007</v>
      </c>
      <c r="DL13" t="s">
        <v>6</v>
      </c>
      <c r="DM13">
        <v>0</v>
      </c>
      <c r="DN13" t="s">
        <v>6</v>
      </c>
      <c r="DO13">
        <v>0</v>
      </c>
      <c r="GQ13">
        <v>-1</v>
      </c>
      <c r="GR13">
        <v>-1</v>
      </c>
    </row>
    <row r="14" spans="1:200" x14ac:dyDescent="0.2">
      <c r="A14">
        <f>ROW(Source!A29)</f>
        <v>29</v>
      </c>
      <c r="B14">
        <v>86326988</v>
      </c>
      <c r="C14">
        <v>86327224</v>
      </c>
      <c r="D14">
        <v>27441327</v>
      </c>
      <c r="E14">
        <v>1</v>
      </c>
      <c r="F14">
        <v>1</v>
      </c>
      <c r="G14">
        <v>1</v>
      </c>
      <c r="H14">
        <v>2</v>
      </c>
      <c r="I14" t="s">
        <v>637</v>
      </c>
      <c r="J14" t="s">
        <v>638</v>
      </c>
      <c r="K14" t="s">
        <v>639</v>
      </c>
      <c r="L14">
        <v>1368</v>
      </c>
      <c r="N14">
        <v>1011</v>
      </c>
      <c r="O14" t="s">
        <v>137</v>
      </c>
      <c r="P14" t="s">
        <v>137</v>
      </c>
      <c r="Q14">
        <v>1</v>
      </c>
      <c r="W14">
        <v>0</v>
      </c>
      <c r="X14">
        <v>-1583389094</v>
      </c>
      <c r="Y14">
        <f>(AT14*1.12)</f>
        <v>0.6160000000000001</v>
      </c>
      <c r="AA14">
        <v>0</v>
      </c>
      <c r="AB14">
        <v>868.34</v>
      </c>
      <c r="AC14">
        <v>231.46</v>
      </c>
      <c r="AD14">
        <v>0</v>
      </c>
      <c r="AE14">
        <v>0</v>
      </c>
      <c r="AF14">
        <v>93.37</v>
      </c>
      <c r="AG14">
        <v>11.69</v>
      </c>
      <c r="AH14">
        <v>0</v>
      </c>
      <c r="AI14">
        <v>1</v>
      </c>
      <c r="AJ14">
        <v>9.3000000000000007</v>
      </c>
      <c r="AK14">
        <v>19.8</v>
      </c>
      <c r="AL14">
        <v>1</v>
      </c>
      <c r="AM14">
        <v>5</v>
      </c>
      <c r="AN14">
        <v>0</v>
      </c>
      <c r="AO14">
        <v>1</v>
      </c>
      <c r="AP14">
        <v>1</v>
      </c>
      <c r="AQ14">
        <v>0</v>
      </c>
      <c r="AR14">
        <v>0</v>
      </c>
      <c r="AS14" t="s">
        <v>6</v>
      </c>
      <c r="AT14">
        <v>0.55000000000000004</v>
      </c>
      <c r="AU14" t="s">
        <v>24</v>
      </c>
      <c r="AV14">
        <v>0</v>
      </c>
      <c r="AW14">
        <v>2</v>
      </c>
      <c r="AX14">
        <v>86327238</v>
      </c>
      <c r="AY14">
        <v>1</v>
      </c>
      <c r="AZ14">
        <v>0</v>
      </c>
      <c r="BA14">
        <v>14</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CV14">
        <v>0</v>
      </c>
      <c r="CW14">
        <f>ROUND(Y14*Source!I29*DO14,9)</f>
        <v>0</v>
      </c>
      <c r="CX14">
        <f>ROUND(Y14*Source!I29,9)</f>
        <v>4.1225800000000001</v>
      </c>
      <c r="CY14">
        <f>AB14</f>
        <v>868.34</v>
      </c>
      <c r="CZ14">
        <f>AF14</f>
        <v>93.37</v>
      </c>
      <c r="DA14">
        <f>AJ14</f>
        <v>9.3000000000000007</v>
      </c>
      <c r="DB14">
        <f>ROUND((ROUND(AT14*CZ14,2)*1.12),2)</f>
        <v>57.51</v>
      </c>
      <c r="DC14">
        <f>ROUND((ROUND(AT14*AG14,2)*1.12),2)</f>
        <v>7.2</v>
      </c>
      <c r="DD14" t="s">
        <v>6</v>
      </c>
      <c r="DE14" t="s">
        <v>6</v>
      </c>
      <c r="DF14">
        <f t="shared" si="0"/>
        <v>0</v>
      </c>
      <c r="DG14">
        <f>ROUND(ROUND(AF14*AJ14,0)*CX14,0)</f>
        <v>3578</v>
      </c>
      <c r="DH14">
        <f>Source!I29*SmtRes!Y14</f>
        <v>4.122580000000001</v>
      </c>
      <c r="DI14">
        <f>AB14</f>
        <v>868.34</v>
      </c>
      <c r="DJ14">
        <f>EtalonRes!Z14</f>
        <v>93.37</v>
      </c>
      <c r="DK14">
        <f>Source!BB29</f>
        <v>9.3000000000000007</v>
      </c>
      <c r="DL14" t="s">
        <v>6</v>
      </c>
      <c r="DM14">
        <v>0</v>
      </c>
      <c r="DN14" t="s">
        <v>6</v>
      </c>
      <c r="DO14">
        <v>0</v>
      </c>
      <c r="GQ14">
        <v>-1</v>
      </c>
      <c r="GR14">
        <v>-1</v>
      </c>
    </row>
    <row r="15" spans="1:200" x14ac:dyDescent="0.2">
      <c r="A15">
        <f>ROW(Source!A29)</f>
        <v>29</v>
      </c>
      <c r="B15">
        <v>86326988</v>
      </c>
      <c r="C15">
        <v>86327224</v>
      </c>
      <c r="D15">
        <v>27378580</v>
      </c>
      <c r="E15">
        <v>1</v>
      </c>
      <c r="F15">
        <v>1</v>
      </c>
      <c r="G15">
        <v>1</v>
      </c>
      <c r="H15">
        <v>3</v>
      </c>
      <c r="I15" t="s">
        <v>31</v>
      </c>
      <c r="J15" t="s">
        <v>34</v>
      </c>
      <c r="K15" t="s">
        <v>32</v>
      </c>
      <c r="L15">
        <v>1348</v>
      </c>
      <c r="N15">
        <v>1009</v>
      </c>
      <c r="O15" t="s">
        <v>33</v>
      </c>
      <c r="P15" t="s">
        <v>33</v>
      </c>
      <c r="Q15">
        <v>1000</v>
      </c>
      <c r="W15">
        <v>0</v>
      </c>
      <c r="X15">
        <v>2105756975</v>
      </c>
      <c r="Y15">
        <f>AT15</f>
        <v>2.6499999999999999E-4</v>
      </c>
      <c r="AA15">
        <v>71000</v>
      </c>
      <c r="AB15">
        <v>0</v>
      </c>
      <c r="AC15">
        <v>0</v>
      </c>
      <c r="AD15">
        <v>0</v>
      </c>
      <c r="AE15">
        <v>9962.5300000000007</v>
      </c>
      <c r="AF15">
        <v>0</v>
      </c>
      <c r="AG15">
        <v>0</v>
      </c>
      <c r="AH15">
        <v>0</v>
      </c>
      <c r="AI15">
        <v>7.56</v>
      </c>
      <c r="AJ15">
        <v>1</v>
      </c>
      <c r="AK15">
        <v>1</v>
      </c>
      <c r="AL15">
        <v>1</v>
      </c>
      <c r="AM15">
        <v>0</v>
      </c>
      <c r="AN15">
        <v>0</v>
      </c>
      <c r="AO15">
        <v>0</v>
      </c>
      <c r="AP15">
        <v>1</v>
      </c>
      <c r="AQ15">
        <v>0</v>
      </c>
      <c r="AR15">
        <v>0</v>
      </c>
      <c r="AS15" t="s">
        <v>6</v>
      </c>
      <c r="AT15">
        <v>2.6499999999999999E-4</v>
      </c>
      <c r="AU15" t="s">
        <v>6</v>
      </c>
      <c r="AV15">
        <v>0</v>
      </c>
      <c r="AW15">
        <v>1</v>
      </c>
      <c r="AX15">
        <v>-1</v>
      </c>
      <c r="AY15">
        <v>0</v>
      </c>
      <c r="AZ15">
        <v>0</v>
      </c>
      <c r="BA15" t="s">
        <v>6</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CV15">
        <v>0</v>
      </c>
      <c r="CW15">
        <v>0</v>
      </c>
      <c r="CX15">
        <f>ROUND(Y15*Source!I29,9)</f>
        <v>1.773513E-3</v>
      </c>
      <c r="CY15">
        <f>AA15</f>
        <v>71000</v>
      </c>
      <c r="CZ15">
        <f>AE15</f>
        <v>9962.5300000000007</v>
      </c>
      <c r="DA15">
        <f>AI15</f>
        <v>7.56</v>
      </c>
      <c r="DB15">
        <f>ROUND(ROUND(AT15*CZ15,2),2)</f>
        <v>2.64</v>
      </c>
      <c r="DC15">
        <f>ROUND(ROUND(AT15*AG15,2),2)</f>
        <v>0</v>
      </c>
      <c r="DD15" t="s">
        <v>6</v>
      </c>
      <c r="DE15" t="s">
        <v>6</v>
      </c>
      <c r="DF15">
        <f>ROUND(ROUND(AE15*AI15,0)*CX15,0)</f>
        <v>134</v>
      </c>
      <c r="DG15">
        <f t="shared" ref="DG15:DG24" si="2">ROUND(ROUND(AF15,0)*CX15,0)</f>
        <v>0</v>
      </c>
      <c r="DH15">
        <f>Source!I29*SmtRes!Y15</f>
        <v>1.7735124999999998E-3</v>
      </c>
      <c r="DI15">
        <f>AA15</f>
        <v>71000</v>
      </c>
      <c r="DJ15">
        <f>DF15</f>
        <v>134</v>
      </c>
      <c r="DK15">
        <f>Source!BC29</f>
        <v>7.56</v>
      </c>
      <c r="DL15" t="s">
        <v>6</v>
      </c>
      <c r="DM15">
        <v>0</v>
      </c>
      <c r="DN15" t="s">
        <v>6</v>
      </c>
      <c r="DO15">
        <v>0</v>
      </c>
      <c r="GP15">
        <v>1</v>
      </c>
      <c r="GQ15">
        <v>-1</v>
      </c>
      <c r="GR15">
        <v>-1</v>
      </c>
    </row>
    <row r="16" spans="1:200" x14ac:dyDescent="0.2">
      <c r="A16">
        <f>ROW(Source!A29)</f>
        <v>29</v>
      </c>
      <c r="B16">
        <v>86326988</v>
      </c>
      <c r="C16">
        <v>86327224</v>
      </c>
      <c r="D16">
        <v>27379786</v>
      </c>
      <c r="E16">
        <v>1</v>
      </c>
      <c r="F16">
        <v>1</v>
      </c>
      <c r="G16">
        <v>1</v>
      </c>
      <c r="H16">
        <v>3</v>
      </c>
      <c r="I16" t="s">
        <v>42</v>
      </c>
      <c r="J16" t="s">
        <v>45</v>
      </c>
      <c r="K16" t="s">
        <v>43</v>
      </c>
      <c r="L16">
        <v>1339</v>
      </c>
      <c r="N16">
        <v>1007</v>
      </c>
      <c r="O16" t="s">
        <v>44</v>
      </c>
      <c r="P16" t="s">
        <v>44</v>
      </c>
      <c r="Q16">
        <v>1</v>
      </c>
      <c r="W16">
        <v>0</v>
      </c>
      <c r="X16">
        <v>703937141</v>
      </c>
      <c r="Y16">
        <f>AT16</f>
        <v>8.9870000000000002E-3</v>
      </c>
      <c r="AA16">
        <v>16666.669999999998</v>
      </c>
      <c r="AB16">
        <v>0</v>
      </c>
      <c r="AC16">
        <v>0</v>
      </c>
      <c r="AD16">
        <v>0</v>
      </c>
      <c r="AE16">
        <v>2338.63</v>
      </c>
      <c r="AF16">
        <v>0</v>
      </c>
      <c r="AG16">
        <v>0</v>
      </c>
      <c r="AH16">
        <v>0</v>
      </c>
      <c r="AI16">
        <v>7.56</v>
      </c>
      <c r="AJ16">
        <v>1</v>
      </c>
      <c r="AK16">
        <v>1</v>
      </c>
      <c r="AL16">
        <v>1</v>
      </c>
      <c r="AM16">
        <v>0</v>
      </c>
      <c r="AN16">
        <v>0</v>
      </c>
      <c r="AO16">
        <v>0</v>
      </c>
      <c r="AP16">
        <v>1</v>
      </c>
      <c r="AQ16">
        <v>0</v>
      </c>
      <c r="AR16">
        <v>0</v>
      </c>
      <c r="AS16" t="s">
        <v>6</v>
      </c>
      <c r="AT16">
        <v>8.9870000000000002E-3</v>
      </c>
      <c r="AU16" t="s">
        <v>6</v>
      </c>
      <c r="AV16">
        <v>0</v>
      </c>
      <c r="AW16">
        <v>2</v>
      </c>
      <c r="AX16">
        <v>86327240</v>
      </c>
      <c r="AY16">
        <v>1</v>
      </c>
      <c r="AZ16">
        <v>22528</v>
      </c>
      <c r="BA16">
        <v>16</v>
      </c>
      <c r="BB16">
        <v>3</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CV16">
        <v>0</v>
      </c>
      <c r="CW16">
        <v>0</v>
      </c>
      <c r="CX16">
        <f>ROUND(Y16*Source!I29,9)</f>
        <v>6.0145497999999999E-2</v>
      </c>
      <c r="CY16">
        <f>AA16</f>
        <v>16666.669999999998</v>
      </c>
      <c r="CZ16">
        <f>AE16</f>
        <v>2338.63</v>
      </c>
      <c r="DA16">
        <f>AI16</f>
        <v>7.56</v>
      </c>
      <c r="DB16">
        <f>ROUND(ROUND(AT16*CZ16,2),2)</f>
        <v>21.02</v>
      </c>
      <c r="DC16">
        <f>ROUND(ROUND(AT16*AG16,2),2)</f>
        <v>0</v>
      </c>
      <c r="DD16" t="s">
        <v>6</v>
      </c>
      <c r="DE16" t="s">
        <v>6</v>
      </c>
      <c r="DF16">
        <f>ROUND(ROUND(AE16*AI16,0)*CX16,0)</f>
        <v>1063</v>
      </c>
      <c r="DG16">
        <f t="shared" si="2"/>
        <v>0</v>
      </c>
      <c r="DH16">
        <f>Source!I29*SmtRes!Y16</f>
        <v>6.0145497499999999E-2</v>
      </c>
      <c r="DI16">
        <f>AA16</f>
        <v>16666.669999999998</v>
      </c>
      <c r="DJ16">
        <f>EtalonRes!Y16</f>
        <v>1100</v>
      </c>
      <c r="DK16">
        <f>Source!BC29</f>
        <v>7.56</v>
      </c>
      <c r="DL16" t="s">
        <v>6</v>
      </c>
      <c r="DM16">
        <v>0</v>
      </c>
      <c r="DN16" t="s">
        <v>6</v>
      </c>
      <c r="DO16">
        <v>0</v>
      </c>
      <c r="GP16">
        <v>1</v>
      </c>
      <c r="GQ16">
        <v>-1</v>
      </c>
      <c r="GR16">
        <v>-1</v>
      </c>
    </row>
    <row r="17" spans="1:200" x14ac:dyDescent="0.2">
      <c r="A17">
        <f>ROW(Source!A34)</f>
        <v>34</v>
      </c>
      <c r="B17">
        <v>86326987</v>
      </c>
      <c r="C17">
        <v>86327243</v>
      </c>
      <c r="D17">
        <v>5511010</v>
      </c>
      <c r="E17">
        <v>1</v>
      </c>
      <c r="F17">
        <v>1</v>
      </c>
      <c r="G17">
        <v>1</v>
      </c>
      <c r="H17">
        <v>1</v>
      </c>
      <c r="I17" t="s">
        <v>640</v>
      </c>
      <c r="J17" t="s">
        <v>6</v>
      </c>
      <c r="K17" t="s">
        <v>641</v>
      </c>
      <c r="L17">
        <v>1369</v>
      </c>
      <c r="N17">
        <v>1013</v>
      </c>
      <c r="O17" t="s">
        <v>625</v>
      </c>
      <c r="P17" t="s">
        <v>625</v>
      </c>
      <c r="Q17">
        <v>1</v>
      </c>
      <c r="W17">
        <v>0</v>
      </c>
      <c r="X17">
        <v>-1977858316</v>
      </c>
      <c r="Y17">
        <f>(AT17*1.05)</f>
        <v>62.860770000000009</v>
      </c>
      <c r="AA17">
        <v>0</v>
      </c>
      <c r="AB17">
        <v>0</v>
      </c>
      <c r="AC17">
        <v>0</v>
      </c>
      <c r="AD17">
        <v>11.92</v>
      </c>
      <c r="AE17">
        <v>0</v>
      </c>
      <c r="AF17">
        <v>0</v>
      </c>
      <c r="AG17">
        <v>0</v>
      </c>
      <c r="AH17">
        <v>11.92</v>
      </c>
      <c r="AI17">
        <v>1</v>
      </c>
      <c r="AJ17">
        <v>1</v>
      </c>
      <c r="AK17">
        <v>1</v>
      </c>
      <c r="AL17">
        <v>1</v>
      </c>
      <c r="AM17">
        <v>0</v>
      </c>
      <c r="AN17">
        <v>0</v>
      </c>
      <c r="AO17">
        <v>1</v>
      </c>
      <c r="AP17">
        <v>1</v>
      </c>
      <c r="AQ17">
        <v>0</v>
      </c>
      <c r="AR17">
        <v>0</v>
      </c>
      <c r="AS17" t="s">
        <v>6</v>
      </c>
      <c r="AT17">
        <v>59.867400000000004</v>
      </c>
      <c r="AU17" t="s">
        <v>25</v>
      </c>
      <c r="AV17">
        <v>1</v>
      </c>
      <c r="AW17">
        <v>2</v>
      </c>
      <c r="AX17">
        <v>86327250</v>
      </c>
      <c r="AY17">
        <v>1</v>
      </c>
      <c r="AZ17">
        <v>0</v>
      </c>
      <c r="BA17">
        <v>17</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CU17">
        <f>ROUND(AT17*Source!I34*AH17*AL17,0)</f>
        <v>266</v>
      </c>
      <c r="CV17">
        <f>ROUND(Y17*Source!I34,9)</f>
        <v>23.415636825</v>
      </c>
      <c r="CW17">
        <v>0</v>
      </c>
      <c r="CX17">
        <f>ROUND(Y17*Source!I34,9)</f>
        <v>23.415636825</v>
      </c>
      <c r="CY17">
        <f>AD17</f>
        <v>11.92</v>
      </c>
      <c r="CZ17">
        <f>AH17</f>
        <v>11.92</v>
      </c>
      <c r="DA17">
        <f>AL17</f>
        <v>1</v>
      </c>
      <c r="DB17">
        <f>ROUND((ROUND(AT17*CZ17,2)*1.05),2)</f>
        <v>749.3</v>
      </c>
      <c r="DC17">
        <f>ROUND((ROUND(AT17*AG17,2)*1.05),2)</f>
        <v>0</v>
      </c>
      <c r="DD17" t="s">
        <v>6</v>
      </c>
      <c r="DE17" t="s">
        <v>6</v>
      </c>
      <c r="DF17">
        <f t="shared" ref="DF17:DF27" si="3">ROUND(ROUND(AE17,0)*CX17,0)</f>
        <v>0</v>
      </c>
      <c r="DG17">
        <f t="shared" si="2"/>
        <v>0</v>
      </c>
      <c r="DH17">
        <f>Source!I34*SmtRes!Y17</f>
        <v>23.415636825000004</v>
      </c>
      <c r="DI17">
        <f>AD17</f>
        <v>11.92</v>
      </c>
      <c r="DJ17">
        <f>EtalonRes!AB17</f>
        <v>11.92</v>
      </c>
      <c r="DK17">
        <f>Source!BA34</f>
        <v>1</v>
      </c>
      <c r="DL17" t="s">
        <v>6</v>
      </c>
      <c r="DM17">
        <v>0</v>
      </c>
      <c r="DN17" t="s">
        <v>6</v>
      </c>
      <c r="DO17">
        <v>0</v>
      </c>
      <c r="GQ17">
        <v>-1</v>
      </c>
      <c r="GR17">
        <v>-1</v>
      </c>
    </row>
    <row r="18" spans="1:200" x14ac:dyDescent="0.2">
      <c r="A18">
        <f>ROW(Source!A34)</f>
        <v>34</v>
      </c>
      <c r="B18">
        <v>86326987</v>
      </c>
      <c r="C18">
        <v>86327243</v>
      </c>
      <c r="D18">
        <v>121548</v>
      </c>
      <c r="E18">
        <v>1</v>
      </c>
      <c r="F18">
        <v>1</v>
      </c>
      <c r="G18">
        <v>1</v>
      </c>
      <c r="H18">
        <v>1</v>
      </c>
      <c r="I18" t="s">
        <v>40</v>
      </c>
      <c r="J18" t="s">
        <v>6</v>
      </c>
      <c r="K18" t="s">
        <v>626</v>
      </c>
      <c r="L18">
        <v>608254</v>
      </c>
      <c r="N18">
        <v>1013</v>
      </c>
      <c r="O18" t="s">
        <v>627</v>
      </c>
      <c r="P18" t="s">
        <v>627</v>
      </c>
      <c r="Q18">
        <v>1</v>
      </c>
      <c r="W18">
        <v>0</v>
      </c>
      <c r="X18">
        <v>-185737400</v>
      </c>
      <c r="Y18">
        <f>(AT18*1.12)</f>
        <v>0.5152000000000001</v>
      </c>
      <c r="AA18">
        <v>0</v>
      </c>
      <c r="AB18">
        <v>0</v>
      </c>
      <c r="AC18">
        <v>0</v>
      </c>
      <c r="AD18">
        <v>0</v>
      </c>
      <c r="AE18">
        <v>0</v>
      </c>
      <c r="AF18">
        <v>0</v>
      </c>
      <c r="AG18">
        <v>0</v>
      </c>
      <c r="AH18">
        <v>0</v>
      </c>
      <c r="AI18">
        <v>1</v>
      </c>
      <c r="AJ18">
        <v>1</v>
      </c>
      <c r="AK18">
        <v>1</v>
      </c>
      <c r="AL18">
        <v>1</v>
      </c>
      <c r="AM18">
        <v>0</v>
      </c>
      <c r="AN18">
        <v>0</v>
      </c>
      <c r="AO18">
        <v>1</v>
      </c>
      <c r="AP18">
        <v>1</v>
      </c>
      <c r="AQ18">
        <v>0</v>
      </c>
      <c r="AR18">
        <v>0</v>
      </c>
      <c r="AS18" t="s">
        <v>6</v>
      </c>
      <c r="AT18">
        <v>0.46</v>
      </c>
      <c r="AU18" t="s">
        <v>24</v>
      </c>
      <c r="AV18">
        <v>2</v>
      </c>
      <c r="AW18">
        <v>2</v>
      </c>
      <c r="AX18">
        <v>86327251</v>
      </c>
      <c r="AY18">
        <v>1</v>
      </c>
      <c r="AZ18">
        <v>0</v>
      </c>
      <c r="BA18">
        <v>18</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CV18">
        <v>0</v>
      </c>
      <c r="CW18">
        <v>0</v>
      </c>
      <c r="CX18">
        <f>ROUND(Y18*Source!I34,9)</f>
        <v>0.191912</v>
      </c>
      <c r="CY18">
        <f>AD18</f>
        <v>0</v>
      </c>
      <c r="CZ18">
        <f>AH18</f>
        <v>0</v>
      </c>
      <c r="DA18">
        <f>AL18</f>
        <v>1</v>
      </c>
      <c r="DB18">
        <f>ROUND((ROUND(AT18*CZ18,2)*1.12),2)</f>
        <v>0</v>
      </c>
      <c r="DC18">
        <f>ROUND((ROUND(AT18*AG18,2)*1.12),2)</f>
        <v>0</v>
      </c>
      <c r="DD18" t="s">
        <v>6</v>
      </c>
      <c r="DE18" t="s">
        <v>6</v>
      </c>
      <c r="DF18">
        <f t="shared" si="3"/>
        <v>0</v>
      </c>
      <c r="DG18">
        <f t="shared" si="2"/>
        <v>0</v>
      </c>
      <c r="DH18">
        <f>Source!I34*SmtRes!Y18</f>
        <v>0.19191200000000003</v>
      </c>
      <c r="DI18">
        <f>AD18</f>
        <v>0</v>
      </c>
      <c r="DJ18">
        <f>EtalonRes!AB18</f>
        <v>0</v>
      </c>
      <c r="DK18">
        <f>Source!BA34</f>
        <v>1</v>
      </c>
      <c r="DL18" t="s">
        <v>6</v>
      </c>
      <c r="DM18">
        <v>0</v>
      </c>
      <c r="DN18" t="s">
        <v>6</v>
      </c>
      <c r="DO18">
        <v>0</v>
      </c>
      <c r="GQ18">
        <v>-1</v>
      </c>
      <c r="GR18">
        <v>-1</v>
      </c>
    </row>
    <row r="19" spans="1:200" x14ac:dyDescent="0.2">
      <c r="A19">
        <f>ROW(Source!A34)</f>
        <v>34</v>
      </c>
      <c r="B19">
        <v>86326987</v>
      </c>
      <c r="C19">
        <v>86327243</v>
      </c>
      <c r="D19">
        <v>35950917</v>
      </c>
      <c r="E19">
        <v>1</v>
      </c>
      <c r="F19">
        <v>1</v>
      </c>
      <c r="G19">
        <v>1</v>
      </c>
      <c r="H19">
        <v>2</v>
      </c>
      <c r="I19" t="s">
        <v>628</v>
      </c>
      <c r="J19" t="s">
        <v>642</v>
      </c>
      <c r="K19" t="s">
        <v>643</v>
      </c>
      <c r="L19">
        <v>1368</v>
      </c>
      <c r="N19">
        <v>1011</v>
      </c>
      <c r="O19" t="s">
        <v>137</v>
      </c>
      <c r="P19" t="s">
        <v>137</v>
      </c>
      <c r="Q19">
        <v>1</v>
      </c>
      <c r="W19">
        <v>0</v>
      </c>
      <c r="X19">
        <v>1919308296</v>
      </c>
      <c r="Y19">
        <f>(AT19*1.12)</f>
        <v>0.4032</v>
      </c>
      <c r="AA19">
        <v>0</v>
      </c>
      <c r="AB19">
        <v>115.64</v>
      </c>
      <c r="AC19">
        <v>11.18</v>
      </c>
      <c r="AD19">
        <v>0</v>
      </c>
      <c r="AE19">
        <v>0</v>
      </c>
      <c r="AF19">
        <v>115.64</v>
      </c>
      <c r="AG19">
        <v>11.18</v>
      </c>
      <c r="AH19">
        <v>0</v>
      </c>
      <c r="AI19">
        <v>1</v>
      </c>
      <c r="AJ19">
        <v>1</v>
      </c>
      <c r="AK19">
        <v>1</v>
      </c>
      <c r="AL19">
        <v>1</v>
      </c>
      <c r="AM19">
        <v>0</v>
      </c>
      <c r="AN19">
        <v>0</v>
      </c>
      <c r="AO19">
        <v>1</v>
      </c>
      <c r="AP19">
        <v>1</v>
      </c>
      <c r="AQ19">
        <v>0</v>
      </c>
      <c r="AR19">
        <v>0</v>
      </c>
      <c r="AS19" t="s">
        <v>6</v>
      </c>
      <c r="AT19">
        <v>0.36</v>
      </c>
      <c r="AU19" t="s">
        <v>24</v>
      </c>
      <c r="AV19">
        <v>0</v>
      </c>
      <c r="AW19">
        <v>2</v>
      </c>
      <c r="AX19">
        <v>86327252</v>
      </c>
      <c r="AY19">
        <v>1</v>
      </c>
      <c r="AZ19">
        <v>0</v>
      </c>
      <c r="BA19">
        <v>19</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CV19">
        <v>0</v>
      </c>
      <c r="CW19">
        <f>ROUND(Y19*Source!I34*DO19,9)</f>
        <v>0</v>
      </c>
      <c r="CX19">
        <f>ROUND(Y19*Source!I34,9)</f>
        <v>0.15019199999999999</v>
      </c>
      <c r="CY19">
        <f>AB19</f>
        <v>115.64</v>
      </c>
      <c r="CZ19">
        <f>AF19</f>
        <v>115.64</v>
      </c>
      <c r="DA19">
        <f>AJ19</f>
        <v>1</v>
      </c>
      <c r="DB19">
        <f>ROUND((ROUND(AT19*CZ19,2)*1.12),2)</f>
        <v>46.63</v>
      </c>
      <c r="DC19">
        <f>ROUND((ROUND(AT19*AG19,2)*1.12),2)</f>
        <v>4.5</v>
      </c>
      <c r="DD19" t="s">
        <v>6</v>
      </c>
      <c r="DE19" t="s">
        <v>6</v>
      </c>
      <c r="DF19">
        <f t="shared" si="3"/>
        <v>0</v>
      </c>
      <c r="DG19">
        <f t="shared" si="2"/>
        <v>17</v>
      </c>
      <c r="DH19">
        <f>Source!I34*SmtRes!Y19</f>
        <v>0.15019199999999999</v>
      </c>
      <c r="DI19">
        <f>AB19</f>
        <v>115.64</v>
      </c>
      <c r="DJ19">
        <f>EtalonRes!Z19</f>
        <v>115.64</v>
      </c>
      <c r="DK19">
        <f>Source!BB34</f>
        <v>1</v>
      </c>
      <c r="DL19" t="s">
        <v>6</v>
      </c>
      <c r="DM19">
        <v>0</v>
      </c>
      <c r="DN19" t="s">
        <v>6</v>
      </c>
      <c r="DO19">
        <v>0</v>
      </c>
      <c r="GQ19">
        <v>-1</v>
      </c>
      <c r="GR19">
        <v>-1</v>
      </c>
    </row>
    <row r="20" spans="1:200" x14ac:dyDescent="0.2">
      <c r="A20">
        <f>ROW(Source!A34)</f>
        <v>34</v>
      </c>
      <c r="B20">
        <v>86326987</v>
      </c>
      <c r="C20">
        <v>86327243</v>
      </c>
      <c r="D20">
        <v>35950918</v>
      </c>
      <c r="E20">
        <v>1</v>
      </c>
      <c r="F20">
        <v>1</v>
      </c>
      <c r="G20">
        <v>1</v>
      </c>
      <c r="H20">
        <v>2</v>
      </c>
      <c r="I20" t="s">
        <v>631</v>
      </c>
      <c r="J20" t="s">
        <v>644</v>
      </c>
      <c r="K20" t="s">
        <v>645</v>
      </c>
      <c r="L20">
        <v>1368</v>
      </c>
      <c r="N20">
        <v>1011</v>
      </c>
      <c r="O20" t="s">
        <v>137</v>
      </c>
      <c r="P20" t="s">
        <v>137</v>
      </c>
      <c r="Q20">
        <v>1</v>
      </c>
      <c r="W20">
        <v>0</v>
      </c>
      <c r="X20">
        <v>-629854247</v>
      </c>
      <c r="Y20">
        <f>(AT20*1.12)</f>
        <v>0.11200000000000002</v>
      </c>
      <c r="AA20">
        <v>0</v>
      </c>
      <c r="AB20">
        <v>112.67</v>
      </c>
      <c r="AC20">
        <v>13.02</v>
      </c>
      <c r="AD20">
        <v>0</v>
      </c>
      <c r="AE20">
        <v>0</v>
      </c>
      <c r="AF20">
        <v>112.67</v>
      </c>
      <c r="AG20">
        <v>13.02</v>
      </c>
      <c r="AH20">
        <v>0</v>
      </c>
      <c r="AI20">
        <v>1</v>
      </c>
      <c r="AJ20">
        <v>1</v>
      </c>
      <c r="AK20">
        <v>1</v>
      </c>
      <c r="AL20">
        <v>1</v>
      </c>
      <c r="AM20">
        <v>0</v>
      </c>
      <c r="AN20">
        <v>0</v>
      </c>
      <c r="AO20">
        <v>1</v>
      </c>
      <c r="AP20">
        <v>1</v>
      </c>
      <c r="AQ20">
        <v>0</v>
      </c>
      <c r="AR20">
        <v>0</v>
      </c>
      <c r="AS20" t="s">
        <v>6</v>
      </c>
      <c r="AT20">
        <v>0.1</v>
      </c>
      <c r="AU20" t="s">
        <v>24</v>
      </c>
      <c r="AV20">
        <v>0</v>
      </c>
      <c r="AW20">
        <v>2</v>
      </c>
      <c r="AX20">
        <v>86327253</v>
      </c>
      <c r="AY20">
        <v>1</v>
      </c>
      <c r="AZ20">
        <v>0</v>
      </c>
      <c r="BA20">
        <v>20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CV20">
        <v>0</v>
      </c>
      <c r="CW20">
        <f>ROUND(Y20*Source!I34*DO20,9)</f>
        <v>0</v>
      </c>
      <c r="CX20">
        <f>ROUND(Y20*Source!I34,9)</f>
        <v>4.172E-2</v>
      </c>
      <c r="CY20">
        <f>AB20</f>
        <v>112.67</v>
      </c>
      <c r="CZ20">
        <f>AF20</f>
        <v>112.67</v>
      </c>
      <c r="DA20">
        <f>AJ20</f>
        <v>1</v>
      </c>
      <c r="DB20">
        <f>ROUND((ROUND(AT20*CZ20,2)*1.12),2)</f>
        <v>12.62</v>
      </c>
      <c r="DC20">
        <f>ROUND((ROUND(AT20*AG20,2)*1.12),2)</f>
        <v>1.46</v>
      </c>
      <c r="DD20" t="s">
        <v>6</v>
      </c>
      <c r="DE20" t="s">
        <v>6</v>
      </c>
      <c r="DF20">
        <f t="shared" si="3"/>
        <v>0</v>
      </c>
      <c r="DG20">
        <f t="shared" si="2"/>
        <v>5</v>
      </c>
      <c r="DH20">
        <f>Source!I34*SmtRes!Y20</f>
        <v>4.1720000000000007E-2</v>
      </c>
      <c r="DI20">
        <f>AB20</f>
        <v>112.67</v>
      </c>
      <c r="DJ20">
        <f>EtalonRes!Z20</f>
        <v>112.67</v>
      </c>
      <c r="DK20">
        <f>Source!BB34</f>
        <v>1</v>
      </c>
      <c r="DL20" t="s">
        <v>6</v>
      </c>
      <c r="DM20">
        <v>0</v>
      </c>
      <c r="DN20" t="s">
        <v>6</v>
      </c>
      <c r="DO20">
        <v>0</v>
      </c>
      <c r="GQ20">
        <v>-1</v>
      </c>
      <c r="GR20">
        <v>-1</v>
      </c>
    </row>
    <row r="21" spans="1:200" x14ac:dyDescent="0.2">
      <c r="A21">
        <f>ROW(Source!A34)</f>
        <v>34</v>
      </c>
      <c r="B21">
        <v>86326987</v>
      </c>
      <c r="C21">
        <v>86327243</v>
      </c>
      <c r="D21">
        <v>35950919</v>
      </c>
      <c r="E21">
        <v>1</v>
      </c>
      <c r="F21">
        <v>1</v>
      </c>
      <c r="G21">
        <v>1</v>
      </c>
      <c r="H21">
        <v>2</v>
      </c>
      <c r="I21" t="s">
        <v>637</v>
      </c>
      <c r="J21" t="s">
        <v>646</v>
      </c>
      <c r="K21" t="s">
        <v>639</v>
      </c>
      <c r="L21">
        <v>1368</v>
      </c>
      <c r="N21">
        <v>1011</v>
      </c>
      <c r="O21" t="s">
        <v>137</v>
      </c>
      <c r="P21" t="s">
        <v>137</v>
      </c>
      <c r="Q21">
        <v>1</v>
      </c>
      <c r="W21">
        <v>0</v>
      </c>
      <c r="X21">
        <v>-1317427794</v>
      </c>
      <c r="Y21">
        <f>(AT21*1.12)</f>
        <v>0.15680000000000002</v>
      </c>
      <c r="AA21">
        <v>0</v>
      </c>
      <c r="AB21">
        <v>93.37</v>
      </c>
      <c r="AC21">
        <v>11.69</v>
      </c>
      <c r="AD21">
        <v>0</v>
      </c>
      <c r="AE21">
        <v>0</v>
      </c>
      <c r="AF21">
        <v>93.37</v>
      </c>
      <c r="AG21">
        <v>11.69</v>
      </c>
      <c r="AH21">
        <v>0</v>
      </c>
      <c r="AI21">
        <v>1</v>
      </c>
      <c r="AJ21">
        <v>1</v>
      </c>
      <c r="AK21">
        <v>1</v>
      </c>
      <c r="AL21">
        <v>1</v>
      </c>
      <c r="AM21">
        <v>0</v>
      </c>
      <c r="AN21">
        <v>0</v>
      </c>
      <c r="AO21">
        <v>1</v>
      </c>
      <c r="AP21">
        <v>1</v>
      </c>
      <c r="AQ21">
        <v>0</v>
      </c>
      <c r="AR21">
        <v>0</v>
      </c>
      <c r="AS21" t="s">
        <v>6</v>
      </c>
      <c r="AT21">
        <v>0.14000000000000001</v>
      </c>
      <c r="AU21" t="s">
        <v>24</v>
      </c>
      <c r="AV21">
        <v>0</v>
      </c>
      <c r="AW21">
        <v>2</v>
      </c>
      <c r="AX21">
        <v>86327254</v>
      </c>
      <c r="AY21">
        <v>1</v>
      </c>
      <c r="AZ21">
        <v>0</v>
      </c>
      <c r="BA21">
        <v>21</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CV21">
        <v>0</v>
      </c>
      <c r="CW21">
        <f>ROUND(Y21*Source!I34*DO21,9)</f>
        <v>0</v>
      </c>
      <c r="CX21">
        <f>ROUND(Y21*Source!I34,9)</f>
        <v>5.8408000000000002E-2</v>
      </c>
      <c r="CY21">
        <f>AB21</f>
        <v>93.37</v>
      </c>
      <c r="CZ21">
        <f>AF21</f>
        <v>93.37</v>
      </c>
      <c r="DA21">
        <f>AJ21</f>
        <v>1</v>
      </c>
      <c r="DB21">
        <f>ROUND((ROUND(AT21*CZ21,2)*1.12),2)</f>
        <v>14.64</v>
      </c>
      <c r="DC21">
        <f>ROUND((ROUND(AT21*AG21,2)*1.12),2)</f>
        <v>1.84</v>
      </c>
      <c r="DD21" t="s">
        <v>6</v>
      </c>
      <c r="DE21" t="s">
        <v>6</v>
      </c>
      <c r="DF21">
        <f t="shared" si="3"/>
        <v>0</v>
      </c>
      <c r="DG21">
        <f t="shared" si="2"/>
        <v>5</v>
      </c>
      <c r="DH21">
        <f>Source!I34*SmtRes!Y21</f>
        <v>5.8408000000000009E-2</v>
      </c>
      <c r="DI21">
        <f>AB21</f>
        <v>93.37</v>
      </c>
      <c r="DJ21">
        <f>EtalonRes!Z21</f>
        <v>93.37</v>
      </c>
      <c r="DK21">
        <f>Source!BB34</f>
        <v>1</v>
      </c>
      <c r="DL21" t="s">
        <v>6</v>
      </c>
      <c r="DM21">
        <v>0</v>
      </c>
      <c r="DN21" t="s">
        <v>6</v>
      </c>
      <c r="DO21">
        <v>0</v>
      </c>
      <c r="GQ21">
        <v>-1</v>
      </c>
      <c r="GR21">
        <v>-1</v>
      </c>
    </row>
    <row r="22" spans="1:200" x14ac:dyDescent="0.2">
      <c r="A22">
        <f>ROW(Source!A34)</f>
        <v>34</v>
      </c>
      <c r="B22">
        <v>86326987</v>
      </c>
      <c r="C22">
        <v>86327243</v>
      </c>
      <c r="D22">
        <v>52930022</v>
      </c>
      <c r="E22">
        <v>1</v>
      </c>
      <c r="F22">
        <v>1</v>
      </c>
      <c r="G22">
        <v>1</v>
      </c>
      <c r="H22">
        <v>3</v>
      </c>
      <c r="I22" t="s">
        <v>54</v>
      </c>
      <c r="J22" t="s">
        <v>56</v>
      </c>
      <c r="K22" t="s">
        <v>55</v>
      </c>
      <c r="L22">
        <v>1348</v>
      </c>
      <c r="N22">
        <v>1009</v>
      </c>
      <c r="O22" t="s">
        <v>33</v>
      </c>
      <c r="P22" t="s">
        <v>33</v>
      </c>
      <c r="Q22">
        <v>1000</v>
      </c>
      <c r="W22">
        <v>0</v>
      </c>
      <c r="X22">
        <v>1567311917</v>
      </c>
      <c r="Y22">
        <f>AT22</f>
        <v>1</v>
      </c>
      <c r="AA22">
        <v>5081.62</v>
      </c>
      <c r="AB22">
        <v>0</v>
      </c>
      <c r="AC22">
        <v>0</v>
      </c>
      <c r="AD22">
        <v>0</v>
      </c>
      <c r="AE22">
        <v>5081.62</v>
      </c>
      <c r="AF22">
        <v>0</v>
      </c>
      <c r="AG22">
        <v>0</v>
      </c>
      <c r="AH22">
        <v>0</v>
      </c>
      <c r="AI22">
        <v>1</v>
      </c>
      <c r="AJ22">
        <v>1</v>
      </c>
      <c r="AK22">
        <v>1</v>
      </c>
      <c r="AL22">
        <v>1</v>
      </c>
      <c r="AM22">
        <v>0</v>
      </c>
      <c r="AN22">
        <v>0</v>
      </c>
      <c r="AO22">
        <v>0</v>
      </c>
      <c r="AP22">
        <v>1</v>
      </c>
      <c r="AQ22">
        <v>0</v>
      </c>
      <c r="AR22">
        <v>0</v>
      </c>
      <c r="AS22" t="s">
        <v>6</v>
      </c>
      <c r="AT22">
        <v>1</v>
      </c>
      <c r="AU22" t="s">
        <v>6</v>
      </c>
      <c r="AV22">
        <v>0</v>
      </c>
      <c r="AW22">
        <v>1</v>
      </c>
      <c r="AX22">
        <v>-1</v>
      </c>
      <c r="AY22">
        <v>0</v>
      </c>
      <c r="AZ22">
        <v>0</v>
      </c>
      <c r="BA22" t="s">
        <v>6</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CV22">
        <v>0</v>
      </c>
      <c r="CW22">
        <v>0</v>
      </c>
      <c r="CX22">
        <f>ROUND(Y22*Source!I34,9)</f>
        <v>0.3725</v>
      </c>
      <c r="CY22">
        <f>AA22</f>
        <v>5081.62</v>
      </c>
      <c r="CZ22">
        <f>AE22</f>
        <v>5081.62</v>
      </c>
      <c r="DA22">
        <f>AI22</f>
        <v>1</v>
      </c>
      <c r="DB22">
        <f>ROUND(ROUND(AT22*CZ22,2),2)</f>
        <v>5081.62</v>
      </c>
      <c r="DC22">
        <f>ROUND(ROUND(AT22*AG22,2),2)</f>
        <v>0</v>
      </c>
      <c r="DD22" t="s">
        <v>6</v>
      </c>
      <c r="DE22" t="s">
        <v>6</v>
      </c>
      <c r="DF22">
        <f t="shared" si="3"/>
        <v>1893</v>
      </c>
      <c r="DG22">
        <f t="shared" si="2"/>
        <v>0</v>
      </c>
      <c r="DH22">
        <f>Source!I34*SmtRes!Y22</f>
        <v>0.3725</v>
      </c>
      <c r="DI22">
        <f>AA22</f>
        <v>5081.62</v>
      </c>
      <c r="DJ22">
        <f>DF22</f>
        <v>1893</v>
      </c>
      <c r="DK22">
        <f>Source!BC34</f>
        <v>1</v>
      </c>
      <c r="DL22" t="s">
        <v>6</v>
      </c>
      <c r="DM22">
        <v>0</v>
      </c>
      <c r="DN22" t="s">
        <v>6</v>
      </c>
      <c r="DO22">
        <v>0</v>
      </c>
      <c r="GP22">
        <v>1</v>
      </c>
      <c r="GQ22">
        <v>-1</v>
      </c>
      <c r="GR22">
        <v>-1</v>
      </c>
    </row>
    <row r="23" spans="1:200" x14ac:dyDescent="0.2">
      <c r="A23">
        <f>ROW(Source!A35)</f>
        <v>35</v>
      </c>
      <c r="B23">
        <v>86326988</v>
      </c>
      <c r="C23">
        <v>86327243</v>
      </c>
      <c r="D23">
        <v>5511010</v>
      </c>
      <c r="E23">
        <v>1</v>
      </c>
      <c r="F23">
        <v>1</v>
      </c>
      <c r="G23">
        <v>1</v>
      </c>
      <c r="H23">
        <v>1</v>
      </c>
      <c r="I23" t="s">
        <v>640</v>
      </c>
      <c r="J23" t="s">
        <v>6</v>
      </c>
      <c r="K23" t="s">
        <v>641</v>
      </c>
      <c r="L23">
        <v>1369</v>
      </c>
      <c r="N23">
        <v>1013</v>
      </c>
      <c r="O23" t="s">
        <v>625</v>
      </c>
      <c r="P23" t="s">
        <v>625</v>
      </c>
      <c r="Q23">
        <v>1</v>
      </c>
      <c r="W23">
        <v>0</v>
      </c>
      <c r="X23">
        <v>-1977858316</v>
      </c>
      <c r="Y23">
        <f>(AT23*1.05)</f>
        <v>62.860770000000009</v>
      </c>
      <c r="AA23">
        <v>0</v>
      </c>
      <c r="AB23">
        <v>0</v>
      </c>
      <c r="AC23">
        <v>0</v>
      </c>
      <c r="AD23">
        <v>302.29000000000002</v>
      </c>
      <c r="AE23">
        <v>0</v>
      </c>
      <c r="AF23">
        <v>0</v>
      </c>
      <c r="AG23">
        <v>0</v>
      </c>
      <c r="AH23">
        <v>11.92</v>
      </c>
      <c r="AI23">
        <v>1</v>
      </c>
      <c r="AJ23">
        <v>1</v>
      </c>
      <c r="AK23">
        <v>1</v>
      </c>
      <c r="AL23">
        <v>25.36</v>
      </c>
      <c r="AM23">
        <v>5</v>
      </c>
      <c r="AN23">
        <v>0</v>
      </c>
      <c r="AO23">
        <v>1</v>
      </c>
      <c r="AP23">
        <v>1</v>
      </c>
      <c r="AQ23">
        <v>0</v>
      </c>
      <c r="AR23">
        <v>0</v>
      </c>
      <c r="AS23" t="s">
        <v>6</v>
      </c>
      <c r="AT23">
        <v>59.867400000000004</v>
      </c>
      <c r="AU23" t="s">
        <v>25</v>
      </c>
      <c r="AV23">
        <v>1</v>
      </c>
      <c r="AW23">
        <v>2</v>
      </c>
      <c r="AX23">
        <v>86327250</v>
      </c>
      <c r="AY23">
        <v>1</v>
      </c>
      <c r="AZ23">
        <v>0</v>
      </c>
      <c r="BA23">
        <v>24</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CU23">
        <f>ROUND(AT23*Source!I35*AH23*AL23,0)</f>
        <v>6741</v>
      </c>
      <c r="CV23">
        <f>ROUND(Y23*Source!I35,9)</f>
        <v>23.415636825</v>
      </c>
      <c r="CW23">
        <v>0</v>
      </c>
      <c r="CX23">
        <f>ROUND(Y23*Source!I35,9)</f>
        <v>23.415636825</v>
      </c>
      <c r="CY23">
        <f>AD23</f>
        <v>302.29000000000002</v>
      </c>
      <c r="CZ23">
        <f>AH23</f>
        <v>11.92</v>
      </c>
      <c r="DA23">
        <f>AL23</f>
        <v>25.36</v>
      </c>
      <c r="DB23">
        <f>ROUND((ROUND(AT23*CZ23,2)*1.05),2)</f>
        <v>749.3</v>
      </c>
      <c r="DC23">
        <f>ROUND((ROUND(AT23*AG23,2)*1.05),2)</f>
        <v>0</v>
      </c>
      <c r="DD23" t="s">
        <v>6</v>
      </c>
      <c r="DE23" t="s">
        <v>6</v>
      </c>
      <c r="DF23">
        <f t="shared" si="3"/>
        <v>0</v>
      </c>
      <c r="DG23">
        <f t="shared" si="2"/>
        <v>0</v>
      </c>
      <c r="DH23">
        <f>Source!I35*SmtRes!Y23</f>
        <v>23.415636825000004</v>
      </c>
      <c r="DI23">
        <f>AD23</f>
        <v>302.29000000000002</v>
      </c>
      <c r="DJ23">
        <f>EtalonRes!AB24</f>
        <v>11.92</v>
      </c>
      <c r="DK23">
        <f>Source!BA35</f>
        <v>25.36</v>
      </c>
      <c r="DL23" t="s">
        <v>6</v>
      </c>
      <c r="DM23">
        <v>0</v>
      </c>
      <c r="DN23" t="s">
        <v>6</v>
      </c>
      <c r="DO23">
        <v>0</v>
      </c>
      <c r="GQ23">
        <v>-1</v>
      </c>
      <c r="GR23">
        <v>-1</v>
      </c>
    </row>
    <row r="24" spans="1:200" x14ac:dyDescent="0.2">
      <c r="A24">
        <f>ROW(Source!A35)</f>
        <v>35</v>
      </c>
      <c r="B24">
        <v>86326988</v>
      </c>
      <c r="C24">
        <v>86327243</v>
      </c>
      <c r="D24">
        <v>121548</v>
      </c>
      <c r="E24">
        <v>1</v>
      </c>
      <c r="F24">
        <v>1</v>
      </c>
      <c r="G24">
        <v>1</v>
      </c>
      <c r="H24">
        <v>1</v>
      </c>
      <c r="I24" t="s">
        <v>40</v>
      </c>
      <c r="J24" t="s">
        <v>6</v>
      </c>
      <c r="K24" t="s">
        <v>626</v>
      </c>
      <c r="L24">
        <v>608254</v>
      </c>
      <c r="N24">
        <v>1013</v>
      </c>
      <c r="O24" t="s">
        <v>627</v>
      </c>
      <c r="P24" t="s">
        <v>627</v>
      </c>
      <c r="Q24">
        <v>1</v>
      </c>
      <c r="W24">
        <v>0</v>
      </c>
      <c r="X24">
        <v>-185737400</v>
      </c>
      <c r="Y24">
        <f>(AT24*1.12)</f>
        <v>0.5152000000000001</v>
      </c>
      <c r="AA24">
        <v>0</v>
      </c>
      <c r="AB24">
        <v>0</v>
      </c>
      <c r="AC24">
        <v>0</v>
      </c>
      <c r="AD24">
        <v>0</v>
      </c>
      <c r="AE24">
        <v>0</v>
      </c>
      <c r="AF24">
        <v>0</v>
      </c>
      <c r="AG24">
        <v>0</v>
      </c>
      <c r="AH24">
        <v>0</v>
      </c>
      <c r="AI24">
        <v>1</v>
      </c>
      <c r="AJ24">
        <v>1</v>
      </c>
      <c r="AK24">
        <v>19.8</v>
      </c>
      <c r="AL24">
        <v>1</v>
      </c>
      <c r="AM24">
        <v>5</v>
      </c>
      <c r="AN24">
        <v>0</v>
      </c>
      <c r="AO24">
        <v>1</v>
      </c>
      <c r="AP24">
        <v>1</v>
      </c>
      <c r="AQ24">
        <v>0</v>
      </c>
      <c r="AR24">
        <v>0</v>
      </c>
      <c r="AS24" t="s">
        <v>6</v>
      </c>
      <c r="AT24">
        <v>0.46</v>
      </c>
      <c r="AU24" t="s">
        <v>24</v>
      </c>
      <c r="AV24">
        <v>2</v>
      </c>
      <c r="AW24">
        <v>2</v>
      </c>
      <c r="AX24">
        <v>86327251</v>
      </c>
      <c r="AY24">
        <v>1</v>
      </c>
      <c r="AZ24">
        <v>0</v>
      </c>
      <c r="BA24">
        <v>25</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CV24">
        <v>0</v>
      </c>
      <c r="CW24">
        <v>0</v>
      </c>
      <c r="CX24">
        <f>ROUND(Y24*Source!I35,9)</f>
        <v>0.191912</v>
      </c>
      <c r="CY24">
        <f>AD24</f>
        <v>0</v>
      </c>
      <c r="CZ24">
        <f>AH24</f>
        <v>0</v>
      </c>
      <c r="DA24">
        <f>AL24</f>
        <v>1</v>
      </c>
      <c r="DB24">
        <f>ROUND((ROUND(AT24*CZ24,2)*1.12),2)</f>
        <v>0</v>
      </c>
      <c r="DC24">
        <f>ROUND((ROUND(AT24*AG24,2)*1.12),2)</f>
        <v>0</v>
      </c>
      <c r="DD24" t="s">
        <v>6</v>
      </c>
      <c r="DE24" t="s">
        <v>6</v>
      </c>
      <c r="DF24">
        <f t="shared" si="3"/>
        <v>0</v>
      </c>
      <c r="DG24">
        <f t="shared" si="2"/>
        <v>0</v>
      </c>
      <c r="DH24">
        <f>Source!I35*SmtRes!Y24</f>
        <v>0.19191200000000003</v>
      </c>
      <c r="DI24">
        <f>AD24</f>
        <v>0</v>
      </c>
      <c r="DJ24">
        <f>EtalonRes!AB25</f>
        <v>0</v>
      </c>
      <c r="DK24">
        <f>Source!BA35</f>
        <v>25.36</v>
      </c>
      <c r="DL24" t="s">
        <v>6</v>
      </c>
      <c r="DM24">
        <v>0</v>
      </c>
      <c r="DN24" t="s">
        <v>6</v>
      </c>
      <c r="DO24">
        <v>0</v>
      </c>
      <c r="GQ24">
        <v>-1</v>
      </c>
      <c r="GR24">
        <v>-1</v>
      </c>
    </row>
    <row r="25" spans="1:200" x14ac:dyDescent="0.2">
      <c r="A25">
        <f>ROW(Source!A35)</f>
        <v>35</v>
      </c>
      <c r="B25">
        <v>86326988</v>
      </c>
      <c r="C25">
        <v>86327243</v>
      </c>
      <c r="D25">
        <v>35950917</v>
      </c>
      <c r="E25">
        <v>1</v>
      </c>
      <c r="F25">
        <v>1</v>
      </c>
      <c r="G25">
        <v>1</v>
      </c>
      <c r="H25">
        <v>2</v>
      </c>
      <c r="I25" t="s">
        <v>628</v>
      </c>
      <c r="J25" t="s">
        <v>642</v>
      </c>
      <c r="K25" t="s">
        <v>643</v>
      </c>
      <c r="L25">
        <v>1368</v>
      </c>
      <c r="N25">
        <v>1011</v>
      </c>
      <c r="O25" t="s">
        <v>137</v>
      </c>
      <c r="P25" t="s">
        <v>137</v>
      </c>
      <c r="Q25">
        <v>1</v>
      </c>
      <c r="W25">
        <v>0</v>
      </c>
      <c r="X25">
        <v>1919308296</v>
      </c>
      <c r="Y25">
        <f>(AT25*1.12)</f>
        <v>0.4032</v>
      </c>
      <c r="AA25">
        <v>0</v>
      </c>
      <c r="AB25">
        <v>906.62</v>
      </c>
      <c r="AC25">
        <v>221.36</v>
      </c>
      <c r="AD25">
        <v>0</v>
      </c>
      <c r="AE25">
        <v>0</v>
      </c>
      <c r="AF25">
        <v>115.64</v>
      </c>
      <c r="AG25">
        <v>11.18</v>
      </c>
      <c r="AH25">
        <v>0</v>
      </c>
      <c r="AI25">
        <v>1</v>
      </c>
      <c r="AJ25">
        <v>7.84</v>
      </c>
      <c r="AK25">
        <v>19.8</v>
      </c>
      <c r="AL25">
        <v>1</v>
      </c>
      <c r="AM25">
        <v>5</v>
      </c>
      <c r="AN25">
        <v>0</v>
      </c>
      <c r="AO25">
        <v>1</v>
      </c>
      <c r="AP25">
        <v>1</v>
      </c>
      <c r="AQ25">
        <v>0</v>
      </c>
      <c r="AR25">
        <v>0</v>
      </c>
      <c r="AS25" t="s">
        <v>6</v>
      </c>
      <c r="AT25">
        <v>0.36</v>
      </c>
      <c r="AU25" t="s">
        <v>24</v>
      </c>
      <c r="AV25">
        <v>0</v>
      </c>
      <c r="AW25">
        <v>2</v>
      </c>
      <c r="AX25">
        <v>86327252</v>
      </c>
      <c r="AY25">
        <v>1</v>
      </c>
      <c r="AZ25">
        <v>0</v>
      </c>
      <c r="BA25">
        <v>26</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CV25">
        <v>0</v>
      </c>
      <c r="CW25">
        <f>ROUND(Y25*Source!I35*DO25,9)</f>
        <v>0</v>
      </c>
      <c r="CX25">
        <f>ROUND(Y25*Source!I35,9)</f>
        <v>0.15019199999999999</v>
      </c>
      <c r="CY25">
        <f>AB25</f>
        <v>906.62</v>
      </c>
      <c r="CZ25">
        <f>AF25</f>
        <v>115.64</v>
      </c>
      <c r="DA25">
        <f>AJ25</f>
        <v>7.84</v>
      </c>
      <c r="DB25">
        <f>ROUND((ROUND(AT25*CZ25,2)*1.12),2)</f>
        <v>46.63</v>
      </c>
      <c r="DC25">
        <f>ROUND((ROUND(AT25*AG25,2)*1.12),2)</f>
        <v>4.5</v>
      </c>
      <c r="DD25" t="s">
        <v>6</v>
      </c>
      <c r="DE25" t="s">
        <v>6</v>
      </c>
      <c r="DF25">
        <f t="shared" si="3"/>
        <v>0</v>
      </c>
      <c r="DG25">
        <f>ROUND(ROUND(AF25*AJ25,0)*CX25,0)</f>
        <v>136</v>
      </c>
      <c r="DH25">
        <f>Source!I35*SmtRes!Y25</f>
        <v>0.15019199999999999</v>
      </c>
      <c r="DI25">
        <f>AB25</f>
        <v>906.62</v>
      </c>
      <c r="DJ25">
        <f>EtalonRes!Z26</f>
        <v>115.64</v>
      </c>
      <c r="DK25">
        <f>Source!BB35</f>
        <v>7.84</v>
      </c>
      <c r="DL25" t="s">
        <v>6</v>
      </c>
      <c r="DM25">
        <v>0</v>
      </c>
      <c r="DN25" t="s">
        <v>6</v>
      </c>
      <c r="DO25">
        <v>0</v>
      </c>
      <c r="GQ25">
        <v>-1</v>
      </c>
      <c r="GR25">
        <v>-1</v>
      </c>
    </row>
    <row r="26" spans="1:200" x14ac:dyDescent="0.2">
      <c r="A26">
        <f>ROW(Source!A35)</f>
        <v>35</v>
      </c>
      <c r="B26">
        <v>86326988</v>
      </c>
      <c r="C26">
        <v>86327243</v>
      </c>
      <c r="D26">
        <v>35950918</v>
      </c>
      <c r="E26">
        <v>1</v>
      </c>
      <c r="F26">
        <v>1</v>
      </c>
      <c r="G26">
        <v>1</v>
      </c>
      <c r="H26">
        <v>2</v>
      </c>
      <c r="I26" t="s">
        <v>631</v>
      </c>
      <c r="J26" t="s">
        <v>644</v>
      </c>
      <c r="K26" t="s">
        <v>645</v>
      </c>
      <c r="L26">
        <v>1368</v>
      </c>
      <c r="N26">
        <v>1011</v>
      </c>
      <c r="O26" t="s">
        <v>137</v>
      </c>
      <c r="P26" t="s">
        <v>137</v>
      </c>
      <c r="Q26">
        <v>1</v>
      </c>
      <c r="W26">
        <v>0</v>
      </c>
      <c r="X26">
        <v>-629854247</v>
      </c>
      <c r="Y26">
        <f>(AT26*1.12)</f>
        <v>0.11200000000000002</v>
      </c>
      <c r="AA26">
        <v>0</v>
      </c>
      <c r="AB26">
        <v>883.33</v>
      </c>
      <c r="AC26">
        <v>257.8</v>
      </c>
      <c r="AD26">
        <v>0</v>
      </c>
      <c r="AE26">
        <v>0</v>
      </c>
      <c r="AF26">
        <v>112.67</v>
      </c>
      <c r="AG26">
        <v>13.02</v>
      </c>
      <c r="AH26">
        <v>0</v>
      </c>
      <c r="AI26">
        <v>1</v>
      </c>
      <c r="AJ26">
        <v>7.84</v>
      </c>
      <c r="AK26">
        <v>19.8</v>
      </c>
      <c r="AL26">
        <v>1</v>
      </c>
      <c r="AM26">
        <v>5</v>
      </c>
      <c r="AN26">
        <v>0</v>
      </c>
      <c r="AO26">
        <v>1</v>
      </c>
      <c r="AP26">
        <v>1</v>
      </c>
      <c r="AQ26">
        <v>0</v>
      </c>
      <c r="AR26">
        <v>0</v>
      </c>
      <c r="AS26" t="s">
        <v>6</v>
      </c>
      <c r="AT26">
        <v>0.1</v>
      </c>
      <c r="AU26" t="s">
        <v>24</v>
      </c>
      <c r="AV26">
        <v>0</v>
      </c>
      <c r="AW26">
        <v>2</v>
      </c>
      <c r="AX26">
        <v>86327253</v>
      </c>
      <c r="AY26">
        <v>1</v>
      </c>
      <c r="AZ26">
        <v>0</v>
      </c>
      <c r="BA26">
        <v>27</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CV26">
        <v>0</v>
      </c>
      <c r="CW26">
        <f>ROUND(Y26*Source!I35*DO26,9)</f>
        <v>0</v>
      </c>
      <c r="CX26">
        <f>ROUND(Y26*Source!I35,9)</f>
        <v>4.172E-2</v>
      </c>
      <c r="CY26">
        <f>AB26</f>
        <v>883.33</v>
      </c>
      <c r="CZ26">
        <f>AF26</f>
        <v>112.67</v>
      </c>
      <c r="DA26">
        <f>AJ26</f>
        <v>7.84</v>
      </c>
      <c r="DB26">
        <f>ROUND((ROUND(AT26*CZ26,2)*1.12),2)</f>
        <v>12.62</v>
      </c>
      <c r="DC26">
        <f>ROUND((ROUND(AT26*AG26,2)*1.12),2)</f>
        <v>1.46</v>
      </c>
      <c r="DD26" t="s">
        <v>6</v>
      </c>
      <c r="DE26" t="s">
        <v>6</v>
      </c>
      <c r="DF26">
        <f t="shared" si="3"/>
        <v>0</v>
      </c>
      <c r="DG26">
        <f>ROUND(ROUND(AF26*AJ26,0)*CX26,0)</f>
        <v>37</v>
      </c>
      <c r="DH26">
        <f>Source!I35*SmtRes!Y26</f>
        <v>4.1720000000000007E-2</v>
      </c>
      <c r="DI26">
        <f>AB26</f>
        <v>883.33</v>
      </c>
      <c r="DJ26">
        <f>EtalonRes!Z27</f>
        <v>112.67</v>
      </c>
      <c r="DK26">
        <f>Source!BB35</f>
        <v>7.84</v>
      </c>
      <c r="DL26" t="s">
        <v>6</v>
      </c>
      <c r="DM26">
        <v>0</v>
      </c>
      <c r="DN26" t="s">
        <v>6</v>
      </c>
      <c r="DO26">
        <v>0</v>
      </c>
      <c r="GQ26">
        <v>-1</v>
      </c>
      <c r="GR26">
        <v>-1</v>
      </c>
    </row>
    <row r="27" spans="1:200" x14ac:dyDescent="0.2">
      <c r="A27">
        <f>ROW(Source!A35)</f>
        <v>35</v>
      </c>
      <c r="B27">
        <v>86326988</v>
      </c>
      <c r="C27">
        <v>86327243</v>
      </c>
      <c r="D27">
        <v>35950919</v>
      </c>
      <c r="E27">
        <v>1</v>
      </c>
      <c r="F27">
        <v>1</v>
      </c>
      <c r="G27">
        <v>1</v>
      </c>
      <c r="H27">
        <v>2</v>
      </c>
      <c r="I27" t="s">
        <v>637</v>
      </c>
      <c r="J27" t="s">
        <v>646</v>
      </c>
      <c r="K27" t="s">
        <v>639</v>
      </c>
      <c r="L27">
        <v>1368</v>
      </c>
      <c r="N27">
        <v>1011</v>
      </c>
      <c r="O27" t="s">
        <v>137</v>
      </c>
      <c r="P27" t="s">
        <v>137</v>
      </c>
      <c r="Q27">
        <v>1</v>
      </c>
      <c r="W27">
        <v>0</v>
      </c>
      <c r="X27">
        <v>-1317427794</v>
      </c>
      <c r="Y27">
        <f>(AT27*1.12)</f>
        <v>0.15680000000000002</v>
      </c>
      <c r="AA27">
        <v>0</v>
      </c>
      <c r="AB27">
        <v>732.02</v>
      </c>
      <c r="AC27">
        <v>231.46</v>
      </c>
      <c r="AD27">
        <v>0</v>
      </c>
      <c r="AE27">
        <v>0</v>
      </c>
      <c r="AF27">
        <v>93.37</v>
      </c>
      <c r="AG27">
        <v>11.69</v>
      </c>
      <c r="AH27">
        <v>0</v>
      </c>
      <c r="AI27">
        <v>1</v>
      </c>
      <c r="AJ27">
        <v>7.84</v>
      </c>
      <c r="AK27">
        <v>19.8</v>
      </c>
      <c r="AL27">
        <v>1</v>
      </c>
      <c r="AM27">
        <v>5</v>
      </c>
      <c r="AN27">
        <v>0</v>
      </c>
      <c r="AO27">
        <v>1</v>
      </c>
      <c r="AP27">
        <v>1</v>
      </c>
      <c r="AQ27">
        <v>0</v>
      </c>
      <c r="AR27">
        <v>0</v>
      </c>
      <c r="AS27" t="s">
        <v>6</v>
      </c>
      <c r="AT27">
        <v>0.14000000000000001</v>
      </c>
      <c r="AU27" t="s">
        <v>24</v>
      </c>
      <c r="AV27">
        <v>0</v>
      </c>
      <c r="AW27">
        <v>2</v>
      </c>
      <c r="AX27">
        <v>86327254</v>
      </c>
      <c r="AY27">
        <v>1</v>
      </c>
      <c r="AZ27">
        <v>0</v>
      </c>
      <c r="BA27">
        <v>28</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CV27">
        <v>0</v>
      </c>
      <c r="CW27">
        <f>ROUND(Y27*Source!I35*DO27,9)</f>
        <v>0</v>
      </c>
      <c r="CX27">
        <f>ROUND(Y27*Source!I35,9)</f>
        <v>5.8408000000000002E-2</v>
      </c>
      <c r="CY27">
        <f>AB27</f>
        <v>732.02</v>
      </c>
      <c r="CZ27">
        <f>AF27</f>
        <v>93.37</v>
      </c>
      <c r="DA27">
        <f>AJ27</f>
        <v>7.84</v>
      </c>
      <c r="DB27">
        <f>ROUND((ROUND(AT27*CZ27,2)*1.12),2)</f>
        <v>14.64</v>
      </c>
      <c r="DC27">
        <f>ROUND((ROUND(AT27*AG27,2)*1.12),2)</f>
        <v>1.84</v>
      </c>
      <c r="DD27" t="s">
        <v>6</v>
      </c>
      <c r="DE27" t="s">
        <v>6</v>
      </c>
      <c r="DF27">
        <f t="shared" si="3"/>
        <v>0</v>
      </c>
      <c r="DG27">
        <f>ROUND(ROUND(AF27*AJ27,0)*CX27,0)</f>
        <v>43</v>
      </c>
      <c r="DH27">
        <f>Source!I35*SmtRes!Y27</f>
        <v>5.8408000000000009E-2</v>
      </c>
      <c r="DI27">
        <f>AB27</f>
        <v>732.02</v>
      </c>
      <c r="DJ27">
        <f>EtalonRes!Z28</f>
        <v>93.37</v>
      </c>
      <c r="DK27">
        <f>Source!BB35</f>
        <v>7.84</v>
      </c>
      <c r="DL27" t="s">
        <v>6</v>
      </c>
      <c r="DM27">
        <v>0</v>
      </c>
      <c r="DN27" t="s">
        <v>6</v>
      </c>
      <c r="DO27">
        <v>0</v>
      </c>
      <c r="GQ27">
        <v>-1</v>
      </c>
      <c r="GR27">
        <v>-1</v>
      </c>
    </row>
    <row r="28" spans="1:200" x14ac:dyDescent="0.2">
      <c r="A28">
        <f>ROW(Source!A35)</f>
        <v>35</v>
      </c>
      <c r="B28">
        <v>86326988</v>
      </c>
      <c r="C28">
        <v>86327243</v>
      </c>
      <c r="D28">
        <v>52930022</v>
      </c>
      <c r="E28">
        <v>1</v>
      </c>
      <c r="F28">
        <v>1</v>
      </c>
      <c r="G28">
        <v>1</v>
      </c>
      <c r="H28">
        <v>3</v>
      </c>
      <c r="I28" t="s">
        <v>54</v>
      </c>
      <c r="J28" t="s">
        <v>56</v>
      </c>
      <c r="K28" t="s">
        <v>55</v>
      </c>
      <c r="L28">
        <v>1348</v>
      </c>
      <c r="N28">
        <v>1009</v>
      </c>
      <c r="O28" t="s">
        <v>33</v>
      </c>
      <c r="P28" t="s">
        <v>33</v>
      </c>
      <c r="Q28">
        <v>1000</v>
      </c>
      <c r="W28">
        <v>0</v>
      </c>
      <c r="X28">
        <v>1567311917</v>
      </c>
      <c r="Y28">
        <f>AT28</f>
        <v>1</v>
      </c>
      <c r="AA28">
        <v>56777.82</v>
      </c>
      <c r="AB28">
        <v>0</v>
      </c>
      <c r="AC28">
        <v>0</v>
      </c>
      <c r="AD28">
        <v>0</v>
      </c>
      <c r="AE28">
        <v>7869.28</v>
      </c>
      <c r="AF28">
        <v>0</v>
      </c>
      <c r="AG28">
        <v>0</v>
      </c>
      <c r="AH28">
        <v>0</v>
      </c>
      <c r="AI28">
        <v>7.56</v>
      </c>
      <c r="AJ28">
        <v>1</v>
      </c>
      <c r="AK28">
        <v>1</v>
      </c>
      <c r="AL28">
        <v>1</v>
      </c>
      <c r="AM28">
        <v>0</v>
      </c>
      <c r="AN28">
        <v>0</v>
      </c>
      <c r="AO28">
        <v>0</v>
      </c>
      <c r="AP28">
        <v>1</v>
      </c>
      <c r="AQ28">
        <v>0</v>
      </c>
      <c r="AR28">
        <v>0</v>
      </c>
      <c r="AS28" t="s">
        <v>6</v>
      </c>
      <c r="AT28">
        <v>1</v>
      </c>
      <c r="AU28" t="s">
        <v>6</v>
      </c>
      <c r="AV28">
        <v>0</v>
      </c>
      <c r="AW28">
        <v>1</v>
      </c>
      <c r="AX28">
        <v>-1</v>
      </c>
      <c r="AY28">
        <v>0</v>
      </c>
      <c r="AZ28">
        <v>0</v>
      </c>
      <c r="BA28" t="s">
        <v>6</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CV28">
        <v>0</v>
      </c>
      <c r="CW28">
        <v>0</v>
      </c>
      <c r="CX28">
        <f>ROUND(Y28*Source!I35,9)</f>
        <v>0.3725</v>
      </c>
      <c r="CY28">
        <f>AA28</f>
        <v>56777.82</v>
      </c>
      <c r="CZ28">
        <f>AE28</f>
        <v>7869.28</v>
      </c>
      <c r="DA28">
        <f>AI28</f>
        <v>7.56</v>
      </c>
      <c r="DB28">
        <f>ROUND(ROUND(AT28*CZ28,2),2)</f>
        <v>7869.28</v>
      </c>
      <c r="DC28">
        <f>ROUND(ROUND(AT28*AG28,2),2)</f>
        <v>0</v>
      </c>
      <c r="DD28" t="s">
        <v>6</v>
      </c>
      <c r="DE28" t="s">
        <v>6</v>
      </c>
      <c r="DF28">
        <f>ROUND(ROUND(AE28*AI28,0)*CX28,0)</f>
        <v>22161</v>
      </c>
      <c r="DG28">
        <f t="shared" ref="DG28:DG36" si="4">ROUND(ROUND(AF28,0)*CX28,0)</f>
        <v>0</v>
      </c>
      <c r="DH28">
        <f>Source!I35*SmtRes!Y28</f>
        <v>0.3725</v>
      </c>
      <c r="DI28">
        <f>AA28</f>
        <v>56777.82</v>
      </c>
      <c r="DJ28">
        <f>DF28</f>
        <v>22161</v>
      </c>
      <c r="DK28">
        <f>Source!BC35</f>
        <v>7.56</v>
      </c>
      <c r="DL28" t="s">
        <v>6</v>
      </c>
      <c r="DM28">
        <v>0</v>
      </c>
      <c r="DN28" t="s">
        <v>6</v>
      </c>
      <c r="DO28">
        <v>0</v>
      </c>
      <c r="GP28">
        <v>1</v>
      </c>
      <c r="GQ28">
        <v>-1</v>
      </c>
      <c r="GR28">
        <v>-1</v>
      </c>
    </row>
    <row r="29" spans="1:200" x14ac:dyDescent="0.2">
      <c r="A29">
        <f>ROW(Source!A38)</f>
        <v>38</v>
      </c>
      <c r="B29">
        <v>86326987</v>
      </c>
      <c r="C29">
        <v>86327258</v>
      </c>
      <c r="D29">
        <v>5511010</v>
      </c>
      <c r="E29">
        <v>1</v>
      </c>
      <c r="F29">
        <v>1</v>
      </c>
      <c r="G29">
        <v>1</v>
      </c>
      <c r="H29">
        <v>1</v>
      </c>
      <c r="I29" t="s">
        <v>640</v>
      </c>
      <c r="J29" t="s">
        <v>6</v>
      </c>
      <c r="K29" t="s">
        <v>641</v>
      </c>
      <c r="L29">
        <v>1369</v>
      </c>
      <c r="N29">
        <v>1013</v>
      </c>
      <c r="O29" t="s">
        <v>625</v>
      </c>
      <c r="P29" t="s">
        <v>625</v>
      </c>
      <c r="Q29">
        <v>1</v>
      </c>
      <c r="W29">
        <v>0</v>
      </c>
      <c r="X29">
        <v>-1977858316</v>
      </c>
      <c r="Y29">
        <f>(AT29*1.05)</f>
        <v>62.860770000000009</v>
      </c>
      <c r="AA29">
        <v>0</v>
      </c>
      <c r="AB29">
        <v>0</v>
      </c>
      <c r="AC29">
        <v>0</v>
      </c>
      <c r="AD29">
        <v>11.92</v>
      </c>
      <c r="AE29">
        <v>0</v>
      </c>
      <c r="AF29">
        <v>0</v>
      </c>
      <c r="AG29">
        <v>0</v>
      </c>
      <c r="AH29">
        <v>11.92</v>
      </c>
      <c r="AI29">
        <v>1</v>
      </c>
      <c r="AJ29">
        <v>1</v>
      </c>
      <c r="AK29">
        <v>1</v>
      </c>
      <c r="AL29">
        <v>1</v>
      </c>
      <c r="AM29">
        <v>0</v>
      </c>
      <c r="AN29">
        <v>0</v>
      </c>
      <c r="AO29">
        <v>1</v>
      </c>
      <c r="AP29">
        <v>1</v>
      </c>
      <c r="AQ29">
        <v>0</v>
      </c>
      <c r="AR29">
        <v>0</v>
      </c>
      <c r="AS29" t="s">
        <v>6</v>
      </c>
      <c r="AT29">
        <v>59.867400000000004</v>
      </c>
      <c r="AU29" t="s">
        <v>25</v>
      </c>
      <c r="AV29">
        <v>1</v>
      </c>
      <c r="AW29">
        <v>2</v>
      </c>
      <c r="AX29">
        <v>86327265</v>
      </c>
      <c r="AY29">
        <v>1</v>
      </c>
      <c r="AZ29">
        <v>0</v>
      </c>
      <c r="BA29">
        <v>31</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CU29">
        <f>ROUND(AT29*Source!I38*AH29*AL29,0)</f>
        <v>1475</v>
      </c>
      <c r="CV29">
        <f>ROUND(Y29*Source!I38,9)</f>
        <v>129.90178120499999</v>
      </c>
      <c r="CW29">
        <v>0</v>
      </c>
      <c r="CX29">
        <f>ROUND(Y29*Source!I38,9)</f>
        <v>129.90178120499999</v>
      </c>
      <c r="CY29">
        <f>AD29</f>
        <v>11.92</v>
      </c>
      <c r="CZ29">
        <f>AH29</f>
        <v>11.92</v>
      </c>
      <c r="DA29">
        <f>AL29</f>
        <v>1</v>
      </c>
      <c r="DB29">
        <f>ROUND((ROUND(AT29*CZ29,2)*1.05),2)</f>
        <v>749.3</v>
      </c>
      <c r="DC29">
        <f>ROUND((ROUND(AT29*AG29,2)*1.05),2)</f>
        <v>0</v>
      </c>
      <c r="DD29" t="s">
        <v>6</v>
      </c>
      <c r="DE29" t="s">
        <v>6</v>
      </c>
      <c r="DF29">
        <f t="shared" ref="DF29:DF39" si="5">ROUND(ROUND(AE29,0)*CX29,0)</f>
        <v>0</v>
      </c>
      <c r="DG29">
        <f t="shared" si="4"/>
        <v>0</v>
      </c>
      <c r="DH29">
        <f>Source!I38*SmtRes!Y29</f>
        <v>129.90178120500002</v>
      </c>
      <c r="DI29">
        <f>AD29</f>
        <v>11.92</v>
      </c>
      <c r="DJ29">
        <f>EtalonRes!AB31</f>
        <v>11.92</v>
      </c>
      <c r="DK29">
        <f>Source!BA38</f>
        <v>1</v>
      </c>
      <c r="DL29" t="s">
        <v>6</v>
      </c>
      <c r="DM29">
        <v>0</v>
      </c>
      <c r="DN29" t="s">
        <v>6</v>
      </c>
      <c r="DO29">
        <v>0</v>
      </c>
      <c r="GQ29">
        <v>-1</v>
      </c>
      <c r="GR29">
        <v>-1</v>
      </c>
    </row>
    <row r="30" spans="1:200" x14ac:dyDescent="0.2">
      <c r="A30">
        <f>ROW(Source!A38)</f>
        <v>38</v>
      </c>
      <c r="B30">
        <v>86326987</v>
      </c>
      <c r="C30">
        <v>86327258</v>
      </c>
      <c r="D30">
        <v>121548</v>
      </c>
      <c r="E30">
        <v>1</v>
      </c>
      <c r="F30">
        <v>1</v>
      </c>
      <c r="G30">
        <v>1</v>
      </c>
      <c r="H30">
        <v>1</v>
      </c>
      <c r="I30" t="s">
        <v>40</v>
      </c>
      <c r="J30" t="s">
        <v>6</v>
      </c>
      <c r="K30" t="s">
        <v>626</v>
      </c>
      <c r="L30">
        <v>608254</v>
      </c>
      <c r="N30">
        <v>1013</v>
      </c>
      <c r="O30" t="s">
        <v>627</v>
      </c>
      <c r="P30" t="s">
        <v>627</v>
      </c>
      <c r="Q30">
        <v>1</v>
      </c>
      <c r="W30">
        <v>0</v>
      </c>
      <c r="X30">
        <v>-185737400</v>
      </c>
      <c r="Y30">
        <f>(AT30*1.12)</f>
        <v>0.50400000000000011</v>
      </c>
      <c r="AA30">
        <v>0</v>
      </c>
      <c r="AB30">
        <v>0</v>
      </c>
      <c r="AC30">
        <v>0</v>
      </c>
      <c r="AD30">
        <v>0</v>
      </c>
      <c r="AE30">
        <v>0</v>
      </c>
      <c r="AF30">
        <v>0</v>
      </c>
      <c r="AG30">
        <v>0</v>
      </c>
      <c r="AH30">
        <v>0</v>
      </c>
      <c r="AI30">
        <v>1</v>
      </c>
      <c r="AJ30">
        <v>1</v>
      </c>
      <c r="AK30">
        <v>1</v>
      </c>
      <c r="AL30">
        <v>1</v>
      </c>
      <c r="AM30">
        <v>0</v>
      </c>
      <c r="AN30">
        <v>0</v>
      </c>
      <c r="AO30">
        <v>1</v>
      </c>
      <c r="AP30">
        <v>1</v>
      </c>
      <c r="AQ30">
        <v>0</v>
      </c>
      <c r="AR30">
        <v>0</v>
      </c>
      <c r="AS30" t="s">
        <v>6</v>
      </c>
      <c r="AT30">
        <v>0.45</v>
      </c>
      <c r="AU30" t="s">
        <v>24</v>
      </c>
      <c r="AV30">
        <v>2</v>
      </c>
      <c r="AW30">
        <v>2</v>
      </c>
      <c r="AX30">
        <v>86327266</v>
      </c>
      <c r="AY30">
        <v>1</v>
      </c>
      <c r="AZ30">
        <v>0</v>
      </c>
      <c r="BA30">
        <v>32</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CV30">
        <v>0</v>
      </c>
      <c r="CW30">
        <v>0</v>
      </c>
      <c r="CX30">
        <f>ROUND(Y30*Source!I38,9)</f>
        <v>1.0415160000000001</v>
      </c>
      <c r="CY30">
        <f>AD30</f>
        <v>0</v>
      </c>
      <c r="CZ30">
        <f>AH30</f>
        <v>0</v>
      </c>
      <c r="DA30">
        <f>AL30</f>
        <v>1</v>
      </c>
      <c r="DB30">
        <f>ROUND((ROUND(AT30*CZ30,2)*1.12),2)</f>
        <v>0</v>
      </c>
      <c r="DC30">
        <f>ROUND((ROUND(AT30*AG30,2)*1.12),2)</f>
        <v>0</v>
      </c>
      <c r="DD30" t="s">
        <v>6</v>
      </c>
      <c r="DE30" t="s">
        <v>6</v>
      </c>
      <c r="DF30">
        <f t="shared" si="5"/>
        <v>0</v>
      </c>
      <c r="DG30">
        <f t="shared" si="4"/>
        <v>0</v>
      </c>
      <c r="DH30">
        <f>Source!I38*SmtRes!Y30</f>
        <v>1.0415160000000003</v>
      </c>
      <c r="DI30">
        <f>AD30</f>
        <v>0</v>
      </c>
      <c r="DJ30">
        <f>EtalonRes!AB32</f>
        <v>0</v>
      </c>
      <c r="DK30">
        <f>Source!BA38</f>
        <v>1</v>
      </c>
      <c r="DL30" t="s">
        <v>6</v>
      </c>
      <c r="DM30">
        <v>0</v>
      </c>
      <c r="DN30" t="s">
        <v>6</v>
      </c>
      <c r="DO30">
        <v>0</v>
      </c>
      <c r="GQ30">
        <v>-1</v>
      </c>
      <c r="GR30">
        <v>-1</v>
      </c>
    </row>
    <row r="31" spans="1:200" x14ac:dyDescent="0.2">
      <c r="A31">
        <f>ROW(Source!A38)</f>
        <v>38</v>
      </c>
      <c r="B31">
        <v>86326987</v>
      </c>
      <c r="C31">
        <v>86327258</v>
      </c>
      <c r="D31">
        <v>35950917</v>
      </c>
      <c r="E31">
        <v>1</v>
      </c>
      <c r="F31">
        <v>1</v>
      </c>
      <c r="G31">
        <v>1</v>
      </c>
      <c r="H31">
        <v>2</v>
      </c>
      <c r="I31" t="s">
        <v>628</v>
      </c>
      <c r="J31" t="s">
        <v>642</v>
      </c>
      <c r="K31" t="s">
        <v>643</v>
      </c>
      <c r="L31">
        <v>1368</v>
      </c>
      <c r="N31">
        <v>1011</v>
      </c>
      <c r="O31" t="s">
        <v>137</v>
      </c>
      <c r="P31" t="s">
        <v>137</v>
      </c>
      <c r="Q31">
        <v>1</v>
      </c>
      <c r="W31">
        <v>0</v>
      </c>
      <c r="X31">
        <v>1919308296</v>
      </c>
      <c r="Y31">
        <f>(AT31*1.12)</f>
        <v>0.4032</v>
      </c>
      <c r="AA31">
        <v>0</v>
      </c>
      <c r="AB31">
        <v>115.64</v>
      </c>
      <c r="AC31">
        <v>11.18</v>
      </c>
      <c r="AD31">
        <v>0</v>
      </c>
      <c r="AE31">
        <v>0</v>
      </c>
      <c r="AF31">
        <v>115.64</v>
      </c>
      <c r="AG31">
        <v>11.18</v>
      </c>
      <c r="AH31">
        <v>0</v>
      </c>
      <c r="AI31">
        <v>1</v>
      </c>
      <c r="AJ31">
        <v>1</v>
      </c>
      <c r="AK31">
        <v>1</v>
      </c>
      <c r="AL31">
        <v>1</v>
      </c>
      <c r="AM31">
        <v>0</v>
      </c>
      <c r="AN31">
        <v>0</v>
      </c>
      <c r="AO31">
        <v>1</v>
      </c>
      <c r="AP31">
        <v>1</v>
      </c>
      <c r="AQ31">
        <v>0</v>
      </c>
      <c r="AR31">
        <v>0</v>
      </c>
      <c r="AS31" t="s">
        <v>6</v>
      </c>
      <c r="AT31">
        <v>0.36</v>
      </c>
      <c r="AU31" t="s">
        <v>24</v>
      </c>
      <c r="AV31">
        <v>0</v>
      </c>
      <c r="AW31">
        <v>2</v>
      </c>
      <c r="AX31">
        <v>86327267</v>
      </c>
      <c r="AY31">
        <v>1</v>
      </c>
      <c r="AZ31">
        <v>0</v>
      </c>
      <c r="BA31">
        <v>33</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CV31">
        <v>0</v>
      </c>
      <c r="CW31">
        <f>ROUND(Y31*Source!I38*DO31,9)</f>
        <v>0</v>
      </c>
      <c r="CX31">
        <f>ROUND(Y31*Source!I38,9)</f>
        <v>0.83321279999999998</v>
      </c>
      <c r="CY31">
        <f>AB31</f>
        <v>115.64</v>
      </c>
      <c r="CZ31">
        <f>AF31</f>
        <v>115.64</v>
      </c>
      <c r="DA31">
        <f>AJ31</f>
        <v>1</v>
      </c>
      <c r="DB31">
        <f>ROUND((ROUND(AT31*CZ31,2)*1.12),2)</f>
        <v>46.63</v>
      </c>
      <c r="DC31">
        <f>ROUND((ROUND(AT31*AG31,2)*1.12),2)</f>
        <v>4.5</v>
      </c>
      <c r="DD31" t="s">
        <v>6</v>
      </c>
      <c r="DE31" t="s">
        <v>6</v>
      </c>
      <c r="DF31">
        <f t="shared" si="5"/>
        <v>0</v>
      </c>
      <c r="DG31">
        <f t="shared" si="4"/>
        <v>97</v>
      </c>
      <c r="DH31">
        <f>Source!I38*SmtRes!Y31</f>
        <v>0.83321279999999998</v>
      </c>
      <c r="DI31">
        <f>AB31</f>
        <v>115.64</v>
      </c>
      <c r="DJ31">
        <f>EtalonRes!Z33</f>
        <v>115.64</v>
      </c>
      <c r="DK31">
        <f>Source!BB38</f>
        <v>1</v>
      </c>
      <c r="DL31" t="s">
        <v>6</v>
      </c>
      <c r="DM31">
        <v>0</v>
      </c>
      <c r="DN31" t="s">
        <v>6</v>
      </c>
      <c r="DO31">
        <v>0</v>
      </c>
      <c r="GQ31">
        <v>-1</v>
      </c>
      <c r="GR31">
        <v>-1</v>
      </c>
    </row>
    <row r="32" spans="1:200" x14ac:dyDescent="0.2">
      <c r="A32">
        <f>ROW(Source!A38)</f>
        <v>38</v>
      </c>
      <c r="B32">
        <v>86326987</v>
      </c>
      <c r="C32">
        <v>86327258</v>
      </c>
      <c r="D32">
        <v>35950918</v>
      </c>
      <c r="E32">
        <v>1</v>
      </c>
      <c r="F32">
        <v>1</v>
      </c>
      <c r="G32">
        <v>1</v>
      </c>
      <c r="H32">
        <v>2</v>
      </c>
      <c r="I32" t="s">
        <v>631</v>
      </c>
      <c r="J32" t="s">
        <v>644</v>
      </c>
      <c r="K32" t="s">
        <v>645</v>
      </c>
      <c r="L32">
        <v>1368</v>
      </c>
      <c r="N32">
        <v>1011</v>
      </c>
      <c r="O32" t="s">
        <v>137</v>
      </c>
      <c r="P32" t="s">
        <v>137</v>
      </c>
      <c r="Q32">
        <v>1</v>
      </c>
      <c r="W32">
        <v>0</v>
      </c>
      <c r="X32">
        <v>-629854247</v>
      </c>
      <c r="Y32">
        <f>(AT32*1.12)</f>
        <v>0.1008</v>
      </c>
      <c r="AA32">
        <v>0</v>
      </c>
      <c r="AB32">
        <v>112.67</v>
      </c>
      <c r="AC32">
        <v>13.02</v>
      </c>
      <c r="AD32">
        <v>0</v>
      </c>
      <c r="AE32">
        <v>0</v>
      </c>
      <c r="AF32">
        <v>112.67</v>
      </c>
      <c r="AG32">
        <v>13.02</v>
      </c>
      <c r="AH32">
        <v>0</v>
      </c>
      <c r="AI32">
        <v>1</v>
      </c>
      <c r="AJ32">
        <v>1</v>
      </c>
      <c r="AK32">
        <v>1</v>
      </c>
      <c r="AL32">
        <v>1</v>
      </c>
      <c r="AM32">
        <v>0</v>
      </c>
      <c r="AN32">
        <v>0</v>
      </c>
      <c r="AO32">
        <v>1</v>
      </c>
      <c r="AP32">
        <v>1</v>
      </c>
      <c r="AQ32">
        <v>0</v>
      </c>
      <c r="AR32">
        <v>0</v>
      </c>
      <c r="AS32" t="s">
        <v>6</v>
      </c>
      <c r="AT32">
        <v>0.09</v>
      </c>
      <c r="AU32" t="s">
        <v>24</v>
      </c>
      <c r="AV32">
        <v>0</v>
      </c>
      <c r="AW32">
        <v>2</v>
      </c>
      <c r="AX32">
        <v>86327268</v>
      </c>
      <c r="AY32">
        <v>1</v>
      </c>
      <c r="AZ32">
        <v>0</v>
      </c>
      <c r="BA32">
        <v>34</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CV32">
        <v>0</v>
      </c>
      <c r="CW32">
        <f>ROUND(Y32*Source!I38*DO32,9)</f>
        <v>0</v>
      </c>
      <c r="CX32">
        <f>ROUND(Y32*Source!I38,9)</f>
        <v>0.20830319999999999</v>
      </c>
      <c r="CY32">
        <f>AB32</f>
        <v>112.67</v>
      </c>
      <c r="CZ32">
        <f>AF32</f>
        <v>112.67</v>
      </c>
      <c r="DA32">
        <f>AJ32</f>
        <v>1</v>
      </c>
      <c r="DB32">
        <f>ROUND((ROUND(AT32*CZ32,2)*1.12),2)</f>
        <v>11.36</v>
      </c>
      <c r="DC32">
        <f>ROUND((ROUND(AT32*AG32,2)*1.12),2)</f>
        <v>1.31</v>
      </c>
      <c r="DD32" t="s">
        <v>6</v>
      </c>
      <c r="DE32" t="s">
        <v>6</v>
      </c>
      <c r="DF32">
        <f t="shared" si="5"/>
        <v>0</v>
      </c>
      <c r="DG32">
        <f t="shared" si="4"/>
        <v>24</v>
      </c>
      <c r="DH32">
        <f>Source!I38*SmtRes!Y32</f>
        <v>0.20830319999999999</v>
      </c>
      <c r="DI32">
        <f>AB32</f>
        <v>112.67</v>
      </c>
      <c r="DJ32">
        <f>EtalonRes!Z34</f>
        <v>112.67</v>
      </c>
      <c r="DK32">
        <f>Source!BB38</f>
        <v>1</v>
      </c>
      <c r="DL32" t="s">
        <v>6</v>
      </c>
      <c r="DM32">
        <v>0</v>
      </c>
      <c r="DN32" t="s">
        <v>6</v>
      </c>
      <c r="DO32">
        <v>0</v>
      </c>
      <c r="GQ32">
        <v>-1</v>
      </c>
      <c r="GR32">
        <v>-1</v>
      </c>
    </row>
    <row r="33" spans="1:200" x14ac:dyDescent="0.2">
      <c r="A33">
        <f>ROW(Source!A38)</f>
        <v>38</v>
      </c>
      <c r="B33">
        <v>86326987</v>
      </c>
      <c r="C33">
        <v>86327258</v>
      </c>
      <c r="D33">
        <v>35950919</v>
      </c>
      <c r="E33">
        <v>1</v>
      </c>
      <c r="F33">
        <v>1</v>
      </c>
      <c r="G33">
        <v>1</v>
      </c>
      <c r="H33">
        <v>2</v>
      </c>
      <c r="I33" t="s">
        <v>637</v>
      </c>
      <c r="J33" t="s">
        <v>646</v>
      </c>
      <c r="K33" t="s">
        <v>639</v>
      </c>
      <c r="L33">
        <v>1368</v>
      </c>
      <c r="N33">
        <v>1011</v>
      </c>
      <c r="O33" t="s">
        <v>137</v>
      </c>
      <c r="P33" t="s">
        <v>137</v>
      </c>
      <c r="Q33">
        <v>1</v>
      </c>
      <c r="W33">
        <v>0</v>
      </c>
      <c r="X33">
        <v>-1317427794</v>
      </c>
      <c r="Y33">
        <f>(AT33*1.12)</f>
        <v>0.14560000000000001</v>
      </c>
      <c r="AA33">
        <v>0</v>
      </c>
      <c r="AB33">
        <v>93.37</v>
      </c>
      <c r="AC33">
        <v>11.69</v>
      </c>
      <c r="AD33">
        <v>0</v>
      </c>
      <c r="AE33">
        <v>0</v>
      </c>
      <c r="AF33">
        <v>93.37</v>
      </c>
      <c r="AG33">
        <v>11.69</v>
      </c>
      <c r="AH33">
        <v>0</v>
      </c>
      <c r="AI33">
        <v>1</v>
      </c>
      <c r="AJ33">
        <v>1</v>
      </c>
      <c r="AK33">
        <v>1</v>
      </c>
      <c r="AL33">
        <v>1</v>
      </c>
      <c r="AM33">
        <v>0</v>
      </c>
      <c r="AN33">
        <v>0</v>
      </c>
      <c r="AO33">
        <v>1</v>
      </c>
      <c r="AP33">
        <v>1</v>
      </c>
      <c r="AQ33">
        <v>0</v>
      </c>
      <c r="AR33">
        <v>0</v>
      </c>
      <c r="AS33" t="s">
        <v>6</v>
      </c>
      <c r="AT33">
        <v>0.13</v>
      </c>
      <c r="AU33" t="s">
        <v>24</v>
      </c>
      <c r="AV33">
        <v>0</v>
      </c>
      <c r="AW33">
        <v>2</v>
      </c>
      <c r="AX33">
        <v>86327269</v>
      </c>
      <c r="AY33">
        <v>1</v>
      </c>
      <c r="AZ33">
        <v>0</v>
      </c>
      <c r="BA33">
        <v>35</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CV33">
        <v>0</v>
      </c>
      <c r="CW33">
        <f>ROUND(Y33*Source!I38*DO33,9)</f>
        <v>0</v>
      </c>
      <c r="CX33">
        <f>ROUND(Y33*Source!I38,9)</f>
        <v>0.30088239999999999</v>
      </c>
      <c r="CY33">
        <f>AB33</f>
        <v>93.37</v>
      </c>
      <c r="CZ33">
        <f>AF33</f>
        <v>93.37</v>
      </c>
      <c r="DA33">
        <f>AJ33</f>
        <v>1</v>
      </c>
      <c r="DB33">
        <f>ROUND((ROUND(AT33*CZ33,2)*1.12),2)</f>
        <v>13.6</v>
      </c>
      <c r="DC33">
        <f>ROUND((ROUND(AT33*AG33,2)*1.12),2)</f>
        <v>1.7</v>
      </c>
      <c r="DD33" t="s">
        <v>6</v>
      </c>
      <c r="DE33" t="s">
        <v>6</v>
      </c>
      <c r="DF33">
        <f t="shared" si="5"/>
        <v>0</v>
      </c>
      <c r="DG33">
        <f t="shared" si="4"/>
        <v>28</v>
      </c>
      <c r="DH33">
        <f>Source!I38*SmtRes!Y33</f>
        <v>0.30088239999999999</v>
      </c>
      <c r="DI33">
        <f>AB33</f>
        <v>93.37</v>
      </c>
      <c r="DJ33">
        <f>EtalonRes!Z35</f>
        <v>93.37</v>
      </c>
      <c r="DK33">
        <f>Source!BB38</f>
        <v>1</v>
      </c>
      <c r="DL33" t="s">
        <v>6</v>
      </c>
      <c r="DM33">
        <v>0</v>
      </c>
      <c r="DN33" t="s">
        <v>6</v>
      </c>
      <c r="DO33">
        <v>0</v>
      </c>
      <c r="GQ33">
        <v>-1</v>
      </c>
      <c r="GR33">
        <v>-1</v>
      </c>
    </row>
    <row r="34" spans="1:200" x14ac:dyDescent="0.2">
      <c r="A34">
        <f>ROW(Source!A38)</f>
        <v>38</v>
      </c>
      <c r="B34">
        <v>86326987</v>
      </c>
      <c r="C34">
        <v>86327258</v>
      </c>
      <c r="D34">
        <v>52930022</v>
      </c>
      <c r="E34">
        <v>1</v>
      </c>
      <c r="F34">
        <v>1</v>
      </c>
      <c r="G34">
        <v>1</v>
      </c>
      <c r="H34">
        <v>3</v>
      </c>
      <c r="I34" t="s">
        <v>54</v>
      </c>
      <c r="J34" t="s">
        <v>56</v>
      </c>
      <c r="K34" t="s">
        <v>55</v>
      </c>
      <c r="L34">
        <v>1348</v>
      </c>
      <c r="N34">
        <v>1009</v>
      </c>
      <c r="O34" t="s">
        <v>33</v>
      </c>
      <c r="P34" t="s">
        <v>33</v>
      </c>
      <c r="Q34">
        <v>1000</v>
      </c>
      <c r="W34">
        <v>0</v>
      </c>
      <c r="X34">
        <v>1567311917</v>
      </c>
      <c r="Y34">
        <f>AT34</f>
        <v>1</v>
      </c>
      <c r="AA34">
        <v>5081.62</v>
      </c>
      <c r="AB34">
        <v>0</v>
      </c>
      <c r="AC34">
        <v>0</v>
      </c>
      <c r="AD34">
        <v>0</v>
      </c>
      <c r="AE34">
        <v>5081.62</v>
      </c>
      <c r="AF34">
        <v>0</v>
      </c>
      <c r="AG34">
        <v>0</v>
      </c>
      <c r="AH34">
        <v>0</v>
      </c>
      <c r="AI34">
        <v>1</v>
      </c>
      <c r="AJ34">
        <v>1</v>
      </c>
      <c r="AK34">
        <v>1</v>
      </c>
      <c r="AL34">
        <v>1</v>
      </c>
      <c r="AM34">
        <v>0</v>
      </c>
      <c r="AN34">
        <v>0</v>
      </c>
      <c r="AO34">
        <v>0</v>
      </c>
      <c r="AP34">
        <v>1</v>
      </c>
      <c r="AQ34">
        <v>0</v>
      </c>
      <c r="AR34">
        <v>0</v>
      </c>
      <c r="AS34" t="s">
        <v>6</v>
      </c>
      <c r="AT34">
        <v>1</v>
      </c>
      <c r="AU34" t="s">
        <v>6</v>
      </c>
      <c r="AV34">
        <v>0</v>
      </c>
      <c r="AW34">
        <v>1</v>
      </c>
      <c r="AX34">
        <v>-1</v>
      </c>
      <c r="AY34">
        <v>0</v>
      </c>
      <c r="AZ34">
        <v>0</v>
      </c>
      <c r="BA34" t="s">
        <v>6</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CV34">
        <v>0</v>
      </c>
      <c r="CW34">
        <v>0</v>
      </c>
      <c r="CX34">
        <f>ROUND(Y34*Source!I38,9)</f>
        <v>2.0665</v>
      </c>
      <c r="CY34">
        <f>AA34</f>
        <v>5081.62</v>
      </c>
      <c r="CZ34">
        <f>AE34</f>
        <v>5081.62</v>
      </c>
      <c r="DA34">
        <f>AI34</f>
        <v>1</v>
      </c>
      <c r="DB34">
        <f>ROUND(ROUND(AT34*CZ34,2),2)</f>
        <v>5081.62</v>
      </c>
      <c r="DC34">
        <f>ROUND(ROUND(AT34*AG34,2),2)</f>
        <v>0</v>
      </c>
      <c r="DD34" t="s">
        <v>6</v>
      </c>
      <c r="DE34" t="s">
        <v>6</v>
      </c>
      <c r="DF34">
        <f t="shared" si="5"/>
        <v>10502</v>
      </c>
      <c r="DG34">
        <f t="shared" si="4"/>
        <v>0</v>
      </c>
      <c r="DH34">
        <f>Source!I38*SmtRes!Y34</f>
        <v>2.0665</v>
      </c>
      <c r="DI34">
        <f>AA34</f>
        <v>5081.62</v>
      </c>
      <c r="DJ34">
        <f>DF34</f>
        <v>10502</v>
      </c>
      <c r="DK34">
        <f>Source!BC38</f>
        <v>1</v>
      </c>
      <c r="DL34" t="s">
        <v>6</v>
      </c>
      <c r="DM34">
        <v>0</v>
      </c>
      <c r="DN34" t="s">
        <v>6</v>
      </c>
      <c r="DO34">
        <v>0</v>
      </c>
      <c r="GP34">
        <v>1</v>
      </c>
      <c r="GQ34">
        <v>-1</v>
      </c>
      <c r="GR34">
        <v>-1</v>
      </c>
    </row>
    <row r="35" spans="1:200" x14ac:dyDescent="0.2">
      <c r="A35">
        <f>ROW(Source!A39)</f>
        <v>39</v>
      </c>
      <c r="B35">
        <v>86326988</v>
      </c>
      <c r="C35">
        <v>86327258</v>
      </c>
      <c r="D35">
        <v>5511010</v>
      </c>
      <c r="E35">
        <v>1</v>
      </c>
      <c r="F35">
        <v>1</v>
      </c>
      <c r="G35">
        <v>1</v>
      </c>
      <c r="H35">
        <v>1</v>
      </c>
      <c r="I35" t="s">
        <v>640</v>
      </c>
      <c r="J35" t="s">
        <v>6</v>
      </c>
      <c r="K35" t="s">
        <v>641</v>
      </c>
      <c r="L35">
        <v>1369</v>
      </c>
      <c r="N35">
        <v>1013</v>
      </c>
      <c r="O35" t="s">
        <v>625</v>
      </c>
      <c r="P35" t="s">
        <v>625</v>
      </c>
      <c r="Q35">
        <v>1</v>
      </c>
      <c r="W35">
        <v>0</v>
      </c>
      <c r="X35">
        <v>-1977858316</v>
      </c>
      <c r="Y35">
        <f>(AT35*1.05)</f>
        <v>62.860770000000009</v>
      </c>
      <c r="AA35">
        <v>0</v>
      </c>
      <c r="AB35">
        <v>0</v>
      </c>
      <c r="AC35">
        <v>0</v>
      </c>
      <c r="AD35">
        <v>302.29000000000002</v>
      </c>
      <c r="AE35">
        <v>0</v>
      </c>
      <c r="AF35">
        <v>0</v>
      </c>
      <c r="AG35">
        <v>0</v>
      </c>
      <c r="AH35">
        <v>11.92</v>
      </c>
      <c r="AI35">
        <v>1</v>
      </c>
      <c r="AJ35">
        <v>1</v>
      </c>
      <c r="AK35">
        <v>1</v>
      </c>
      <c r="AL35">
        <v>25.36</v>
      </c>
      <c r="AM35">
        <v>5</v>
      </c>
      <c r="AN35">
        <v>0</v>
      </c>
      <c r="AO35">
        <v>1</v>
      </c>
      <c r="AP35">
        <v>1</v>
      </c>
      <c r="AQ35">
        <v>0</v>
      </c>
      <c r="AR35">
        <v>0</v>
      </c>
      <c r="AS35" t="s">
        <v>6</v>
      </c>
      <c r="AT35">
        <v>59.867400000000004</v>
      </c>
      <c r="AU35" t="s">
        <v>25</v>
      </c>
      <c r="AV35">
        <v>1</v>
      </c>
      <c r="AW35">
        <v>2</v>
      </c>
      <c r="AX35">
        <v>86327265</v>
      </c>
      <c r="AY35">
        <v>1</v>
      </c>
      <c r="AZ35">
        <v>0</v>
      </c>
      <c r="BA35">
        <v>38</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CU35">
        <f>ROUND(AT35*Source!I39*AH35*AL35,0)</f>
        <v>37398</v>
      </c>
      <c r="CV35">
        <f>ROUND(Y35*Source!I39,9)</f>
        <v>129.90178120499999</v>
      </c>
      <c r="CW35">
        <v>0</v>
      </c>
      <c r="CX35">
        <f>ROUND(Y35*Source!I39,9)</f>
        <v>129.90178120499999</v>
      </c>
      <c r="CY35">
        <f>AD35</f>
        <v>302.29000000000002</v>
      </c>
      <c r="CZ35">
        <f>AH35</f>
        <v>11.92</v>
      </c>
      <c r="DA35">
        <f>AL35</f>
        <v>25.36</v>
      </c>
      <c r="DB35">
        <f>ROUND((ROUND(AT35*CZ35,2)*1.05),2)</f>
        <v>749.3</v>
      </c>
      <c r="DC35">
        <f>ROUND((ROUND(AT35*AG35,2)*1.05),2)</f>
        <v>0</v>
      </c>
      <c r="DD35" t="s">
        <v>6</v>
      </c>
      <c r="DE35" t="s">
        <v>6</v>
      </c>
      <c r="DF35">
        <f t="shared" si="5"/>
        <v>0</v>
      </c>
      <c r="DG35">
        <f t="shared" si="4"/>
        <v>0</v>
      </c>
      <c r="DH35">
        <f>Source!I39*SmtRes!Y35</f>
        <v>129.90178120500002</v>
      </c>
      <c r="DI35">
        <f>AD35</f>
        <v>302.29000000000002</v>
      </c>
      <c r="DJ35">
        <f>EtalonRes!AB38</f>
        <v>11.92</v>
      </c>
      <c r="DK35">
        <f>Source!BA39</f>
        <v>25.36</v>
      </c>
      <c r="DL35" t="s">
        <v>6</v>
      </c>
      <c r="DM35">
        <v>0</v>
      </c>
      <c r="DN35" t="s">
        <v>6</v>
      </c>
      <c r="DO35">
        <v>0</v>
      </c>
      <c r="GQ35">
        <v>-1</v>
      </c>
      <c r="GR35">
        <v>-1</v>
      </c>
    </row>
    <row r="36" spans="1:200" x14ac:dyDescent="0.2">
      <c r="A36">
        <f>ROW(Source!A39)</f>
        <v>39</v>
      </c>
      <c r="B36">
        <v>86326988</v>
      </c>
      <c r="C36">
        <v>86327258</v>
      </c>
      <c r="D36">
        <v>121548</v>
      </c>
      <c r="E36">
        <v>1</v>
      </c>
      <c r="F36">
        <v>1</v>
      </c>
      <c r="G36">
        <v>1</v>
      </c>
      <c r="H36">
        <v>1</v>
      </c>
      <c r="I36" t="s">
        <v>40</v>
      </c>
      <c r="J36" t="s">
        <v>6</v>
      </c>
      <c r="K36" t="s">
        <v>626</v>
      </c>
      <c r="L36">
        <v>608254</v>
      </c>
      <c r="N36">
        <v>1013</v>
      </c>
      <c r="O36" t="s">
        <v>627</v>
      </c>
      <c r="P36" t="s">
        <v>627</v>
      </c>
      <c r="Q36">
        <v>1</v>
      </c>
      <c r="W36">
        <v>0</v>
      </c>
      <c r="X36">
        <v>-185737400</v>
      </c>
      <c r="Y36">
        <f>(AT36*1.12)</f>
        <v>0.50400000000000011</v>
      </c>
      <c r="AA36">
        <v>0</v>
      </c>
      <c r="AB36">
        <v>0</v>
      </c>
      <c r="AC36">
        <v>0</v>
      </c>
      <c r="AD36">
        <v>0</v>
      </c>
      <c r="AE36">
        <v>0</v>
      </c>
      <c r="AF36">
        <v>0</v>
      </c>
      <c r="AG36">
        <v>0</v>
      </c>
      <c r="AH36">
        <v>0</v>
      </c>
      <c r="AI36">
        <v>1</v>
      </c>
      <c r="AJ36">
        <v>1</v>
      </c>
      <c r="AK36">
        <v>19.8</v>
      </c>
      <c r="AL36">
        <v>1</v>
      </c>
      <c r="AM36">
        <v>5</v>
      </c>
      <c r="AN36">
        <v>0</v>
      </c>
      <c r="AO36">
        <v>1</v>
      </c>
      <c r="AP36">
        <v>1</v>
      </c>
      <c r="AQ36">
        <v>0</v>
      </c>
      <c r="AR36">
        <v>0</v>
      </c>
      <c r="AS36" t="s">
        <v>6</v>
      </c>
      <c r="AT36">
        <v>0.45</v>
      </c>
      <c r="AU36" t="s">
        <v>24</v>
      </c>
      <c r="AV36">
        <v>2</v>
      </c>
      <c r="AW36">
        <v>2</v>
      </c>
      <c r="AX36">
        <v>86327266</v>
      </c>
      <c r="AY36">
        <v>1</v>
      </c>
      <c r="AZ36">
        <v>0</v>
      </c>
      <c r="BA36">
        <v>39</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CV36">
        <v>0</v>
      </c>
      <c r="CW36">
        <v>0</v>
      </c>
      <c r="CX36">
        <f>ROUND(Y36*Source!I39,9)</f>
        <v>1.0415160000000001</v>
      </c>
      <c r="CY36">
        <f>AD36</f>
        <v>0</v>
      </c>
      <c r="CZ36">
        <f>AH36</f>
        <v>0</v>
      </c>
      <c r="DA36">
        <f>AL36</f>
        <v>1</v>
      </c>
      <c r="DB36">
        <f>ROUND((ROUND(AT36*CZ36,2)*1.12),2)</f>
        <v>0</v>
      </c>
      <c r="DC36">
        <f>ROUND((ROUND(AT36*AG36,2)*1.12),2)</f>
        <v>0</v>
      </c>
      <c r="DD36" t="s">
        <v>6</v>
      </c>
      <c r="DE36" t="s">
        <v>6</v>
      </c>
      <c r="DF36">
        <f t="shared" si="5"/>
        <v>0</v>
      </c>
      <c r="DG36">
        <f t="shared" si="4"/>
        <v>0</v>
      </c>
      <c r="DH36">
        <f>Source!I39*SmtRes!Y36</f>
        <v>1.0415160000000003</v>
      </c>
      <c r="DI36">
        <f>AD36</f>
        <v>0</v>
      </c>
      <c r="DJ36">
        <f>EtalonRes!AB39</f>
        <v>0</v>
      </c>
      <c r="DK36">
        <f>Source!BA39</f>
        <v>25.36</v>
      </c>
      <c r="DL36" t="s">
        <v>6</v>
      </c>
      <c r="DM36">
        <v>0</v>
      </c>
      <c r="DN36" t="s">
        <v>6</v>
      </c>
      <c r="DO36">
        <v>0</v>
      </c>
      <c r="GQ36">
        <v>-1</v>
      </c>
      <c r="GR36">
        <v>-1</v>
      </c>
    </row>
    <row r="37" spans="1:200" x14ac:dyDescent="0.2">
      <c r="A37">
        <f>ROW(Source!A39)</f>
        <v>39</v>
      </c>
      <c r="B37">
        <v>86326988</v>
      </c>
      <c r="C37">
        <v>86327258</v>
      </c>
      <c r="D37">
        <v>35950917</v>
      </c>
      <c r="E37">
        <v>1</v>
      </c>
      <c r="F37">
        <v>1</v>
      </c>
      <c r="G37">
        <v>1</v>
      </c>
      <c r="H37">
        <v>2</v>
      </c>
      <c r="I37" t="s">
        <v>628</v>
      </c>
      <c r="J37" t="s">
        <v>642</v>
      </c>
      <c r="K37" t="s">
        <v>643</v>
      </c>
      <c r="L37">
        <v>1368</v>
      </c>
      <c r="N37">
        <v>1011</v>
      </c>
      <c r="O37" t="s">
        <v>137</v>
      </c>
      <c r="P37" t="s">
        <v>137</v>
      </c>
      <c r="Q37">
        <v>1</v>
      </c>
      <c r="W37">
        <v>0</v>
      </c>
      <c r="X37">
        <v>1919308296</v>
      </c>
      <c r="Y37">
        <f>(AT37*1.12)</f>
        <v>0.4032</v>
      </c>
      <c r="AA37">
        <v>0</v>
      </c>
      <c r="AB37">
        <v>906.62</v>
      </c>
      <c r="AC37">
        <v>221.36</v>
      </c>
      <c r="AD37">
        <v>0</v>
      </c>
      <c r="AE37">
        <v>0</v>
      </c>
      <c r="AF37">
        <v>115.64</v>
      </c>
      <c r="AG37">
        <v>11.18</v>
      </c>
      <c r="AH37">
        <v>0</v>
      </c>
      <c r="AI37">
        <v>1</v>
      </c>
      <c r="AJ37">
        <v>7.84</v>
      </c>
      <c r="AK37">
        <v>19.8</v>
      </c>
      <c r="AL37">
        <v>1</v>
      </c>
      <c r="AM37">
        <v>5</v>
      </c>
      <c r="AN37">
        <v>0</v>
      </c>
      <c r="AO37">
        <v>1</v>
      </c>
      <c r="AP37">
        <v>1</v>
      </c>
      <c r="AQ37">
        <v>0</v>
      </c>
      <c r="AR37">
        <v>0</v>
      </c>
      <c r="AS37" t="s">
        <v>6</v>
      </c>
      <c r="AT37">
        <v>0.36</v>
      </c>
      <c r="AU37" t="s">
        <v>24</v>
      </c>
      <c r="AV37">
        <v>0</v>
      </c>
      <c r="AW37">
        <v>2</v>
      </c>
      <c r="AX37">
        <v>86327267</v>
      </c>
      <c r="AY37">
        <v>1</v>
      </c>
      <c r="AZ37">
        <v>0</v>
      </c>
      <c r="BA37">
        <v>40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CV37">
        <v>0</v>
      </c>
      <c r="CW37">
        <f>ROUND(Y37*Source!I39*DO37,9)</f>
        <v>0</v>
      </c>
      <c r="CX37">
        <f>ROUND(Y37*Source!I39,9)</f>
        <v>0.83321279999999998</v>
      </c>
      <c r="CY37">
        <f>AB37</f>
        <v>906.62</v>
      </c>
      <c r="CZ37">
        <f>AF37</f>
        <v>115.64</v>
      </c>
      <c r="DA37">
        <f>AJ37</f>
        <v>7.84</v>
      </c>
      <c r="DB37">
        <f>ROUND((ROUND(AT37*CZ37,2)*1.12),2)</f>
        <v>46.63</v>
      </c>
      <c r="DC37">
        <f>ROUND((ROUND(AT37*AG37,2)*1.12),2)</f>
        <v>4.5</v>
      </c>
      <c r="DD37" t="s">
        <v>6</v>
      </c>
      <c r="DE37" t="s">
        <v>6</v>
      </c>
      <c r="DF37">
        <f t="shared" si="5"/>
        <v>0</v>
      </c>
      <c r="DG37">
        <f>ROUND(ROUND(AF37*AJ37,0)*CX37,0)</f>
        <v>756</v>
      </c>
      <c r="DH37">
        <f>Source!I39*SmtRes!Y37</f>
        <v>0.83321279999999998</v>
      </c>
      <c r="DI37">
        <f>AB37</f>
        <v>906.62</v>
      </c>
      <c r="DJ37">
        <f>EtalonRes!Z40</f>
        <v>115.64</v>
      </c>
      <c r="DK37">
        <f>Source!BB39</f>
        <v>7.84</v>
      </c>
      <c r="DL37" t="s">
        <v>6</v>
      </c>
      <c r="DM37">
        <v>0</v>
      </c>
      <c r="DN37" t="s">
        <v>6</v>
      </c>
      <c r="DO37">
        <v>0</v>
      </c>
      <c r="GQ37">
        <v>-1</v>
      </c>
      <c r="GR37">
        <v>-1</v>
      </c>
    </row>
    <row r="38" spans="1:200" x14ac:dyDescent="0.2">
      <c r="A38">
        <f>ROW(Source!A39)</f>
        <v>39</v>
      </c>
      <c r="B38">
        <v>86326988</v>
      </c>
      <c r="C38">
        <v>86327258</v>
      </c>
      <c r="D38">
        <v>35950918</v>
      </c>
      <c r="E38">
        <v>1</v>
      </c>
      <c r="F38">
        <v>1</v>
      </c>
      <c r="G38">
        <v>1</v>
      </c>
      <c r="H38">
        <v>2</v>
      </c>
      <c r="I38" t="s">
        <v>631</v>
      </c>
      <c r="J38" t="s">
        <v>644</v>
      </c>
      <c r="K38" t="s">
        <v>645</v>
      </c>
      <c r="L38">
        <v>1368</v>
      </c>
      <c r="N38">
        <v>1011</v>
      </c>
      <c r="O38" t="s">
        <v>137</v>
      </c>
      <c r="P38" t="s">
        <v>137</v>
      </c>
      <c r="Q38">
        <v>1</v>
      </c>
      <c r="W38">
        <v>0</v>
      </c>
      <c r="X38">
        <v>-629854247</v>
      </c>
      <c r="Y38">
        <f>(AT38*1.12)</f>
        <v>0.1008</v>
      </c>
      <c r="AA38">
        <v>0</v>
      </c>
      <c r="AB38">
        <v>883.33</v>
      </c>
      <c r="AC38">
        <v>257.8</v>
      </c>
      <c r="AD38">
        <v>0</v>
      </c>
      <c r="AE38">
        <v>0</v>
      </c>
      <c r="AF38">
        <v>112.67</v>
      </c>
      <c r="AG38">
        <v>13.02</v>
      </c>
      <c r="AH38">
        <v>0</v>
      </c>
      <c r="AI38">
        <v>1</v>
      </c>
      <c r="AJ38">
        <v>7.84</v>
      </c>
      <c r="AK38">
        <v>19.8</v>
      </c>
      <c r="AL38">
        <v>1</v>
      </c>
      <c r="AM38">
        <v>5</v>
      </c>
      <c r="AN38">
        <v>0</v>
      </c>
      <c r="AO38">
        <v>1</v>
      </c>
      <c r="AP38">
        <v>1</v>
      </c>
      <c r="AQ38">
        <v>0</v>
      </c>
      <c r="AR38">
        <v>0</v>
      </c>
      <c r="AS38" t="s">
        <v>6</v>
      </c>
      <c r="AT38">
        <v>0.09</v>
      </c>
      <c r="AU38" t="s">
        <v>24</v>
      </c>
      <c r="AV38">
        <v>0</v>
      </c>
      <c r="AW38">
        <v>2</v>
      </c>
      <c r="AX38">
        <v>86327268</v>
      </c>
      <c r="AY38">
        <v>1</v>
      </c>
      <c r="AZ38">
        <v>0</v>
      </c>
      <c r="BA38">
        <v>41</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CV38">
        <v>0</v>
      </c>
      <c r="CW38">
        <f>ROUND(Y38*Source!I39*DO38,9)</f>
        <v>0</v>
      </c>
      <c r="CX38">
        <f>ROUND(Y38*Source!I39,9)</f>
        <v>0.20830319999999999</v>
      </c>
      <c r="CY38">
        <f>AB38</f>
        <v>883.33</v>
      </c>
      <c r="CZ38">
        <f>AF38</f>
        <v>112.67</v>
      </c>
      <c r="DA38">
        <f>AJ38</f>
        <v>7.84</v>
      </c>
      <c r="DB38">
        <f>ROUND((ROUND(AT38*CZ38,2)*1.12),2)</f>
        <v>11.36</v>
      </c>
      <c r="DC38">
        <f>ROUND((ROUND(AT38*AG38,2)*1.12),2)</f>
        <v>1.31</v>
      </c>
      <c r="DD38" t="s">
        <v>6</v>
      </c>
      <c r="DE38" t="s">
        <v>6</v>
      </c>
      <c r="DF38">
        <f t="shared" si="5"/>
        <v>0</v>
      </c>
      <c r="DG38">
        <f>ROUND(ROUND(AF38*AJ38,0)*CX38,0)</f>
        <v>184</v>
      </c>
      <c r="DH38">
        <f>Source!I39*SmtRes!Y38</f>
        <v>0.20830319999999999</v>
      </c>
      <c r="DI38">
        <f>AB38</f>
        <v>883.33</v>
      </c>
      <c r="DJ38">
        <f>EtalonRes!Z41</f>
        <v>112.67</v>
      </c>
      <c r="DK38">
        <f>Source!BB39</f>
        <v>7.84</v>
      </c>
      <c r="DL38" t="s">
        <v>6</v>
      </c>
      <c r="DM38">
        <v>0</v>
      </c>
      <c r="DN38" t="s">
        <v>6</v>
      </c>
      <c r="DO38">
        <v>0</v>
      </c>
      <c r="GQ38">
        <v>-1</v>
      </c>
      <c r="GR38">
        <v>-1</v>
      </c>
    </row>
    <row r="39" spans="1:200" x14ac:dyDescent="0.2">
      <c r="A39">
        <f>ROW(Source!A39)</f>
        <v>39</v>
      </c>
      <c r="B39">
        <v>86326988</v>
      </c>
      <c r="C39">
        <v>86327258</v>
      </c>
      <c r="D39">
        <v>35950919</v>
      </c>
      <c r="E39">
        <v>1</v>
      </c>
      <c r="F39">
        <v>1</v>
      </c>
      <c r="G39">
        <v>1</v>
      </c>
      <c r="H39">
        <v>2</v>
      </c>
      <c r="I39" t="s">
        <v>637</v>
      </c>
      <c r="J39" t="s">
        <v>646</v>
      </c>
      <c r="K39" t="s">
        <v>639</v>
      </c>
      <c r="L39">
        <v>1368</v>
      </c>
      <c r="N39">
        <v>1011</v>
      </c>
      <c r="O39" t="s">
        <v>137</v>
      </c>
      <c r="P39" t="s">
        <v>137</v>
      </c>
      <c r="Q39">
        <v>1</v>
      </c>
      <c r="W39">
        <v>0</v>
      </c>
      <c r="X39">
        <v>-1317427794</v>
      </c>
      <c r="Y39">
        <f>(AT39*1.12)</f>
        <v>0.14560000000000001</v>
      </c>
      <c r="AA39">
        <v>0</v>
      </c>
      <c r="AB39">
        <v>732.02</v>
      </c>
      <c r="AC39">
        <v>231.46</v>
      </c>
      <c r="AD39">
        <v>0</v>
      </c>
      <c r="AE39">
        <v>0</v>
      </c>
      <c r="AF39">
        <v>93.37</v>
      </c>
      <c r="AG39">
        <v>11.69</v>
      </c>
      <c r="AH39">
        <v>0</v>
      </c>
      <c r="AI39">
        <v>1</v>
      </c>
      <c r="AJ39">
        <v>7.84</v>
      </c>
      <c r="AK39">
        <v>19.8</v>
      </c>
      <c r="AL39">
        <v>1</v>
      </c>
      <c r="AM39">
        <v>5</v>
      </c>
      <c r="AN39">
        <v>0</v>
      </c>
      <c r="AO39">
        <v>1</v>
      </c>
      <c r="AP39">
        <v>1</v>
      </c>
      <c r="AQ39">
        <v>0</v>
      </c>
      <c r="AR39">
        <v>0</v>
      </c>
      <c r="AS39" t="s">
        <v>6</v>
      </c>
      <c r="AT39">
        <v>0.13</v>
      </c>
      <c r="AU39" t="s">
        <v>24</v>
      </c>
      <c r="AV39">
        <v>0</v>
      </c>
      <c r="AW39">
        <v>2</v>
      </c>
      <c r="AX39">
        <v>86327269</v>
      </c>
      <c r="AY39">
        <v>1</v>
      </c>
      <c r="AZ39">
        <v>0</v>
      </c>
      <c r="BA39">
        <v>42</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CV39">
        <v>0</v>
      </c>
      <c r="CW39">
        <f>ROUND(Y39*Source!I39*DO39,9)</f>
        <v>0</v>
      </c>
      <c r="CX39">
        <f>ROUND(Y39*Source!I39,9)</f>
        <v>0.30088239999999999</v>
      </c>
      <c r="CY39">
        <f>AB39</f>
        <v>732.02</v>
      </c>
      <c r="CZ39">
        <f>AF39</f>
        <v>93.37</v>
      </c>
      <c r="DA39">
        <f>AJ39</f>
        <v>7.84</v>
      </c>
      <c r="DB39">
        <f>ROUND((ROUND(AT39*CZ39,2)*1.12),2)</f>
        <v>13.6</v>
      </c>
      <c r="DC39">
        <f>ROUND((ROUND(AT39*AG39,2)*1.12),2)</f>
        <v>1.7</v>
      </c>
      <c r="DD39" t="s">
        <v>6</v>
      </c>
      <c r="DE39" t="s">
        <v>6</v>
      </c>
      <c r="DF39">
        <f t="shared" si="5"/>
        <v>0</v>
      </c>
      <c r="DG39">
        <f>ROUND(ROUND(AF39*AJ39,0)*CX39,0)</f>
        <v>220</v>
      </c>
      <c r="DH39">
        <f>Source!I39*SmtRes!Y39</f>
        <v>0.30088239999999999</v>
      </c>
      <c r="DI39">
        <f>AB39</f>
        <v>732.02</v>
      </c>
      <c r="DJ39">
        <f>EtalonRes!Z42</f>
        <v>93.37</v>
      </c>
      <c r="DK39">
        <f>Source!BB39</f>
        <v>7.84</v>
      </c>
      <c r="DL39" t="s">
        <v>6</v>
      </c>
      <c r="DM39">
        <v>0</v>
      </c>
      <c r="DN39" t="s">
        <v>6</v>
      </c>
      <c r="DO39">
        <v>0</v>
      </c>
      <c r="GQ39">
        <v>-1</v>
      </c>
      <c r="GR39">
        <v>-1</v>
      </c>
    </row>
    <row r="40" spans="1:200" x14ac:dyDescent="0.2">
      <c r="A40">
        <f>ROW(Source!A39)</f>
        <v>39</v>
      </c>
      <c r="B40">
        <v>86326988</v>
      </c>
      <c r="C40">
        <v>86327258</v>
      </c>
      <c r="D40">
        <v>52930022</v>
      </c>
      <c r="E40">
        <v>1</v>
      </c>
      <c r="F40">
        <v>1</v>
      </c>
      <c r="G40">
        <v>1</v>
      </c>
      <c r="H40">
        <v>3</v>
      </c>
      <c r="I40" t="s">
        <v>54</v>
      </c>
      <c r="J40" t="s">
        <v>56</v>
      </c>
      <c r="K40" t="s">
        <v>55</v>
      </c>
      <c r="L40">
        <v>1348</v>
      </c>
      <c r="N40">
        <v>1009</v>
      </c>
      <c r="O40" t="s">
        <v>33</v>
      </c>
      <c r="P40" t="s">
        <v>33</v>
      </c>
      <c r="Q40">
        <v>1000</v>
      </c>
      <c r="W40">
        <v>0</v>
      </c>
      <c r="X40">
        <v>1567311917</v>
      </c>
      <c r="Y40">
        <f>AT40</f>
        <v>1</v>
      </c>
      <c r="AA40">
        <v>56777.82</v>
      </c>
      <c r="AB40">
        <v>0</v>
      </c>
      <c r="AC40">
        <v>0</v>
      </c>
      <c r="AD40">
        <v>0</v>
      </c>
      <c r="AE40">
        <v>7869.28</v>
      </c>
      <c r="AF40">
        <v>0</v>
      </c>
      <c r="AG40">
        <v>0</v>
      </c>
      <c r="AH40">
        <v>0</v>
      </c>
      <c r="AI40">
        <v>7.56</v>
      </c>
      <c r="AJ40">
        <v>1</v>
      </c>
      <c r="AK40">
        <v>1</v>
      </c>
      <c r="AL40">
        <v>1</v>
      </c>
      <c r="AM40">
        <v>0</v>
      </c>
      <c r="AN40">
        <v>0</v>
      </c>
      <c r="AO40">
        <v>0</v>
      </c>
      <c r="AP40">
        <v>1</v>
      </c>
      <c r="AQ40">
        <v>0</v>
      </c>
      <c r="AR40">
        <v>0</v>
      </c>
      <c r="AS40" t="s">
        <v>6</v>
      </c>
      <c r="AT40">
        <v>1</v>
      </c>
      <c r="AU40" t="s">
        <v>6</v>
      </c>
      <c r="AV40">
        <v>0</v>
      </c>
      <c r="AW40">
        <v>1</v>
      </c>
      <c r="AX40">
        <v>-1</v>
      </c>
      <c r="AY40">
        <v>0</v>
      </c>
      <c r="AZ40">
        <v>0</v>
      </c>
      <c r="BA40" t="s">
        <v>6</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CV40">
        <v>0</v>
      </c>
      <c r="CW40">
        <v>0</v>
      </c>
      <c r="CX40">
        <f>ROUND(Y40*Source!I39,9)</f>
        <v>2.0665</v>
      </c>
      <c r="CY40">
        <f>AA40</f>
        <v>56777.82</v>
      </c>
      <c r="CZ40">
        <f>AE40</f>
        <v>7869.28</v>
      </c>
      <c r="DA40">
        <f>AI40</f>
        <v>7.56</v>
      </c>
      <c r="DB40">
        <f>ROUND(ROUND(AT40*CZ40,2),2)</f>
        <v>7869.28</v>
      </c>
      <c r="DC40">
        <f>ROUND(ROUND(AT40*AG40,2),2)</f>
        <v>0</v>
      </c>
      <c r="DD40" t="s">
        <v>6</v>
      </c>
      <c r="DE40" t="s">
        <v>6</v>
      </c>
      <c r="DF40">
        <f>ROUND(ROUND(AE40*AI40,0)*CX40,0)</f>
        <v>122940</v>
      </c>
      <c r="DG40">
        <f t="shared" ref="DG40:DG55" si="6">ROUND(ROUND(AF40,0)*CX40,0)</f>
        <v>0</v>
      </c>
      <c r="DH40">
        <f>Source!I39*SmtRes!Y40</f>
        <v>2.0665</v>
      </c>
      <c r="DI40">
        <f>AA40</f>
        <v>56777.82</v>
      </c>
      <c r="DJ40">
        <f>DF40</f>
        <v>122940</v>
      </c>
      <c r="DK40">
        <f>Source!BC39</f>
        <v>7.56</v>
      </c>
      <c r="DL40" t="s">
        <v>6</v>
      </c>
      <c r="DM40">
        <v>0</v>
      </c>
      <c r="DN40" t="s">
        <v>6</v>
      </c>
      <c r="DO40">
        <v>0</v>
      </c>
      <c r="GP40">
        <v>1</v>
      </c>
      <c r="GQ40">
        <v>-1</v>
      </c>
      <c r="GR40">
        <v>-1</v>
      </c>
    </row>
    <row r="41" spans="1:200" x14ac:dyDescent="0.2">
      <c r="A41">
        <f>ROW(Source!A42)</f>
        <v>42</v>
      </c>
      <c r="B41">
        <v>86326987</v>
      </c>
      <c r="C41">
        <v>86327273</v>
      </c>
      <c r="D41">
        <v>27497778</v>
      </c>
      <c r="E41">
        <v>1</v>
      </c>
      <c r="F41">
        <v>1</v>
      </c>
      <c r="G41">
        <v>1</v>
      </c>
      <c r="H41">
        <v>1</v>
      </c>
      <c r="I41" t="s">
        <v>647</v>
      </c>
      <c r="J41" t="s">
        <v>6</v>
      </c>
      <c r="K41" t="s">
        <v>648</v>
      </c>
      <c r="L41">
        <v>1369</v>
      </c>
      <c r="N41">
        <v>1013</v>
      </c>
      <c r="O41" t="s">
        <v>625</v>
      </c>
      <c r="P41" t="s">
        <v>625</v>
      </c>
      <c r="Q41">
        <v>1</v>
      </c>
      <c r="W41">
        <v>0</v>
      </c>
      <c r="X41">
        <v>-160844189</v>
      </c>
      <c r="Y41">
        <f>(AT41*1.05)</f>
        <v>4.5570000000000004</v>
      </c>
      <c r="AA41">
        <v>0</v>
      </c>
      <c r="AB41">
        <v>0</v>
      </c>
      <c r="AC41">
        <v>0</v>
      </c>
      <c r="AD41">
        <v>8.7100000000000009</v>
      </c>
      <c r="AE41">
        <v>0</v>
      </c>
      <c r="AF41">
        <v>0</v>
      </c>
      <c r="AG41">
        <v>0</v>
      </c>
      <c r="AH41">
        <v>8.7100000000000009</v>
      </c>
      <c r="AI41">
        <v>1</v>
      </c>
      <c r="AJ41">
        <v>1</v>
      </c>
      <c r="AK41">
        <v>1</v>
      </c>
      <c r="AL41">
        <v>1</v>
      </c>
      <c r="AM41">
        <v>0</v>
      </c>
      <c r="AN41">
        <v>0</v>
      </c>
      <c r="AO41">
        <v>1</v>
      </c>
      <c r="AP41">
        <v>1</v>
      </c>
      <c r="AQ41">
        <v>0</v>
      </c>
      <c r="AR41">
        <v>0</v>
      </c>
      <c r="AS41" t="s">
        <v>6</v>
      </c>
      <c r="AT41">
        <v>4.34</v>
      </c>
      <c r="AU41" t="s">
        <v>25</v>
      </c>
      <c r="AV41">
        <v>1</v>
      </c>
      <c r="AW41">
        <v>2</v>
      </c>
      <c r="AX41">
        <v>86327287</v>
      </c>
      <c r="AY41">
        <v>1</v>
      </c>
      <c r="AZ41">
        <v>0</v>
      </c>
      <c r="BA41">
        <v>45</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CU41">
        <f>ROUND(AT41*Source!I42*AH41*AL41,0)</f>
        <v>86</v>
      </c>
      <c r="CV41">
        <f>ROUND(Y41*Source!I42,9)</f>
        <v>10.38996</v>
      </c>
      <c r="CW41">
        <v>0</v>
      </c>
      <c r="CX41">
        <f>ROUND(Y41*Source!I42,9)</f>
        <v>10.38996</v>
      </c>
      <c r="CY41">
        <f>AD41</f>
        <v>8.7100000000000009</v>
      </c>
      <c r="CZ41">
        <f>AH41</f>
        <v>8.7100000000000009</v>
      </c>
      <c r="DA41">
        <f>AL41</f>
        <v>1</v>
      </c>
      <c r="DB41">
        <f>ROUND((ROUND(AT41*CZ41,2)*1.05),2)</f>
        <v>39.69</v>
      </c>
      <c r="DC41">
        <f>ROUND((ROUND(AT41*AG41,2)*1.05),2)</f>
        <v>0</v>
      </c>
      <c r="DD41" t="s">
        <v>6</v>
      </c>
      <c r="DE41" t="s">
        <v>6</v>
      </c>
      <c r="DF41">
        <f t="shared" ref="DF41:DF57" si="7">ROUND(ROUND(AE41,0)*CX41,0)</f>
        <v>0</v>
      </c>
      <c r="DG41">
        <f t="shared" si="6"/>
        <v>0</v>
      </c>
      <c r="DH41">
        <f>Source!I42*SmtRes!Y41</f>
        <v>10.38996</v>
      </c>
      <c r="DI41">
        <f>AD41</f>
        <v>8.7100000000000009</v>
      </c>
      <c r="DJ41">
        <f>EtalonRes!AB45</f>
        <v>8.7100000000000009</v>
      </c>
      <c r="DK41">
        <f>Source!BA42</f>
        <v>1</v>
      </c>
      <c r="DL41" t="s">
        <v>6</v>
      </c>
      <c r="DM41">
        <v>0</v>
      </c>
      <c r="DN41" t="s">
        <v>6</v>
      </c>
      <c r="DO41">
        <v>0</v>
      </c>
      <c r="GQ41">
        <v>-1</v>
      </c>
      <c r="GR41">
        <v>-1</v>
      </c>
    </row>
    <row r="42" spans="1:200" x14ac:dyDescent="0.2">
      <c r="A42">
        <f>ROW(Source!A42)</f>
        <v>42</v>
      </c>
      <c r="B42">
        <v>86326987</v>
      </c>
      <c r="C42">
        <v>86327273</v>
      </c>
      <c r="D42">
        <v>121548</v>
      </c>
      <c r="E42">
        <v>1</v>
      </c>
      <c r="F42">
        <v>1</v>
      </c>
      <c r="G42">
        <v>1</v>
      </c>
      <c r="H42">
        <v>1</v>
      </c>
      <c r="I42" t="s">
        <v>40</v>
      </c>
      <c r="J42" t="s">
        <v>6</v>
      </c>
      <c r="K42" t="s">
        <v>626</v>
      </c>
      <c r="L42">
        <v>608254</v>
      </c>
      <c r="N42">
        <v>1013</v>
      </c>
      <c r="O42" t="s">
        <v>627</v>
      </c>
      <c r="P42" t="s">
        <v>627</v>
      </c>
      <c r="Q42">
        <v>1</v>
      </c>
      <c r="W42">
        <v>0</v>
      </c>
      <c r="X42">
        <v>-185737400</v>
      </c>
      <c r="Y42">
        <f>(AT42*1.12)</f>
        <v>1.9152000000000002</v>
      </c>
      <c r="AA42">
        <v>0</v>
      </c>
      <c r="AB42">
        <v>0</v>
      </c>
      <c r="AC42">
        <v>0</v>
      </c>
      <c r="AD42">
        <v>0</v>
      </c>
      <c r="AE42">
        <v>0</v>
      </c>
      <c r="AF42">
        <v>0</v>
      </c>
      <c r="AG42">
        <v>0</v>
      </c>
      <c r="AH42">
        <v>0</v>
      </c>
      <c r="AI42">
        <v>1</v>
      </c>
      <c r="AJ42">
        <v>1</v>
      </c>
      <c r="AK42">
        <v>1</v>
      </c>
      <c r="AL42">
        <v>1</v>
      </c>
      <c r="AM42">
        <v>0</v>
      </c>
      <c r="AN42">
        <v>0</v>
      </c>
      <c r="AO42">
        <v>1</v>
      </c>
      <c r="AP42">
        <v>1</v>
      </c>
      <c r="AQ42">
        <v>0</v>
      </c>
      <c r="AR42">
        <v>0</v>
      </c>
      <c r="AS42" t="s">
        <v>6</v>
      </c>
      <c r="AT42">
        <v>1.71</v>
      </c>
      <c r="AU42" t="s">
        <v>24</v>
      </c>
      <c r="AV42">
        <v>2</v>
      </c>
      <c r="AW42">
        <v>2</v>
      </c>
      <c r="AX42">
        <v>86327288</v>
      </c>
      <c r="AY42">
        <v>1</v>
      </c>
      <c r="AZ42">
        <v>0</v>
      </c>
      <c r="BA42">
        <v>46</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CV42">
        <v>0</v>
      </c>
      <c r="CW42">
        <v>0</v>
      </c>
      <c r="CX42">
        <f>ROUND(Y42*Source!I42,9)</f>
        <v>4.3666559999999999</v>
      </c>
      <c r="CY42">
        <f>AD42</f>
        <v>0</v>
      </c>
      <c r="CZ42">
        <f>AH42</f>
        <v>0</v>
      </c>
      <c r="DA42">
        <f>AL42</f>
        <v>1</v>
      </c>
      <c r="DB42">
        <f>ROUND((ROUND(AT42*CZ42,2)*1.12),2)</f>
        <v>0</v>
      </c>
      <c r="DC42">
        <f>ROUND((ROUND(AT42*AG42,2)*1.12),2)</f>
        <v>0</v>
      </c>
      <c r="DD42" t="s">
        <v>6</v>
      </c>
      <c r="DE42" t="s">
        <v>6</v>
      </c>
      <c r="DF42">
        <f t="shared" si="7"/>
        <v>0</v>
      </c>
      <c r="DG42">
        <f t="shared" si="6"/>
        <v>0</v>
      </c>
      <c r="DH42">
        <f>Source!I42*SmtRes!Y42</f>
        <v>4.3666559999999999</v>
      </c>
      <c r="DI42">
        <f>AD42</f>
        <v>0</v>
      </c>
      <c r="DJ42">
        <f>EtalonRes!AB46</f>
        <v>0</v>
      </c>
      <c r="DK42">
        <f>Source!BA42</f>
        <v>1</v>
      </c>
      <c r="DL42" t="s">
        <v>6</v>
      </c>
      <c r="DM42">
        <v>0</v>
      </c>
      <c r="DN42" t="s">
        <v>6</v>
      </c>
      <c r="DO42">
        <v>0</v>
      </c>
      <c r="GQ42">
        <v>-1</v>
      </c>
      <c r="GR42">
        <v>-1</v>
      </c>
    </row>
    <row r="43" spans="1:200" x14ac:dyDescent="0.2">
      <c r="A43">
        <f>ROW(Source!A42)</f>
        <v>42</v>
      </c>
      <c r="B43">
        <v>86326987</v>
      </c>
      <c r="C43">
        <v>86327273</v>
      </c>
      <c r="D43">
        <v>27439419</v>
      </c>
      <c r="E43">
        <v>1</v>
      </c>
      <c r="F43">
        <v>1</v>
      </c>
      <c r="G43">
        <v>1</v>
      </c>
      <c r="H43">
        <v>2</v>
      </c>
      <c r="I43" t="s">
        <v>628</v>
      </c>
      <c r="J43" t="s">
        <v>629</v>
      </c>
      <c r="K43" t="s">
        <v>630</v>
      </c>
      <c r="L43">
        <v>1368</v>
      </c>
      <c r="N43">
        <v>1011</v>
      </c>
      <c r="O43" t="s">
        <v>137</v>
      </c>
      <c r="P43" t="s">
        <v>137</v>
      </c>
      <c r="Q43">
        <v>1</v>
      </c>
      <c r="W43">
        <v>0</v>
      </c>
      <c r="X43">
        <v>1804162481</v>
      </c>
      <c r="Y43">
        <f>(AT43*1.12)</f>
        <v>1.9152000000000002</v>
      </c>
      <c r="AA43">
        <v>0</v>
      </c>
      <c r="AB43">
        <v>115.64</v>
      </c>
      <c r="AC43">
        <v>13.61</v>
      </c>
      <c r="AD43">
        <v>0</v>
      </c>
      <c r="AE43">
        <v>0</v>
      </c>
      <c r="AF43">
        <v>115.64</v>
      </c>
      <c r="AG43">
        <v>13.61</v>
      </c>
      <c r="AH43">
        <v>0</v>
      </c>
      <c r="AI43">
        <v>1</v>
      </c>
      <c r="AJ43">
        <v>1</v>
      </c>
      <c r="AK43">
        <v>1</v>
      </c>
      <c r="AL43">
        <v>1</v>
      </c>
      <c r="AM43">
        <v>0</v>
      </c>
      <c r="AN43">
        <v>0</v>
      </c>
      <c r="AO43">
        <v>1</v>
      </c>
      <c r="AP43">
        <v>1</v>
      </c>
      <c r="AQ43">
        <v>0</v>
      </c>
      <c r="AR43">
        <v>0</v>
      </c>
      <c r="AS43" t="s">
        <v>6</v>
      </c>
      <c r="AT43">
        <v>1.71</v>
      </c>
      <c r="AU43" t="s">
        <v>24</v>
      </c>
      <c r="AV43">
        <v>0</v>
      </c>
      <c r="AW43">
        <v>1</v>
      </c>
      <c r="AX43">
        <v>-1</v>
      </c>
      <c r="AY43">
        <v>0</v>
      </c>
      <c r="AZ43">
        <v>0</v>
      </c>
      <c r="BA43" t="s">
        <v>6</v>
      </c>
      <c r="BB43">
        <v>5</v>
      </c>
      <c r="BC43">
        <v>0</v>
      </c>
      <c r="BD43">
        <v>221.47372800000002</v>
      </c>
      <c r="BE43">
        <v>26.065872000000002</v>
      </c>
      <c r="BF43">
        <v>0</v>
      </c>
      <c r="BG43">
        <v>0</v>
      </c>
      <c r="BH43">
        <v>0</v>
      </c>
      <c r="BI43">
        <v>1</v>
      </c>
      <c r="BJ43">
        <v>0</v>
      </c>
      <c r="BK43">
        <v>0</v>
      </c>
      <c r="BL43">
        <v>0</v>
      </c>
      <c r="BM43">
        <v>0</v>
      </c>
      <c r="BN43">
        <v>0</v>
      </c>
      <c r="BO43">
        <v>0</v>
      </c>
      <c r="BP43">
        <v>0</v>
      </c>
      <c r="BQ43">
        <v>0</v>
      </c>
      <c r="BR43">
        <v>0</v>
      </c>
      <c r="BS43">
        <v>0</v>
      </c>
      <c r="BT43">
        <v>0</v>
      </c>
      <c r="BU43">
        <v>0</v>
      </c>
      <c r="BV43">
        <v>0</v>
      </c>
      <c r="BW43">
        <v>0</v>
      </c>
      <c r="CV43">
        <v>0</v>
      </c>
      <c r="CW43">
        <f>ROUND(Y43*Source!I42*DO43,9)</f>
        <v>0</v>
      </c>
      <c r="CX43">
        <f>ROUND(Y43*Source!I42,9)</f>
        <v>4.3666559999999999</v>
      </c>
      <c r="CY43">
        <f>AB43</f>
        <v>115.64</v>
      </c>
      <c r="CZ43">
        <f>AF43</f>
        <v>115.64</v>
      </c>
      <c r="DA43">
        <f>AJ43</f>
        <v>1</v>
      </c>
      <c r="DB43">
        <f>ROUND((ROUND(AT43*CZ43,2)*1.12),2)</f>
        <v>221.47</v>
      </c>
      <c r="DC43">
        <f>ROUND((ROUND(AT43*AG43,2)*1.12),2)</f>
        <v>26.06</v>
      </c>
      <c r="DD43" t="s">
        <v>6</v>
      </c>
      <c r="DE43" t="s">
        <v>6</v>
      </c>
      <c r="DF43">
        <f t="shared" si="7"/>
        <v>0</v>
      </c>
      <c r="DG43">
        <f t="shared" si="6"/>
        <v>507</v>
      </c>
      <c r="DH43">
        <f>Source!I42*SmtRes!Y43</f>
        <v>4.3666559999999999</v>
      </c>
      <c r="DI43">
        <f>AB43</f>
        <v>115.64</v>
      </c>
      <c r="DJ43">
        <f>DG43</f>
        <v>507</v>
      </c>
      <c r="DK43">
        <f>Source!BB42</f>
        <v>1</v>
      </c>
      <c r="DL43" t="s">
        <v>6</v>
      </c>
      <c r="DM43">
        <v>0</v>
      </c>
      <c r="DN43" t="s">
        <v>6</v>
      </c>
      <c r="DO43">
        <v>0</v>
      </c>
      <c r="GQ43">
        <v>-1</v>
      </c>
      <c r="GR43">
        <v>-1</v>
      </c>
    </row>
    <row r="44" spans="1:200" x14ac:dyDescent="0.2">
      <c r="A44">
        <f>ROW(Source!A42)</f>
        <v>42</v>
      </c>
      <c r="B44">
        <v>86326987</v>
      </c>
      <c r="C44">
        <v>86327273</v>
      </c>
      <c r="D44">
        <v>27440039</v>
      </c>
      <c r="E44">
        <v>1</v>
      </c>
      <c r="F44">
        <v>1</v>
      </c>
      <c r="G44">
        <v>1</v>
      </c>
      <c r="H44">
        <v>2</v>
      </c>
      <c r="I44" t="s">
        <v>649</v>
      </c>
      <c r="J44" t="s">
        <v>650</v>
      </c>
      <c r="K44" t="s">
        <v>651</v>
      </c>
      <c r="L44">
        <v>1368</v>
      </c>
      <c r="N44">
        <v>1011</v>
      </c>
      <c r="O44" t="s">
        <v>137</v>
      </c>
      <c r="P44" t="s">
        <v>137</v>
      </c>
      <c r="Q44">
        <v>1</v>
      </c>
      <c r="W44">
        <v>0</v>
      </c>
      <c r="X44">
        <v>389347920</v>
      </c>
      <c r="Y44">
        <f>(AT44*1.12)</f>
        <v>2.2624000000000004</v>
      </c>
      <c r="AA44">
        <v>0</v>
      </c>
      <c r="AB44">
        <v>1.83</v>
      </c>
      <c r="AC44">
        <v>0</v>
      </c>
      <c r="AD44">
        <v>0</v>
      </c>
      <c r="AE44">
        <v>0</v>
      </c>
      <c r="AF44">
        <v>1.83</v>
      </c>
      <c r="AG44">
        <v>0</v>
      </c>
      <c r="AH44">
        <v>0</v>
      </c>
      <c r="AI44">
        <v>1</v>
      </c>
      <c r="AJ44">
        <v>1</v>
      </c>
      <c r="AK44">
        <v>1</v>
      </c>
      <c r="AL44">
        <v>1</v>
      </c>
      <c r="AM44">
        <v>0</v>
      </c>
      <c r="AN44">
        <v>0</v>
      </c>
      <c r="AO44">
        <v>1</v>
      </c>
      <c r="AP44">
        <v>1</v>
      </c>
      <c r="AQ44">
        <v>0</v>
      </c>
      <c r="AR44">
        <v>0</v>
      </c>
      <c r="AS44" t="s">
        <v>6</v>
      </c>
      <c r="AT44">
        <v>2.02</v>
      </c>
      <c r="AU44" t="s">
        <v>24</v>
      </c>
      <c r="AV44">
        <v>0</v>
      </c>
      <c r="AW44">
        <v>2</v>
      </c>
      <c r="AX44">
        <v>86327290</v>
      </c>
      <c r="AY44">
        <v>1</v>
      </c>
      <c r="AZ44">
        <v>0</v>
      </c>
      <c r="BA44">
        <v>48</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CV44">
        <v>0</v>
      </c>
      <c r="CW44">
        <f>ROUND(Y44*Source!I42*DO44,9)</f>
        <v>0</v>
      </c>
      <c r="CX44">
        <f>ROUND(Y44*Source!I42,9)</f>
        <v>5.1582720000000002</v>
      </c>
      <c r="CY44">
        <f>AB44</f>
        <v>1.83</v>
      </c>
      <c r="CZ44">
        <f>AF44</f>
        <v>1.83</v>
      </c>
      <c r="DA44">
        <f>AJ44</f>
        <v>1</v>
      </c>
      <c r="DB44">
        <f>ROUND((ROUND(AT44*CZ44,2)*1.12),2)</f>
        <v>4.1399999999999997</v>
      </c>
      <c r="DC44">
        <f>ROUND((ROUND(AT44*AG44,2)*1.12),2)</f>
        <v>0</v>
      </c>
      <c r="DD44" t="s">
        <v>6</v>
      </c>
      <c r="DE44" t="s">
        <v>6</v>
      </c>
      <c r="DF44">
        <f t="shared" si="7"/>
        <v>0</v>
      </c>
      <c r="DG44">
        <f t="shared" si="6"/>
        <v>10</v>
      </c>
      <c r="DH44">
        <f>Source!I42*SmtRes!Y44</f>
        <v>5.1582720000000002</v>
      </c>
      <c r="DI44">
        <f>AB44</f>
        <v>1.83</v>
      </c>
      <c r="DJ44">
        <f>EtalonRes!Z48</f>
        <v>1.83</v>
      </c>
      <c r="DK44">
        <f>Source!BB42</f>
        <v>1</v>
      </c>
      <c r="DL44" t="s">
        <v>6</v>
      </c>
      <c r="DM44">
        <v>0</v>
      </c>
      <c r="DN44" t="s">
        <v>6</v>
      </c>
      <c r="DO44">
        <v>0</v>
      </c>
      <c r="GQ44">
        <v>-1</v>
      </c>
      <c r="GR44">
        <v>-1</v>
      </c>
    </row>
    <row r="45" spans="1:200" x14ac:dyDescent="0.2">
      <c r="A45">
        <f>ROW(Source!A42)</f>
        <v>42</v>
      </c>
      <c r="B45">
        <v>86326987</v>
      </c>
      <c r="C45">
        <v>86327273</v>
      </c>
      <c r="D45">
        <v>27371200</v>
      </c>
      <c r="E45">
        <v>1</v>
      </c>
      <c r="F45">
        <v>1</v>
      </c>
      <c r="G45">
        <v>1</v>
      </c>
      <c r="H45">
        <v>3</v>
      </c>
      <c r="I45" t="s">
        <v>71</v>
      </c>
      <c r="J45" t="s">
        <v>73</v>
      </c>
      <c r="K45" t="s">
        <v>72</v>
      </c>
      <c r="L45">
        <v>1348</v>
      </c>
      <c r="N45">
        <v>1009</v>
      </c>
      <c r="O45" t="s">
        <v>33</v>
      </c>
      <c r="P45" t="s">
        <v>33</v>
      </c>
      <c r="Q45">
        <v>1000</v>
      </c>
      <c r="W45">
        <v>0</v>
      </c>
      <c r="X45">
        <v>-81122142</v>
      </c>
      <c r="Y45">
        <f t="shared" ref="Y45:Y53" si="8">AT45</f>
        <v>4.1999999999999997E-3</v>
      </c>
      <c r="AA45">
        <v>1696.01</v>
      </c>
      <c r="AB45">
        <v>0</v>
      </c>
      <c r="AC45">
        <v>0</v>
      </c>
      <c r="AD45">
        <v>0</v>
      </c>
      <c r="AE45">
        <v>1696.01</v>
      </c>
      <c r="AF45">
        <v>0</v>
      </c>
      <c r="AG45">
        <v>0</v>
      </c>
      <c r="AH45">
        <v>0</v>
      </c>
      <c r="AI45">
        <v>1</v>
      </c>
      <c r="AJ45">
        <v>1</v>
      </c>
      <c r="AK45">
        <v>1</v>
      </c>
      <c r="AL45">
        <v>1</v>
      </c>
      <c r="AM45">
        <v>0</v>
      </c>
      <c r="AN45">
        <v>0</v>
      </c>
      <c r="AO45">
        <v>0</v>
      </c>
      <c r="AP45">
        <v>1</v>
      </c>
      <c r="AQ45">
        <v>0</v>
      </c>
      <c r="AR45">
        <v>0</v>
      </c>
      <c r="AS45" t="s">
        <v>6</v>
      </c>
      <c r="AT45">
        <v>4.1999999999999997E-3</v>
      </c>
      <c r="AU45" t="s">
        <v>6</v>
      </c>
      <c r="AV45">
        <v>0</v>
      </c>
      <c r="AW45">
        <v>2</v>
      </c>
      <c r="AX45">
        <v>86327291</v>
      </c>
      <c r="AY45">
        <v>1</v>
      </c>
      <c r="AZ45">
        <v>0</v>
      </c>
      <c r="BA45">
        <v>49</v>
      </c>
      <c r="BB45">
        <v>3</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CV45">
        <v>0</v>
      </c>
      <c r="CW45">
        <v>0</v>
      </c>
      <c r="CX45">
        <f>ROUND(Y45*Source!I42,9)</f>
        <v>9.5759999999999994E-3</v>
      </c>
      <c r="CY45">
        <f t="shared" ref="CY45:CY53" si="9">AA45</f>
        <v>1696.01</v>
      </c>
      <c r="CZ45">
        <f t="shared" ref="CZ45:CZ53" si="10">AE45</f>
        <v>1696.01</v>
      </c>
      <c r="DA45">
        <f t="shared" ref="DA45:DA53" si="11">AI45</f>
        <v>1</v>
      </c>
      <c r="DB45">
        <f t="shared" ref="DB45:DB53" si="12">ROUND(ROUND(AT45*CZ45,2),2)</f>
        <v>7.12</v>
      </c>
      <c r="DC45">
        <f t="shared" ref="DC45:DC53" si="13">ROUND(ROUND(AT45*AG45,2),2)</f>
        <v>0</v>
      </c>
      <c r="DD45" t="s">
        <v>6</v>
      </c>
      <c r="DE45" t="s">
        <v>6</v>
      </c>
      <c r="DF45">
        <f t="shared" si="7"/>
        <v>16</v>
      </c>
      <c r="DG45">
        <f t="shared" si="6"/>
        <v>0</v>
      </c>
      <c r="DH45">
        <f>Source!I42*SmtRes!Y45</f>
        <v>9.5759999999999994E-3</v>
      </c>
      <c r="DI45">
        <f t="shared" ref="DI45:DI53" si="14">AA45</f>
        <v>1696.01</v>
      </c>
      <c r="DJ45">
        <f>EtalonRes!Y49</f>
        <v>1696.01</v>
      </c>
      <c r="DK45">
        <f>Source!BC42</f>
        <v>1</v>
      </c>
      <c r="DL45" t="s">
        <v>6</v>
      </c>
      <c r="DM45">
        <v>0</v>
      </c>
      <c r="DN45" t="s">
        <v>6</v>
      </c>
      <c r="DO45">
        <v>0</v>
      </c>
      <c r="GP45">
        <v>1</v>
      </c>
      <c r="GQ45">
        <v>-1</v>
      </c>
      <c r="GR45">
        <v>-1</v>
      </c>
    </row>
    <row r="46" spans="1:200" x14ac:dyDescent="0.2">
      <c r="A46">
        <f>ROW(Source!A42)</f>
        <v>42</v>
      </c>
      <c r="B46">
        <v>86326987</v>
      </c>
      <c r="C46">
        <v>86327273</v>
      </c>
      <c r="D46">
        <v>11618017</v>
      </c>
      <c r="E46">
        <v>1</v>
      </c>
      <c r="F46">
        <v>1</v>
      </c>
      <c r="G46">
        <v>1</v>
      </c>
      <c r="H46">
        <v>3</v>
      </c>
      <c r="I46" t="s">
        <v>107</v>
      </c>
      <c r="J46" t="s">
        <v>109</v>
      </c>
      <c r="K46" t="s">
        <v>108</v>
      </c>
      <c r="L46">
        <v>1371</v>
      </c>
      <c r="N46">
        <v>1013</v>
      </c>
      <c r="O46" t="s">
        <v>103</v>
      </c>
      <c r="P46" t="s">
        <v>103</v>
      </c>
      <c r="Q46">
        <v>1</v>
      </c>
      <c r="W46">
        <v>0</v>
      </c>
      <c r="X46">
        <v>-1648273723</v>
      </c>
      <c r="Y46">
        <f t="shared" si="8"/>
        <v>12</v>
      </c>
      <c r="AA46">
        <v>0.24</v>
      </c>
      <c r="AB46">
        <v>0</v>
      </c>
      <c r="AC46">
        <v>0</v>
      </c>
      <c r="AD46">
        <v>0</v>
      </c>
      <c r="AE46">
        <v>0.24</v>
      </c>
      <c r="AF46">
        <v>0</v>
      </c>
      <c r="AG46">
        <v>0</v>
      </c>
      <c r="AH46">
        <v>0</v>
      </c>
      <c r="AI46">
        <v>1</v>
      </c>
      <c r="AJ46">
        <v>1</v>
      </c>
      <c r="AK46">
        <v>1</v>
      </c>
      <c r="AL46">
        <v>1</v>
      </c>
      <c r="AM46">
        <v>0</v>
      </c>
      <c r="AN46">
        <v>0</v>
      </c>
      <c r="AO46">
        <v>0</v>
      </c>
      <c r="AP46">
        <v>1</v>
      </c>
      <c r="AQ46">
        <v>0</v>
      </c>
      <c r="AR46">
        <v>0</v>
      </c>
      <c r="AS46" t="s">
        <v>6</v>
      </c>
      <c r="AT46">
        <v>12</v>
      </c>
      <c r="AU46" t="s">
        <v>6</v>
      </c>
      <c r="AV46">
        <v>0</v>
      </c>
      <c r="AW46">
        <v>1</v>
      </c>
      <c r="AX46">
        <v>-1</v>
      </c>
      <c r="AY46">
        <v>0</v>
      </c>
      <c r="AZ46">
        <v>0</v>
      </c>
      <c r="BA46" t="s">
        <v>6</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CV46">
        <v>0</v>
      </c>
      <c r="CW46">
        <v>0</v>
      </c>
      <c r="CX46">
        <f>ROUND(Y46*Source!I42,9)</f>
        <v>27.36</v>
      </c>
      <c r="CY46">
        <f t="shared" si="9"/>
        <v>0.24</v>
      </c>
      <c r="CZ46">
        <f t="shared" si="10"/>
        <v>0.24</v>
      </c>
      <c r="DA46">
        <f t="shared" si="11"/>
        <v>1</v>
      </c>
      <c r="DB46">
        <f t="shared" si="12"/>
        <v>2.88</v>
      </c>
      <c r="DC46">
        <f t="shared" si="13"/>
        <v>0</v>
      </c>
      <c r="DD46" t="s">
        <v>6</v>
      </c>
      <c r="DE46" t="s">
        <v>6</v>
      </c>
      <c r="DF46">
        <f t="shared" si="7"/>
        <v>0</v>
      </c>
      <c r="DG46">
        <f t="shared" si="6"/>
        <v>0</v>
      </c>
      <c r="DH46">
        <f>Source!I42*SmtRes!Y46</f>
        <v>27.36</v>
      </c>
      <c r="DI46">
        <f t="shared" si="14"/>
        <v>0.24</v>
      </c>
      <c r="DJ46">
        <f t="shared" ref="DJ46:DJ53" si="15">DF46</f>
        <v>0</v>
      </c>
      <c r="DK46">
        <f>Source!BC42</f>
        <v>1</v>
      </c>
      <c r="DL46" t="s">
        <v>6</v>
      </c>
      <c r="DM46">
        <v>0</v>
      </c>
      <c r="DN46" t="s">
        <v>6</v>
      </c>
      <c r="DO46">
        <v>0</v>
      </c>
      <c r="GP46">
        <v>1</v>
      </c>
      <c r="GQ46">
        <v>-1</v>
      </c>
      <c r="GR46">
        <v>-1</v>
      </c>
    </row>
    <row r="47" spans="1:200" x14ac:dyDescent="0.2">
      <c r="A47">
        <f>ROW(Source!A42)</f>
        <v>42</v>
      </c>
      <c r="B47">
        <v>86326987</v>
      </c>
      <c r="C47">
        <v>86327273</v>
      </c>
      <c r="D47">
        <v>11618018</v>
      </c>
      <c r="E47">
        <v>1</v>
      </c>
      <c r="F47">
        <v>1</v>
      </c>
      <c r="G47">
        <v>1</v>
      </c>
      <c r="H47">
        <v>3</v>
      </c>
      <c r="I47" t="s">
        <v>112</v>
      </c>
      <c r="J47" t="s">
        <v>114</v>
      </c>
      <c r="K47" t="s">
        <v>113</v>
      </c>
      <c r="L47">
        <v>1371</v>
      </c>
      <c r="N47">
        <v>1013</v>
      </c>
      <c r="O47" t="s">
        <v>103</v>
      </c>
      <c r="P47" t="s">
        <v>103</v>
      </c>
      <c r="Q47">
        <v>1</v>
      </c>
      <c r="W47">
        <v>0</v>
      </c>
      <c r="X47">
        <v>1900494391</v>
      </c>
      <c r="Y47">
        <f t="shared" si="8"/>
        <v>12</v>
      </c>
      <c r="AA47">
        <v>0.3</v>
      </c>
      <c r="AB47">
        <v>0</v>
      </c>
      <c r="AC47">
        <v>0</v>
      </c>
      <c r="AD47">
        <v>0</v>
      </c>
      <c r="AE47">
        <v>0.3</v>
      </c>
      <c r="AF47">
        <v>0</v>
      </c>
      <c r="AG47">
        <v>0</v>
      </c>
      <c r="AH47">
        <v>0</v>
      </c>
      <c r="AI47">
        <v>1</v>
      </c>
      <c r="AJ47">
        <v>1</v>
      </c>
      <c r="AK47">
        <v>1</v>
      </c>
      <c r="AL47">
        <v>1</v>
      </c>
      <c r="AM47">
        <v>0</v>
      </c>
      <c r="AN47">
        <v>0</v>
      </c>
      <c r="AO47">
        <v>0</v>
      </c>
      <c r="AP47">
        <v>1</v>
      </c>
      <c r="AQ47">
        <v>0</v>
      </c>
      <c r="AR47">
        <v>0</v>
      </c>
      <c r="AS47" t="s">
        <v>6</v>
      </c>
      <c r="AT47">
        <v>12</v>
      </c>
      <c r="AU47" t="s">
        <v>6</v>
      </c>
      <c r="AV47">
        <v>0</v>
      </c>
      <c r="AW47">
        <v>1</v>
      </c>
      <c r="AX47">
        <v>-1</v>
      </c>
      <c r="AY47">
        <v>0</v>
      </c>
      <c r="AZ47">
        <v>0</v>
      </c>
      <c r="BA47" t="s">
        <v>6</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CV47">
        <v>0</v>
      </c>
      <c r="CW47">
        <v>0</v>
      </c>
      <c r="CX47">
        <f>ROUND(Y47*Source!I42,9)</f>
        <v>27.36</v>
      </c>
      <c r="CY47">
        <f t="shared" si="9"/>
        <v>0.3</v>
      </c>
      <c r="CZ47">
        <f t="shared" si="10"/>
        <v>0.3</v>
      </c>
      <c r="DA47">
        <f t="shared" si="11"/>
        <v>1</v>
      </c>
      <c r="DB47">
        <f t="shared" si="12"/>
        <v>3.6</v>
      </c>
      <c r="DC47">
        <f t="shared" si="13"/>
        <v>0</v>
      </c>
      <c r="DD47" t="s">
        <v>6</v>
      </c>
      <c r="DE47" t="s">
        <v>6</v>
      </c>
      <c r="DF47">
        <f t="shared" si="7"/>
        <v>0</v>
      </c>
      <c r="DG47">
        <f t="shared" si="6"/>
        <v>0</v>
      </c>
      <c r="DH47">
        <f>Source!I42*SmtRes!Y47</f>
        <v>27.36</v>
      </c>
      <c r="DI47">
        <f t="shared" si="14"/>
        <v>0.3</v>
      </c>
      <c r="DJ47">
        <f t="shared" si="15"/>
        <v>0</v>
      </c>
      <c r="DK47">
        <f>Source!BC42</f>
        <v>1</v>
      </c>
      <c r="DL47" t="s">
        <v>6</v>
      </c>
      <c r="DM47">
        <v>0</v>
      </c>
      <c r="DN47" t="s">
        <v>6</v>
      </c>
      <c r="DO47">
        <v>0</v>
      </c>
      <c r="GP47">
        <v>1</v>
      </c>
      <c r="GQ47">
        <v>-1</v>
      </c>
      <c r="GR47">
        <v>-1</v>
      </c>
    </row>
    <row r="48" spans="1:200" x14ac:dyDescent="0.2">
      <c r="A48">
        <f>ROW(Source!A42)</f>
        <v>42</v>
      </c>
      <c r="B48">
        <v>86326987</v>
      </c>
      <c r="C48">
        <v>86327273</v>
      </c>
      <c r="D48">
        <v>11618019</v>
      </c>
      <c r="E48">
        <v>1</v>
      </c>
      <c r="F48">
        <v>1</v>
      </c>
      <c r="G48">
        <v>1</v>
      </c>
      <c r="H48">
        <v>3</v>
      </c>
      <c r="I48" t="s">
        <v>101</v>
      </c>
      <c r="J48" t="s">
        <v>104</v>
      </c>
      <c r="K48" t="s">
        <v>102</v>
      </c>
      <c r="L48">
        <v>1371</v>
      </c>
      <c r="N48">
        <v>1013</v>
      </c>
      <c r="O48" t="s">
        <v>103</v>
      </c>
      <c r="P48" t="s">
        <v>103</v>
      </c>
      <c r="Q48">
        <v>1</v>
      </c>
      <c r="W48">
        <v>0</v>
      </c>
      <c r="X48">
        <v>-504018761</v>
      </c>
      <c r="Y48">
        <f t="shared" si="8"/>
        <v>23</v>
      </c>
      <c r="AA48">
        <v>0.24</v>
      </c>
      <c r="AB48">
        <v>0</v>
      </c>
      <c r="AC48">
        <v>0</v>
      </c>
      <c r="AD48">
        <v>0</v>
      </c>
      <c r="AE48">
        <v>0.24</v>
      </c>
      <c r="AF48">
        <v>0</v>
      </c>
      <c r="AG48">
        <v>0</v>
      </c>
      <c r="AH48">
        <v>0</v>
      </c>
      <c r="AI48">
        <v>1</v>
      </c>
      <c r="AJ48">
        <v>1</v>
      </c>
      <c r="AK48">
        <v>1</v>
      </c>
      <c r="AL48">
        <v>1</v>
      </c>
      <c r="AM48">
        <v>0</v>
      </c>
      <c r="AN48">
        <v>0</v>
      </c>
      <c r="AO48">
        <v>0</v>
      </c>
      <c r="AP48">
        <v>1</v>
      </c>
      <c r="AQ48">
        <v>0</v>
      </c>
      <c r="AR48">
        <v>0</v>
      </c>
      <c r="AS48" t="s">
        <v>6</v>
      </c>
      <c r="AT48">
        <v>23</v>
      </c>
      <c r="AU48" t="s">
        <v>6</v>
      </c>
      <c r="AV48">
        <v>0</v>
      </c>
      <c r="AW48">
        <v>1</v>
      </c>
      <c r="AX48">
        <v>-1</v>
      </c>
      <c r="AY48">
        <v>0</v>
      </c>
      <c r="AZ48">
        <v>0</v>
      </c>
      <c r="BA48" t="s">
        <v>6</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CV48">
        <v>0</v>
      </c>
      <c r="CW48">
        <v>0</v>
      </c>
      <c r="CX48">
        <f>ROUND(Y48*Source!I42,9)</f>
        <v>52.44</v>
      </c>
      <c r="CY48">
        <f t="shared" si="9"/>
        <v>0.24</v>
      </c>
      <c r="CZ48">
        <f t="shared" si="10"/>
        <v>0.24</v>
      </c>
      <c r="DA48">
        <f t="shared" si="11"/>
        <v>1</v>
      </c>
      <c r="DB48">
        <f t="shared" si="12"/>
        <v>5.52</v>
      </c>
      <c r="DC48">
        <f t="shared" si="13"/>
        <v>0</v>
      </c>
      <c r="DD48" t="s">
        <v>6</v>
      </c>
      <c r="DE48" t="s">
        <v>6</v>
      </c>
      <c r="DF48">
        <f t="shared" si="7"/>
        <v>0</v>
      </c>
      <c r="DG48">
        <f t="shared" si="6"/>
        <v>0</v>
      </c>
      <c r="DH48">
        <f>Source!I42*SmtRes!Y48</f>
        <v>52.44</v>
      </c>
      <c r="DI48">
        <f t="shared" si="14"/>
        <v>0.24</v>
      </c>
      <c r="DJ48">
        <f t="shared" si="15"/>
        <v>0</v>
      </c>
      <c r="DK48">
        <f>Source!BC42</f>
        <v>1</v>
      </c>
      <c r="DL48" t="s">
        <v>6</v>
      </c>
      <c r="DM48">
        <v>0</v>
      </c>
      <c r="DN48" t="s">
        <v>6</v>
      </c>
      <c r="DO48">
        <v>0</v>
      </c>
      <c r="GP48">
        <v>1</v>
      </c>
      <c r="GQ48">
        <v>-1</v>
      </c>
      <c r="GR48">
        <v>-1</v>
      </c>
    </row>
    <row r="49" spans="1:200" x14ac:dyDescent="0.2">
      <c r="A49">
        <f>ROW(Source!A42)</f>
        <v>42</v>
      </c>
      <c r="B49">
        <v>86326987</v>
      </c>
      <c r="C49">
        <v>86327273</v>
      </c>
      <c r="D49">
        <v>35950821</v>
      </c>
      <c r="E49">
        <v>1</v>
      </c>
      <c r="F49">
        <v>1</v>
      </c>
      <c r="G49">
        <v>1</v>
      </c>
      <c r="H49">
        <v>3</v>
      </c>
      <c r="I49" t="s">
        <v>76</v>
      </c>
      <c r="J49" t="s">
        <v>79</v>
      </c>
      <c r="K49" t="s">
        <v>77</v>
      </c>
      <c r="L49">
        <v>1391</v>
      </c>
      <c r="N49">
        <v>1013</v>
      </c>
      <c r="O49" t="s">
        <v>78</v>
      </c>
      <c r="P49" t="s">
        <v>78</v>
      </c>
      <c r="Q49">
        <v>1</v>
      </c>
      <c r="W49">
        <v>0</v>
      </c>
      <c r="X49">
        <v>813644265</v>
      </c>
      <c r="Y49">
        <f t="shared" si="8"/>
        <v>3</v>
      </c>
      <c r="AA49">
        <v>87.58</v>
      </c>
      <c r="AB49">
        <v>0</v>
      </c>
      <c r="AC49">
        <v>0</v>
      </c>
      <c r="AD49">
        <v>0</v>
      </c>
      <c r="AE49">
        <v>87.58</v>
      </c>
      <c r="AF49">
        <v>0</v>
      </c>
      <c r="AG49">
        <v>0</v>
      </c>
      <c r="AH49">
        <v>0</v>
      </c>
      <c r="AI49">
        <v>1</v>
      </c>
      <c r="AJ49">
        <v>1</v>
      </c>
      <c r="AK49">
        <v>1</v>
      </c>
      <c r="AL49">
        <v>1</v>
      </c>
      <c r="AM49">
        <v>0</v>
      </c>
      <c r="AN49">
        <v>0</v>
      </c>
      <c r="AO49">
        <v>0</v>
      </c>
      <c r="AP49">
        <v>1</v>
      </c>
      <c r="AQ49">
        <v>0</v>
      </c>
      <c r="AR49">
        <v>0</v>
      </c>
      <c r="AS49" t="s">
        <v>6</v>
      </c>
      <c r="AT49">
        <v>3</v>
      </c>
      <c r="AU49" t="s">
        <v>6</v>
      </c>
      <c r="AV49">
        <v>0</v>
      </c>
      <c r="AW49">
        <v>1</v>
      </c>
      <c r="AX49">
        <v>-1</v>
      </c>
      <c r="AY49">
        <v>0</v>
      </c>
      <c r="AZ49">
        <v>0</v>
      </c>
      <c r="BA49" t="s">
        <v>6</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CV49">
        <v>0</v>
      </c>
      <c r="CW49">
        <v>0</v>
      </c>
      <c r="CX49">
        <f>ROUND(Y49*Source!I42,9)</f>
        <v>6.84</v>
      </c>
      <c r="CY49">
        <f t="shared" si="9"/>
        <v>87.58</v>
      </c>
      <c r="CZ49">
        <f t="shared" si="10"/>
        <v>87.58</v>
      </c>
      <c r="DA49">
        <f t="shared" si="11"/>
        <v>1</v>
      </c>
      <c r="DB49">
        <f t="shared" si="12"/>
        <v>262.74</v>
      </c>
      <c r="DC49">
        <f t="shared" si="13"/>
        <v>0</v>
      </c>
      <c r="DD49" t="s">
        <v>6</v>
      </c>
      <c r="DE49" t="s">
        <v>6</v>
      </c>
      <c r="DF49">
        <f t="shared" si="7"/>
        <v>602</v>
      </c>
      <c r="DG49">
        <f t="shared" si="6"/>
        <v>0</v>
      </c>
      <c r="DH49">
        <f>Source!I42*SmtRes!Y49</f>
        <v>6.84</v>
      </c>
      <c r="DI49">
        <f t="shared" si="14"/>
        <v>87.58</v>
      </c>
      <c r="DJ49">
        <f t="shared" si="15"/>
        <v>602</v>
      </c>
      <c r="DK49">
        <f>Source!BC42</f>
        <v>1</v>
      </c>
      <c r="DL49" t="s">
        <v>6</v>
      </c>
      <c r="DM49">
        <v>0</v>
      </c>
      <c r="DN49" t="s">
        <v>6</v>
      </c>
      <c r="DO49">
        <v>0</v>
      </c>
      <c r="GP49">
        <v>1</v>
      </c>
      <c r="GQ49">
        <v>-1</v>
      </c>
      <c r="GR49">
        <v>-1</v>
      </c>
    </row>
    <row r="50" spans="1:200" x14ac:dyDescent="0.2">
      <c r="A50">
        <f>ROW(Source!A42)</f>
        <v>42</v>
      </c>
      <c r="B50">
        <v>86326987</v>
      </c>
      <c r="C50">
        <v>86327273</v>
      </c>
      <c r="D50">
        <v>35950824</v>
      </c>
      <c r="E50">
        <v>1</v>
      </c>
      <c r="F50">
        <v>1</v>
      </c>
      <c r="G50">
        <v>1</v>
      </c>
      <c r="H50">
        <v>3</v>
      </c>
      <c r="I50" t="s">
        <v>82</v>
      </c>
      <c r="J50" t="s">
        <v>84</v>
      </c>
      <c r="K50" t="s">
        <v>83</v>
      </c>
      <c r="L50">
        <v>1391</v>
      </c>
      <c r="N50">
        <v>1013</v>
      </c>
      <c r="O50" t="s">
        <v>78</v>
      </c>
      <c r="P50" t="s">
        <v>78</v>
      </c>
      <c r="Q50">
        <v>1</v>
      </c>
      <c r="W50">
        <v>0</v>
      </c>
      <c r="X50">
        <v>1913149582</v>
      </c>
      <c r="Y50">
        <f t="shared" si="8"/>
        <v>3</v>
      </c>
      <c r="AA50">
        <v>56.57</v>
      </c>
      <c r="AB50">
        <v>0</v>
      </c>
      <c r="AC50">
        <v>0</v>
      </c>
      <c r="AD50">
        <v>0</v>
      </c>
      <c r="AE50">
        <v>56.57</v>
      </c>
      <c r="AF50">
        <v>0</v>
      </c>
      <c r="AG50">
        <v>0</v>
      </c>
      <c r="AH50">
        <v>0</v>
      </c>
      <c r="AI50">
        <v>1</v>
      </c>
      <c r="AJ50">
        <v>1</v>
      </c>
      <c r="AK50">
        <v>1</v>
      </c>
      <c r="AL50">
        <v>1</v>
      </c>
      <c r="AM50">
        <v>0</v>
      </c>
      <c r="AN50">
        <v>0</v>
      </c>
      <c r="AO50">
        <v>0</v>
      </c>
      <c r="AP50">
        <v>1</v>
      </c>
      <c r="AQ50">
        <v>0</v>
      </c>
      <c r="AR50">
        <v>0</v>
      </c>
      <c r="AS50" t="s">
        <v>6</v>
      </c>
      <c r="AT50">
        <v>3</v>
      </c>
      <c r="AU50" t="s">
        <v>6</v>
      </c>
      <c r="AV50">
        <v>0</v>
      </c>
      <c r="AW50">
        <v>1</v>
      </c>
      <c r="AX50">
        <v>-1</v>
      </c>
      <c r="AY50">
        <v>0</v>
      </c>
      <c r="AZ50">
        <v>0</v>
      </c>
      <c r="BA50" t="s">
        <v>6</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CV50">
        <v>0</v>
      </c>
      <c r="CW50">
        <v>0</v>
      </c>
      <c r="CX50">
        <f>ROUND(Y50*Source!I42,9)</f>
        <v>6.84</v>
      </c>
      <c r="CY50">
        <f t="shared" si="9"/>
        <v>56.57</v>
      </c>
      <c r="CZ50">
        <f t="shared" si="10"/>
        <v>56.57</v>
      </c>
      <c r="DA50">
        <f t="shared" si="11"/>
        <v>1</v>
      </c>
      <c r="DB50">
        <f t="shared" si="12"/>
        <v>169.71</v>
      </c>
      <c r="DC50">
        <f t="shared" si="13"/>
        <v>0</v>
      </c>
      <c r="DD50" t="s">
        <v>6</v>
      </c>
      <c r="DE50" t="s">
        <v>6</v>
      </c>
      <c r="DF50">
        <f t="shared" si="7"/>
        <v>390</v>
      </c>
      <c r="DG50">
        <f t="shared" si="6"/>
        <v>0</v>
      </c>
      <c r="DH50">
        <f>Source!I42*SmtRes!Y50</f>
        <v>6.84</v>
      </c>
      <c r="DI50">
        <f t="shared" si="14"/>
        <v>56.57</v>
      </c>
      <c r="DJ50">
        <f t="shared" si="15"/>
        <v>390</v>
      </c>
      <c r="DK50">
        <f>Source!BC42</f>
        <v>1</v>
      </c>
      <c r="DL50" t="s">
        <v>6</v>
      </c>
      <c r="DM50">
        <v>0</v>
      </c>
      <c r="DN50" t="s">
        <v>6</v>
      </c>
      <c r="DO50">
        <v>0</v>
      </c>
      <c r="GP50">
        <v>1</v>
      </c>
      <c r="GQ50">
        <v>-1</v>
      </c>
      <c r="GR50">
        <v>-1</v>
      </c>
    </row>
    <row r="51" spans="1:200" x14ac:dyDescent="0.2">
      <c r="A51">
        <f>ROW(Source!A42)</f>
        <v>42</v>
      </c>
      <c r="B51">
        <v>86326987</v>
      </c>
      <c r="C51">
        <v>86327273</v>
      </c>
      <c r="D51">
        <v>27425862</v>
      </c>
      <c r="E51">
        <v>1</v>
      </c>
      <c r="F51">
        <v>1</v>
      </c>
      <c r="G51">
        <v>1</v>
      </c>
      <c r="H51">
        <v>3</v>
      </c>
      <c r="I51" t="s">
        <v>92</v>
      </c>
      <c r="J51" t="s">
        <v>95</v>
      </c>
      <c r="K51" t="s">
        <v>93</v>
      </c>
      <c r="L51">
        <v>1301</v>
      </c>
      <c r="N51">
        <v>1003</v>
      </c>
      <c r="O51" t="s">
        <v>94</v>
      </c>
      <c r="P51" t="s">
        <v>94</v>
      </c>
      <c r="Q51">
        <v>1</v>
      </c>
      <c r="W51">
        <v>0</v>
      </c>
      <c r="X51">
        <v>-1608277363</v>
      </c>
      <c r="Y51">
        <f t="shared" si="8"/>
        <v>5.3879999999999999</v>
      </c>
      <c r="AA51">
        <v>4.6900000000000004</v>
      </c>
      <c r="AB51">
        <v>0</v>
      </c>
      <c r="AC51">
        <v>0</v>
      </c>
      <c r="AD51">
        <v>0</v>
      </c>
      <c r="AE51">
        <v>4.6900000000000004</v>
      </c>
      <c r="AF51">
        <v>0</v>
      </c>
      <c r="AG51">
        <v>0</v>
      </c>
      <c r="AH51">
        <v>0</v>
      </c>
      <c r="AI51">
        <v>1</v>
      </c>
      <c r="AJ51">
        <v>1</v>
      </c>
      <c r="AK51">
        <v>1</v>
      </c>
      <c r="AL51">
        <v>1</v>
      </c>
      <c r="AM51">
        <v>0</v>
      </c>
      <c r="AN51">
        <v>0</v>
      </c>
      <c r="AO51">
        <v>0</v>
      </c>
      <c r="AP51">
        <v>1</v>
      </c>
      <c r="AQ51">
        <v>0</v>
      </c>
      <c r="AR51">
        <v>0</v>
      </c>
      <c r="AS51" t="s">
        <v>6</v>
      </c>
      <c r="AT51">
        <v>5.3879999999999999</v>
      </c>
      <c r="AU51" t="s">
        <v>6</v>
      </c>
      <c r="AV51">
        <v>0</v>
      </c>
      <c r="AW51">
        <v>1</v>
      </c>
      <c r="AX51">
        <v>-1</v>
      </c>
      <c r="AY51">
        <v>0</v>
      </c>
      <c r="AZ51">
        <v>0</v>
      </c>
      <c r="BA51" t="s">
        <v>6</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CV51">
        <v>0</v>
      </c>
      <c r="CW51">
        <v>0</v>
      </c>
      <c r="CX51">
        <f>ROUND(Y51*Source!I42,9)</f>
        <v>12.28464</v>
      </c>
      <c r="CY51">
        <f t="shared" si="9"/>
        <v>4.6900000000000004</v>
      </c>
      <c r="CZ51">
        <f t="shared" si="10"/>
        <v>4.6900000000000004</v>
      </c>
      <c r="DA51">
        <f t="shared" si="11"/>
        <v>1</v>
      </c>
      <c r="DB51">
        <f t="shared" si="12"/>
        <v>25.27</v>
      </c>
      <c r="DC51">
        <f t="shared" si="13"/>
        <v>0</v>
      </c>
      <c r="DD51" t="s">
        <v>6</v>
      </c>
      <c r="DE51" t="s">
        <v>6</v>
      </c>
      <c r="DF51">
        <f t="shared" si="7"/>
        <v>61</v>
      </c>
      <c r="DG51">
        <f t="shared" si="6"/>
        <v>0</v>
      </c>
      <c r="DH51">
        <f>Source!I42*SmtRes!Y51</f>
        <v>12.28464</v>
      </c>
      <c r="DI51">
        <f t="shared" si="14"/>
        <v>4.6900000000000004</v>
      </c>
      <c r="DJ51">
        <f t="shared" si="15"/>
        <v>61</v>
      </c>
      <c r="DK51">
        <f>Source!BC42</f>
        <v>1</v>
      </c>
      <c r="DL51" t="s">
        <v>6</v>
      </c>
      <c r="DM51">
        <v>0</v>
      </c>
      <c r="DN51" t="s">
        <v>6</v>
      </c>
      <c r="DO51">
        <v>0</v>
      </c>
      <c r="GP51">
        <v>1</v>
      </c>
      <c r="GQ51">
        <v>-1</v>
      </c>
      <c r="GR51">
        <v>-1</v>
      </c>
    </row>
    <row r="52" spans="1:200" x14ac:dyDescent="0.2">
      <c r="A52">
        <f>ROW(Source!A42)</f>
        <v>42</v>
      </c>
      <c r="B52">
        <v>86326987</v>
      </c>
      <c r="C52">
        <v>86327273</v>
      </c>
      <c r="D52">
        <v>69208315</v>
      </c>
      <c r="E52">
        <v>1</v>
      </c>
      <c r="F52">
        <v>1</v>
      </c>
      <c r="G52">
        <v>1</v>
      </c>
      <c r="H52">
        <v>3</v>
      </c>
      <c r="I52" t="s">
        <v>117</v>
      </c>
      <c r="J52" t="s">
        <v>119</v>
      </c>
      <c r="K52" t="s">
        <v>118</v>
      </c>
      <c r="L52">
        <v>1348</v>
      </c>
      <c r="N52">
        <v>1009</v>
      </c>
      <c r="O52" t="s">
        <v>33</v>
      </c>
      <c r="P52" t="s">
        <v>33</v>
      </c>
      <c r="Q52">
        <v>1000</v>
      </c>
      <c r="W52">
        <v>0</v>
      </c>
      <c r="X52">
        <v>772407484</v>
      </c>
      <c r="Y52">
        <f t="shared" si="8"/>
        <v>9.5100000000000002E-4</v>
      </c>
      <c r="AA52">
        <v>10633.86</v>
      </c>
      <c r="AB52">
        <v>0</v>
      </c>
      <c r="AC52">
        <v>0</v>
      </c>
      <c r="AD52">
        <v>0</v>
      </c>
      <c r="AE52">
        <v>10633.86</v>
      </c>
      <c r="AF52">
        <v>0</v>
      </c>
      <c r="AG52">
        <v>0</v>
      </c>
      <c r="AH52">
        <v>0</v>
      </c>
      <c r="AI52">
        <v>1</v>
      </c>
      <c r="AJ52">
        <v>1</v>
      </c>
      <c r="AK52">
        <v>1</v>
      </c>
      <c r="AL52">
        <v>1</v>
      </c>
      <c r="AM52">
        <v>0</v>
      </c>
      <c r="AN52">
        <v>0</v>
      </c>
      <c r="AO52">
        <v>0</v>
      </c>
      <c r="AP52">
        <v>1</v>
      </c>
      <c r="AQ52">
        <v>0</v>
      </c>
      <c r="AR52">
        <v>0</v>
      </c>
      <c r="AS52" t="s">
        <v>6</v>
      </c>
      <c r="AT52">
        <v>9.5100000000000002E-4</v>
      </c>
      <c r="AU52" t="s">
        <v>6</v>
      </c>
      <c r="AV52">
        <v>0</v>
      </c>
      <c r="AW52">
        <v>1</v>
      </c>
      <c r="AX52">
        <v>-1</v>
      </c>
      <c r="AY52">
        <v>0</v>
      </c>
      <c r="AZ52">
        <v>0</v>
      </c>
      <c r="BA52" t="s">
        <v>6</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CV52">
        <v>0</v>
      </c>
      <c r="CW52">
        <v>0</v>
      </c>
      <c r="CX52">
        <f>ROUND(Y52*Source!I42,9)</f>
        <v>2.1682799999999999E-3</v>
      </c>
      <c r="CY52">
        <f t="shared" si="9"/>
        <v>10633.86</v>
      </c>
      <c r="CZ52">
        <f t="shared" si="10"/>
        <v>10633.86</v>
      </c>
      <c r="DA52">
        <f t="shared" si="11"/>
        <v>1</v>
      </c>
      <c r="DB52">
        <f t="shared" si="12"/>
        <v>10.11</v>
      </c>
      <c r="DC52">
        <f t="shared" si="13"/>
        <v>0</v>
      </c>
      <c r="DD52" t="s">
        <v>6</v>
      </c>
      <c r="DE52" t="s">
        <v>6</v>
      </c>
      <c r="DF52">
        <f t="shared" si="7"/>
        <v>23</v>
      </c>
      <c r="DG52">
        <f t="shared" si="6"/>
        <v>0</v>
      </c>
      <c r="DH52">
        <f>Source!I42*SmtRes!Y52</f>
        <v>2.1682799999999999E-3</v>
      </c>
      <c r="DI52">
        <f t="shared" si="14"/>
        <v>10633.86</v>
      </c>
      <c r="DJ52">
        <f t="shared" si="15"/>
        <v>23</v>
      </c>
      <c r="DK52">
        <f>Source!BC42</f>
        <v>1</v>
      </c>
      <c r="DL52" t="s">
        <v>6</v>
      </c>
      <c r="DM52">
        <v>0</v>
      </c>
      <c r="DN52" t="s">
        <v>6</v>
      </c>
      <c r="DO52">
        <v>0</v>
      </c>
      <c r="GP52">
        <v>1</v>
      </c>
      <c r="GQ52">
        <v>-1</v>
      </c>
      <c r="GR52">
        <v>-1</v>
      </c>
    </row>
    <row r="53" spans="1:200" x14ac:dyDescent="0.2">
      <c r="A53">
        <f>ROW(Source!A42)</f>
        <v>42</v>
      </c>
      <c r="B53">
        <v>86326987</v>
      </c>
      <c r="C53">
        <v>86327273</v>
      </c>
      <c r="D53">
        <v>69408587</v>
      </c>
      <c r="E53">
        <v>1</v>
      </c>
      <c r="F53">
        <v>1</v>
      </c>
      <c r="G53">
        <v>1</v>
      </c>
      <c r="H53">
        <v>3</v>
      </c>
      <c r="I53" t="s">
        <v>87</v>
      </c>
      <c r="J53" t="s">
        <v>89</v>
      </c>
      <c r="K53" t="s">
        <v>88</v>
      </c>
      <c r="L53">
        <v>1339</v>
      </c>
      <c r="N53">
        <v>1007</v>
      </c>
      <c r="O53" t="s">
        <v>44</v>
      </c>
      <c r="P53" t="s">
        <v>44</v>
      </c>
      <c r="Q53">
        <v>1</v>
      </c>
      <c r="W53">
        <v>0</v>
      </c>
      <c r="X53">
        <v>-183216560</v>
      </c>
      <c r="Y53">
        <f t="shared" si="8"/>
        <v>3.0449999999999999</v>
      </c>
      <c r="AA53">
        <v>878.79</v>
      </c>
      <c r="AB53">
        <v>0</v>
      </c>
      <c r="AC53">
        <v>0</v>
      </c>
      <c r="AD53">
        <v>0</v>
      </c>
      <c r="AE53">
        <v>878.79</v>
      </c>
      <c r="AF53">
        <v>0</v>
      </c>
      <c r="AG53">
        <v>0</v>
      </c>
      <c r="AH53">
        <v>0</v>
      </c>
      <c r="AI53">
        <v>1</v>
      </c>
      <c r="AJ53">
        <v>1</v>
      </c>
      <c r="AK53">
        <v>1</v>
      </c>
      <c r="AL53">
        <v>1</v>
      </c>
      <c r="AM53">
        <v>0</v>
      </c>
      <c r="AN53">
        <v>0</v>
      </c>
      <c r="AO53">
        <v>0</v>
      </c>
      <c r="AP53">
        <v>1</v>
      </c>
      <c r="AQ53">
        <v>0</v>
      </c>
      <c r="AR53">
        <v>0</v>
      </c>
      <c r="AS53" t="s">
        <v>6</v>
      </c>
      <c r="AT53">
        <v>3.0449999999999999</v>
      </c>
      <c r="AU53" t="s">
        <v>6</v>
      </c>
      <c r="AV53">
        <v>0</v>
      </c>
      <c r="AW53">
        <v>1</v>
      </c>
      <c r="AX53">
        <v>-1</v>
      </c>
      <c r="AY53">
        <v>0</v>
      </c>
      <c r="AZ53">
        <v>0</v>
      </c>
      <c r="BA53" t="s">
        <v>6</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CV53">
        <v>0</v>
      </c>
      <c r="CW53">
        <v>0</v>
      </c>
      <c r="CX53">
        <f>ROUND(Y53*Source!I42,9)</f>
        <v>6.9425999999999997</v>
      </c>
      <c r="CY53">
        <f t="shared" si="9"/>
        <v>878.79</v>
      </c>
      <c r="CZ53">
        <f t="shared" si="10"/>
        <v>878.79</v>
      </c>
      <c r="DA53">
        <f t="shared" si="11"/>
        <v>1</v>
      </c>
      <c r="DB53">
        <f t="shared" si="12"/>
        <v>2675.92</v>
      </c>
      <c r="DC53">
        <f t="shared" si="13"/>
        <v>0</v>
      </c>
      <c r="DD53" t="s">
        <v>6</v>
      </c>
      <c r="DE53" t="s">
        <v>6</v>
      </c>
      <c r="DF53">
        <f t="shared" si="7"/>
        <v>6103</v>
      </c>
      <c r="DG53">
        <f t="shared" si="6"/>
        <v>0</v>
      </c>
      <c r="DH53">
        <f>Source!I42*SmtRes!Y53</f>
        <v>6.9425999999999997</v>
      </c>
      <c r="DI53">
        <f t="shared" si="14"/>
        <v>878.79</v>
      </c>
      <c r="DJ53">
        <f t="shared" si="15"/>
        <v>6103</v>
      </c>
      <c r="DK53">
        <f>Source!BC42</f>
        <v>1</v>
      </c>
      <c r="DL53" t="s">
        <v>6</v>
      </c>
      <c r="DM53">
        <v>0</v>
      </c>
      <c r="DN53" t="s">
        <v>6</v>
      </c>
      <c r="DO53">
        <v>0</v>
      </c>
      <c r="GP53">
        <v>1</v>
      </c>
      <c r="GQ53">
        <v>-1</v>
      </c>
      <c r="GR53">
        <v>-1</v>
      </c>
    </row>
    <row r="54" spans="1:200" x14ac:dyDescent="0.2">
      <c r="A54">
        <f>ROW(Source!A43)</f>
        <v>43</v>
      </c>
      <c r="B54">
        <v>86326988</v>
      </c>
      <c r="C54">
        <v>86327273</v>
      </c>
      <c r="D54">
        <v>27497778</v>
      </c>
      <c r="E54">
        <v>1</v>
      </c>
      <c r="F54">
        <v>1</v>
      </c>
      <c r="G54">
        <v>1</v>
      </c>
      <c r="H54">
        <v>1</v>
      </c>
      <c r="I54" t="s">
        <v>647</v>
      </c>
      <c r="J54" t="s">
        <v>6</v>
      </c>
      <c r="K54" t="s">
        <v>648</v>
      </c>
      <c r="L54">
        <v>1369</v>
      </c>
      <c r="N54">
        <v>1013</v>
      </c>
      <c r="O54" t="s">
        <v>625</v>
      </c>
      <c r="P54" t="s">
        <v>625</v>
      </c>
      <c r="Q54">
        <v>1</v>
      </c>
      <c r="W54">
        <v>0</v>
      </c>
      <c r="X54">
        <v>-160844189</v>
      </c>
      <c r="Y54">
        <f>(AT54*1.05)</f>
        <v>4.5570000000000004</v>
      </c>
      <c r="AA54">
        <v>0</v>
      </c>
      <c r="AB54">
        <v>0</v>
      </c>
      <c r="AC54">
        <v>0</v>
      </c>
      <c r="AD54">
        <v>314.17</v>
      </c>
      <c r="AE54">
        <v>0</v>
      </c>
      <c r="AF54">
        <v>0</v>
      </c>
      <c r="AG54">
        <v>0</v>
      </c>
      <c r="AH54">
        <v>8.7100000000000009</v>
      </c>
      <c r="AI54">
        <v>1</v>
      </c>
      <c r="AJ54">
        <v>1</v>
      </c>
      <c r="AK54">
        <v>1</v>
      </c>
      <c r="AL54">
        <v>36.07</v>
      </c>
      <c r="AM54">
        <v>5</v>
      </c>
      <c r="AN54">
        <v>0</v>
      </c>
      <c r="AO54">
        <v>1</v>
      </c>
      <c r="AP54">
        <v>1</v>
      </c>
      <c r="AQ54">
        <v>0</v>
      </c>
      <c r="AR54">
        <v>0</v>
      </c>
      <c r="AS54" t="s">
        <v>6</v>
      </c>
      <c r="AT54">
        <v>4.34</v>
      </c>
      <c r="AU54" t="s">
        <v>25</v>
      </c>
      <c r="AV54">
        <v>1</v>
      </c>
      <c r="AW54">
        <v>2</v>
      </c>
      <c r="AX54">
        <v>86327287</v>
      </c>
      <c r="AY54">
        <v>1</v>
      </c>
      <c r="AZ54">
        <v>0</v>
      </c>
      <c r="BA54">
        <v>52</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CU54">
        <f>ROUND(AT54*Source!I43*AH54*AL54,0)</f>
        <v>3109</v>
      </c>
      <c r="CV54">
        <f>ROUND(Y54*Source!I43,9)</f>
        <v>10.38996</v>
      </c>
      <c r="CW54">
        <v>0</v>
      </c>
      <c r="CX54">
        <f>ROUND(Y54*Source!I43,9)</f>
        <v>10.38996</v>
      </c>
      <c r="CY54">
        <f>AD54</f>
        <v>314.17</v>
      </c>
      <c r="CZ54">
        <f>AH54</f>
        <v>8.7100000000000009</v>
      </c>
      <c r="DA54">
        <f>AL54</f>
        <v>36.07</v>
      </c>
      <c r="DB54">
        <f>ROUND((ROUND(AT54*CZ54,2)*1.05),2)</f>
        <v>39.69</v>
      </c>
      <c r="DC54">
        <f>ROUND((ROUND(AT54*AG54,2)*1.05),2)</f>
        <v>0</v>
      </c>
      <c r="DD54" t="s">
        <v>6</v>
      </c>
      <c r="DE54" t="s">
        <v>6</v>
      </c>
      <c r="DF54">
        <f t="shared" si="7"/>
        <v>0</v>
      </c>
      <c r="DG54">
        <f t="shared" si="6"/>
        <v>0</v>
      </c>
      <c r="DH54">
        <f>Source!I43*SmtRes!Y54</f>
        <v>10.38996</v>
      </c>
      <c r="DI54">
        <f>AD54</f>
        <v>314.17</v>
      </c>
      <c r="DJ54">
        <f>EtalonRes!AB52</f>
        <v>8.7100000000000009</v>
      </c>
      <c r="DK54">
        <f>Source!BA43</f>
        <v>36.07</v>
      </c>
      <c r="DL54" t="s">
        <v>6</v>
      </c>
      <c r="DM54">
        <v>0</v>
      </c>
      <c r="DN54" t="s">
        <v>6</v>
      </c>
      <c r="DO54">
        <v>0</v>
      </c>
      <c r="GQ54">
        <v>-1</v>
      </c>
      <c r="GR54">
        <v>-1</v>
      </c>
    </row>
    <row r="55" spans="1:200" x14ac:dyDescent="0.2">
      <c r="A55">
        <f>ROW(Source!A43)</f>
        <v>43</v>
      </c>
      <c r="B55">
        <v>86326988</v>
      </c>
      <c r="C55">
        <v>86327273</v>
      </c>
      <c r="D55">
        <v>121548</v>
      </c>
      <c r="E55">
        <v>1</v>
      </c>
      <c r="F55">
        <v>1</v>
      </c>
      <c r="G55">
        <v>1</v>
      </c>
      <c r="H55">
        <v>1</v>
      </c>
      <c r="I55" t="s">
        <v>40</v>
      </c>
      <c r="J55" t="s">
        <v>6</v>
      </c>
      <c r="K55" t="s">
        <v>626</v>
      </c>
      <c r="L55">
        <v>608254</v>
      </c>
      <c r="N55">
        <v>1013</v>
      </c>
      <c r="O55" t="s">
        <v>627</v>
      </c>
      <c r="P55" t="s">
        <v>627</v>
      </c>
      <c r="Q55">
        <v>1</v>
      </c>
      <c r="W55">
        <v>0</v>
      </c>
      <c r="X55">
        <v>-185737400</v>
      </c>
      <c r="Y55">
        <f>(AT55*1.12)</f>
        <v>1.9152000000000002</v>
      </c>
      <c r="AA55">
        <v>0</v>
      </c>
      <c r="AB55">
        <v>0</v>
      </c>
      <c r="AC55">
        <v>0</v>
      </c>
      <c r="AD55">
        <v>0</v>
      </c>
      <c r="AE55">
        <v>0</v>
      </c>
      <c r="AF55">
        <v>0</v>
      </c>
      <c r="AG55">
        <v>0</v>
      </c>
      <c r="AH55">
        <v>0</v>
      </c>
      <c r="AI55">
        <v>1</v>
      </c>
      <c r="AJ55">
        <v>1</v>
      </c>
      <c r="AK55">
        <v>19.8</v>
      </c>
      <c r="AL55">
        <v>1</v>
      </c>
      <c r="AM55">
        <v>5</v>
      </c>
      <c r="AN55">
        <v>0</v>
      </c>
      <c r="AO55">
        <v>1</v>
      </c>
      <c r="AP55">
        <v>1</v>
      </c>
      <c r="AQ55">
        <v>0</v>
      </c>
      <c r="AR55">
        <v>0</v>
      </c>
      <c r="AS55" t="s">
        <v>6</v>
      </c>
      <c r="AT55">
        <v>1.71</v>
      </c>
      <c r="AU55" t="s">
        <v>24</v>
      </c>
      <c r="AV55">
        <v>2</v>
      </c>
      <c r="AW55">
        <v>2</v>
      </c>
      <c r="AX55">
        <v>86327288</v>
      </c>
      <c r="AY55">
        <v>1</v>
      </c>
      <c r="AZ55">
        <v>0</v>
      </c>
      <c r="BA55">
        <v>53</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CV55">
        <v>0</v>
      </c>
      <c r="CW55">
        <v>0</v>
      </c>
      <c r="CX55">
        <f>ROUND(Y55*Source!I43,9)</f>
        <v>4.3666559999999999</v>
      </c>
      <c r="CY55">
        <f>AD55</f>
        <v>0</v>
      </c>
      <c r="CZ55">
        <f>AH55</f>
        <v>0</v>
      </c>
      <c r="DA55">
        <f>AL55</f>
        <v>1</v>
      </c>
      <c r="DB55">
        <f>ROUND((ROUND(AT55*CZ55,2)*1.12),2)</f>
        <v>0</v>
      </c>
      <c r="DC55">
        <f>ROUND((ROUND(AT55*AG55,2)*1.12),2)</f>
        <v>0</v>
      </c>
      <c r="DD55" t="s">
        <v>6</v>
      </c>
      <c r="DE55" t="s">
        <v>6</v>
      </c>
      <c r="DF55">
        <f t="shared" si="7"/>
        <v>0</v>
      </c>
      <c r="DG55">
        <f t="shared" si="6"/>
        <v>0</v>
      </c>
      <c r="DH55">
        <f>Source!I43*SmtRes!Y55</f>
        <v>4.3666559999999999</v>
      </c>
      <c r="DI55">
        <f>AD55</f>
        <v>0</v>
      </c>
      <c r="DJ55">
        <f>EtalonRes!AB53</f>
        <v>0</v>
      </c>
      <c r="DK55">
        <f>Source!BA43</f>
        <v>36.07</v>
      </c>
      <c r="DL55" t="s">
        <v>6</v>
      </c>
      <c r="DM55">
        <v>0</v>
      </c>
      <c r="DN55" t="s">
        <v>6</v>
      </c>
      <c r="DO55">
        <v>0</v>
      </c>
      <c r="GQ55">
        <v>-1</v>
      </c>
      <c r="GR55">
        <v>-1</v>
      </c>
    </row>
    <row r="56" spans="1:200" x14ac:dyDescent="0.2">
      <c r="A56">
        <f>ROW(Source!A43)</f>
        <v>43</v>
      </c>
      <c r="B56">
        <v>86326988</v>
      </c>
      <c r="C56">
        <v>86327273</v>
      </c>
      <c r="D56">
        <v>27439419</v>
      </c>
      <c r="E56">
        <v>1</v>
      </c>
      <c r="F56">
        <v>1</v>
      </c>
      <c r="G56">
        <v>1</v>
      </c>
      <c r="H56">
        <v>2</v>
      </c>
      <c r="I56" t="s">
        <v>628</v>
      </c>
      <c r="J56" t="s">
        <v>629</v>
      </c>
      <c r="K56" t="s">
        <v>630</v>
      </c>
      <c r="L56">
        <v>1368</v>
      </c>
      <c r="N56">
        <v>1011</v>
      </c>
      <c r="O56" t="s">
        <v>137</v>
      </c>
      <c r="P56" t="s">
        <v>137</v>
      </c>
      <c r="Q56">
        <v>1</v>
      </c>
      <c r="W56">
        <v>0</v>
      </c>
      <c r="X56">
        <v>1804162481</v>
      </c>
      <c r="Y56">
        <f>(AT56*1.12)</f>
        <v>1.9152000000000002</v>
      </c>
      <c r="AA56">
        <v>0</v>
      </c>
      <c r="AB56">
        <v>1075.45</v>
      </c>
      <c r="AC56">
        <v>269.48</v>
      </c>
      <c r="AD56">
        <v>0</v>
      </c>
      <c r="AE56">
        <v>0</v>
      </c>
      <c r="AF56">
        <v>115.64</v>
      </c>
      <c r="AG56">
        <v>13.61</v>
      </c>
      <c r="AH56">
        <v>0</v>
      </c>
      <c r="AI56">
        <v>1</v>
      </c>
      <c r="AJ56">
        <v>9.3000000000000007</v>
      </c>
      <c r="AK56">
        <v>19.8</v>
      </c>
      <c r="AL56">
        <v>1</v>
      </c>
      <c r="AM56">
        <v>5</v>
      </c>
      <c r="AN56">
        <v>0</v>
      </c>
      <c r="AO56">
        <v>1</v>
      </c>
      <c r="AP56">
        <v>1</v>
      </c>
      <c r="AQ56">
        <v>0</v>
      </c>
      <c r="AR56">
        <v>0</v>
      </c>
      <c r="AS56" t="s">
        <v>6</v>
      </c>
      <c r="AT56">
        <v>1.71</v>
      </c>
      <c r="AU56" t="s">
        <v>24</v>
      </c>
      <c r="AV56">
        <v>0</v>
      </c>
      <c r="AW56">
        <v>1</v>
      </c>
      <c r="AX56">
        <v>-1</v>
      </c>
      <c r="AY56">
        <v>0</v>
      </c>
      <c r="AZ56">
        <v>0</v>
      </c>
      <c r="BA56" t="s">
        <v>6</v>
      </c>
      <c r="BB56">
        <v>5</v>
      </c>
      <c r="BC56">
        <v>0</v>
      </c>
      <c r="BD56">
        <v>221.47372800000002</v>
      </c>
      <c r="BE56">
        <v>26.065872000000002</v>
      </c>
      <c r="BF56">
        <v>0</v>
      </c>
      <c r="BG56">
        <v>0</v>
      </c>
      <c r="BH56">
        <v>0</v>
      </c>
      <c r="BI56">
        <v>1</v>
      </c>
      <c r="BJ56">
        <v>0</v>
      </c>
      <c r="BK56">
        <v>0</v>
      </c>
      <c r="BL56">
        <v>0</v>
      </c>
      <c r="BM56">
        <v>0</v>
      </c>
      <c r="BN56">
        <v>0</v>
      </c>
      <c r="BO56">
        <v>0</v>
      </c>
      <c r="BP56">
        <v>0</v>
      </c>
      <c r="BQ56">
        <v>0</v>
      </c>
      <c r="BR56">
        <v>0</v>
      </c>
      <c r="BS56">
        <v>0</v>
      </c>
      <c r="BT56">
        <v>0</v>
      </c>
      <c r="BU56">
        <v>0</v>
      </c>
      <c r="BV56">
        <v>0</v>
      </c>
      <c r="BW56">
        <v>0</v>
      </c>
      <c r="CV56">
        <v>0</v>
      </c>
      <c r="CW56">
        <f>ROUND(Y56*Source!I43*DO56,9)</f>
        <v>0</v>
      </c>
      <c r="CX56">
        <f>ROUND(Y56*Source!I43,9)</f>
        <v>4.3666559999999999</v>
      </c>
      <c r="CY56">
        <f>AB56</f>
        <v>1075.45</v>
      </c>
      <c r="CZ56">
        <f>AF56</f>
        <v>115.64</v>
      </c>
      <c r="DA56">
        <f>AJ56</f>
        <v>9.3000000000000007</v>
      </c>
      <c r="DB56">
        <f>ROUND((ROUND(AT56*CZ56,2)*1.12),2)</f>
        <v>221.47</v>
      </c>
      <c r="DC56">
        <f>ROUND((ROUND(AT56*AG56,2)*1.12),2)</f>
        <v>26.06</v>
      </c>
      <c r="DD56" t="s">
        <v>6</v>
      </c>
      <c r="DE56" t="s">
        <v>6</v>
      </c>
      <c r="DF56">
        <f t="shared" si="7"/>
        <v>0</v>
      </c>
      <c r="DG56">
        <f>ROUND(ROUND(AF56*AJ56,0)*CX56,0)</f>
        <v>4694</v>
      </c>
      <c r="DH56">
        <f>Source!I43*SmtRes!Y56</f>
        <v>4.3666559999999999</v>
      </c>
      <c r="DI56">
        <f>AB56</f>
        <v>1075.45</v>
      </c>
      <c r="DJ56">
        <f>DG56</f>
        <v>4694</v>
      </c>
      <c r="DK56">
        <f>Source!BB43</f>
        <v>9.3000000000000007</v>
      </c>
      <c r="DL56" t="s">
        <v>6</v>
      </c>
      <c r="DM56">
        <v>0</v>
      </c>
      <c r="DN56" t="s">
        <v>6</v>
      </c>
      <c r="DO56">
        <v>0</v>
      </c>
      <c r="GQ56">
        <v>-1</v>
      </c>
      <c r="GR56">
        <v>-1</v>
      </c>
    </row>
    <row r="57" spans="1:200" x14ac:dyDescent="0.2">
      <c r="A57">
        <f>ROW(Source!A43)</f>
        <v>43</v>
      </c>
      <c r="B57">
        <v>86326988</v>
      </c>
      <c r="C57">
        <v>86327273</v>
      </c>
      <c r="D57">
        <v>27440039</v>
      </c>
      <c r="E57">
        <v>1</v>
      </c>
      <c r="F57">
        <v>1</v>
      </c>
      <c r="G57">
        <v>1</v>
      </c>
      <c r="H57">
        <v>2</v>
      </c>
      <c r="I57" t="s">
        <v>649</v>
      </c>
      <c r="J57" t="s">
        <v>650</v>
      </c>
      <c r="K57" t="s">
        <v>651</v>
      </c>
      <c r="L57">
        <v>1368</v>
      </c>
      <c r="N57">
        <v>1011</v>
      </c>
      <c r="O57" t="s">
        <v>137</v>
      </c>
      <c r="P57" t="s">
        <v>137</v>
      </c>
      <c r="Q57">
        <v>1</v>
      </c>
      <c r="W57">
        <v>0</v>
      </c>
      <c r="X57">
        <v>389347920</v>
      </c>
      <c r="Y57">
        <f>(AT57*1.12)</f>
        <v>2.2624000000000004</v>
      </c>
      <c r="AA57">
        <v>0</v>
      </c>
      <c r="AB57">
        <v>17.02</v>
      </c>
      <c r="AC57">
        <v>0</v>
      </c>
      <c r="AD57">
        <v>0</v>
      </c>
      <c r="AE57">
        <v>0</v>
      </c>
      <c r="AF57">
        <v>1.83</v>
      </c>
      <c r="AG57">
        <v>0</v>
      </c>
      <c r="AH57">
        <v>0</v>
      </c>
      <c r="AI57">
        <v>1</v>
      </c>
      <c r="AJ57">
        <v>9.3000000000000007</v>
      </c>
      <c r="AK57">
        <v>19.8</v>
      </c>
      <c r="AL57">
        <v>1</v>
      </c>
      <c r="AM57">
        <v>5</v>
      </c>
      <c r="AN57">
        <v>0</v>
      </c>
      <c r="AO57">
        <v>1</v>
      </c>
      <c r="AP57">
        <v>1</v>
      </c>
      <c r="AQ57">
        <v>0</v>
      </c>
      <c r="AR57">
        <v>0</v>
      </c>
      <c r="AS57" t="s">
        <v>6</v>
      </c>
      <c r="AT57">
        <v>2.02</v>
      </c>
      <c r="AU57" t="s">
        <v>24</v>
      </c>
      <c r="AV57">
        <v>0</v>
      </c>
      <c r="AW57">
        <v>2</v>
      </c>
      <c r="AX57">
        <v>86327290</v>
      </c>
      <c r="AY57">
        <v>1</v>
      </c>
      <c r="AZ57">
        <v>0</v>
      </c>
      <c r="BA57">
        <v>55</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CV57">
        <v>0</v>
      </c>
      <c r="CW57">
        <f>ROUND(Y57*Source!I43*DO57,9)</f>
        <v>0</v>
      </c>
      <c r="CX57">
        <f>ROUND(Y57*Source!I43,9)</f>
        <v>5.1582720000000002</v>
      </c>
      <c r="CY57">
        <f>AB57</f>
        <v>17.02</v>
      </c>
      <c r="CZ57">
        <f>AF57</f>
        <v>1.83</v>
      </c>
      <c r="DA57">
        <f>AJ57</f>
        <v>9.3000000000000007</v>
      </c>
      <c r="DB57">
        <f>ROUND((ROUND(AT57*CZ57,2)*1.12),2)</f>
        <v>4.1399999999999997</v>
      </c>
      <c r="DC57">
        <f>ROUND((ROUND(AT57*AG57,2)*1.12),2)</f>
        <v>0</v>
      </c>
      <c r="DD57" t="s">
        <v>6</v>
      </c>
      <c r="DE57" t="s">
        <v>6</v>
      </c>
      <c r="DF57">
        <f t="shared" si="7"/>
        <v>0</v>
      </c>
      <c r="DG57">
        <f>ROUND(ROUND(AF57*AJ57,0)*CX57,0)</f>
        <v>88</v>
      </c>
      <c r="DH57">
        <f>Source!I43*SmtRes!Y57</f>
        <v>5.1582720000000002</v>
      </c>
      <c r="DI57">
        <f>AB57</f>
        <v>17.02</v>
      </c>
      <c r="DJ57">
        <f>EtalonRes!Z55</f>
        <v>1.83</v>
      </c>
      <c r="DK57">
        <f>Source!BB43</f>
        <v>9.3000000000000007</v>
      </c>
      <c r="DL57" t="s">
        <v>6</v>
      </c>
      <c r="DM57">
        <v>0</v>
      </c>
      <c r="DN57" t="s">
        <v>6</v>
      </c>
      <c r="DO57">
        <v>0</v>
      </c>
      <c r="GQ57">
        <v>-1</v>
      </c>
      <c r="GR57">
        <v>-1</v>
      </c>
    </row>
    <row r="58" spans="1:200" x14ac:dyDescent="0.2">
      <c r="A58">
        <f>ROW(Source!A43)</f>
        <v>43</v>
      </c>
      <c r="B58">
        <v>86326988</v>
      </c>
      <c r="C58">
        <v>86327273</v>
      </c>
      <c r="D58">
        <v>27371200</v>
      </c>
      <c r="E58">
        <v>1</v>
      </c>
      <c r="F58">
        <v>1</v>
      </c>
      <c r="G58">
        <v>1</v>
      </c>
      <c r="H58">
        <v>3</v>
      </c>
      <c r="I58" t="s">
        <v>71</v>
      </c>
      <c r="J58" t="s">
        <v>73</v>
      </c>
      <c r="K58" t="s">
        <v>72</v>
      </c>
      <c r="L58">
        <v>1348</v>
      </c>
      <c r="N58">
        <v>1009</v>
      </c>
      <c r="O58" t="s">
        <v>33</v>
      </c>
      <c r="P58" t="s">
        <v>33</v>
      </c>
      <c r="Q58">
        <v>1000</v>
      </c>
      <c r="W58">
        <v>0</v>
      </c>
      <c r="X58">
        <v>-81122142</v>
      </c>
      <c r="Y58">
        <f t="shared" ref="Y58:Y66" si="16">AT58</f>
        <v>4.1999999999999997E-3</v>
      </c>
      <c r="AA58">
        <v>82500</v>
      </c>
      <c r="AB58">
        <v>0</v>
      </c>
      <c r="AC58">
        <v>0</v>
      </c>
      <c r="AD58">
        <v>0</v>
      </c>
      <c r="AE58">
        <v>11576.19</v>
      </c>
      <c r="AF58">
        <v>0</v>
      </c>
      <c r="AG58">
        <v>0</v>
      </c>
      <c r="AH58">
        <v>0</v>
      </c>
      <c r="AI58">
        <v>7.56</v>
      </c>
      <c r="AJ58">
        <v>1</v>
      </c>
      <c r="AK58">
        <v>1</v>
      </c>
      <c r="AL58">
        <v>1</v>
      </c>
      <c r="AM58">
        <v>0</v>
      </c>
      <c r="AN58">
        <v>0</v>
      </c>
      <c r="AO58">
        <v>0</v>
      </c>
      <c r="AP58">
        <v>1</v>
      </c>
      <c r="AQ58">
        <v>0</v>
      </c>
      <c r="AR58">
        <v>0</v>
      </c>
      <c r="AS58" t="s">
        <v>6</v>
      </c>
      <c r="AT58">
        <v>4.1999999999999997E-3</v>
      </c>
      <c r="AU58" t="s">
        <v>6</v>
      </c>
      <c r="AV58">
        <v>0</v>
      </c>
      <c r="AW58">
        <v>2</v>
      </c>
      <c r="AX58">
        <v>86327291</v>
      </c>
      <c r="AY58">
        <v>1</v>
      </c>
      <c r="AZ58">
        <v>16384</v>
      </c>
      <c r="BA58">
        <v>56</v>
      </c>
      <c r="BB58">
        <v>3</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CV58">
        <v>0</v>
      </c>
      <c r="CW58">
        <v>0</v>
      </c>
      <c r="CX58">
        <f>ROUND(Y58*Source!I43,9)</f>
        <v>9.5759999999999994E-3</v>
      </c>
      <c r="CY58">
        <f t="shared" ref="CY58:CY66" si="17">AA58</f>
        <v>82500</v>
      </c>
      <c r="CZ58">
        <f t="shared" ref="CZ58:CZ66" si="18">AE58</f>
        <v>11576.19</v>
      </c>
      <c r="DA58">
        <f t="shared" ref="DA58:DA66" si="19">AI58</f>
        <v>7.56</v>
      </c>
      <c r="DB58">
        <f t="shared" ref="DB58:DB66" si="20">ROUND(ROUND(AT58*CZ58,2),2)</f>
        <v>48.62</v>
      </c>
      <c r="DC58">
        <f t="shared" ref="DC58:DC66" si="21">ROUND(ROUND(AT58*AG58,2),2)</f>
        <v>0</v>
      </c>
      <c r="DD58" t="s">
        <v>6</v>
      </c>
      <c r="DE58" t="s">
        <v>6</v>
      </c>
      <c r="DF58">
        <f t="shared" ref="DF58:DF66" si="22">ROUND(ROUND(AE58*AI58,0)*CX58,0)</f>
        <v>838</v>
      </c>
      <c r="DG58">
        <f t="shared" ref="DG58:DG81" si="23">ROUND(ROUND(AF58,0)*CX58,0)</f>
        <v>0</v>
      </c>
      <c r="DH58">
        <f>Source!I43*SmtRes!Y58</f>
        <v>9.5759999999999994E-3</v>
      </c>
      <c r="DI58">
        <f t="shared" ref="DI58:DI66" si="24">AA58</f>
        <v>82500</v>
      </c>
      <c r="DJ58">
        <f>EtalonRes!Y56</f>
        <v>1696.01</v>
      </c>
      <c r="DK58">
        <f>Source!BC43</f>
        <v>7.56</v>
      </c>
      <c r="DL58" t="s">
        <v>6</v>
      </c>
      <c r="DM58">
        <v>0</v>
      </c>
      <c r="DN58" t="s">
        <v>6</v>
      </c>
      <c r="DO58">
        <v>0</v>
      </c>
      <c r="GP58">
        <v>1</v>
      </c>
      <c r="GQ58">
        <v>-1</v>
      </c>
      <c r="GR58">
        <v>-1</v>
      </c>
    </row>
    <row r="59" spans="1:200" x14ac:dyDescent="0.2">
      <c r="A59">
        <f>ROW(Source!A43)</f>
        <v>43</v>
      </c>
      <c r="B59">
        <v>86326988</v>
      </c>
      <c r="C59">
        <v>86327273</v>
      </c>
      <c r="D59">
        <v>11618017</v>
      </c>
      <c r="E59">
        <v>1</v>
      </c>
      <c r="F59">
        <v>1</v>
      </c>
      <c r="G59">
        <v>1</v>
      </c>
      <c r="H59">
        <v>3</v>
      </c>
      <c r="I59" t="s">
        <v>107</v>
      </c>
      <c r="J59" t="s">
        <v>109</v>
      </c>
      <c r="K59" t="s">
        <v>108</v>
      </c>
      <c r="L59">
        <v>1371</v>
      </c>
      <c r="N59">
        <v>1013</v>
      </c>
      <c r="O59" t="s">
        <v>103</v>
      </c>
      <c r="P59" t="s">
        <v>103</v>
      </c>
      <c r="Q59">
        <v>1</v>
      </c>
      <c r="W59">
        <v>0</v>
      </c>
      <c r="X59">
        <v>-1648273723</v>
      </c>
      <c r="Y59">
        <f t="shared" si="16"/>
        <v>12</v>
      </c>
      <c r="AA59">
        <v>0.62</v>
      </c>
      <c r="AB59">
        <v>0</v>
      </c>
      <c r="AC59">
        <v>0</v>
      </c>
      <c r="AD59">
        <v>0</v>
      </c>
      <c r="AE59">
        <v>0.08</v>
      </c>
      <c r="AF59">
        <v>0</v>
      </c>
      <c r="AG59">
        <v>0</v>
      </c>
      <c r="AH59">
        <v>0</v>
      </c>
      <c r="AI59">
        <v>7.56</v>
      </c>
      <c r="AJ59">
        <v>1</v>
      </c>
      <c r="AK59">
        <v>1</v>
      </c>
      <c r="AL59">
        <v>1</v>
      </c>
      <c r="AM59">
        <v>0</v>
      </c>
      <c r="AN59">
        <v>0</v>
      </c>
      <c r="AO59">
        <v>0</v>
      </c>
      <c r="AP59">
        <v>1</v>
      </c>
      <c r="AQ59">
        <v>0</v>
      </c>
      <c r="AR59">
        <v>0</v>
      </c>
      <c r="AS59" t="s">
        <v>6</v>
      </c>
      <c r="AT59">
        <v>12</v>
      </c>
      <c r="AU59" t="s">
        <v>6</v>
      </c>
      <c r="AV59">
        <v>0</v>
      </c>
      <c r="AW59">
        <v>1</v>
      </c>
      <c r="AX59">
        <v>-1</v>
      </c>
      <c r="AY59">
        <v>0</v>
      </c>
      <c r="AZ59">
        <v>0</v>
      </c>
      <c r="BA59" t="s">
        <v>6</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CV59">
        <v>0</v>
      </c>
      <c r="CW59">
        <v>0</v>
      </c>
      <c r="CX59">
        <f>ROUND(Y59*Source!I43,9)</f>
        <v>27.36</v>
      </c>
      <c r="CY59">
        <f t="shared" si="17"/>
        <v>0.62</v>
      </c>
      <c r="CZ59">
        <f t="shared" si="18"/>
        <v>0.08</v>
      </c>
      <c r="DA59">
        <f t="shared" si="19"/>
        <v>7.56</v>
      </c>
      <c r="DB59">
        <f t="shared" si="20"/>
        <v>0.96</v>
      </c>
      <c r="DC59">
        <f t="shared" si="21"/>
        <v>0</v>
      </c>
      <c r="DD59" t="s">
        <v>6</v>
      </c>
      <c r="DE59" t="s">
        <v>6</v>
      </c>
      <c r="DF59">
        <f t="shared" si="22"/>
        <v>27</v>
      </c>
      <c r="DG59">
        <f t="shared" si="23"/>
        <v>0</v>
      </c>
      <c r="DH59">
        <f>Source!I43*SmtRes!Y59</f>
        <v>27.36</v>
      </c>
      <c r="DI59">
        <f t="shared" si="24"/>
        <v>0.62</v>
      </c>
      <c r="DJ59">
        <f t="shared" ref="DJ59:DJ66" si="25">DF59</f>
        <v>27</v>
      </c>
      <c r="DK59">
        <f>Source!BC43</f>
        <v>7.56</v>
      </c>
      <c r="DL59" t="s">
        <v>6</v>
      </c>
      <c r="DM59">
        <v>0</v>
      </c>
      <c r="DN59" t="s">
        <v>6</v>
      </c>
      <c r="DO59">
        <v>0</v>
      </c>
      <c r="GP59">
        <v>1</v>
      </c>
      <c r="GQ59">
        <v>-1</v>
      </c>
      <c r="GR59">
        <v>-1</v>
      </c>
    </row>
    <row r="60" spans="1:200" x14ac:dyDescent="0.2">
      <c r="A60">
        <f>ROW(Source!A43)</f>
        <v>43</v>
      </c>
      <c r="B60">
        <v>86326988</v>
      </c>
      <c r="C60">
        <v>86327273</v>
      </c>
      <c r="D60">
        <v>11618018</v>
      </c>
      <c r="E60">
        <v>1</v>
      </c>
      <c r="F60">
        <v>1</v>
      </c>
      <c r="G60">
        <v>1</v>
      </c>
      <c r="H60">
        <v>3</v>
      </c>
      <c r="I60" t="s">
        <v>112</v>
      </c>
      <c r="J60" t="s">
        <v>114</v>
      </c>
      <c r="K60" t="s">
        <v>113</v>
      </c>
      <c r="L60">
        <v>1371</v>
      </c>
      <c r="N60">
        <v>1013</v>
      </c>
      <c r="O60" t="s">
        <v>103</v>
      </c>
      <c r="P60" t="s">
        <v>103</v>
      </c>
      <c r="Q60">
        <v>1</v>
      </c>
      <c r="W60">
        <v>0</v>
      </c>
      <c r="X60">
        <v>1900494391</v>
      </c>
      <c r="Y60">
        <f t="shared" si="16"/>
        <v>12</v>
      </c>
      <c r="AA60">
        <v>1.02</v>
      </c>
      <c r="AB60">
        <v>0</v>
      </c>
      <c r="AC60">
        <v>0</v>
      </c>
      <c r="AD60">
        <v>0</v>
      </c>
      <c r="AE60">
        <v>0.14000000000000001</v>
      </c>
      <c r="AF60">
        <v>0</v>
      </c>
      <c r="AG60">
        <v>0</v>
      </c>
      <c r="AH60">
        <v>0</v>
      </c>
      <c r="AI60">
        <v>7.56</v>
      </c>
      <c r="AJ60">
        <v>1</v>
      </c>
      <c r="AK60">
        <v>1</v>
      </c>
      <c r="AL60">
        <v>1</v>
      </c>
      <c r="AM60">
        <v>0</v>
      </c>
      <c r="AN60">
        <v>0</v>
      </c>
      <c r="AO60">
        <v>0</v>
      </c>
      <c r="AP60">
        <v>1</v>
      </c>
      <c r="AQ60">
        <v>0</v>
      </c>
      <c r="AR60">
        <v>0</v>
      </c>
      <c r="AS60" t="s">
        <v>6</v>
      </c>
      <c r="AT60">
        <v>12</v>
      </c>
      <c r="AU60" t="s">
        <v>6</v>
      </c>
      <c r="AV60">
        <v>0</v>
      </c>
      <c r="AW60">
        <v>1</v>
      </c>
      <c r="AX60">
        <v>-1</v>
      </c>
      <c r="AY60">
        <v>0</v>
      </c>
      <c r="AZ60">
        <v>0</v>
      </c>
      <c r="BA60" t="s">
        <v>6</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CV60">
        <v>0</v>
      </c>
      <c r="CW60">
        <v>0</v>
      </c>
      <c r="CX60">
        <f>ROUND(Y60*Source!I43,9)</f>
        <v>27.36</v>
      </c>
      <c r="CY60">
        <f t="shared" si="17"/>
        <v>1.02</v>
      </c>
      <c r="CZ60">
        <f t="shared" si="18"/>
        <v>0.14000000000000001</v>
      </c>
      <c r="DA60">
        <f t="shared" si="19"/>
        <v>7.56</v>
      </c>
      <c r="DB60">
        <f t="shared" si="20"/>
        <v>1.68</v>
      </c>
      <c r="DC60">
        <f t="shared" si="21"/>
        <v>0</v>
      </c>
      <c r="DD60" t="s">
        <v>6</v>
      </c>
      <c r="DE60" t="s">
        <v>6</v>
      </c>
      <c r="DF60">
        <f t="shared" si="22"/>
        <v>27</v>
      </c>
      <c r="DG60">
        <f t="shared" si="23"/>
        <v>0</v>
      </c>
      <c r="DH60">
        <f>Source!I43*SmtRes!Y60</f>
        <v>27.36</v>
      </c>
      <c r="DI60">
        <f t="shared" si="24"/>
        <v>1.02</v>
      </c>
      <c r="DJ60">
        <f t="shared" si="25"/>
        <v>27</v>
      </c>
      <c r="DK60">
        <f>Source!BC43</f>
        <v>7.56</v>
      </c>
      <c r="DL60" t="s">
        <v>6</v>
      </c>
      <c r="DM60">
        <v>0</v>
      </c>
      <c r="DN60" t="s">
        <v>6</v>
      </c>
      <c r="DO60">
        <v>0</v>
      </c>
      <c r="GP60">
        <v>1</v>
      </c>
      <c r="GQ60">
        <v>-1</v>
      </c>
      <c r="GR60">
        <v>-1</v>
      </c>
    </row>
    <row r="61" spans="1:200" x14ac:dyDescent="0.2">
      <c r="A61">
        <f>ROW(Source!A43)</f>
        <v>43</v>
      </c>
      <c r="B61">
        <v>86326988</v>
      </c>
      <c r="C61">
        <v>86327273</v>
      </c>
      <c r="D61">
        <v>11618019</v>
      </c>
      <c r="E61">
        <v>1</v>
      </c>
      <c r="F61">
        <v>1</v>
      </c>
      <c r="G61">
        <v>1</v>
      </c>
      <c r="H61">
        <v>3</v>
      </c>
      <c r="I61" t="s">
        <v>101</v>
      </c>
      <c r="J61" t="s">
        <v>104</v>
      </c>
      <c r="K61" t="s">
        <v>102</v>
      </c>
      <c r="L61">
        <v>1371</v>
      </c>
      <c r="N61">
        <v>1013</v>
      </c>
      <c r="O61" t="s">
        <v>103</v>
      </c>
      <c r="P61" t="s">
        <v>103</v>
      </c>
      <c r="Q61">
        <v>1</v>
      </c>
      <c r="W61">
        <v>0</v>
      </c>
      <c r="X61">
        <v>-504018761</v>
      </c>
      <c r="Y61">
        <f t="shared" si="16"/>
        <v>23</v>
      </c>
      <c r="AA61">
        <v>1.1299999999999999</v>
      </c>
      <c r="AB61">
        <v>0</v>
      </c>
      <c r="AC61">
        <v>0</v>
      </c>
      <c r="AD61">
        <v>0</v>
      </c>
      <c r="AE61">
        <v>0.16</v>
      </c>
      <c r="AF61">
        <v>0</v>
      </c>
      <c r="AG61">
        <v>0</v>
      </c>
      <c r="AH61">
        <v>0</v>
      </c>
      <c r="AI61">
        <v>7.56</v>
      </c>
      <c r="AJ61">
        <v>1</v>
      </c>
      <c r="AK61">
        <v>1</v>
      </c>
      <c r="AL61">
        <v>1</v>
      </c>
      <c r="AM61">
        <v>0</v>
      </c>
      <c r="AN61">
        <v>0</v>
      </c>
      <c r="AO61">
        <v>0</v>
      </c>
      <c r="AP61">
        <v>1</v>
      </c>
      <c r="AQ61">
        <v>0</v>
      </c>
      <c r="AR61">
        <v>0</v>
      </c>
      <c r="AS61" t="s">
        <v>6</v>
      </c>
      <c r="AT61">
        <v>23</v>
      </c>
      <c r="AU61" t="s">
        <v>6</v>
      </c>
      <c r="AV61">
        <v>0</v>
      </c>
      <c r="AW61">
        <v>1</v>
      </c>
      <c r="AX61">
        <v>-1</v>
      </c>
      <c r="AY61">
        <v>0</v>
      </c>
      <c r="AZ61">
        <v>0</v>
      </c>
      <c r="BA61" t="s">
        <v>6</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CV61">
        <v>0</v>
      </c>
      <c r="CW61">
        <v>0</v>
      </c>
      <c r="CX61">
        <f>ROUND(Y61*Source!I43,9)</f>
        <v>52.44</v>
      </c>
      <c r="CY61">
        <f t="shared" si="17"/>
        <v>1.1299999999999999</v>
      </c>
      <c r="CZ61">
        <f t="shared" si="18"/>
        <v>0.16</v>
      </c>
      <c r="DA61">
        <f t="shared" si="19"/>
        <v>7.56</v>
      </c>
      <c r="DB61">
        <f t="shared" si="20"/>
        <v>3.68</v>
      </c>
      <c r="DC61">
        <f t="shared" si="21"/>
        <v>0</v>
      </c>
      <c r="DD61" t="s">
        <v>6</v>
      </c>
      <c r="DE61" t="s">
        <v>6</v>
      </c>
      <c r="DF61">
        <f t="shared" si="22"/>
        <v>52</v>
      </c>
      <c r="DG61">
        <f t="shared" si="23"/>
        <v>0</v>
      </c>
      <c r="DH61">
        <f>Source!I43*SmtRes!Y61</f>
        <v>52.44</v>
      </c>
      <c r="DI61">
        <f t="shared" si="24"/>
        <v>1.1299999999999999</v>
      </c>
      <c r="DJ61">
        <f t="shared" si="25"/>
        <v>52</v>
      </c>
      <c r="DK61">
        <f>Source!BC43</f>
        <v>7.56</v>
      </c>
      <c r="DL61" t="s">
        <v>6</v>
      </c>
      <c r="DM61">
        <v>0</v>
      </c>
      <c r="DN61" t="s">
        <v>6</v>
      </c>
      <c r="DO61">
        <v>0</v>
      </c>
      <c r="GP61">
        <v>1</v>
      </c>
      <c r="GQ61">
        <v>-1</v>
      </c>
      <c r="GR61">
        <v>-1</v>
      </c>
    </row>
    <row r="62" spans="1:200" x14ac:dyDescent="0.2">
      <c r="A62">
        <f>ROW(Source!A43)</f>
        <v>43</v>
      </c>
      <c r="B62">
        <v>86326988</v>
      </c>
      <c r="C62">
        <v>86327273</v>
      </c>
      <c r="D62">
        <v>35950821</v>
      </c>
      <c r="E62">
        <v>1</v>
      </c>
      <c r="F62">
        <v>1</v>
      </c>
      <c r="G62">
        <v>1</v>
      </c>
      <c r="H62">
        <v>3</v>
      </c>
      <c r="I62" t="s">
        <v>76</v>
      </c>
      <c r="J62" t="s">
        <v>79</v>
      </c>
      <c r="K62" t="s">
        <v>77</v>
      </c>
      <c r="L62">
        <v>1391</v>
      </c>
      <c r="N62">
        <v>1013</v>
      </c>
      <c r="O62" t="s">
        <v>78</v>
      </c>
      <c r="P62" t="s">
        <v>78</v>
      </c>
      <c r="Q62">
        <v>1</v>
      </c>
      <c r="W62">
        <v>0</v>
      </c>
      <c r="X62">
        <v>813644265</v>
      </c>
      <c r="Y62">
        <f t="shared" si="16"/>
        <v>3</v>
      </c>
      <c r="AA62">
        <v>333.45</v>
      </c>
      <c r="AB62">
        <v>0</v>
      </c>
      <c r="AC62">
        <v>0</v>
      </c>
      <c r="AD62">
        <v>0</v>
      </c>
      <c r="AE62">
        <v>46.21</v>
      </c>
      <c r="AF62">
        <v>0</v>
      </c>
      <c r="AG62">
        <v>0</v>
      </c>
      <c r="AH62">
        <v>0</v>
      </c>
      <c r="AI62">
        <v>7.56</v>
      </c>
      <c r="AJ62">
        <v>1</v>
      </c>
      <c r="AK62">
        <v>1</v>
      </c>
      <c r="AL62">
        <v>1</v>
      </c>
      <c r="AM62">
        <v>0</v>
      </c>
      <c r="AN62">
        <v>0</v>
      </c>
      <c r="AO62">
        <v>0</v>
      </c>
      <c r="AP62">
        <v>1</v>
      </c>
      <c r="AQ62">
        <v>0</v>
      </c>
      <c r="AR62">
        <v>0</v>
      </c>
      <c r="AS62" t="s">
        <v>6</v>
      </c>
      <c r="AT62">
        <v>3</v>
      </c>
      <c r="AU62" t="s">
        <v>6</v>
      </c>
      <c r="AV62">
        <v>0</v>
      </c>
      <c r="AW62">
        <v>1</v>
      </c>
      <c r="AX62">
        <v>-1</v>
      </c>
      <c r="AY62">
        <v>0</v>
      </c>
      <c r="AZ62">
        <v>0</v>
      </c>
      <c r="BA62" t="s">
        <v>6</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CV62">
        <v>0</v>
      </c>
      <c r="CW62">
        <v>0</v>
      </c>
      <c r="CX62">
        <f>ROUND(Y62*Source!I43,9)</f>
        <v>6.84</v>
      </c>
      <c r="CY62">
        <f t="shared" si="17"/>
        <v>333.45</v>
      </c>
      <c r="CZ62">
        <f t="shared" si="18"/>
        <v>46.21</v>
      </c>
      <c r="DA62">
        <f t="shared" si="19"/>
        <v>7.56</v>
      </c>
      <c r="DB62">
        <f t="shared" si="20"/>
        <v>138.63</v>
      </c>
      <c r="DC62">
        <f t="shared" si="21"/>
        <v>0</v>
      </c>
      <c r="DD62" t="s">
        <v>6</v>
      </c>
      <c r="DE62" t="s">
        <v>6</v>
      </c>
      <c r="DF62">
        <f t="shared" si="22"/>
        <v>2387</v>
      </c>
      <c r="DG62">
        <f t="shared" si="23"/>
        <v>0</v>
      </c>
      <c r="DH62">
        <f>Source!I43*SmtRes!Y62</f>
        <v>6.84</v>
      </c>
      <c r="DI62">
        <f t="shared" si="24"/>
        <v>333.45</v>
      </c>
      <c r="DJ62">
        <f t="shared" si="25"/>
        <v>2387</v>
      </c>
      <c r="DK62">
        <f>Source!BC43</f>
        <v>7.56</v>
      </c>
      <c r="DL62" t="s">
        <v>6</v>
      </c>
      <c r="DM62">
        <v>0</v>
      </c>
      <c r="DN62" t="s">
        <v>6</v>
      </c>
      <c r="DO62">
        <v>0</v>
      </c>
      <c r="GP62">
        <v>1</v>
      </c>
      <c r="GQ62">
        <v>-1</v>
      </c>
      <c r="GR62">
        <v>-1</v>
      </c>
    </row>
    <row r="63" spans="1:200" x14ac:dyDescent="0.2">
      <c r="A63">
        <f>ROW(Source!A43)</f>
        <v>43</v>
      </c>
      <c r="B63">
        <v>86326988</v>
      </c>
      <c r="C63">
        <v>86327273</v>
      </c>
      <c r="D63">
        <v>35950824</v>
      </c>
      <c r="E63">
        <v>1</v>
      </c>
      <c r="F63">
        <v>1</v>
      </c>
      <c r="G63">
        <v>1</v>
      </c>
      <c r="H63">
        <v>3</v>
      </c>
      <c r="I63" t="s">
        <v>82</v>
      </c>
      <c r="J63" t="s">
        <v>84</v>
      </c>
      <c r="K63" t="s">
        <v>83</v>
      </c>
      <c r="L63">
        <v>1391</v>
      </c>
      <c r="N63">
        <v>1013</v>
      </c>
      <c r="O63" t="s">
        <v>78</v>
      </c>
      <c r="P63" t="s">
        <v>78</v>
      </c>
      <c r="Q63">
        <v>1</v>
      </c>
      <c r="W63">
        <v>0</v>
      </c>
      <c r="X63">
        <v>1913149582</v>
      </c>
      <c r="Y63">
        <f t="shared" si="16"/>
        <v>3</v>
      </c>
      <c r="AA63">
        <v>215.4</v>
      </c>
      <c r="AB63">
        <v>0</v>
      </c>
      <c r="AC63">
        <v>0</v>
      </c>
      <c r="AD63">
        <v>0</v>
      </c>
      <c r="AE63">
        <v>30.22</v>
      </c>
      <c r="AF63">
        <v>0</v>
      </c>
      <c r="AG63">
        <v>0</v>
      </c>
      <c r="AH63">
        <v>0</v>
      </c>
      <c r="AI63">
        <v>7.56</v>
      </c>
      <c r="AJ63">
        <v>1</v>
      </c>
      <c r="AK63">
        <v>1</v>
      </c>
      <c r="AL63">
        <v>1</v>
      </c>
      <c r="AM63">
        <v>0</v>
      </c>
      <c r="AN63">
        <v>0</v>
      </c>
      <c r="AO63">
        <v>0</v>
      </c>
      <c r="AP63">
        <v>1</v>
      </c>
      <c r="AQ63">
        <v>0</v>
      </c>
      <c r="AR63">
        <v>0</v>
      </c>
      <c r="AS63" t="s">
        <v>6</v>
      </c>
      <c r="AT63">
        <v>3</v>
      </c>
      <c r="AU63" t="s">
        <v>6</v>
      </c>
      <c r="AV63">
        <v>0</v>
      </c>
      <c r="AW63">
        <v>1</v>
      </c>
      <c r="AX63">
        <v>-1</v>
      </c>
      <c r="AY63">
        <v>0</v>
      </c>
      <c r="AZ63">
        <v>0</v>
      </c>
      <c r="BA63" t="s">
        <v>6</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CV63">
        <v>0</v>
      </c>
      <c r="CW63">
        <v>0</v>
      </c>
      <c r="CX63">
        <f>ROUND(Y63*Source!I43,9)</f>
        <v>6.84</v>
      </c>
      <c r="CY63">
        <f t="shared" si="17"/>
        <v>215.4</v>
      </c>
      <c r="CZ63">
        <f t="shared" si="18"/>
        <v>30.22</v>
      </c>
      <c r="DA63">
        <f t="shared" si="19"/>
        <v>7.56</v>
      </c>
      <c r="DB63">
        <f t="shared" si="20"/>
        <v>90.66</v>
      </c>
      <c r="DC63">
        <f t="shared" si="21"/>
        <v>0</v>
      </c>
      <c r="DD63" t="s">
        <v>6</v>
      </c>
      <c r="DE63" t="s">
        <v>6</v>
      </c>
      <c r="DF63">
        <f t="shared" si="22"/>
        <v>1560</v>
      </c>
      <c r="DG63">
        <f t="shared" si="23"/>
        <v>0</v>
      </c>
      <c r="DH63">
        <f>Source!I43*SmtRes!Y63</f>
        <v>6.84</v>
      </c>
      <c r="DI63">
        <f t="shared" si="24"/>
        <v>215.4</v>
      </c>
      <c r="DJ63">
        <f t="shared" si="25"/>
        <v>1560</v>
      </c>
      <c r="DK63">
        <f>Source!BC43</f>
        <v>7.56</v>
      </c>
      <c r="DL63" t="s">
        <v>6</v>
      </c>
      <c r="DM63">
        <v>0</v>
      </c>
      <c r="DN63" t="s">
        <v>6</v>
      </c>
      <c r="DO63">
        <v>0</v>
      </c>
      <c r="GP63">
        <v>1</v>
      </c>
      <c r="GQ63">
        <v>-1</v>
      </c>
      <c r="GR63">
        <v>-1</v>
      </c>
    </row>
    <row r="64" spans="1:200" x14ac:dyDescent="0.2">
      <c r="A64">
        <f>ROW(Source!A43)</f>
        <v>43</v>
      </c>
      <c r="B64">
        <v>86326988</v>
      </c>
      <c r="C64">
        <v>86327273</v>
      </c>
      <c r="D64">
        <v>27425862</v>
      </c>
      <c r="E64">
        <v>1</v>
      </c>
      <c r="F64">
        <v>1</v>
      </c>
      <c r="G64">
        <v>1</v>
      </c>
      <c r="H64">
        <v>3</v>
      </c>
      <c r="I64" t="s">
        <v>92</v>
      </c>
      <c r="J64" t="s">
        <v>95</v>
      </c>
      <c r="K64" t="s">
        <v>93</v>
      </c>
      <c r="L64">
        <v>1301</v>
      </c>
      <c r="N64">
        <v>1003</v>
      </c>
      <c r="O64" t="s">
        <v>94</v>
      </c>
      <c r="P64" t="s">
        <v>94</v>
      </c>
      <c r="Q64">
        <v>1</v>
      </c>
      <c r="W64">
        <v>0</v>
      </c>
      <c r="X64">
        <v>-1608277363</v>
      </c>
      <c r="Y64">
        <f t="shared" si="16"/>
        <v>5.3879999999999999</v>
      </c>
      <c r="AA64">
        <v>30.51</v>
      </c>
      <c r="AB64">
        <v>0</v>
      </c>
      <c r="AC64">
        <v>0</v>
      </c>
      <c r="AD64">
        <v>0</v>
      </c>
      <c r="AE64">
        <v>4.28</v>
      </c>
      <c r="AF64">
        <v>0</v>
      </c>
      <c r="AG64">
        <v>0</v>
      </c>
      <c r="AH64">
        <v>0</v>
      </c>
      <c r="AI64">
        <v>7.56</v>
      </c>
      <c r="AJ64">
        <v>1</v>
      </c>
      <c r="AK64">
        <v>1</v>
      </c>
      <c r="AL64">
        <v>1</v>
      </c>
      <c r="AM64">
        <v>0</v>
      </c>
      <c r="AN64">
        <v>0</v>
      </c>
      <c r="AO64">
        <v>0</v>
      </c>
      <c r="AP64">
        <v>1</v>
      </c>
      <c r="AQ64">
        <v>0</v>
      </c>
      <c r="AR64">
        <v>0</v>
      </c>
      <c r="AS64" t="s">
        <v>6</v>
      </c>
      <c r="AT64">
        <v>5.3879999999999999</v>
      </c>
      <c r="AU64" t="s">
        <v>6</v>
      </c>
      <c r="AV64">
        <v>0</v>
      </c>
      <c r="AW64">
        <v>1</v>
      </c>
      <c r="AX64">
        <v>-1</v>
      </c>
      <c r="AY64">
        <v>0</v>
      </c>
      <c r="AZ64">
        <v>0</v>
      </c>
      <c r="BA64" t="s">
        <v>6</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CV64">
        <v>0</v>
      </c>
      <c r="CW64">
        <v>0</v>
      </c>
      <c r="CX64">
        <f>ROUND(Y64*Source!I43,9)</f>
        <v>12.28464</v>
      </c>
      <c r="CY64">
        <f t="shared" si="17"/>
        <v>30.51</v>
      </c>
      <c r="CZ64">
        <f t="shared" si="18"/>
        <v>4.28</v>
      </c>
      <c r="DA64">
        <f t="shared" si="19"/>
        <v>7.56</v>
      </c>
      <c r="DB64">
        <f t="shared" si="20"/>
        <v>23.06</v>
      </c>
      <c r="DC64">
        <f t="shared" si="21"/>
        <v>0</v>
      </c>
      <c r="DD64" t="s">
        <v>6</v>
      </c>
      <c r="DE64" t="s">
        <v>6</v>
      </c>
      <c r="DF64">
        <f t="shared" si="22"/>
        <v>393</v>
      </c>
      <c r="DG64">
        <f t="shared" si="23"/>
        <v>0</v>
      </c>
      <c r="DH64">
        <f>Source!I43*SmtRes!Y64</f>
        <v>12.28464</v>
      </c>
      <c r="DI64">
        <f t="shared" si="24"/>
        <v>30.51</v>
      </c>
      <c r="DJ64">
        <f t="shared" si="25"/>
        <v>393</v>
      </c>
      <c r="DK64">
        <f>Source!BC43</f>
        <v>7.56</v>
      </c>
      <c r="DL64" t="s">
        <v>6</v>
      </c>
      <c r="DM64">
        <v>0</v>
      </c>
      <c r="DN64" t="s">
        <v>6</v>
      </c>
      <c r="DO64">
        <v>0</v>
      </c>
      <c r="GP64">
        <v>1</v>
      </c>
      <c r="GQ64">
        <v>-1</v>
      </c>
      <c r="GR64">
        <v>-1</v>
      </c>
    </row>
    <row r="65" spans="1:200" x14ac:dyDescent="0.2">
      <c r="A65">
        <f>ROW(Source!A43)</f>
        <v>43</v>
      </c>
      <c r="B65">
        <v>86326988</v>
      </c>
      <c r="C65">
        <v>86327273</v>
      </c>
      <c r="D65">
        <v>69208315</v>
      </c>
      <c r="E65">
        <v>1</v>
      </c>
      <c r="F65">
        <v>1</v>
      </c>
      <c r="G65">
        <v>1</v>
      </c>
      <c r="H65">
        <v>3</v>
      </c>
      <c r="I65" t="s">
        <v>117</v>
      </c>
      <c r="J65" t="s">
        <v>119</v>
      </c>
      <c r="K65" t="s">
        <v>118</v>
      </c>
      <c r="L65">
        <v>1348</v>
      </c>
      <c r="N65">
        <v>1009</v>
      </c>
      <c r="O65" t="s">
        <v>33</v>
      </c>
      <c r="P65" t="s">
        <v>33</v>
      </c>
      <c r="Q65">
        <v>1000</v>
      </c>
      <c r="W65">
        <v>0</v>
      </c>
      <c r="X65">
        <v>772407484</v>
      </c>
      <c r="Y65">
        <f t="shared" si="16"/>
        <v>9.5100000000000002E-4</v>
      </c>
      <c r="AA65">
        <v>80392</v>
      </c>
      <c r="AB65">
        <v>0</v>
      </c>
      <c r="AC65">
        <v>0</v>
      </c>
      <c r="AD65">
        <v>0</v>
      </c>
      <c r="AE65">
        <v>11142.150000000001</v>
      </c>
      <c r="AF65">
        <v>0</v>
      </c>
      <c r="AG65">
        <v>0</v>
      </c>
      <c r="AH65">
        <v>0</v>
      </c>
      <c r="AI65">
        <v>7.56</v>
      </c>
      <c r="AJ65">
        <v>1</v>
      </c>
      <c r="AK65">
        <v>1</v>
      </c>
      <c r="AL65">
        <v>1</v>
      </c>
      <c r="AM65">
        <v>0</v>
      </c>
      <c r="AN65">
        <v>0</v>
      </c>
      <c r="AO65">
        <v>0</v>
      </c>
      <c r="AP65">
        <v>1</v>
      </c>
      <c r="AQ65">
        <v>0</v>
      </c>
      <c r="AR65">
        <v>0</v>
      </c>
      <c r="AS65" t="s">
        <v>6</v>
      </c>
      <c r="AT65">
        <v>9.5100000000000002E-4</v>
      </c>
      <c r="AU65" t="s">
        <v>6</v>
      </c>
      <c r="AV65">
        <v>0</v>
      </c>
      <c r="AW65">
        <v>1</v>
      </c>
      <c r="AX65">
        <v>-1</v>
      </c>
      <c r="AY65">
        <v>0</v>
      </c>
      <c r="AZ65">
        <v>0</v>
      </c>
      <c r="BA65" t="s">
        <v>6</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CV65">
        <v>0</v>
      </c>
      <c r="CW65">
        <v>0</v>
      </c>
      <c r="CX65">
        <f>ROUND(Y65*Source!I43,9)</f>
        <v>2.1682799999999999E-3</v>
      </c>
      <c r="CY65">
        <f t="shared" si="17"/>
        <v>80392</v>
      </c>
      <c r="CZ65">
        <f t="shared" si="18"/>
        <v>11142.150000000001</v>
      </c>
      <c r="DA65">
        <f t="shared" si="19"/>
        <v>7.56</v>
      </c>
      <c r="DB65">
        <f t="shared" si="20"/>
        <v>10.6</v>
      </c>
      <c r="DC65">
        <f t="shared" si="21"/>
        <v>0</v>
      </c>
      <c r="DD65" t="s">
        <v>6</v>
      </c>
      <c r="DE65" t="s">
        <v>6</v>
      </c>
      <c r="DF65">
        <f t="shared" si="22"/>
        <v>183</v>
      </c>
      <c r="DG65">
        <f t="shared" si="23"/>
        <v>0</v>
      </c>
      <c r="DH65">
        <f>Source!I43*SmtRes!Y65</f>
        <v>2.1682799999999999E-3</v>
      </c>
      <c r="DI65">
        <f t="shared" si="24"/>
        <v>80392</v>
      </c>
      <c r="DJ65">
        <f t="shared" si="25"/>
        <v>183</v>
      </c>
      <c r="DK65">
        <f>Source!BC43</f>
        <v>7.56</v>
      </c>
      <c r="DL65" t="s">
        <v>6</v>
      </c>
      <c r="DM65">
        <v>0</v>
      </c>
      <c r="DN65" t="s">
        <v>6</v>
      </c>
      <c r="DO65">
        <v>0</v>
      </c>
      <c r="GP65">
        <v>1</v>
      </c>
      <c r="GQ65">
        <v>-1</v>
      </c>
      <c r="GR65">
        <v>-1</v>
      </c>
    </row>
    <row r="66" spans="1:200" x14ac:dyDescent="0.2">
      <c r="A66">
        <f>ROW(Source!A43)</f>
        <v>43</v>
      </c>
      <c r="B66">
        <v>86326988</v>
      </c>
      <c r="C66">
        <v>86327273</v>
      </c>
      <c r="D66">
        <v>69408587</v>
      </c>
      <c r="E66">
        <v>1</v>
      </c>
      <c r="F66">
        <v>1</v>
      </c>
      <c r="G66">
        <v>1</v>
      </c>
      <c r="H66">
        <v>3</v>
      </c>
      <c r="I66" t="s">
        <v>87</v>
      </c>
      <c r="J66" t="s">
        <v>89</v>
      </c>
      <c r="K66" t="s">
        <v>88</v>
      </c>
      <c r="L66">
        <v>1339</v>
      </c>
      <c r="N66">
        <v>1007</v>
      </c>
      <c r="O66" t="s">
        <v>44</v>
      </c>
      <c r="P66" t="s">
        <v>44</v>
      </c>
      <c r="Q66">
        <v>1</v>
      </c>
      <c r="W66">
        <v>0</v>
      </c>
      <c r="X66">
        <v>-183216560</v>
      </c>
      <c r="Y66">
        <f t="shared" si="16"/>
        <v>3.0449999999999999</v>
      </c>
      <c r="AA66">
        <v>6948.56</v>
      </c>
      <c r="AB66">
        <v>0</v>
      </c>
      <c r="AC66">
        <v>0</v>
      </c>
      <c r="AD66">
        <v>0</v>
      </c>
      <c r="AE66">
        <v>975</v>
      </c>
      <c r="AF66">
        <v>0</v>
      </c>
      <c r="AG66">
        <v>0</v>
      </c>
      <c r="AH66">
        <v>0</v>
      </c>
      <c r="AI66">
        <v>7.56</v>
      </c>
      <c r="AJ66">
        <v>1</v>
      </c>
      <c r="AK66">
        <v>1</v>
      </c>
      <c r="AL66">
        <v>1</v>
      </c>
      <c r="AM66">
        <v>0</v>
      </c>
      <c r="AN66">
        <v>0</v>
      </c>
      <c r="AO66">
        <v>0</v>
      </c>
      <c r="AP66">
        <v>1</v>
      </c>
      <c r="AQ66">
        <v>0</v>
      </c>
      <c r="AR66">
        <v>0</v>
      </c>
      <c r="AS66" t="s">
        <v>6</v>
      </c>
      <c r="AT66">
        <v>3.0449999999999999</v>
      </c>
      <c r="AU66" t="s">
        <v>6</v>
      </c>
      <c r="AV66">
        <v>0</v>
      </c>
      <c r="AW66">
        <v>1</v>
      </c>
      <c r="AX66">
        <v>-1</v>
      </c>
      <c r="AY66">
        <v>0</v>
      </c>
      <c r="AZ66">
        <v>0</v>
      </c>
      <c r="BA66" t="s">
        <v>6</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CV66">
        <v>0</v>
      </c>
      <c r="CW66">
        <v>0</v>
      </c>
      <c r="CX66">
        <f>ROUND(Y66*Source!I43,9)</f>
        <v>6.9425999999999997</v>
      </c>
      <c r="CY66">
        <f t="shared" si="17"/>
        <v>6948.56</v>
      </c>
      <c r="CZ66">
        <f t="shared" si="18"/>
        <v>975</v>
      </c>
      <c r="DA66">
        <f t="shared" si="19"/>
        <v>7.56</v>
      </c>
      <c r="DB66">
        <f t="shared" si="20"/>
        <v>2968.88</v>
      </c>
      <c r="DC66">
        <f t="shared" si="21"/>
        <v>0</v>
      </c>
      <c r="DD66" t="s">
        <v>6</v>
      </c>
      <c r="DE66" t="s">
        <v>6</v>
      </c>
      <c r="DF66">
        <f t="shared" si="22"/>
        <v>51174</v>
      </c>
      <c r="DG66">
        <f t="shared" si="23"/>
        <v>0</v>
      </c>
      <c r="DH66">
        <f>Source!I43*SmtRes!Y66</f>
        <v>6.9425999999999997</v>
      </c>
      <c r="DI66">
        <f t="shared" si="24"/>
        <v>6948.56</v>
      </c>
      <c r="DJ66">
        <f t="shared" si="25"/>
        <v>51174</v>
      </c>
      <c r="DK66">
        <f>Source!BC43</f>
        <v>7.56</v>
      </c>
      <c r="DL66" t="s">
        <v>6</v>
      </c>
      <c r="DM66">
        <v>0</v>
      </c>
      <c r="DN66" t="s">
        <v>6</v>
      </c>
      <c r="DO66">
        <v>0</v>
      </c>
      <c r="GP66">
        <v>1</v>
      </c>
      <c r="GQ66">
        <v>-1</v>
      </c>
      <c r="GR66">
        <v>-1</v>
      </c>
    </row>
    <row r="67" spans="1:200" x14ac:dyDescent="0.2">
      <c r="A67">
        <f>ROW(Source!A62)</f>
        <v>62</v>
      </c>
      <c r="B67">
        <v>86326987</v>
      </c>
      <c r="C67">
        <v>86327303</v>
      </c>
      <c r="D67">
        <v>27497778</v>
      </c>
      <c r="E67">
        <v>1</v>
      </c>
      <c r="F67">
        <v>1</v>
      </c>
      <c r="G67">
        <v>1</v>
      </c>
      <c r="H67">
        <v>1</v>
      </c>
      <c r="I67" t="s">
        <v>647</v>
      </c>
      <c r="J67" t="s">
        <v>6</v>
      </c>
      <c r="K67" t="s">
        <v>648</v>
      </c>
      <c r="L67">
        <v>1369</v>
      </c>
      <c r="N67">
        <v>1013</v>
      </c>
      <c r="O67" t="s">
        <v>625</v>
      </c>
      <c r="P67" t="s">
        <v>625</v>
      </c>
      <c r="Q67">
        <v>1</v>
      </c>
      <c r="W67">
        <v>0</v>
      </c>
      <c r="X67">
        <v>-160844189</v>
      </c>
      <c r="Y67">
        <f>(AT67*1.05)</f>
        <v>5.1345000000000001</v>
      </c>
      <c r="AA67">
        <v>0</v>
      </c>
      <c r="AB67">
        <v>0</v>
      </c>
      <c r="AC67">
        <v>0</v>
      </c>
      <c r="AD67">
        <v>8.7100000000000009</v>
      </c>
      <c r="AE67">
        <v>0</v>
      </c>
      <c r="AF67">
        <v>0</v>
      </c>
      <c r="AG67">
        <v>0</v>
      </c>
      <c r="AH67">
        <v>8.7100000000000009</v>
      </c>
      <c r="AI67">
        <v>1</v>
      </c>
      <c r="AJ67">
        <v>1</v>
      </c>
      <c r="AK67">
        <v>1</v>
      </c>
      <c r="AL67">
        <v>1</v>
      </c>
      <c r="AM67">
        <v>0</v>
      </c>
      <c r="AN67">
        <v>0</v>
      </c>
      <c r="AO67">
        <v>1</v>
      </c>
      <c r="AP67">
        <v>1</v>
      </c>
      <c r="AQ67">
        <v>0</v>
      </c>
      <c r="AR67">
        <v>0</v>
      </c>
      <c r="AS67" t="s">
        <v>6</v>
      </c>
      <c r="AT67">
        <v>4.8899999999999997</v>
      </c>
      <c r="AU67" t="s">
        <v>25</v>
      </c>
      <c r="AV67">
        <v>1</v>
      </c>
      <c r="AW67">
        <v>2</v>
      </c>
      <c r="AX67">
        <v>86327317</v>
      </c>
      <c r="AY67">
        <v>1</v>
      </c>
      <c r="AZ67">
        <v>0</v>
      </c>
      <c r="BA67">
        <v>59</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CU67">
        <f>ROUND(AT67*Source!I62*AH67*AL67,0)</f>
        <v>188</v>
      </c>
      <c r="CV67">
        <f>ROUND(Y67*Source!I62,9)</f>
        <v>22.65598125</v>
      </c>
      <c r="CW67">
        <v>0</v>
      </c>
      <c r="CX67">
        <f>ROUND(Y67*Source!I62,9)</f>
        <v>22.65598125</v>
      </c>
      <c r="CY67">
        <f>AD67</f>
        <v>8.7100000000000009</v>
      </c>
      <c r="CZ67">
        <f>AH67</f>
        <v>8.7100000000000009</v>
      </c>
      <c r="DA67">
        <f>AL67</f>
        <v>1</v>
      </c>
      <c r="DB67">
        <f>ROUND((ROUND(AT67*CZ67,2)*1.05),2)</f>
        <v>44.72</v>
      </c>
      <c r="DC67">
        <f>ROUND((ROUND(AT67*AG67,2)*1.05),2)</f>
        <v>0</v>
      </c>
      <c r="DD67" t="s">
        <v>6</v>
      </c>
      <c r="DE67" t="s">
        <v>6</v>
      </c>
      <c r="DF67">
        <f t="shared" ref="DF67:DF83" si="26">ROUND(ROUND(AE67,0)*CX67,0)</f>
        <v>0</v>
      </c>
      <c r="DG67">
        <f t="shared" si="23"/>
        <v>0</v>
      </c>
      <c r="DH67">
        <f>Source!I62*SmtRes!Y67</f>
        <v>22.65598125</v>
      </c>
      <c r="DI67">
        <f>AD67</f>
        <v>8.7100000000000009</v>
      </c>
      <c r="DJ67">
        <f>EtalonRes!AB59</f>
        <v>8.7100000000000009</v>
      </c>
      <c r="DK67">
        <f>Source!BA62</f>
        <v>1</v>
      </c>
      <c r="DL67" t="s">
        <v>6</v>
      </c>
      <c r="DM67">
        <v>0</v>
      </c>
      <c r="DN67" t="s">
        <v>6</v>
      </c>
      <c r="DO67">
        <v>0</v>
      </c>
      <c r="GQ67">
        <v>-1</v>
      </c>
      <c r="GR67">
        <v>-1</v>
      </c>
    </row>
    <row r="68" spans="1:200" x14ac:dyDescent="0.2">
      <c r="A68">
        <f>ROW(Source!A62)</f>
        <v>62</v>
      </c>
      <c r="B68">
        <v>86326987</v>
      </c>
      <c r="C68">
        <v>86327303</v>
      </c>
      <c r="D68">
        <v>121548</v>
      </c>
      <c r="E68">
        <v>1</v>
      </c>
      <c r="F68">
        <v>1</v>
      </c>
      <c r="G68">
        <v>1</v>
      </c>
      <c r="H68">
        <v>1</v>
      </c>
      <c r="I68" t="s">
        <v>40</v>
      </c>
      <c r="J68" t="s">
        <v>6</v>
      </c>
      <c r="K68" t="s">
        <v>626</v>
      </c>
      <c r="L68">
        <v>608254</v>
      </c>
      <c r="N68">
        <v>1013</v>
      </c>
      <c r="O68" t="s">
        <v>627</v>
      </c>
      <c r="P68" t="s">
        <v>627</v>
      </c>
      <c r="Q68">
        <v>1</v>
      </c>
      <c r="W68">
        <v>0</v>
      </c>
      <c r="X68">
        <v>-185737400</v>
      </c>
      <c r="Y68">
        <f>(AT68*1.12)</f>
        <v>2.1952000000000003</v>
      </c>
      <c r="AA68">
        <v>0</v>
      </c>
      <c r="AB68">
        <v>0</v>
      </c>
      <c r="AC68">
        <v>0</v>
      </c>
      <c r="AD68">
        <v>0</v>
      </c>
      <c r="AE68">
        <v>0</v>
      </c>
      <c r="AF68">
        <v>0</v>
      </c>
      <c r="AG68">
        <v>0</v>
      </c>
      <c r="AH68">
        <v>0</v>
      </c>
      <c r="AI68">
        <v>1</v>
      </c>
      <c r="AJ68">
        <v>1</v>
      </c>
      <c r="AK68">
        <v>1</v>
      </c>
      <c r="AL68">
        <v>1</v>
      </c>
      <c r="AM68">
        <v>0</v>
      </c>
      <c r="AN68">
        <v>0</v>
      </c>
      <c r="AO68">
        <v>1</v>
      </c>
      <c r="AP68">
        <v>1</v>
      </c>
      <c r="AQ68">
        <v>0</v>
      </c>
      <c r="AR68">
        <v>0</v>
      </c>
      <c r="AS68" t="s">
        <v>6</v>
      </c>
      <c r="AT68">
        <v>1.96</v>
      </c>
      <c r="AU68" t="s">
        <v>24</v>
      </c>
      <c r="AV68">
        <v>2</v>
      </c>
      <c r="AW68">
        <v>2</v>
      </c>
      <c r="AX68">
        <v>86327318</v>
      </c>
      <c r="AY68">
        <v>1</v>
      </c>
      <c r="AZ68">
        <v>0</v>
      </c>
      <c r="BA68">
        <v>60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CV68">
        <v>0</v>
      </c>
      <c r="CW68">
        <v>0</v>
      </c>
      <c r="CX68">
        <f>ROUND(Y68*Source!I62,9)</f>
        <v>9.6863200000000003</v>
      </c>
      <c r="CY68">
        <f>AD68</f>
        <v>0</v>
      </c>
      <c r="CZ68">
        <f>AH68</f>
        <v>0</v>
      </c>
      <c r="DA68">
        <f>AL68</f>
        <v>1</v>
      </c>
      <c r="DB68">
        <f>ROUND((ROUND(AT68*CZ68,2)*1.12),2)</f>
        <v>0</v>
      </c>
      <c r="DC68">
        <f>ROUND((ROUND(AT68*AG68,2)*1.12),2)</f>
        <v>0</v>
      </c>
      <c r="DD68" t="s">
        <v>6</v>
      </c>
      <c r="DE68" t="s">
        <v>6</v>
      </c>
      <c r="DF68">
        <f t="shared" si="26"/>
        <v>0</v>
      </c>
      <c r="DG68">
        <f t="shared" si="23"/>
        <v>0</v>
      </c>
      <c r="DH68">
        <f>Source!I62*SmtRes!Y68</f>
        <v>9.6863200000000003</v>
      </c>
      <c r="DI68">
        <f>AD68</f>
        <v>0</v>
      </c>
      <c r="DJ68">
        <f>EtalonRes!AB60</f>
        <v>0</v>
      </c>
      <c r="DK68">
        <f>Source!BA62</f>
        <v>1</v>
      </c>
      <c r="DL68" t="s">
        <v>6</v>
      </c>
      <c r="DM68">
        <v>0</v>
      </c>
      <c r="DN68" t="s">
        <v>6</v>
      </c>
      <c r="DO68">
        <v>0</v>
      </c>
      <c r="GQ68">
        <v>-1</v>
      </c>
      <c r="GR68">
        <v>-1</v>
      </c>
    </row>
    <row r="69" spans="1:200" x14ac:dyDescent="0.2">
      <c r="A69">
        <f>ROW(Source!A62)</f>
        <v>62</v>
      </c>
      <c r="B69">
        <v>86326987</v>
      </c>
      <c r="C69">
        <v>86327303</v>
      </c>
      <c r="D69">
        <v>27439419</v>
      </c>
      <c r="E69">
        <v>1</v>
      </c>
      <c r="F69">
        <v>1</v>
      </c>
      <c r="G69">
        <v>1</v>
      </c>
      <c r="H69">
        <v>2</v>
      </c>
      <c r="I69" t="s">
        <v>628</v>
      </c>
      <c r="J69" t="s">
        <v>629</v>
      </c>
      <c r="K69" t="s">
        <v>630</v>
      </c>
      <c r="L69">
        <v>1368</v>
      </c>
      <c r="N69">
        <v>1011</v>
      </c>
      <c r="O69" t="s">
        <v>137</v>
      </c>
      <c r="P69" t="s">
        <v>137</v>
      </c>
      <c r="Q69">
        <v>1</v>
      </c>
      <c r="W69">
        <v>0</v>
      </c>
      <c r="X69">
        <v>1804162481</v>
      </c>
      <c r="Y69">
        <f>(AT69*1.12)</f>
        <v>2.1952000000000003</v>
      </c>
      <c r="AA69">
        <v>0</v>
      </c>
      <c r="AB69">
        <v>115.64</v>
      </c>
      <c r="AC69">
        <v>13.61</v>
      </c>
      <c r="AD69">
        <v>0</v>
      </c>
      <c r="AE69">
        <v>0</v>
      </c>
      <c r="AF69">
        <v>115.64</v>
      </c>
      <c r="AG69">
        <v>13.61</v>
      </c>
      <c r="AH69">
        <v>0</v>
      </c>
      <c r="AI69">
        <v>1</v>
      </c>
      <c r="AJ69">
        <v>1</v>
      </c>
      <c r="AK69">
        <v>1</v>
      </c>
      <c r="AL69">
        <v>1</v>
      </c>
      <c r="AM69">
        <v>0</v>
      </c>
      <c r="AN69">
        <v>0</v>
      </c>
      <c r="AO69">
        <v>1</v>
      </c>
      <c r="AP69">
        <v>1</v>
      </c>
      <c r="AQ69">
        <v>0</v>
      </c>
      <c r="AR69">
        <v>0</v>
      </c>
      <c r="AS69" t="s">
        <v>6</v>
      </c>
      <c r="AT69">
        <v>1.96</v>
      </c>
      <c r="AU69" t="s">
        <v>24</v>
      </c>
      <c r="AV69">
        <v>0</v>
      </c>
      <c r="AW69">
        <v>1</v>
      </c>
      <c r="AX69">
        <v>-1</v>
      </c>
      <c r="AY69">
        <v>0</v>
      </c>
      <c r="AZ69">
        <v>0</v>
      </c>
      <c r="BA69" t="s">
        <v>6</v>
      </c>
      <c r="BB69">
        <v>5</v>
      </c>
      <c r="BC69">
        <v>0</v>
      </c>
      <c r="BD69">
        <v>253.85292800000002</v>
      </c>
      <c r="BE69">
        <v>29.876672000000003</v>
      </c>
      <c r="BF69">
        <v>0</v>
      </c>
      <c r="BG69">
        <v>0</v>
      </c>
      <c r="BH69">
        <v>0</v>
      </c>
      <c r="BI69">
        <v>1</v>
      </c>
      <c r="BJ69">
        <v>0</v>
      </c>
      <c r="BK69">
        <v>0</v>
      </c>
      <c r="BL69">
        <v>0</v>
      </c>
      <c r="BM69">
        <v>0</v>
      </c>
      <c r="BN69">
        <v>0</v>
      </c>
      <c r="BO69">
        <v>0</v>
      </c>
      <c r="BP69">
        <v>0</v>
      </c>
      <c r="BQ69">
        <v>0</v>
      </c>
      <c r="BR69">
        <v>0</v>
      </c>
      <c r="BS69">
        <v>0</v>
      </c>
      <c r="BT69">
        <v>0</v>
      </c>
      <c r="BU69">
        <v>0</v>
      </c>
      <c r="BV69">
        <v>0</v>
      </c>
      <c r="BW69">
        <v>0</v>
      </c>
      <c r="CV69">
        <v>0</v>
      </c>
      <c r="CW69">
        <f>ROUND(Y69*Source!I62*DO69,9)</f>
        <v>0</v>
      </c>
      <c r="CX69">
        <f>ROUND(Y69*Source!I62,9)</f>
        <v>9.6863200000000003</v>
      </c>
      <c r="CY69">
        <f>AB69</f>
        <v>115.64</v>
      </c>
      <c r="CZ69">
        <f>AF69</f>
        <v>115.64</v>
      </c>
      <c r="DA69">
        <f>AJ69</f>
        <v>1</v>
      </c>
      <c r="DB69">
        <f>ROUND((ROUND(AT69*CZ69,2)*1.12),2)</f>
        <v>253.85</v>
      </c>
      <c r="DC69">
        <f>ROUND((ROUND(AT69*AG69,2)*1.12),2)</f>
        <v>29.88</v>
      </c>
      <c r="DD69" t="s">
        <v>6</v>
      </c>
      <c r="DE69" t="s">
        <v>6</v>
      </c>
      <c r="DF69">
        <f t="shared" si="26"/>
        <v>0</v>
      </c>
      <c r="DG69">
        <f t="shared" si="23"/>
        <v>1124</v>
      </c>
      <c r="DH69">
        <f>Source!I62*SmtRes!Y69</f>
        <v>9.6863200000000003</v>
      </c>
      <c r="DI69">
        <f>AB69</f>
        <v>115.64</v>
      </c>
      <c r="DJ69">
        <f>DG69</f>
        <v>1124</v>
      </c>
      <c r="DK69">
        <f>Source!BB62</f>
        <v>1</v>
      </c>
      <c r="DL69" t="s">
        <v>6</v>
      </c>
      <c r="DM69">
        <v>0</v>
      </c>
      <c r="DN69" t="s">
        <v>6</v>
      </c>
      <c r="DO69">
        <v>0</v>
      </c>
      <c r="GQ69">
        <v>-1</v>
      </c>
      <c r="GR69">
        <v>-1</v>
      </c>
    </row>
    <row r="70" spans="1:200" x14ac:dyDescent="0.2">
      <c r="A70">
        <f>ROW(Source!A62)</f>
        <v>62</v>
      </c>
      <c r="B70">
        <v>86326987</v>
      </c>
      <c r="C70">
        <v>86327303</v>
      </c>
      <c r="D70">
        <v>27440039</v>
      </c>
      <c r="E70">
        <v>1</v>
      </c>
      <c r="F70">
        <v>1</v>
      </c>
      <c r="G70">
        <v>1</v>
      </c>
      <c r="H70">
        <v>2</v>
      </c>
      <c r="I70" t="s">
        <v>649</v>
      </c>
      <c r="J70" t="s">
        <v>650</v>
      </c>
      <c r="K70" t="s">
        <v>651</v>
      </c>
      <c r="L70">
        <v>1368</v>
      </c>
      <c r="N70">
        <v>1011</v>
      </c>
      <c r="O70" t="s">
        <v>137</v>
      </c>
      <c r="P70" t="s">
        <v>137</v>
      </c>
      <c r="Q70">
        <v>1</v>
      </c>
      <c r="W70">
        <v>0</v>
      </c>
      <c r="X70">
        <v>389347920</v>
      </c>
      <c r="Y70">
        <f>(AT70*1.12)</f>
        <v>2.5088000000000004</v>
      </c>
      <c r="AA70">
        <v>0</v>
      </c>
      <c r="AB70">
        <v>1.83</v>
      </c>
      <c r="AC70">
        <v>0</v>
      </c>
      <c r="AD70">
        <v>0</v>
      </c>
      <c r="AE70">
        <v>0</v>
      </c>
      <c r="AF70">
        <v>1.83</v>
      </c>
      <c r="AG70">
        <v>0</v>
      </c>
      <c r="AH70">
        <v>0</v>
      </c>
      <c r="AI70">
        <v>1</v>
      </c>
      <c r="AJ70">
        <v>1</v>
      </c>
      <c r="AK70">
        <v>1</v>
      </c>
      <c r="AL70">
        <v>1</v>
      </c>
      <c r="AM70">
        <v>0</v>
      </c>
      <c r="AN70">
        <v>0</v>
      </c>
      <c r="AO70">
        <v>1</v>
      </c>
      <c r="AP70">
        <v>1</v>
      </c>
      <c r="AQ70">
        <v>0</v>
      </c>
      <c r="AR70">
        <v>0</v>
      </c>
      <c r="AS70" t="s">
        <v>6</v>
      </c>
      <c r="AT70">
        <v>2.2400000000000002</v>
      </c>
      <c r="AU70" t="s">
        <v>24</v>
      </c>
      <c r="AV70">
        <v>0</v>
      </c>
      <c r="AW70">
        <v>2</v>
      </c>
      <c r="AX70">
        <v>86327320</v>
      </c>
      <c r="AY70">
        <v>1</v>
      </c>
      <c r="AZ70">
        <v>0</v>
      </c>
      <c r="BA70">
        <v>62</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CV70">
        <v>0</v>
      </c>
      <c r="CW70">
        <f>ROUND(Y70*Source!I62*DO70,9)</f>
        <v>0</v>
      </c>
      <c r="CX70">
        <f>ROUND(Y70*Source!I62,9)</f>
        <v>11.070080000000001</v>
      </c>
      <c r="CY70">
        <f>AB70</f>
        <v>1.83</v>
      </c>
      <c r="CZ70">
        <f>AF70</f>
        <v>1.83</v>
      </c>
      <c r="DA70">
        <f>AJ70</f>
        <v>1</v>
      </c>
      <c r="DB70">
        <f>ROUND((ROUND(AT70*CZ70,2)*1.12),2)</f>
        <v>4.59</v>
      </c>
      <c r="DC70">
        <f>ROUND((ROUND(AT70*AG70,2)*1.12),2)</f>
        <v>0</v>
      </c>
      <c r="DD70" t="s">
        <v>6</v>
      </c>
      <c r="DE70" t="s">
        <v>6</v>
      </c>
      <c r="DF70">
        <f t="shared" si="26"/>
        <v>0</v>
      </c>
      <c r="DG70">
        <f t="shared" si="23"/>
        <v>22</v>
      </c>
      <c r="DH70">
        <f>Source!I62*SmtRes!Y70</f>
        <v>11.070080000000001</v>
      </c>
      <c r="DI70">
        <f>AB70</f>
        <v>1.83</v>
      </c>
      <c r="DJ70">
        <f>EtalonRes!Z62</f>
        <v>1.83</v>
      </c>
      <c r="DK70">
        <f>Source!BB62</f>
        <v>1</v>
      </c>
      <c r="DL70" t="s">
        <v>6</v>
      </c>
      <c r="DM70">
        <v>0</v>
      </c>
      <c r="DN70" t="s">
        <v>6</v>
      </c>
      <c r="DO70">
        <v>0</v>
      </c>
      <c r="GQ70">
        <v>-1</v>
      </c>
      <c r="GR70">
        <v>-1</v>
      </c>
    </row>
    <row r="71" spans="1:200" x14ac:dyDescent="0.2">
      <c r="A71">
        <f>ROW(Source!A62)</f>
        <v>62</v>
      </c>
      <c r="B71">
        <v>86326987</v>
      </c>
      <c r="C71">
        <v>86327303</v>
      </c>
      <c r="D71">
        <v>27371200</v>
      </c>
      <c r="E71">
        <v>1</v>
      </c>
      <c r="F71">
        <v>1</v>
      </c>
      <c r="G71">
        <v>1</v>
      </c>
      <c r="H71">
        <v>3</v>
      </c>
      <c r="I71" t="s">
        <v>71</v>
      </c>
      <c r="J71" t="s">
        <v>73</v>
      </c>
      <c r="K71" t="s">
        <v>72</v>
      </c>
      <c r="L71">
        <v>1348</v>
      </c>
      <c r="N71">
        <v>1009</v>
      </c>
      <c r="O71" t="s">
        <v>33</v>
      </c>
      <c r="P71" t="s">
        <v>33</v>
      </c>
      <c r="Q71">
        <v>1000</v>
      </c>
      <c r="W71">
        <v>0</v>
      </c>
      <c r="X71">
        <v>-81122142</v>
      </c>
      <c r="Y71">
        <f t="shared" ref="Y71:Y79" si="27">AT71</f>
        <v>4.1999999999999997E-3</v>
      </c>
      <c r="AA71">
        <v>1696.01</v>
      </c>
      <c r="AB71">
        <v>0</v>
      </c>
      <c r="AC71">
        <v>0</v>
      </c>
      <c r="AD71">
        <v>0</v>
      </c>
      <c r="AE71">
        <v>1696.01</v>
      </c>
      <c r="AF71">
        <v>0</v>
      </c>
      <c r="AG71">
        <v>0</v>
      </c>
      <c r="AH71">
        <v>0</v>
      </c>
      <c r="AI71">
        <v>1</v>
      </c>
      <c r="AJ71">
        <v>1</v>
      </c>
      <c r="AK71">
        <v>1</v>
      </c>
      <c r="AL71">
        <v>1</v>
      </c>
      <c r="AM71">
        <v>0</v>
      </c>
      <c r="AN71">
        <v>0</v>
      </c>
      <c r="AO71">
        <v>0</v>
      </c>
      <c r="AP71">
        <v>1</v>
      </c>
      <c r="AQ71">
        <v>0</v>
      </c>
      <c r="AR71">
        <v>0</v>
      </c>
      <c r="AS71" t="s">
        <v>6</v>
      </c>
      <c r="AT71">
        <v>4.1999999999999997E-3</v>
      </c>
      <c r="AU71" t="s">
        <v>6</v>
      </c>
      <c r="AV71">
        <v>0</v>
      </c>
      <c r="AW71">
        <v>2</v>
      </c>
      <c r="AX71">
        <v>86327321</v>
      </c>
      <c r="AY71">
        <v>1</v>
      </c>
      <c r="AZ71">
        <v>0</v>
      </c>
      <c r="BA71">
        <v>63</v>
      </c>
      <c r="BB71">
        <v>3</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CV71">
        <v>0</v>
      </c>
      <c r="CW71">
        <v>0</v>
      </c>
      <c r="CX71">
        <f>ROUND(Y71*Source!I62,9)</f>
        <v>1.85325E-2</v>
      </c>
      <c r="CY71">
        <f t="shared" ref="CY71:CY79" si="28">AA71</f>
        <v>1696.01</v>
      </c>
      <c r="CZ71">
        <f t="shared" ref="CZ71:CZ79" si="29">AE71</f>
        <v>1696.01</v>
      </c>
      <c r="DA71">
        <f t="shared" ref="DA71:DA79" si="30">AI71</f>
        <v>1</v>
      </c>
      <c r="DB71">
        <f t="shared" ref="DB71:DB79" si="31">ROUND(ROUND(AT71*CZ71,2),2)</f>
        <v>7.12</v>
      </c>
      <c r="DC71">
        <f t="shared" ref="DC71:DC79" si="32">ROUND(ROUND(AT71*AG71,2),2)</f>
        <v>0</v>
      </c>
      <c r="DD71" t="s">
        <v>6</v>
      </c>
      <c r="DE71" t="s">
        <v>6</v>
      </c>
      <c r="DF71">
        <f t="shared" si="26"/>
        <v>31</v>
      </c>
      <c r="DG71">
        <f t="shared" si="23"/>
        <v>0</v>
      </c>
      <c r="DH71">
        <f>Source!I62*SmtRes!Y71</f>
        <v>1.8532499999999997E-2</v>
      </c>
      <c r="DI71">
        <f t="shared" ref="DI71:DI79" si="33">AA71</f>
        <v>1696.01</v>
      </c>
      <c r="DJ71">
        <f>EtalonRes!Y63</f>
        <v>1696.01</v>
      </c>
      <c r="DK71">
        <f>Source!BC62</f>
        <v>1</v>
      </c>
      <c r="DL71" t="s">
        <v>6</v>
      </c>
      <c r="DM71">
        <v>0</v>
      </c>
      <c r="DN71" t="s">
        <v>6</v>
      </c>
      <c r="DO71">
        <v>0</v>
      </c>
      <c r="GP71">
        <v>1</v>
      </c>
      <c r="GQ71">
        <v>-1</v>
      </c>
      <c r="GR71">
        <v>-1</v>
      </c>
    </row>
    <row r="72" spans="1:200" x14ac:dyDescent="0.2">
      <c r="A72">
        <f>ROW(Source!A62)</f>
        <v>62</v>
      </c>
      <c r="B72">
        <v>86326987</v>
      </c>
      <c r="C72">
        <v>86327303</v>
      </c>
      <c r="D72">
        <v>11618017</v>
      </c>
      <c r="E72">
        <v>1</v>
      </c>
      <c r="F72">
        <v>1</v>
      </c>
      <c r="G72">
        <v>1</v>
      </c>
      <c r="H72">
        <v>3</v>
      </c>
      <c r="I72" t="s">
        <v>107</v>
      </c>
      <c r="J72" t="s">
        <v>109</v>
      </c>
      <c r="K72" t="s">
        <v>108</v>
      </c>
      <c r="L72">
        <v>1371</v>
      </c>
      <c r="N72">
        <v>1013</v>
      </c>
      <c r="O72" t="s">
        <v>103</v>
      </c>
      <c r="P72" t="s">
        <v>103</v>
      </c>
      <c r="Q72">
        <v>1</v>
      </c>
      <c r="W72">
        <v>0</v>
      </c>
      <c r="X72">
        <v>-1648273723</v>
      </c>
      <c r="Y72">
        <f t="shared" si="27"/>
        <v>12</v>
      </c>
      <c r="AA72">
        <v>0.24</v>
      </c>
      <c r="AB72">
        <v>0</v>
      </c>
      <c r="AC72">
        <v>0</v>
      </c>
      <c r="AD72">
        <v>0</v>
      </c>
      <c r="AE72">
        <v>0.24</v>
      </c>
      <c r="AF72">
        <v>0</v>
      </c>
      <c r="AG72">
        <v>0</v>
      </c>
      <c r="AH72">
        <v>0</v>
      </c>
      <c r="AI72">
        <v>1</v>
      </c>
      <c r="AJ72">
        <v>1</v>
      </c>
      <c r="AK72">
        <v>1</v>
      </c>
      <c r="AL72">
        <v>1</v>
      </c>
      <c r="AM72">
        <v>0</v>
      </c>
      <c r="AN72">
        <v>0</v>
      </c>
      <c r="AO72">
        <v>0</v>
      </c>
      <c r="AP72">
        <v>1</v>
      </c>
      <c r="AQ72">
        <v>0</v>
      </c>
      <c r="AR72">
        <v>0</v>
      </c>
      <c r="AS72" t="s">
        <v>6</v>
      </c>
      <c r="AT72">
        <v>12</v>
      </c>
      <c r="AU72" t="s">
        <v>6</v>
      </c>
      <c r="AV72">
        <v>0</v>
      </c>
      <c r="AW72">
        <v>1</v>
      </c>
      <c r="AX72">
        <v>-1</v>
      </c>
      <c r="AY72">
        <v>0</v>
      </c>
      <c r="AZ72">
        <v>0</v>
      </c>
      <c r="BA72" t="s">
        <v>6</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CV72">
        <v>0</v>
      </c>
      <c r="CW72">
        <v>0</v>
      </c>
      <c r="CX72">
        <f>ROUND(Y72*Source!I62,9)</f>
        <v>52.95</v>
      </c>
      <c r="CY72">
        <f t="shared" si="28"/>
        <v>0.24</v>
      </c>
      <c r="CZ72">
        <f t="shared" si="29"/>
        <v>0.24</v>
      </c>
      <c r="DA72">
        <f t="shared" si="30"/>
        <v>1</v>
      </c>
      <c r="DB72">
        <f t="shared" si="31"/>
        <v>2.88</v>
      </c>
      <c r="DC72">
        <f t="shared" si="32"/>
        <v>0</v>
      </c>
      <c r="DD72" t="s">
        <v>6</v>
      </c>
      <c r="DE72" t="s">
        <v>6</v>
      </c>
      <c r="DF72">
        <f t="shared" si="26"/>
        <v>0</v>
      </c>
      <c r="DG72">
        <f t="shared" si="23"/>
        <v>0</v>
      </c>
      <c r="DH72">
        <f>Source!I62*SmtRes!Y72</f>
        <v>52.949999999999996</v>
      </c>
      <c r="DI72">
        <f t="shared" si="33"/>
        <v>0.24</v>
      </c>
      <c r="DJ72">
        <f t="shared" ref="DJ72:DJ79" si="34">DF72</f>
        <v>0</v>
      </c>
      <c r="DK72">
        <f>Source!BC62</f>
        <v>1</v>
      </c>
      <c r="DL72" t="s">
        <v>6</v>
      </c>
      <c r="DM72">
        <v>0</v>
      </c>
      <c r="DN72" t="s">
        <v>6</v>
      </c>
      <c r="DO72">
        <v>0</v>
      </c>
      <c r="GP72">
        <v>1</v>
      </c>
      <c r="GQ72">
        <v>-1</v>
      </c>
      <c r="GR72">
        <v>-1</v>
      </c>
    </row>
    <row r="73" spans="1:200" x14ac:dyDescent="0.2">
      <c r="A73">
        <f>ROW(Source!A62)</f>
        <v>62</v>
      </c>
      <c r="B73">
        <v>86326987</v>
      </c>
      <c r="C73">
        <v>86327303</v>
      </c>
      <c r="D73">
        <v>11618018</v>
      </c>
      <c r="E73">
        <v>1</v>
      </c>
      <c r="F73">
        <v>1</v>
      </c>
      <c r="G73">
        <v>1</v>
      </c>
      <c r="H73">
        <v>3</v>
      </c>
      <c r="I73" t="s">
        <v>112</v>
      </c>
      <c r="J73" t="s">
        <v>114</v>
      </c>
      <c r="K73" t="s">
        <v>113</v>
      </c>
      <c r="L73">
        <v>1371</v>
      </c>
      <c r="N73">
        <v>1013</v>
      </c>
      <c r="O73" t="s">
        <v>103</v>
      </c>
      <c r="P73" t="s">
        <v>103</v>
      </c>
      <c r="Q73">
        <v>1</v>
      </c>
      <c r="W73">
        <v>0</v>
      </c>
      <c r="X73">
        <v>1900494391</v>
      </c>
      <c r="Y73">
        <f t="shared" si="27"/>
        <v>12</v>
      </c>
      <c r="AA73">
        <v>0.3</v>
      </c>
      <c r="AB73">
        <v>0</v>
      </c>
      <c r="AC73">
        <v>0</v>
      </c>
      <c r="AD73">
        <v>0</v>
      </c>
      <c r="AE73">
        <v>0.3</v>
      </c>
      <c r="AF73">
        <v>0</v>
      </c>
      <c r="AG73">
        <v>0</v>
      </c>
      <c r="AH73">
        <v>0</v>
      </c>
      <c r="AI73">
        <v>1</v>
      </c>
      <c r="AJ73">
        <v>1</v>
      </c>
      <c r="AK73">
        <v>1</v>
      </c>
      <c r="AL73">
        <v>1</v>
      </c>
      <c r="AM73">
        <v>0</v>
      </c>
      <c r="AN73">
        <v>0</v>
      </c>
      <c r="AO73">
        <v>0</v>
      </c>
      <c r="AP73">
        <v>1</v>
      </c>
      <c r="AQ73">
        <v>0</v>
      </c>
      <c r="AR73">
        <v>0</v>
      </c>
      <c r="AS73" t="s">
        <v>6</v>
      </c>
      <c r="AT73">
        <v>12</v>
      </c>
      <c r="AU73" t="s">
        <v>6</v>
      </c>
      <c r="AV73">
        <v>0</v>
      </c>
      <c r="AW73">
        <v>1</v>
      </c>
      <c r="AX73">
        <v>-1</v>
      </c>
      <c r="AY73">
        <v>0</v>
      </c>
      <c r="AZ73">
        <v>0</v>
      </c>
      <c r="BA73" t="s">
        <v>6</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CV73">
        <v>0</v>
      </c>
      <c r="CW73">
        <v>0</v>
      </c>
      <c r="CX73">
        <f>ROUND(Y73*Source!I62,9)</f>
        <v>52.95</v>
      </c>
      <c r="CY73">
        <f t="shared" si="28"/>
        <v>0.3</v>
      </c>
      <c r="CZ73">
        <f t="shared" si="29"/>
        <v>0.3</v>
      </c>
      <c r="DA73">
        <f t="shared" si="30"/>
        <v>1</v>
      </c>
      <c r="DB73">
        <f t="shared" si="31"/>
        <v>3.6</v>
      </c>
      <c r="DC73">
        <f t="shared" si="32"/>
        <v>0</v>
      </c>
      <c r="DD73" t="s">
        <v>6</v>
      </c>
      <c r="DE73" t="s">
        <v>6</v>
      </c>
      <c r="DF73">
        <f t="shared" si="26"/>
        <v>0</v>
      </c>
      <c r="DG73">
        <f t="shared" si="23"/>
        <v>0</v>
      </c>
      <c r="DH73">
        <f>Source!I62*SmtRes!Y73</f>
        <v>52.949999999999996</v>
      </c>
      <c r="DI73">
        <f t="shared" si="33"/>
        <v>0.3</v>
      </c>
      <c r="DJ73">
        <f t="shared" si="34"/>
        <v>0</v>
      </c>
      <c r="DK73">
        <f>Source!BC62</f>
        <v>1</v>
      </c>
      <c r="DL73" t="s">
        <v>6</v>
      </c>
      <c r="DM73">
        <v>0</v>
      </c>
      <c r="DN73" t="s">
        <v>6</v>
      </c>
      <c r="DO73">
        <v>0</v>
      </c>
      <c r="GP73">
        <v>1</v>
      </c>
      <c r="GQ73">
        <v>-1</v>
      </c>
      <c r="GR73">
        <v>-1</v>
      </c>
    </row>
    <row r="74" spans="1:200" x14ac:dyDescent="0.2">
      <c r="A74">
        <f>ROW(Source!A62)</f>
        <v>62</v>
      </c>
      <c r="B74">
        <v>86326987</v>
      </c>
      <c r="C74">
        <v>86327303</v>
      </c>
      <c r="D74">
        <v>11618019</v>
      </c>
      <c r="E74">
        <v>1</v>
      </c>
      <c r="F74">
        <v>1</v>
      </c>
      <c r="G74">
        <v>1</v>
      </c>
      <c r="H74">
        <v>3</v>
      </c>
      <c r="I74" t="s">
        <v>101</v>
      </c>
      <c r="J74" t="s">
        <v>104</v>
      </c>
      <c r="K74" t="s">
        <v>102</v>
      </c>
      <c r="L74">
        <v>1371</v>
      </c>
      <c r="N74">
        <v>1013</v>
      </c>
      <c r="O74" t="s">
        <v>103</v>
      </c>
      <c r="P74" t="s">
        <v>103</v>
      </c>
      <c r="Q74">
        <v>1</v>
      </c>
      <c r="W74">
        <v>0</v>
      </c>
      <c r="X74">
        <v>-504018761</v>
      </c>
      <c r="Y74">
        <f t="shared" si="27"/>
        <v>23</v>
      </c>
      <c r="AA74">
        <v>0.24</v>
      </c>
      <c r="AB74">
        <v>0</v>
      </c>
      <c r="AC74">
        <v>0</v>
      </c>
      <c r="AD74">
        <v>0</v>
      </c>
      <c r="AE74">
        <v>0.24</v>
      </c>
      <c r="AF74">
        <v>0</v>
      </c>
      <c r="AG74">
        <v>0</v>
      </c>
      <c r="AH74">
        <v>0</v>
      </c>
      <c r="AI74">
        <v>1</v>
      </c>
      <c r="AJ74">
        <v>1</v>
      </c>
      <c r="AK74">
        <v>1</v>
      </c>
      <c r="AL74">
        <v>1</v>
      </c>
      <c r="AM74">
        <v>0</v>
      </c>
      <c r="AN74">
        <v>0</v>
      </c>
      <c r="AO74">
        <v>0</v>
      </c>
      <c r="AP74">
        <v>1</v>
      </c>
      <c r="AQ74">
        <v>0</v>
      </c>
      <c r="AR74">
        <v>0</v>
      </c>
      <c r="AS74" t="s">
        <v>6</v>
      </c>
      <c r="AT74">
        <v>23</v>
      </c>
      <c r="AU74" t="s">
        <v>6</v>
      </c>
      <c r="AV74">
        <v>0</v>
      </c>
      <c r="AW74">
        <v>1</v>
      </c>
      <c r="AX74">
        <v>-1</v>
      </c>
      <c r="AY74">
        <v>0</v>
      </c>
      <c r="AZ74">
        <v>0</v>
      </c>
      <c r="BA74" t="s">
        <v>6</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CV74">
        <v>0</v>
      </c>
      <c r="CW74">
        <v>0</v>
      </c>
      <c r="CX74">
        <f>ROUND(Y74*Source!I62,9)</f>
        <v>101.4875</v>
      </c>
      <c r="CY74">
        <f t="shared" si="28"/>
        <v>0.24</v>
      </c>
      <c r="CZ74">
        <f t="shared" si="29"/>
        <v>0.24</v>
      </c>
      <c r="DA74">
        <f t="shared" si="30"/>
        <v>1</v>
      </c>
      <c r="DB74">
        <f t="shared" si="31"/>
        <v>5.52</v>
      </c>
      <c r="DC74">
        <f t="shared" si="32"/>
        <v>0</v>
      </c>
      <c r="DD74" t="s">
        <v>6</v>
      </c>
      <c r="DE74" t="s">
        <v>6</v>
      </c>
      <c r="DF74">
        <f t="shared" si="26"/>
        <v>0</v>
      </c>
      <c r="DG74">
        <f t="shared" si="23"/>
        <v>0</v>
      </c>
      <c r="DH74">
        <f>Source!I62*SmtRes!Y74</f>
        <v>101.4875</v>
      </c>
      <c r="DI74">
        <f t="shared" si="33"/>
        <v>0.24</v>
      </c>
      <c r="DJ74">
        <f t="shared" si="34"/>
        <v>0</v>
      </c>
      <c r="DK74">
        <f>Source!BC62</f>
        <v>1</v>
      </c>
      <c r="DL74" t="s">
        <v>6</v>
      </c>
      <c r="DM74">
        <v>0</v>
      </c>
      <c r="DN74" t="s">
        <v>6</v>
      </c>
      <c r="DO74">
        <v>0</v>
      </c>
      <c r="GP74">
        <v>1</v>
      </c>
      <c r="GQ74">
        <v>-1</v>
      </c>
      <c r="GR74">
        <v>-1</v>
      </c>
    </row>
    <row r="75" spans="1:200" x14ac:dyDescent="0.2">
      <c r="A75">
        <f>ROW(Source!A62)</f>
        <v>62</v>
      </c>
      <c r="B75">
        <v>86326987</v>
      </c>
      <c r="C75">
        <v>86327303</v>
      </c>
      <c r="D75">
        <v>35950821</v>
      </c>
      <c r="E75">
        <v>1</v>
      </c>
      <c r="F75">
        <v>1</v>
      </c>
      <c r="G75">
        <v>1</v>
      </c>
      <c r="H75">
        <v>3</v>
      </c>
      <c r="I75" t="s">
        <v>76</v>
      </c>
      <c r="J75" t="s">
        <v>79</v>
      </c>
      <c r="K75" t="s">
        <v>77</v>
      </c>
      <c r="L75">
        <v>1391</v>
      </c>
      <c r="N75">
        <v>1013</v>
      </c>
      <c r="O75" t="s">
        <v>78</v>
      </c>
      <c r="P75" t="s">
        <v>78</v>
      </c>
      <c r="Q75">
        <v>1</v>
      </c>
      <c r="W75">
        <v>0</v>
      </c>
      <c r="X75">
        <v>813644265</v>
      </c>
      <c r="Y75">
        <f t="shared" si="27"/>
        <v>2.6628894999999999</v>
      </c>
      <c r="AA75">
        <v>87.58</v>
      </c>
      <c r="AB75">
        <v>0</v>
      </c>
      <c r="AC75">
        <v>0</v>
      </c>
      <c r="AD75">
        <v>0</v>
      </c>
      <c r="AE75">
        <v>87.58</v>
      </c>
      <c r="AF75">
        <v>0</v>
      </c>
      <c r="AG75">
        <v>0</v>
      </c>
      <c r="AH75">
        <v>0</v>
      </c>
      <c r="AI75">
        <v>1</v>
      </c>
      <c r="AJ75">
        <v>1</v>
      </c>
      <c r="AK75">
        <v>1</v>
      </c>
      <c r="AL75">
        <v>1</v>
      </c>
      <c r="AM75">
        <v>0</v>
      </c>
      <c r="AN75">
        <v>0</v>
      </c>
      <c r="AO75">
        <v>0</v>
      </c>
      <c r="AP75">
        <v>1</v>
      </c>
      <c r="AQ75">
        <v>0</v>
      </c>
      <c r="AR75">
        <v>0</v>
      </c>
      <c r="AS75" t="s">
        <v>6</v>
      </c>
      <c r="AT75">
        <v>2.6628894999999999</v>
      </c>
      <c r="AU75" t="s">
        <v>6</v>
      </c>
      <c r="AV75">
        <v>0</v>
      </c>
      <c r="AW75">
        <v>1</v>
      </c>
      <c r="AX75">
        <v>-1</v>
      </c>
      <c r="AY75">
        <v>0</v>
      </c>
      <c r="AZ75">
        <v>0</v>
      </c>
      <c r="BA75" t="s">
        <v>6</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CV75">
        <v>0</v>
      </c>
      <c r="CW75">
        <v>0</v>
      </c>
      <c r="CX75">
        <f>ROUND(Y75*Source!I62,9)</f>
        <v>11.749999919</v>
      </c>
      <c r="CY75">
        <f t="shared" si="28"/>
        <v>87.58</v>
      </c>
      <c r="CZ75">
        <f t="shared" si="29"/>
        <v>87.58</v>
      </c>
      <c r="DA75">
        <f t="shared" si="30"/>
        <v>1</v>
      </c>
      <c r="DB75">
        <f t="shared" si="31"/>
        <v>233.22</v>
      </c>
      <c r="DC75">
        <f t="shared" si="32"/>
        <v>0</v>
      </c>
      <c r="DD75" t="s">
        <v>6</v>
      </c>
      <c r="DE75" t="s">
        <v>6</v>
      </c>
      <c r="DF75">
        <f t="shared" si="26"/>
        <v>1034</v>
      </c>
      <c r="DG75">
        <f t="shared" si="23"/>
        <v>0</v>
      </c>
      <c r="DH75">
        <f>Source!I62*SmtRes!Y75</f>
        <v>11.749999918749999</v>
      </c>
      <c r="DI75">
        <f t="shared" si="33"/>
        <v>87.58</v>
      </c>
      <c r="DJ75">
        <f t="shared" si="34"/>
        <v>1034</v>
      </c>
      <c r="DK75">
        <f>Source!BC62</f>
        <v>1</v>
      </c>
      <c r="DL75" t="s">
        <v>6</v>
      </c>
      <c r="DM75">
        <v>0</v>
      </c>
      <c r="DN75" t="s">
        <v>6</v>
      </c>
      <c r="DO75">
        <v>0</v>
      </c>
      <c r="GP75">
        <v>1</v>
      </c>
      <c r="GQ75">
        <v>-1</v>
      </c>
      <c r="GR75">
        <v>-1</v>
      </c>
    </row>
    <row r="76" spans="1:200" x14ac:dyDescent="0.2">
      <c r="A76">
        <f>ROW(Source!A62)</f>
        <v>62</v>
      </c>
      <c r="B76">
        <v>86326987</v>
      </c>
      <c r="C76">
        <v>86327303</v>
      </c>
      <c r="D76">
        <v>35950824</v>
      </c>
      <c r="E76">
        <v>1</v>
      </c>
      <c r="F76">
        <v>1</v>
      </c>
      <c r="G76">
        <v>1</v>
      </c>
      <c r="H76">
        <v>3</v>
      </c>
      <c r="I76" t="s">
        <v>82</v>
      </c>
      <c r="J76" t="s">
        <v>84</v>
      </c>
      <c r="K76" t="s">
        <v>83</v>
      </c>
      <c r="L76">
        <v>1391</v>
      </c>
      <c r="N76">
        <v>1013</v>
      </c>
      <c r="O76" t="s">
        <v>78</v>
      </c>
      <c r="P76" t="s">
        <v>78</v>
      </c>
      <c r="Q76">
        <v>1</v>
      </c>
      <c r="W76">
        <v>0</v>
      </c>
      <c r="X76">
        <v>1913149582</v>
      </c>
      <c r="Y76">
        <f t="shared" si="27"/>
        <v>2.6628894999999999</v>
      </c>
      <c r="AA76">
        <v>56.57</v>
      </c>
      <c r="AB76">
        <v>0</v>
      </c>
      <c r="AC76">
        <v>0</v>
      </c>
      <c r="AD76">
        <v>0</v>
      </c>
      <c r="AE76">
        <v>56.57</v>
      </c>
      <c r="AF76">
        <v>0</v>
      </c>
      <c r="AG76">
        <v>0</v>
      </c>
      <c r="AH76">
        <v>0</v>
      </c>
      <c r="AI76">
        <v>1</v>
      </c>
      <c r="AJ76">
        <v>1</v>
      </c>
      <c r="AK76">
        <v>1</v>
      </c>
      <c r="AL76">
        <v>1</v>
      </c>
      <c r="AM76">
        <v>0</v>
      </c>
      <c r="AN76">
        <v>0</v>
      </c>
      <c r="AO76">
        <v>0</v>
      </c>
      <c r="AP76">
        <v>1</v>
      </c>
      <c r="AQ76">
        <v>0</v>
      </c>
      <c r="AR76">
        <v>0</v>
      </c>
      <c r="AS76" t="s">
        <v>6</v>
      </c>
      <c r="AT76">
        <v>2.6628894999999999</v>
      </c>
      <c r="AU76" t="s">
        <v>6</v>
      </c>
      <c r="AV76">
        <v>0</v>
      </c>
      <c r="AW76">
        <v>1</v>
      </c>
      <c r="AX76">
        <v>-1</v>
      </c>
      <c r="AY76">
        <v>0</v>
      </c>
      <c r="AZ76">
        <v>0</v>
      </c>
      <c r="BA76" t="s">
        <v>6</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CV76">
        <v>0</v>
      </c>
      <c r="CW76">
        <v>0</v>
      </c>
      <c r="CX76">
        <f>ROUND(Y76*Source!I62,9)</f>
        <v>11.749999919</v>
      </c>
      <c r="CY76">
        <f t="shared" si="28"/>
        <v>56.57</v>
      </c>
      <c r="CZ76">
        <f t="shared" si="29"/>
        <v>56.57</v>
      </c>
      <c r="DA76">
        <f t="shared" si="30"/>
        <v>1</v>
      </c>
      <c r="DB76">
        <f t="shared" si="31"/>
        <v>150.63999999999999</v>
      </c>
      <c r="DC76">
        <f t="shared" si="32"/>
        <v>0</v>
      </c>
      <c r="DD76" t="s">
        <v>6</v>
      </c>
      <c r="DE76" t="s">
        <v>6</v>
      </c>
      <c r="DF76">
        <f t="shared" si="26"/>
        <v>670</v>
      </c>
      <c r="DG76">
        <f t="shared" si="23"/>
        <v>0</v>
      </c>
      <c r="DH76">
        <f>Source!I62*SmtRes!Y76</f>
        <v>11.749999918749999</v>
      </c>
      <c r="DI76">
        <f t="shared" si="33"/>
        <v>56.57</v>
      </c>
      <c r="DJ76">
        <f t="shared" si="34"/>
        <v>670</v>
      </c>
      <c r="DK76">
        <f>Source!BC62</f>
        <v>1</v>
      </c>
      <c r="DL76" t="s">
        <v>6</v>
      </c>
      <c r="DM76">
        <v>0</v>
      </c>
      <c r="DN76" t="s">
        <v>6</v>
      </c>
      <c r="DO76">
        <v>0</v>
      </c>
      <c r="GP76">
        <v>1</v>
      </c>
      <c r="GQ76">
        <v>-1</v>
      </c>
      <c r="GR76">
        <v>-1</v>
      </c>
    </row>
    <row r="77" spans="1:200" x14ac:dyDescent="0.2">
      <c r="A77">
        <f>ROW(Source!A62)</f>
        <v>62</v>
      </c>
      <c r="B77">
        <v>86326987</v>
      </c>
      <c r="C77">
        <v>86327303</v>
      </c>
      <c r="D77">
        <v>27425862</v>
      </c>
      <c r="E77">
        <v>1</v>
      </c>
      <c r="F77">
        <v>1</v>
      </c>
      <c r="G77">
        <v>1</v>
      </c>
      <c r="H77">
        <v>3</v>
      </c>
      <c r="I77" t="s">
        <v>92</v>
      </c>
      <c r="J77" t="s">
        <v>95</v>
      </c>
      <c r="K77" t="s">
        <v>93</v>
      </c>
      <c r="L77">
        <v>1301</v>
      </c>
      <c r="N77">
        <v>1003</v>
      </c>
      <c r="O77" t="s">
        <v>94</v>
      </c>
      <c r="P77" t="s">
        <v>94</v>
      </c>
      <c r="Q77">
        <v>1</v>
      </c>
      <c r="W77">
        <v>0</v>
      </c>
      <c r="X77">
        <v>-1608277363</v>
      </c>
      <c r="Y77">
        <f t="shared" si="27"/>
        <v>5.3879999999999999</v>
      </c>
      <c r="AA77">
        <v>4.6900000000000004</v>
      </c>
      <c r="AB77">
        <v>0</v>
      </c>
      <c r="AC77">
        <v>0</v>
      </c>
      <c r="AD77">
        <v>0</v>
      </c>
      <c r="AE77">
        <v>4.6900000000000004</v>
      </c>
      <c r="AF77">
        <v>0</v>
      </c>
      <c r="AG77">
        <v>0</v>
      </c>
      <c r="AH77">
        <v>0</v>
      </c>
      <c r="AI77">
        <v>1</v>
      </c>
      <c r="AJ77">
        <v>1</v>
      </c>
      <c r="AK77">
        <v>1</v>
      </c>
      <c r="AL77">
        <v>1</v>
      </c>
      <c r="AM77">
        <v>0</v>
      </c>
      <c r="AN77">
        <v>0</v>
      </c>
      <c r="AO77">
        <v>0</v>
      </c>
      <c r="AP77">
        <v>1</v>
      </c>
      <c r="AQ77">
        <v>0</v>
      </c>
      <c r="AR77">
        <v>0</v>
      </c>
      <c r="AS77" t="s">
        <v>6</v>
      </c>
      <c r="AT77">
        <v>5.3879999999999999</v>
      </c>
      <c r="AU77" t="s">
        <v>6</v>
      </c>
      <c r="AV77">
        <v>0</v>
      </c>
      <c r="AW77">
        <v>1</v>
      </c>
      <c r="AX77">
        <v>-1</v>
      </c>
      <c r="AY77">
        <v>0</v>
      </c>
      <c r="AZ77">
        <v>0</v>
      </c>
      <c r="BA77" t="s">
        <v>6</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CV77">
        <v>0</v>
      </c>
      <c r="CW77">
        <v>0</v>
      </c>
      <c r="CX77">
        <f>ROUND(Y77*Source!I62,9)</f>
        <v>23.774550000000001</v>
      </c>
      <c r="CY77">
        <f t="shared" si="28"/>
        <v>4.6900000000000004</v>
      </c>
      <c r="CZ77">
        <f t="shared" si="29"/>
        <v>4.6900000000000004</v>
      </c>
      <c r="DA77">
        <f t="shared" si="30"/>
        <v>1</v>
      </c>
      <c r="DB77">
        <f t="shared" si="31"/>
        <v>25.27</v>
      </c>
      <c r="DC77">
        <f t="shared" si="32"/>
        <v>0</v>
      </c>
      <c r="DD77" t="s">
        <v>6</v>
      </c>
      <c r="DE77" t="s">
        <v>6</v>
      </c>
      <c r="DF77">
        <f t="shared" si="26"/>
        <v>119</v>
      </c>
      <c r="DG77">
        <f t="shared" si="23"/>
        <v>0</v>
      </c>
      <c r="DH77">
        <f>Source!I62*SmtRes!Y77</f>
        <v>23.774549999999998</v>
      </c>
      <c r="DI77">
        <f t="shared" si="33"/>
        <v>4.6900000000000004</v>
      </c>
      <c r="DJ77">
        <f t="shared" si="34"/>
        <v>119</v>
      </c>
      <c r="DK77">
        <f>Source!BC62</f>
        <v>1</v>
      </c>
      <c r="DL77" t="s">
        <v>6</v>
      </c>
      <c r="DM77">
        <v>0</v>
      </c>
      <c r="DN77" t="s">
        <v>6</v>
      </c>
      <c r="DO77">
        <v>0</v>
      </c>
      <c r="GP77">
        <v>1</v>
      </c>
      <c r="GQ77">
        <v>-1</v>
      </c>
      <c r="GR77">
        <v>-1</v>
      </c>
    </row>
    <row r="78" spans="1:200" x14ac:dyDescent="0.2">
      <c r="A78">
        <f>ROW(Source!A62)</f>
        <v>62</v>
      </c>
      <c r="B78">
        <v>86326987</v>
      </c>
      <c r="C78">
        <v>86327303</v>
      </c>
      <c r="D78">
        <v>69208315</v>
      </c>
      <c r="E78">
        <v>1</v>
      </c>
      <c r="F78">
        <v>1</v>
      </c>
      <c r="G78">
        <v>1</v>
      </c>
      <c r="H78">
        <v>3</v>
      </c>
      <c r="I78" t="s">
        <v>117</v>
      </c>
      <c r="J78" t="s">
        <v>119</v>
      </c>
      <c r="K78" t="s">
        <v>118</v>
      </c>
      <c r="L78">
        <v>1348</v>
      </c>
      <c r="N78">
        <v>1009</v>
      </c>
      <c r="O78" t="s">
        <v>33</v>
      </c>
      <c r="P78" t="s">
        <v>33</v>
      </c>
      <c r="Q78">
        <v>1000</v>
      </c>
      <c r="W78">
        <v>0</v>
      </c>
      <c r="X78">
        <v>772407484</v>
      </c>
      <c r="Y78">
        <f t="shared" si="27"/>
        <v>9.5100000000000002E-4</v>
      </c>
      <c r="AA78">
        <v>10633.86</v>
      </c>
      <c r="AB78">
        <v>0</v>
      </c>
      <c r="AC78">
        <v>0</v>
      </c>
      <c r="AD78">
        <v>0</v>
      </c>
      <c r="AE78">
        <v>10633.86</v>
      </c>
      <c r="AF78">
        <v>0</v>
      </c>
      <c r="AG78">
        <v>0</v>
      </c>
      <c r="AH78">
        <v>0</v>
      </c>
      <c r="AI78">
        <v>1</v>
      </c>
      <c r="AJ78">
        <v>1</v>
      </c>
      <c r="AK78">
        <v>1</v>
      </c>
      <c r="AL78">
        <v>1</v>
      </c>
      <c r="AM78">
        <v>0</v>
      </c>
      <c r="AN78">
        <v>0</v>
      </c>
      <c r="AO78">
        <v>0</v>
      </c>
      <c r="AP78">
        <v>1</v>
      </c>
      <c r="AQ78">
        <v>0</v>
      </c>
      <c r="AR78">
        <v>0</v>
      </c>
      <c r="AS78" t="s">
        <v>6</v>
      </c>
      <c r="AT78">
        <v>9.5100000000000002E-4</v>
      </c>
      <c r="AU78" t="s">
        <v>6</v>
      </c>
      <c r="AV78">
        <v>0</v>
      </c>
      <c r="AW78">
        <v>1</v>
      </c>
      <c r="AX78">
        <v>-1</v>
      </c>
      <c r="AY78">
        <v>0</v>
      </c>
      <c r="AZ78">
        <v>0</v>
      </c>
      <c r="BA78" t="s">
        <v>6</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CV78">
        <v>0</v>
      </c>
      <c r="CW78">
        <v>0</v>
      </c>
      <c r="CX78">
        <f>ROUND(Y78*Source!I62,9)</f>
        <v>4.1962880000000003E-3</v>
      </c>
      <c r="CY78">
        <f t="shared" si="28"/>
        <v>10633.86</v>
      </c>
      <c r="CZ78">
        <f t="shared" si="29"/>
        <v>10633.86</v>
      </c>
      <c r="DA78">
        <f t="shared" si="30"/>
        <v>1</v>
      </c>
      <c r="DB78">
        <f t="shared" si="31"/>
        <v>10.11</v>
      </c>
      <c r="DC78">
        <f t="shared" si="32"/>
        <v>0</v>
      </c>
      <c r="DD78" t="s">
        <v>6</v>
      </c>
      <c r="DE78" t="s">
        <v>6</v>
      </c>
      <c r="DF78">
        <f t="shared" si="26"/>
        <v>45</v>
      </c>
      <c r="DG78">
        <f t="shared" si="23"/>
        <v>0</v>
      </c>
      <c r="DH78">
        <f>Source!I62*SmtRes!Y78</f>
        <v>4.1962874999999997E-3</v>
      </c>
      <c r="DI78">
        <f t="shared" si="33"/>
        <v>10633.86</v>
      </c>
      <c r="DJ78">
        <f t="shared" si="34"/>
        <v>45</v>
      </c>
      <c r="DK78">
        <f>Source!BC62</f>
        <v>1</v>
      </c>
      <c r="DL78" t="s">
        <v>6</v>
      </c>
      <c r="DM78">
        <v>0</v>
      </c>
      <c r="DN78" t="s">
        <v>6</v>
      </c>
      <c r="DO78">
        <v>0</v>
      </c>
      <c r="GP78">
        <v>1</v>
      </c>
      <c r="GQ78">
        <v>-1</v>
      </c>
      <c r="GR78">
        <v>-1</v>
      </c>
    </row>
    <row r="79" spans="1:200" x14ac:dyDescent="0.2">
      <c r="A79">
        <f>ROW(Source!A62)</f>
        <v>62</v>
      </c>
      <c r="B79">
        <v>86326987</v>
      </c>
      <c r="C79">
        <v>86327303</v>
      </c>
      <c r="D79">
        <v>69408587</v>
      </c>
      <c r="E79">
        <v>1</v>
      </c>
      <c r="F79">
        <v>1</v>
      </c>
      <c r="G79">
        <v>1</v>
      </c>
      <c r="H79">
        <v>3</v>
      </c>
      <c r="I79" t="s">
        <v>87</v>
      </c>
      <c r="J79" t="s">
        <v>89</v>
      </c>
      <c r="K79" t="s">
        <v>88</v>
      </c>
      <c r="L79">
        <v>1339</v>
      </c>
      <c r="N79">
        <v>1007</v>
      </c>
      <c r="O79" t="s">
        <v>44</v>
      </c>
      <c r="P79" t="s">
        <v>44</v>
      </c>
      <c r="Q79">
        <v>1</v>
      </c>
      <c r="W79">
        <v>0</v>
      </c>
      <c r="X79">
        <v>-183216560</v>
      </c>
      <c r="Y79">
        <f t="shared" si="27"/>
        <v>2.70283286</v>
      </c>
      <c r="AA79">
        <v>878.79</v>
      </c>
      <c r="AB79">
        <v>0</v>
      </c>
      <c r="AC79">
        <v>0</v>
      </c>
      <c r="AD79">
        <v>0</v>
      </c>
      <c r="AE79">
        <v>878.79</v>
      </c>
      <c r="AF79">
        <v>0</v>
      </c>
      <c r="AG79">
        <v>0</v>
      </c>
      <c r="AH79">
        <v>0</v>
      </c>
      <c r="AI79">
        <v>1</v>
      </c>
      <c r="AJ79">
        <v>1</v>
      </c>
      <c r="AK79">
        <v>1</v>
      </c>
      <c r="AL79">
        <v>1</v>
      </c>
      <c r="AM79">
        <v>0</v>
      </c>
      <c r="AN79">
        <v>0</v>
      </c>
      <c r="AO79">
        <v>0</v>
      </c>
      <c r="AP79">
        <v>1</v>
      </c>
      <c r="AQ79">
        <v>0</v>
      </c>
      <c r="AR79">
        <v>0</v>
      </c>
      <c r="AS79" t="s">
        <v>6</v>
      </c>
      <c r="AT79">
        <v>2.70283286</v>
      </c>
      <c r="AU79" t="s">
        <v>6</v>
      </c>
      <c r="AV79">
        <v>0</v>
      </c>
      <c r="AW79">
        <v>1</v>
      </c>
      <c r="AX79">
        <v>-1</v>
      </c>
      <c r="AY79">
        <v>0</v>
      </c>
      <c r="AZ79">
        <v>0</v>
      </c>
      <c r="BA79" t="s">
        <v>6</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CV79">
        <v>0</v>
      </c>
      <c r="CW79">
        <v>0</v>
      </c>
      <c r="CX79">
        <f>ROUND(Y79*Source!I62,9)</f>
        <v>11.926249994999999</v>
      </c>
      <c r="CY79">
        <f t="shared" si="28"/>
        <v>878.79</v>
      </c>
      <c r="CZ79">
        <f t="shared" si="29"/>
        <v>878.79</v>
      </c>
      <c r="DA79">
        <f t="shared" si="30"/>
        <v>1</v>
      </c>
      <c r="DB79">
        <f t="shared" si="31"/>
        <v>2375.2199999999998</v>
      </c>
      <c r="DC79">
        <f t="shared" si="32"/>
        <v>0</v>
      </c>
      <c r="DD79" t="s">
        <v>6</v>
      </c>
      <c r="DE79" t="s">
        <v>6</v>
      </c>
      <c r="DF79">
        <f t="shared" si="26"/>
        <v>10483</v>
      </c>
      <c r="DG79">
        <f t="shared" si="23"/>
        <v>0</v>
      </c>
      <c r="DH79">
        <f>Source!I62*SmtRes!Y79</f>
        <v>11.926249994749998</v>
      </c>
      <c r="DI79">
        <f t="shared" si="33"/>
        <v>878.79</v>
      </c>
      <c r="DJ79">
        <f t="shared" si="34"/>
        <v>10483</v>
      </c>
      <c r="DK79">
        <f>Source!BC62</f>
        <v>1</v>
      </c>
      <c r="DL79" t="s">
        <v>6</v>
      </c>
      <c r="DM79">
        <v>0</v>
      </c>
      <c r="DN79" t="s">
        <v>6</v>
      </c>
      <c r="DO79">
        <v>0</v>
      </c>
      <c r="GP79">
        <v>1</v>
      </c>
      <c r="GQ79">
        <v>-1</v>
      </c>
      <c r="GR79">
        <v>-1</v>
      </c>
    </row>
    <row r="80" spans="1:200" x14ac:dyDescent="0.2">
      <c r="A80">
        <f>ROW(Source!A63)</f>
        <v>63</v>
      </c>
      <c r="B80">
        <v>86326988</v>
      </c>
      <c r="C80">
        <v>86327303</v>
      </c>
      <c r="D80">
        <v>27497778</v>
      </c>
      <c r="E80">
        <v>1</v>
      </c>
      <c r="F80">
        <v>1</v>
      </c>
      <c r="G80">
        <v>1</v>
      </c>
      <c r="H80">
        <v>1</v>
      </c>
      <c r="I80" t="s">
        <v>647</v>
      </c>
      <c r="J80" t="s">
        <v>6</v>
      </c>
      <c r="K80" t="s">
        <v>648</v>
      </c>
      <c r="L80">
        <v>1369</v>
      </c>
      <c r="N80">
        <v>1013</v>
      </c>
      <c r="O80" t="s">
        <v>625</v>
      </c>
      <c r="P80" t="s">
        <v>625</v>
      </c>
      <c r="Q80">
        <v>1</v>
      </c>
      <c r="W80">
        <v>0</v>
      </c>
      <c r="X80">
        <v>-160844189</v>
      </c>
      <c r="Y80">
        <f>(AT80*1.05)</f>
        <v>5.1345000000000001</v>
      </c>
      <c r="AA80">
        <v>0</v>
      </c>
      <c r="AB80">
        <v>0</v>
      </c>
      <c r="AC80">
        <v>0</v>
      </c>
      <c r="AD80">
        <v>314.17</v>
      </c>
      <c r="AE80">
        <v>0</v>
      </c>
      <c r="AF80">
        <v>0</v>
      </c>
      <c r="AG80">
        <v>0</v>
      </c>
      <c r="AH80">
        <v>8.7100000000000009</v>
      </c>
      <c r="AI80">
        <v>1</v>
      </c>
      <c r="AJ80">
        <v>1</v>
      </c>
      <c r="AK80">
        <v>1</v>
      </c>
      <c r="AL80">
        <v>36.07</v>
      </c>
      <c r="AM80">
        <v>5</v>
      </c>
      <c r="AN80">
        <v>0</v>
      </c>
      <c r="AO80">
        <v>1</v>
      </c>
      <c r="AP80">
        <v>1</v>
      </c>
      <c r="AQ80">
        <v>0</v>
      </c>
      <c r="AR80">
        <v>0</v>
      </c>
      <c r="AS80" t="s">
        <v>6</v>
      </c>
      <c r="AT80">
        <v>4.8899999999999997</v>
      </c>
      <c r="AU80" t="s">
        <v>25</v>
      </c>
      <c r="AV80">
        <v>1</v>
      </c>
      <c r="AW80">
        <v>2</v>
      </c>
      <c r="AX80">
        <v>86327317</v>
      </c>
      <c r="AY80">
        <v>1</v>
      </c>
      <c r="AZ80">
        <v>0</v>
      </c>
      <c r="BA80">
        <v>66</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CU80">
        <f>ROUND(AT80*Source!I63*AH80*AL80,0)</f>
        <v>6779</v>
      </c>
      <c r="CV80">
        <f>ROUND(Y80*Source!I63,9)</f>
        <v>22.65598125</v>
      </c>
      <c r="CW80">
        <v>0</v>
      </c>
      <c r="CX80">
        <f>ROUND(Y80*Source!I63,9)</f>
        <v>22.65598125</v>
      </c>
      <c r="CY80">
        <f>AD80</f>
        <v>314.17</v>
      </c>
      <c r="CZ80">
        <f>AH80</f>
        <v>8.7100000000000009</v>
      </c>
      <c r="DA80">
        <f>AL80</f>
        <v>36.07</v>
      </c>
      <c r="DB80">
        <f>ROUND((ROUND(AT80*CZ80,2)*1.05),2)</f>
        <v>44.72</v>
      </c>
      <c r="DC80">
        <f>ROUND((ROUND(AT80*AG80,2)*1.05),2)</f>
        <v>0</v>
      </c>
      <c r="DD80" t="s">
        <v>6</v>
      </c>
      <c r="DE80" t="s">
        <v>6</v>
      </c>
      <c r="DF80">
        <f t="shared" si="26"/>
        <v>0</v>
      </c>
      <c r="DG80">
        <f t="shared" si="23"/>
        <v>0</v>
      </c>
      <c r="DH80">
        <f>Source!I63*SmtRes!Y80</f>
        <v>22.65598125</v>
      </c>
      <c r="DI80">
        <f>AD80</f>
        <v>314.17</v>
      </c>
      <c r="DJ80">
        <f>EtalonRes!AB66</f>
        <v>8.7100000000000009</v>
      </c>
      <c r="DK80">
        <f>Source!BA63</f>
        <v>36.07</v>
      </c>
      <c r="DL80" t="s">
        <v>6</v>
      </c>
      <c r="DM80">
        <v>0</v>
      </c>
      <c r="DN80" t="s">
        <v>6</v>
      </c>
      <c r="DO80">
        <v>0</v>
      </c>
      <c r="GQ80">
        <v>-1</v>
      </c>
      <c r="GR80">
        <v>-1</v>
      </c>
    </row>
    <row r="81" spans="1:200" x14ac:dyDescent="0.2">
      <c r="A81">
        <f>ROW(Source!A63)</f>
        <v>63</v>
      </c>
      <c r="B81">
        <v>86326988</v>
      </c>
      <c r="C81">
        <v>86327303</v>
      </c>
      <c r="D81">
        <v>121548</v>
      </c>
      <c r="E81">
        <v>1</v>
      </c>
      <c r="F81">
        <v>1</v>
      </c>
      <c r="G81">
        <v>1</v>
      </c>
      <c r="H81">
        <v>1</v>
      </c>
      <c r="I81" t="s">
        <v>40</v>
      </c>
      <c r="J81" t="s">
        <v>6</v>
      </c>
      <c r="K81" t="s">
        <v>626</v>
      </c>
      <c r="L81">
        <v>608254</v>
      </c>
      <c r="N81">
        <v>1013</v>
      </c>
      <c r="O81" t="s">
        <v>627</v>
      </c>
      <c r="P81" t="s">
        <v>627</v>
      </c>
      <c r="Q81">
        <v>1</v>
      </c>
      <c r="W81">
        <v>0</v>
      </c>
      <c r="X81">
        <v>-185737400</v>
      </c>
      <c r="Y81">
        <f>(AT81*1.12)</f>
        <v>2.1952000000000003</v>
      </c>
      <c r="AA81">
        <v>0</v>
      </c>
      <c r="AB81">
        <v>0</v>
      </c>
      <c r="AC81">
        <v>0</v>
      </c>
      <c r="AD81">
        <v>0</v>
      </c>
      <c r="AE81">
        <v>0</v>
      </c>
      <c r="AF81">
        <v>0</v>
      </c>
      <c r="AG81">
        <v>0</v>
      </c>
      <c r="AH81">
        <v>0</v>
      </c>
      <c r="AI81">
        <v>1</v>
      </c>
      <c r="AJ81">
        <v>1</v>
      </c>
      <c r="AK81">
        <v>19.8</v>
      </c>
      <c r="AL81">
        <v>1</v>
      </c>
      <c r="AM81">
        <v>5</v>
      </c>
      <c r="AN81">
        <v>0</v>
      </c>
      <c r="AO81">
        <v>1</v>
      </c>
      <c r="AP81">
        <v>1</v>
      </c>
      <c r="AQ81">
        <v>0</v>
      </c>
      <c r="AR81">
        <v>0</v>
      </c>
      <c r="AS81" t="s">
        <v>6</v>
      </c>
      <c r="AT81">
        <v>1.96</v>
      </c>
      <c r="AU81" t="s">
        <v>24</v>
      </c>
      <c r="AV81">
        <v>2</v>
      </c>
      <c r="AW81">
        <v>2</v>
      </c>
      <c r="AX81">
        <v>86327318</v>
      </c>
      <c r="AY81">
        <v>1</v>
      </c>
      <c r="AZ81">
        <v>0</v>
      </c>
      <c r="BA81">
        <v>67</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CV81">
        <v>0</v>
      </c>
      <c r="CW81">
        <v>0</v>
      </c>
      <c r="CX81">
        <f>ROUND(Y81*Source!I63,9)</f>
        <v>9.6863200000000003</v>
      </c>
      <c r="CY81">
        <f>AD81</f>
        <v>0</v>
      </c>
      <c r="CZ81">
        <f>AH81</f>
        <v>0</v>
      </c>
      <c r="DA81">
        <f>AL81</f>
        <v>1</v>
      </c>
      <c r="DB81">
        <f>ROUND((ROUND(AT81*CZ81,2)*1.12),2)</f>
        <v>0</v>
      </c>
      <c r="DC81">
        <f>ROUND((ROUND(AT81*AG81,2)*1.12),2)</f>
        <v>0</v>
      </c>
      <c r="DD81" t="s">
        <v>6</v>
      </c>
      <c r="DE81" t="s">
        <v>6</v>
      </c>
      <c r="DF81">
        <f t="shared" si="26"/>
        <v>0</v>
      </c>
      <c r="DG81">
        <f t="shared" si="23"/>
        <v>0</v>
      </c>
      <c r="DH81">
        <f>Source!I63*SmtRes!Y81</f>
        <v>9.6863200000000003</v>
      </c>
      <c r="DI81">
        <f>AD81</f>
        <v>0</v>
      </c>
      <c r="DJ81">
        <f>EtalonRes!AB67</f>
        <v>0</v>
      </c>
      <c r="DK81">
        <f>Source!BA63</f>
        <v>36.07</v>
      </c>
      <c r="DL81" t="s">
        <v>6</v>
      </c>
      <c r="DM81">
        <v>0</v>
      </c>
      <c r="DN81" t="s">
        <v>6</v>
      </c>
      <c r="DO81">
        <v>0</v>
      </c>
      <c r="GQ81">
        <v>-1</v>
      </c>
      <c r="GR81">
        <v>-1</v>
      </c>
    </row>
    <row r="82" spans="1:200" x14ac:dyDescent="0.2">
      <c r="A82">
        <f>ROW(Source!A63)</f>
        <v>63</v>
      </c>
      <c r="B82">
        <v>86326988</v>
      </c>
      <c r="C82">
        <v>86327303</v>
      </c>
      <c r="D82">
        <v>27439419</v>
      </c>
      <c r="E82">
        <v>1</v>
      </c>
      <c r="F82">
        <v>1</v>
      </c>
      <c r="G82">
        <v>1</v>
      </c>
      <c r="H82">
        <v>2</v>
      </c>
      <c r="I82" t="s">
        <v>628</v>
      </c>
      <c r="J82" t="s">
        <v>629</v>
      </c>
      <c r="K82" t="s">
        <v>630</v>
      </c>
      <c r="L82">
        <v>1368</v>
      </c>
      <c r="N82">
        <v>1011</v>
      </c>
      <c r="O82" t="s">
        <v>137</v>
      </c>
      <c r="P82" t="s">
        <v>137</v>
      </c>
      <c r="Q82">
        <v>1</v>
      </c>
      <c r="W82">
        <v>0</v>
      </c>
      <c r="X82">
        <v>1804162481</v>
      </c>
      <c r="Y82">
        <f>(AT82*1.12)</f>
        <v>2.1952000000000003</v>
      </c>
      <c r="AA82">
        <v>0</v>
      </c>
      <c r="AB82">
        <v>1075.45</v>
      </c>
      <c r="AC82">
        <v>269.48</v>
      </c>
      <c r="AD82">
        <v>0</v>
      </c>
      <c r="AE82">
        <v>0</v>
      </c>
      <c r="AF82">
        <v>115.64</v>
      </c>
      <c r="AG82">
        <v>13.61</v>
      </c>
      <c r="AH82">
        <v>0</v>
      </c>
      <c r="AI82">
        <v>1</v>
      </c>
      <c r="AJ82">
        <v>9.3000000000000007</v>
      </c>
      <c r="AK82">
        <v>19.8</v>
      </c>
      <c r="AL82">
        <v>1</v>
      </c>
      <c r="AM82">
        <v>5</v>
      </c>
      <c r="AN82">
        <v>0</v>
      </c>
      <c r="AO82">
        <v>1</v>
      </c>
      <c r="AP82">
        <v>1</v>
      </c>
      <c r="AQ82">
        <v>0</v>
      </c>
      <c r="AR82">
        <v>0</v>
      </c>
      <c r="AS82" t="s">
        <v>6</v>
      </c>
      <c r="AT82">
        <v>1.96</v>
      </c>
      <c r="AU82" t="s">
        <v>24</v>
      </c>
      <c r="AV82">
        <v>0</v>
      </c>
      <c r="AW82">
        <v>1</v>
      </c>
      <c r="AX82">
        <v>-1</v>
      </c>
      <c r="AY82">
        <v>0</v>
      </c>
      <c r="AZ82">
        <v>0</v>
      </c>
      <c r="BA82" t="s">
        <v>6</v>
      </c>
      <c r="BB82">
        <v>5</v>
      </c>
      <c r="BC82">
        <v>0</v>
      </c>
      <c r="BD82">
        <v>253.85292800000002</v>
      </c>
      <c r="BE82">
        <v>29.876672000000003</v>
      </c>
      <c r="BF82">
        <v>0</v>
      </c>
      <c r="BG82">
        <v>0</v>
      </c>
      <c r="BH82">
        <v>0</v>
      </c>
      <c r="BI82">
        <v>1</v>
      </c>
      <c r="BJ82">
        <v>0</v>
      </c>
      <c r="BK82">
        <v>0</v>
      </c>
      <c r="BL82">
        <v>0</v>
      </c>
      <c r="BM82">
        <v>0</v>
      </c>
      <c r="BN82">
        <v>0</v>
      </c>
      <c r="BO82">
        <v>0</v>
      </c>
      <c r="BP82">
        <v>0</v>
      </c>
      <c r="BQ82">
        <v>0</v>
      </c>
      <c r="BR82">
        <v>0</v>
      </c>
      <c r="BS82">
        <v>0</v>
      </c>
      <c r="BT82">
        <v>0</v>
      </c>
      <c r="BU82">
        <v>0</v>
      </c>
      <c r="BV82">
        <v>0</v>
      </c>
      <c r="BW82">
        <v>0</v>
      </c>
      <c r="CV82">
        <v>0</v>
      </c>
      <c r="CW82">
        <f>ROUND(Y82*Source!I63*DO82,9)</f>
        <v>0</v>
      </c>
      <c r="CX82">
        <f>ROUND(Y82*Source!I63,9)</f>
        <v>9.6863200000000003</v>
      </c>
      <c r="CY82">
        <f>AB82</f>
        <v>1075.45</v>
      </c>
      <c r="CZ82">
        <f>AF82</f>
        <v>115.64</v>
      </c>
      <c r="DA82">
        <f>AJ82</f>
        <v>9.3000000000000007</v>
      </c>
      <c r="DB82">
        <f>ROUND((ROUND(AT82*CZ82,2)*1.12),2)</f>
        <v>253.85</v>
      </c>
      <c r="DC82">
        <f>ROUND((ROUND(AT82*AG82,2)*1.12),2)</f>
        <v>29.88</v>
      </c>
      <c r="DD82" t="s">
        <v>6</v>
      </c>
      <c r="DE82" t="s">
        <v>6</v>
      </c>
      <c r="DF82">
        <f t="shared" si="26"/>
        <v>0</v>
      </c>
      <c r="DG82">
        <f>ROUND(ROUND(AF82*AJ82,0)*CX82,0)</f>
        <v>10413</v>
      </c>
      <c r="DH82">
        <f>Source!I63*SmtRes!Y82</f>
        <v>9.6863200000000003</v>
      </c>
      <c r="DI82">
        <f>AB82</f>
        <v>1075.45</v>
      </c>
      <c r="DJ82">
        <f>DG82</f>
        <v>10413</v>
      </c>
      <c r="DK82">
        <f>Source!BB63</f>
        <v>9.3000000000000007</v>
      </c>
      <c r="DL82" t="s">
        <v>6</v>
      </c>
      <c r="DM82">
        <v>0</v>
      </c>
      <c r="DN82" t="s">
        <v>6</v>
      </c>
      <c r="DO82">
        <v>0</v>
      </c>
      <c r="GQ82">
        <v>-1</v>
      </c>
      <c r="GR82">
        <v>-1</v>
      </c>
    </row>
    <row r="83" spans="1:200" x14ac:dyDescent="0.2">
      <c r="A83">
        <f>ROW(Source!A63)</f>
        <v>63</v>
      </c>
      <c r="B83">
        <v>86326988</v>
      </c>
      <c r="C83">
        <v>86327303</v>
      </c>
      <c r="D83">
        <v>27440039</v>
      </c>
      <c r="E83">
        <v>1</v>
      </c>
      <c r="F83">
        <v>1</v>
      </c>
      <c r="G83">
        <v>1</v>
      </c>
      <c r="H83">
        <v>2</v>
      </c>
      <c r="I83" t="s">
        <v>649</v>
      </c>
      <c r="J83" t="s">
        <v>650</v>
      </c>
      <c r="K83" t="s">
        <v>651</v>
      </c>
      <c r="L83">
        <v>1368</v>
      </c>
      <c r="N83">
        <v>1011</v>
      </c>
      <c r="O83" t="s">
        <v>137</v>
      </c>
      <c r="P83" t="s">
        <v>137</v>
      </c>
      <c r="Q83">
        <v>1</v>
      </c>
      <c r="W83">
        <v>0</v>
      </c>
      <c r="X83">
        <v>389347920</v>
      </c>
      <c r="Y83">
        <f>(AT83*1.12)</f>
        <v>2.5088000000000004</v>
      </c>
      <c r="AA83">
        <v>0</v>
      </c>
      <c r="AB83">
        <v>17.02</v>
      </c>
      <c r="AC83">
        <v>0</v>
      </c>
      <c r="AD83">
        <v>0</v>
      </c>
      <c r="AE83">
        <v>0</v>
      </c>
      <c r="AF83">
        <v>1.83</v>
      </c>
      <c r="AG83">
        <v>0</v>
      </c>
      <c r="AH83">
        <v>0</v>
      </c>
      <c r="AI83">
        <v>1</v>
      </c>
      <c r="AJ83">
        <v>9.3000000000000007</v>
      </c>
      <c r="AK83">
        <v>19.8</v>
      </c>
      <c r="AL83">
        <v>1</v>
      </c>
      <c r="AM83">
        <v>5</v>
      </c>
      <c r="AN83">
        <v>0</v>
      </c>
      <c r="AO83">
        <v>1</v>
      </c>
      <c r="AP83">
        <v>1</v>
      </c>
      <c r="AQ83">
        <v>0</v>
      </c>
      <c r="AR83">
        <v>0</v>
      </c>
      <c r="AS83" t="s">
        <v>6</v>
      </c>
      <c r="AT83">
        <v>2.2400000000000002</v>
      </c>
      <c r="AU83" t="s">
        <v>24</v>
      </c>
      <c r="AV83">
        <v>0</v>
      </c>
      <c r="AW83">
        <v>2</v>
      </c>
      <c r="AX83">
        <v>86327320</v>
      </c>
      <c r="AY83">
        <v>1</v>
      </c>
      <c r="AZ83">
        <v>0</v>
      </c>
      <c r="BA83">
        <v>69</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CV83">
        <v>0</v>
      </c>
      <c r="CW83">
        <f>ROUND(Y83*Source!I63*DO83,9)</f>
        <v>0</v>
      </c>
      <c r="CX83">
        <f>ROUND(Y83*Source!I63,9)</f>
        <v>11.070080000000001</v>
      </c>
      <c r="CY83">
        <f>AB83</f>
        <v>17.02</v>
      </c>
      <c r="CZ83">
        <f>AF83</f>
        <v>1.83</v>
      </c>
      <c r="DA83">
        <f>AJ83</f>
        <v>9.3000000000000007</v>
      </c>
      <c r="DB83">
        <f>ROUND((ROUND(AT83*CZ83,2)*1.12),2)</f>
        <v>4.59</v>
      </c>
      <c r="DC83">
        <f>ROUND((ROUND(AT83*AG83,2)*1.12),2)</f>
        <v>0</v>
      </c>
      <c r="DD83" t="s">
        <v>6</v>
      </c>
      <c r="DE83" t="s">
        <v>6</v>
      </c>
      <c r="DF83">
        <f t="shared" si="26"/>
        <v>0</v>
      </c>
      <c r="DG83">
        <f>ROUND(ROUND(AF83*AJ83,0)*CX83,0)</f>
        <v>188</v>
      </c>
      <c r="DH83">
        <f>Source!I63*SmtRes!Y83</f>
        <v>11.070080000000001</v>
      </c>
      <c r="DI83">
        <f>AB83</f>
        <v>17.02</v>
      </c>
      <c r="DJ83">
        <f>EtalonRes!Z69</f>
        <v>1.83</v>
      </c>
      <c r="DK83">
        <f>Source!BB63</f>
        <v>9.3000000000000007</v>
      </c>
      <c r="DL83" t="s">
        <v>6</v>
      </c>
      <c r="DM83">
        <v>0</v>
      </c>
      <c r="DN83" t="s">
        <v>6</v>
      </c>
      <c r="DO83">
        <v>0</v>
      </c>
      <c r="GQ83">
        <v>-1</v>
      </c>
      <c r="GR83">
        <v>-1</v>
      </c>
    </row>
    <row r="84" spans="1:200" x14ac:dyDescent="0.2">
      <c r="A84">
        <f>ROW(Source!A63)</f>
        <v>63</v>
      </c>
      <c r="B84">
        <v>86326988</v>
      </c>
      <c r="C84">
        <v>86327303</v>
      </c>
      <c r="D84">
        <v>27371200</v>
      </c>
      <c r="E84">
        <v>1</v>
      </c>
      <c r="F84">
        <v>1</v>
      </c>
      <c r="G84">
        <v>1</v>
      </c>
      <c r="H84">
        <v>3</v>
      </c>
      <c r="I84" t="s">
        <v>71</v>
      </c>
      <c r="J84" t="s">
        <v>73</v>
      </c>
      <c r="K84" t="s">
        <v>72</v>
      </c>
      <c r="L84">
        <v>1348</v>
      </c>
      <c r="N84">
        <v>1009</v>
      </c>
      <c r="O84" t="s">
        <v>33</v>
      </c>
      <c r="P84" t="s">
        <v>33</v>
      </c>
      <c r="Q84">
        <v>1000</v>
      </c>
      <c r="W84">
        <v>0</v>
      </c>
      <c r="X84">
        <v>-81122142</v>
      </c>
      <c r="Y84">
        <f t="shared" ref="Y84:Y92" si="35">AT84</f>
        <v>4.1999999999999997E-3</v>
      </c>
      <c r="AA84">
        <v>82500</v>
      </c>
      <c r="AB84">
        <v>0</v>
      </c>
      <c r="AC84">
        <v>0</v>
      </c>
      <c r="AD84">
        <v>0</v>
      </c>
      <c r="AE84">
        <v>11576.19</v>
      </c>
      <c r="AF84">
        <v>0</v>
      </c>
      <c r="AG84">
        <v>0</v>
      </c>
      <c r="AH84">
        <v>0</v>
      </c>
      <c r="AI84">
        <v>7.56</v>
      </c>
      <c r="AJ84">
        <v>1</v>
      </c>
      <c r="AK84">
        <v>1</v>
      </c>
      <c r="AL84">
        <v>1</v>
      </c>
      <c r="AM84">
        <v>0</v>
      </c>
      <c r="AN84">
        <v>0</v>
      </c>
      <c r="AO84">
        <v>0</v>
      </c>
      <c r="AP84">
        <v>1</v>
      </c>
      <c r="AQ84">
        <v>0</v>
      </c>
      <c r="AR84">
        <v>0</v>
      </c>
      <c r="AS84" t="s">
        <v>6</v>
      </c>
      <c r="AT84">
        <v>4.1999999999999997E-3</v>
      </c>
      <c r="AU84" t="s">
        <v>6</v>
      </c>
      <c r="AV84">
        <v>0</v>
      </c>
      <c r="AW84">
        <v>2</v>
      </c>
      <c r="AX84">
        <v>86327321</v>
      </c>
      <c r="AY84">
        <v>1</v>
      </c>
      <c r="AZ84">
        <v>16384</v>
      </c>
      <c r="BA84">
        <v>70</v>
      </c>
      <c r="BB84">
        <v>3</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CV84">
        <v>0</v>
      </c>
      <c r="CW84">
        <v>0</v>
      </c>
      <c r="CX84">
        <f>ROUND(Y84*Source!I63,9)</f>
        <v>1.85325E-2</v>
      </c>
      <c r="CY84">
        <f t="shared" ref="CY84:CY92" si="36">AA84</f>
        <v>82500</v>
      </c>
      <c r="CZ84">
        <f t="shared" ref="CZ84:CZ92" si="37">AE84</f>
        <v>11576.19</v>
      </c>
      <c r="DA84">
        <f t="shared" ref="DA84:DA92" si="38">AI84</f>
        <v>7.56</v>
      </c>
      <c r="DB84">
        <f t="shared" ref="DB84:DB92" si="39">ROUND(ROUND(AT84*CZ84,2),2)</f>
        <v>48.62</v>
      </c>
      <c r="DC84">
        <f t="shared" ref="DC84:DC92" si="40">ROUND(ROUND(AT84*AG84,2),2)</f>
        <v>0</v>
      </c>
      <c r="DD84" t="s">
        <v>6</v>
      </c>
      <c r="DE84" t="s">
        <v>6</v>
      </c>
      <c r="DF84">
        <f t="shared" ref="DF84:DF92" si="41">ROUND(ROUND(AE84*AI84,0)*CX84,0)</f>
        <v>1622</v>
      </c>
      <c r="DG84">
        <f t="shared" ref="DG84:DG102" si="42">ROUND(ROUND(AF84,0)*CX84,0)</f>
        <v>0</v>
      </c>
      <c r="DH84">
        <f>Source!I63*SmtRes!Y84</f>
        <v>1.8532499999999997E-2</v>
      </c>
      <c r="DI84">
        <f t="shared" ref="DI84:DI92" si="43">AA84</f>
        <v>82500</v>
      </c>
      <c r="DJ84">
        <f>EtalonRes!Y70</f>
        <v>1696.01</v>
      </c>
      <c r="DK84">
        <f>Source!BC63</f>
        <v>7.56</v>
      </c>
      <c r="DL84" t="s">
        <v>6</v>
      </c>
      <c r="DM84">
        <v>0</v>
      </c>
      <c r="DN84" t="s">
        <v>6</v>
      </c>
      <c r="DO84">
        <v>0</v>
      </c>
      <c r="GP84">
        <v>1</v>
      </c>
      <c r="GQ84">
        <v>-1</v>
      </c>
      <c r="GR84">
        <v>-1</v>
      </c>
    </row>
    <row r="85" spans="1:200" x14ac:dyDescent="0.2">
      <c r="A85">
        <f>ROW(Source!A63)</f>
        <v>63</v>
      </c>
      <c r="B85">
        <v>86326988</v>
      </c>
      <c r="C85">
        <v>86327303</v>
      </c>
      <c r="D85">
        <v>11618017</v>
      </c>
      <c r="E85">
        <v>1</v>
      </c>
      <c r="F85">
        <v>1</v>
      </c>
      <c r="G85">
        <v>1</v>
      </c>
      <c r="H85">
        <v>3</v>
      </c>
      <c r="I85" t="s">
        <v>107</v>
      </c>
      <c r="J85" t="s">
        <v>109</v>
      </c>
      <c r="K85" t="s">
        <v>108</v>
      </c>
      <c r="L85">
        <v>1371</v>
      </c>
      <c r="N85">
        <v>1013</v>
      </c>
      <c r="O85" t="s">
        <v>103</v>
      </c>
      <c r="P85" t="s">
        <v>103</v>
      </c>
      <c r="Q85">
        <v>1</v>
      </c>
      <c r="W85">
        <v>0</v>
      </c>
      <c r="X85">
        <v>-1648273723</v>
      </c>
      <c r="Y85">
        <f t="shared" si="35"/>
        <v>12</v>
      </c>
      <c r="AA85">
        <v>0.62</v>
      </c>
      <c r="AB85">
        <v>0</v>
      </c>
      <c r="AC85">
        <v>0</v>
      </c>
      <c r="AD85">
        <v>0</v>
      </c>
      <c r="AE85">
        <v>0.08</v>
      </c>
      <c r="AF85">
        <v>0</v>
      </c>
      <c r="AG85">
        <v>0</v>
      </c>
      <c r="AH85">
        <v>0</v>
      </c>
      <c r="AI85">
        <v>7.56</v>
      </c>
      <c r="AJ85">
        <v>1</v>
      </c>
      <c r="AK85">
        <v>1</v>
      </c>
      <c r="AL85">
        <v>1</v>
      </c>
      <c r="AM85">
        <v>0</v>
      </c>
      <c r="AN85">
        <v>0</v>
      </c>
      <c r="AO85">
        <v>0</v>
      </c>
      <c r="AP85">
        <v>1</v>
      </c>
      <c r="AQ85">
        <v>0</v>
      </c>
      <c r="AR85">
        <v>0</v>
      </c>
      <c r="AS85" t="s">
        <v>6</v>
      </c>
      <c r="AT85">
        <v>12</v>
      </c>
      <c r="AU85" t="s">
        <v>6</v>
      </c>
      <c r="AV85">
        <v>0</v>
      </c>
      <c r="AW85">
        <v>1</v>
      </c>
      <c r="AX85">
        <v>-1</v>
      </c>
      <c r="AY85">
        <v>0</v>
      </c>
      <c r="AZ85">
        <v>0</v>
      </c>
      <c r="BA85" t="s">
        <v>6</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CV85">
        <v>0</v>
      </c>
      <c r="CW85">
        <v>0</v>
      </c>
      <c r="CX85">
        <f>ROUND(Y85*Source!I63,9)</f>
        <v>52.95</v>
      </c>
      <c r="CY85">
        <f t="shared" si="36"/>
        <v>0.62</v>
      </c>
      <c r="CZ85">
        <f t="shared" si="37"/>
        <v>0.08</v>
      </c>
      <c r="DA85">
        <f t="shared" si="38"/>
        <v>7.56</v>
      </c>
      <c r="DB85">
        <f t="shared" si="39"/>
        <v>0.96</v>
      </c>
      <c r="DC85">
        <f t="shared" si="40"/>
        <v>0</v>
      </c>
      <c r="DD85" t="s">
        <v>6</v>
      </c>
      <c r="DE85" t="s">
        <v>6</v>
      </c>
      <c r="DF85">
        <f t="shared" si="41"/>
        <v>53</v>
      </c>
      <c r="DG85">
        <f t="shared" si="42"/>
        <v>0</v>
      </c>
      <c r="DH85">
        <f>Source!I63*SmtRes!Y85</f>
        <v>52.949999999999996</v>
      </c>
      <c r="DI85">
        <f t="shared" si="43"/>
        <v>0.62</v>
      </c>
      <c r="DJ85">
        <f t="shared" ref="DJ85:DJ92" si="44">DF85</f>
        <v>53</v>
      </c>
      <c r="DK85">
        <f>Source!BC63</f>
        <v>7.56</v>
      </c>
      <c r="DL85" t="s">
        <v>6</v>
      </c>
      <c r="DM85">
        <v>0</v>
      </c>
      <c r="DN85" t="s">
        <v>6</v>
      </c>
      <c r="DO85">
        <v>0</v>
      </c>
      <c r="GP85">
        <v>1</v>
      </c>
      <c r="GQ85">
        <v>-1</v>
      </c>
      <c r="GR85">
        <v>-1</v>
      </c>
    </row>
    <row r="86" spans="1:200" x14ac:dyDescent="0.2">
      <c r="A86">
        <f>ROW(Source!A63)</f>
        <v>63</v>
      </c>
      <c r="B86">
        <v>86326988</v>
      </c>
      <c r="C86">
        <v>86327303</v>
      </c>
      <c r="D86">
        <v>11618018</v>
      </c>
      <c r="E86">
        <v>1</v>
      </c>
      <c r="F86">
        <v>1</v>
      </c>
      <c r="G86">
        <v>1</v>
      </c>
      <c r="H86">
        <v>3</v>
      </c>
      <c r="I86" t="s">
        <v>112</v>
      </c>
      <c r="J86" t="s">
        <v>114</v>
      </c>
      <c r="K86" t="s">
        <v>113</v>
      </c>
      <c r="L86">
        <v>1371</v>
      </c>
      <c r="N86">
        <v>1013</v>
      </c>
      <c r="O86" t="s">
        <v>103</v>
      </c>
      <c r="P86" t="s">
        <v>103</v>
      </c>
      <c r="Q86">
        <v>1</v>
      </c>
      <c r="W86">
        <v>0</v>
      </c>
      <c r="X86">
        <v>1900494391</v>
      </c>
      <c r="Y86">
        <f t="shared" si="35"/>
        <v>12</v>
      </c>
      <c r="AA86">
        <v>1.02</v>
      </c>
      <c r="AB86">
        <v>0</v>
      </c>
      <c r="AC86">
        <v>0</v>
      </c>
      <c r="AD86">
        <v>0</v>
      </c>
      <c r="AE86">
        <v>0.14000000000000001</v>
      </c>
      <c r="AF86">
        <v>0</v>
      </c>
      <c r="AG86">
        <v>0</v>
      </c>
      <c r="AH86">
        <v>0</v>
      </c>
      <c r="AI86">
        <v>7.56</v>
      </c>
      <c r="AJ86">
        <v>1</v>
      </c>
      <c r="AK86">
        <v>1</v>
      </c>
      <c r="AL86">
        <v>1</v>
      </c>
      <c r="AM86">
        <v>0</v>
      </c>
      <c r="AN86">
        <v>0</v>
      </c>
      <c r="AO86">
        <v>0</v>
      </c>
      <c r="AP86">
        <v>1</v>
      </c>
      <c r="AQ86">
        <v>0</v>
      </c>
      <c r="AR86">
        <v>0</v>
      </c>
      <c r="AS86" t="s">
        <v>6</v>
      </c>
      <c r="AT86">
        <v>12</v>
      </c>
      <c r="AU86" t="s">
        <v>6</v>
      </c>
      <c r="AV86">
        <v>0</v>
      </c>
      <c r="AW86">
        <v>1</v>
      </c>
      <c r="AX86">
        <v>-1</v>
      </c>
      <c r="AY86">
        <v>0</v>
      </c>
      <c r="AZ86">
        <v>0</v>
      </c>
      <c r="BA86" t="s">
        <v>6</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CV86">
        <v>0</v>
      </c>
      <c r="CW86">
        <v>0</v>
      </c>
      <c r="CX86">
        <f>ROUND(Y86*Source!I63,9)</f>
        <v>52.95</v>
      </c>
      <c r="CY86">
        <f t="shared" si="36"/>
        <v>1.02</v>
      </c>
      <c r="CZ86">
        <f t="shared" si="37"/>
        <v>0.14000000000000001</v>
      </c>
      <c r="DA86">
        <f t="shared" si="38"/>
        <v>7.56</v>
      </c>
      <c r="DB86">
        <f t="shared" si="39"/>
        <v>1.68</v>
      </c>
      <c r="DC86">
        <f t="shared" si="40"/>
        <v>0</v>
      </c>
      <c r="DD86" t="s">
        <v>6</v>
      </c>
      <c r="DE86" t="s">
        <v>6</v>
      </c>
      <c r="DF86">
        <f t="shared" si="41"/>
        <v>53</v>
      </c>
      <c r="DG86">
        <f t="shared" si="42"/>
        <v>0</v>
      </c>
      <c r="DH86">
        <f>Source!I63*SmtRes!Y86</f>
        <v>52.949999999999996</v>
      </c>
      <c r="DI86">
        <f t="shared" si="43"/>
        <v>1.02</v>
      </c>
      <c r="DJ86">
        <f t="shared" si="44"/>
        <v>53</v>
      </c>
      <c r="DK86">
        <f>Source!BC63</f>
        <v>7.56</v>
      </c>
      <c r="DL86" t="s">
        <v>6</v>
      </c>
      <c r="DM86">
        <v>0</v>
      </c>
      <c r="DN86" t="s">
        <v>6</v>
      </c>
      <c r="DO86">
        <v>0</v>
      </c>
      <c r="GP86">
        <v>1</v>
      </c>
      <c r="GQ86">
        <v>-1</v>
      </c>
      <c r="GR86">
        <v>-1</v>
      </c>
    </row>
    <row r="87" spans="1:200" x14ac:dyDescent="0.2">
      <c r="A87">
        <f>ROW(Source!A63)</f>
        <v>63</v>
      </c>
      <c r="B87">
        <v>86326988</v>
      </c>
      <c r="C87">
        <v>86327303</v>
      </c>
      <c r="D87">
        <v>11618019</v>
      </c>
      <c r="E87">
        <v>1</v>
      </c>
      <c r="F87">
        <v>1</v>
      </c>
      <c r="G87">
        <v>1</v>
      </c>
      <c r="H87">
        <v>3</v>
      </c>
      <c r="I87" t="s">
        <v>101</v>
      </c>
      <c r="J87" t="s">
        <v>104</v>
      </c>
      <c r="K87" t="s">
        <v>102</v>
      </c>
      <c r="L87">
        <v>1371</v>
      </c>
      <c r="N87">
        <v>1013</v>
      </c>
      <c r="O87" t="s">
        <v>103</v>
      </c>
      <c r="P87" t="s">
        <v>103</v>
      </c>
      <c r="Q87">
        <v>1</v>
      </c>
      <c r="W87">
        <v>0</v>
      </c>
      <c r="X87">
        <v>-504018761</v>
      </c>
      <c r="Y87">
        <f t="shared" si="35"/>
        <v>23</v>
      </c>
      <c r="AA87">
        <v>1.1299999999999999</v>
      </c>
      <c r="AB87">
        <v>0</v>
      </c>
      <c r="AC87">
        <v>0</v>
      </c>
      <c r="AD87">
        <v>0</v>
      </c>
      <c r="AE87">
        <v>0.16</v>
      </c>
      <c r="AF87">
        <v>0</v>
      </c>
      <c r="AG87">
        <v>0</v>
      </c>
      <c r="AH87">
        <v>0</v>
      </c>
      <c r="AI87">
        <v>7.56</v>
      </c>
      <c r="AJ87">
        <v>1</v>
      </c>
      <c r="AK87">
        <v>1</v>
      </c>
      <c r="AL87">
        <v>1</v>
      </c>
      <c r="AM87">
        <v>0</v>
      </c>
      <c r="AN87">
        <v>0</v>
      </c>
      <c r="AO87">
        <v>0</v>
      </c>
      <c r="AP87">
        <v>1</v>
      </c>
      <c r="AQ87">
        <v>0</v>
      </c>
      <c r="AR87">
        <v>0</v>
      </c>
      <c r="AS87" t="s">
        <v>6</v>
      </c>
      <c r="AT87">
        <v>23</v>
      </c>
      <c r="AU87" t="s">
        <v>6</v>
      </c>
      <c r="AV87">
        <v>0</v>
      </c>
      <c r="AW87">
        <v>1</v>
      </c>
      <c r="AX87">
        <v>-1</v>
      </c>
      <c r="AY87">
        <v>0</v>
      </c>
      <c r="AZ87">
        <v>0</v>
      </c>
      <c r="BA87" t="s">
        <v>6</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CV87">
        <v>0</v>
      </c>
      <c r="CW87">
        <v>0</v>
      </c>
      <c r="CX87">
        <f>ROUND(Y87*Source!I63,9)</f>
        <v>101.4875</v>
      </c>
      <c r="CY87">
        <f t="shared" si="36"/>
        <v>1.1299999999999999</v>
      </c>
      <c r="CZ87">
        <f t="shared" si="37"/>
        <v>0.16</v>
      </c>
      <c r="DA87">
        <f t="shared" si="38"/>
        <v>7.56</v>
      </c>
      <c r="DB87">
        <f t="shared" si="39"/>
        <v>3.68</v>
      </c>
      <c r="DC87">
        <f t="shared" si="40"/>
        <v>0</v>
      </c>
      <c r="DD87" t="s">
        <v>6</v>
      </c>
      <c r="DE87" t="s">
        <v>6</v>
      </c>
      <c r="DF87">
        <f t="shared" si="41"/>
        <v>101</v>
      </c>
      <c r="DG87">
        <f t="shared" si="42"/>
        <v>0</v>
      </c>
      <c r="DH87">
        <f>Source!I63*SmtRes!Y87</f>
        <v>101.4875</v>
      </c>
      <c r="DI87">
        <f t="shared" si="43"/>
        <v>1.1299999999999999</v>
      </c>
      <c r="DJ87">
        <f t="shared" si="44"/>
        <v>101</v>
      </c>
      <c r="DK87">
        <f>Source!BC63</f>
        <v>7.56</v>
      </c>
      <c r="DL87" t="s">
        <v>6</v>
      </c>
      <c r="DM87">
        <v>0</v>
      </c>
      <c r="DN87" t="s">
        <v>6</v>
      </c>
      <c r="DO87">
        <v>0</v>
      </c>
      <c r="GP87">
        <v>1</v>
      </c>
      <c r="GQ87">
        <v>-1</v>
      </c>
      <c r="GR87">
        <v>-1</v>
      </c>
    </row>
    <row r="88" spans="1:200" x14ac:dyDescent="0.2">
      <c r="A88">
        <f>ROW(Source!A63)</f>
        <v>63</v>
      </c>
      <c r="B88">
        <v>86326988</v>
      </c>
      <c r="C88">
        <v>86327303</v>
      </c>
      <c r="D88">
        <v>35950821</v>
      </c>
      <c r="E88">
        <v>1</v>
      </c>
      <c r="F88">
        <v>1</v>
      </c>
      <c r="G88">
        <v>1</v>
      </c>
      <c r="H88">
        <v>3</v>
      </c>
      <c r="I88" t="s">
        <v>76</v>
      </c>
      <c r="J88" t="s">
        <v>79</v>
      </c>
      <c r="K88" t="s">
        <v>77</v>
      </c>
      <c r="L88">
        <v>1391</v>
      </c>
      <c r="N88">
        <v>1013</v>
      </c>
      <c r="O88" t="s">
        <v>78</v>
      </c>
      <c r="P88" t="s">
        <v>78</v>
      </c>
      <c r="Q88">
        <v>1</v>
      </c>
      <c r="W88">
        <v>0</v>
      </c>
      <c r="X88">
        <v>813644265</v>
      </c>
      <c r="Y88">
        <f t="shared" si="35"/>
        <v>2.6628894999999999</v>
      </c>
      <c r="AA88">
        <v>333.45</v>
      </c>
      <c r="AB88">
        <v>0</v>
      </c>
      <c r="AC88">
        <v>0</v>
      </c>
      <c r="AD88">
        <v>0</v>
      </c>
      <c r="AE88">
        <v>46.21</v>
      </c>
      <c r="AF88">
        <v>0</v>
      </c>
      <c r="AG88">
        <v>0</v>
      </c>
      <c r="AH88">
        <v>0</v>
      </c>
      <c r="AI88">
        <v>7.56</v>
      </c>
      <c r="AJ88">
        <v>1</v>
      </c>
      <c r="AK88">
        <v>1</v>
      </c>
      <c r="AL88">
        <v>1</v>
      </c>
      <c r="AM88">
        <v>0</v>
      </c>
      <c r="AN88">
        <v>0</v>
      </c>
      <c r="AO88">
        <v>0</v>
      </c>
      <c r="AP88">
        <v>1</v>
      </c>
      <c r="AQ88">
        <v>0</v>
      </c>
      <c r="AR88">
        <v>0</v>
      </c>
      <c r="AS88" t="s">
        <v>6</v>
      </c>
      <c r="AT88">
        <v>2.6628894999999999</v>
      </c>
      <c r="AU88" t="s">
        <v>6</v>
      </c>
      <c r="AV88">
        <v>0</v>
      </c>
      <c r="AW88">
        <v>1</v>
      </c>
      <c r="AX88">
        <v>-1</v>
      </c>
      <c r="AY88">
        <v>0</v>
      </c>
      <c r="AZ88">
        <v>0</v>
      </c>
      <c r="BA88" t="s">
        <v>6</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CV88">
        <v>0</v>
      </c>
      <c r="CW88">
        <v>0</v>
      </c>
      <c r="CX88">
        <f>ROUND(Y88*Source!I63,9)</f>
        <v>11.749999919</v>
      </c>
      <c r="CY88">
        <f t="shared" si="36"/>
        <v>333.45</v>
      </c>
      <c r="CZ88">
        <f t="shared" si="37"/>
        <v>46.21</v>
      </c>
      <c r="DA88">
        <f t="shared" si="38"/>
        <v>7.56</v>
      </c>
      <c r="DB88">
        <f t="shared" si="39"/>
        <v>123.05</v>
      </c>
      <c r="DC88">
        <f t="shared" si="40"/>
        <v>0</v>
      </c>
      <c r="DD88" t="s">
        <v>6</v>
      </c>
      <c r="DE88" t="s">
        <v>6</v>
      </c>
      <c r="DF88">
        <f t="shared" si="41"/>
        <v>4101</v>
      </c>
      <c r="DG88">
        <f t="shared" si="42"/>
        <v>0</v>
      </c>
      <c r="DH88">
        <f>Source!I63*SmtRes!Y88</f>
        <v>11.749999918749999</v>
      </c>
      <c r="DI88">
        <f t="shared" si="43"/>
        <v>333.45</v>
      </c>
      <c r="DJ88">
        <f t="shared" si="44"/>
        <v>4101</v>
      </c>
      <c r="DK88">
        <f>Source!BC63</f>
        <v>7.56</v>
      </c>
      <c r="DL88" t="s">
        <v>6</v>
      </c>
      <c r="DM88">
        <v>0</v>
      </c>
      <c r="DN88" t="s">
        <v>6</v>
      </c>
      <c r="DO88">
        <v>0</v>
      </c>
      <c r="GP88">
        <v>1</v>
      </c>
      <c r="GQ88">
        <v>-1</v>
      </c>
      <c r="GR88">
        <v>-1</v>
      </c>
    </row>
    <row r="89" spans="1:200" x14ac:dyDescent="0.2">
      <c r="A89">
        <f>ROW(Source!A63)</f>
        <v>63</v>
      </c>
      <c r="B89">
        <v>86326988</v>
      </c>
      <c r="C89">
        <v>86327303</v>
      </c>
      <c r="D89">
        <v>35950824</v>
      </c>
      <c r="E89">
        <v>1</v>
      </c>
      <c r="F89">
        <v>1</v>
      </c>
      <c r="G89">
        <v>1</v>
      </c>
      <c r="H89">
        <v>3</v>
      </c>
      <c r="I89" t="s">
        <v>82</v>
      </c>
      <c r="J89" t="s">
        <v>84</v>
      </c>
      <c r="K89" t="s">
        <v>83</v>
      </c>
      <c r="L89">
        <v>1391</v>
      </c>
      <c r="N89">
        <v>1013</v>
      </c>
      <c r="O89" t="s">
        <v>78</v>
      </c>
      <c r="P89" t="s">
        <v>78</v>
      </c>
      <c r="Q89">
        <v>1</v>
      </c>
      <c r="W89">
        <v>0</v>
      </c>
      <c r="X89">
        <v>1913149582</v>
      </c>
      <c r="Y89">
        <f t="shared" si="35"/>
        <v>2.6628894999999999</v>
      </c>
      <c r="AA89">
        <v>215.4</v>
      </c>
      <c r="AB89">
        <v>0</v>
      </c>
      <c r="AC89">
        <v>0</v>
      </c>
      <c r="AD89">
        <v>0</v>
      </c>
      <c r="AE89">
        <v>30.22</v>
      </c>
      <c r="AF89">
        <v>0</v>
      </c>
      <c r="AG89">
        <v>0</v>
      </c>
      <c r="AH89">
        <v>0</v>
      </c>
      <c r="AI89">
        <v>7.56</v>
      </c>
      <c r="AJ89">
        <v>1</v>
      </c>
      <c r="AK89">
        <v>1</v>
      </c>
      <c r="AL89">
        <v>1</v>
      </c>
      <c r="AM89">
        <v>0</v>
      </c>
      <c r="AN89">
        <v>0</v>
      </c>
      <c r="AO89">
        <v>0</v>
      </c>
      <c r="AP89">
        <v>1</v>
      </c>
      <c r="AQ89">
        <v>0</v>
      </c>
      <c r="AR89">
        <v>0</v>
      </c>
      <c r="AS89" t="s">
        <v>6</v>
      </c>
      <c r="AT89">
        <v>2.6628894999999999</v>
      </c>
      <c r="AU89" t="s">
        <v>6</v>
      </c>
      <c r="AV89">
        <v>0</v>
      </c>
      <c r="AW89">
        <v>1</v>
      </c>
      <c r="AX89">
        <v>-1</v>
      </c>
      <c r="AY89">
        <v>0</v>
      </c>
      <c r="AZ89">
        <v>0</v>
      </c>
      <c r="BA89" t="s">
        <v>6</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CV89">
        <v>0</v>
      </c>
      <c r="CW89">
        <v>0</v>
      </c>
      <c r="CX89">
        <f>ROUND(Y89*Source!I63,9)</f>
        <v>11.749999919</v>
      </c>
      <c r="CY89">
        <f t="shared" si="36"/>
        <v>215.4</v>
      </c>
      <c r="CZ89">
        <f t="shared" si="37"/>
        <v>30.22</v>
      </c>
      <c r="DA89">
        <f t="shared" si="38"/>
        <v>7.56</v>
      </c>
      <c r="DB89">
        <f t="shared" si="39"/>
        <v>80.47</v>
      </c>
      <c r="DC89">
        <f t="shared" si="40"/>
        <v>0</v>
      </c>
      <c r="DD89" t="s">
        <v>6</v>
      </c>
      <c r="DE89" t="s">
        <v>6</v>
      </c>
      <c r="DF89">
        <f t="shared" si="41"/>
        <v>2679</v>
      </c>
      <c r="DG89">
        <f t="shared" si="42"/>
        <v>0</v>
      </c>
      <c r="DH89">
        <f>Source!I63*SmtRes!Y89</f>
        <v>11.749999918749999</v>
      </c>
      <c r="DI89">
        <f t="shared" si="43"/>
        <v>215.4</v>
      </c>
      <c r="DJ89">
        <f t="shared" si="44"/>
        <v>2679</v>
      </c>
      <c r="DK89">
        <f>Source!BC63</f>
        <v>7.56</v>
      </c>
      <c r="DL89" t="s">
        <v>6</v>
      </c>
      <c r="DM89">
        <v>0</v>
      </c>
      <c r="DN89" t="s">
        <v>6</v>
      </c>
      <c r="DO89">
        <v>0</v>
      </c>
      <c r="GP89">
        <v>1</v>
      </c>
      <c r="GQ89">
        <v>-1</v>
      </c>
      <c r="GR89">
        <v>-1</v>
      </c>
    </row>
    <row r="90" spans="1:200" x14ac:dyDescent="0.2">
      <c r="A90">
        <f>ROW(Source!A63)</f>
        <v>63</v>
      </c>
      <c r="B90">
        <v>86326988</v>
      </c>
      <c r="C90">
        <v>86327303</v>
      </c>
      <c r="D90">
        <v>27425862</v>
      </c>
      <c r="E90">
        <v>1</v>
      </c>
      <c r="F90">
        <v>1</v>
      </c>
      <c r="G90">
        <v>1</v>
      </c>
      <c r="H90">
        <v>3</v>
      </c>
      <c r="I90" t="s">
        <v>92</v>
      </c>
      <c r="J90" t="s">
        <v>95</v>
      </c>
      <c r="K90" t="s">
        <v>93</v>
      </c>
      <c r="L90">
        <v>1301</v>
      </c>
      <c r="N90">
        <v>1003</v>
      </c>
      <c r="O90" t="s">
        <v>94</v>
      </c>
      <c r="P90" t="s">
        <v>94</v>
      </c>
      <c r="Q90">
        <v>1</v>
      </c>
      <c r="W90">
        <v>0</v>
      </c>
      <c r="X90">
        <v>-1608277363</v>
      </c>
      <c r="Y90">
        <f t="shared" si="35"/>
        <v>5.3879999999999999</v>
      </c>
      <c r="AA90">
        <v>30.51</v>
      </c>
      <c r="AB90">
        <v>0</v>
      </c>
      <c r="AC90">
        <v>0</v>
      </c>
      <c r="AD90">
        <v>0</v>
      </c>
      <c r="AE90">
        <v>4.28</v>
      </c>
      <c r="AF90">
        <v>0</v>
      </c>
      <c r="AG90">
        <v>0</v>
      </c>
      <c r="AH90">
        <v>0</v>
      </c>
      <c r="AI90">
        <v>7.56</v>
      </c>
      <c r="AJ90">
        <v>1</v>
      </c>
      <c r="AK90">
        <v>1</v>
      </c>
      <c r="AL90">
        <v>1</v>
      </c>
      <c r="AM90">
        <v>0</v>
      </c>
      <c r="AN90">
        <v>0</v>
      </c>
      <c r="AO90">
        <v>0</v>
      </c>
      <c r="AP90">
        <v>1</v>
      </c>
      <c r="AQ90">
        <v>0</v>
      </c>
      <c r="AR90">
        <v>0</v>
      </c>
      <c r="AS90" t="s">
        <v>6</v>
      </c>
      <c r="AT90">
        <v>5.3879999999999999</v>
      </c>
      <c r="AU90" t="s">
        <v>6</v>
      </c>
      <c r="AV90">
        <v>0</v>
      </c>
      <c r="AW90">
        <v>1</v>
      </c>
      <c r="AX90">
        <v>-1</v>
      </c>
      <c r="AY90">
        <v>0</v>
      </c>
      <c r="AZ90">
        <v>0</v>
      </c>
      <c r="BA90" t="s">
        <v>6</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CV90">
        <v>0</v>
      </c>
      <c r="CW90">
        <v>0</v>
      </c>
      <c r="CX90">
        <f>ROUND(Y90*Source!I63,9)</f>
        <v>23.774550000000001</v>
      </c>
      <c r="CY90">
        <f t="shared" si="36"/>
        <v>30.51</v>
      </c>
      <c r="CZ90">
        <f t="shared" si="37"/>
        <v>4.28</v>
      </c>
      <c r="DA90">
        <f t="shared" si="38"/>
        <v>7.56</v>
      </c>
      <c r="DB90">
        <f t="shared" si="39"/>
        <v>23.06</v>
      </c>
      <c r="DC90">
        <f t="shared" si="40"/>
        <v>0</v>
      </c>
      <c r="DD90" t="s">
        <v>6</v>
      </c>
      <c r="DE90" t="s">
        <v>6</v>
      </c>
      <c r="DF90">
        <f t="shared" si="41"/>
        <v>761</v>
      </c>
      <c r="DG90">
        <f t="shared" si="42"/>
        <v>0</v>
      </c>
      <c r="DH90">
        <f>Source!I63*SmtRes!Y90</f>
        <v>23.774549999999998</v>
      </c>
      <c r="DI90">
        <f t="shared" si="43"/>
        <v>30.51</v>
      </c>
      <c r="DJ90">
        <f t="shared" si="44"/>
        <v>761</v>
      </c>
      <c r="DK90">
        <f>Source!BC63</f>
        <v>7.56</v>
      </c>
      <c r="DL90" t="s">
        <v>6</v>
      </c>
      <c r="DM90">
        <v>0</v>
      </c>
      <c r="DN90" t="s">
        <v>6</v>
      </c>
      <c r="DO90">
        <v>0</v>
      </c>
      <c r="GP90">
        <v>1</v>
      </c>
      <c r="GQ90">
        <v>-1</v>
      </c>
      <c r="GR90">
        <v>-1</v>
      </c>
    </row>
    <row r="91" spans="1:200" x14ac:dyDescent="0.2">
      <c r="A91">
        <f>ROW(Source!A63)</f>
        <v>63</v>
      </c>
      <c r="B91">
        <v>86326988</v>
      </c>
      <c r="C91">
        <v>86327303</v>
      </c>
      <c r="D91">
        <v>69208315</v>
      </c>
      <c r="E91">
        <v>1</v>
      </c>
      <c r="F91">
        <v>1</v>
      </c>
      <c r="G91">
        <v>1</v>
      </c>
      <c r="H91">
        <v>3</v>
      </c>
      <c r="I91" t="s">
        <v>117</v>
      </c>
      <c r="J91" t="s">
        <v>119</v>
      </c>
      <c r="K91" t="s">
        <v>118</v>
      </c>
      <c r="L91">
        <v>1348</v>
      </c>
      <c r="N91">
        <v>1009</v>
      </c>
      <c r="O91" t="s">
        <v>33</v>
      </c>
      <c r="P91" t="s">
        <v>33</v>
      </c>
      <c r="Q91">
        <v>1000</v>
      </c>
      <c r="W91">
        <v>0</v>
      </c>
      <c r="X91">
        <v>772407484</v>
      </c>
      <c r="Y91">
        <f t="shared" si="35"/>
        <v>9.5100000000000002E-4</v>
      </c>
      <c r="AA91">
        <v>80392</v>
      </c>
      <c r="AB91">
        <v>0</v>
      </c>
      <c r="AC91">
        <v>0</v>
      </c>
      <c r="AD91">
        <v>0</v>
      </c>
      <c r="AE91">
        <v>11142.150000000001</v>
      </c>
      <c r="AF91">
        <v>0</v>
      </c>
      <c r="AG91">
        <v>0</v>
      </c>
      <c r="AH91">
        <v>0</v>
      </c>
      <c r="AI91">
        <v>7.56</v>
      </c>
      <c r="AJ91">
        <v>1</v>
      </c>
      <c r="AK91">
        <v>1</v>
      </c>
      <c r="AL91">
        <v>1</v>
      </c>
      <c r="AM91">
        <v>0</v>
      </c>
      <c r="AN91">
        <v>0</v>
      </c>
      <c r="AO91">
        <v>0</v>
      </c>
      <c r="AP91">
        <v>1</v>
      </c>
      <c r="AQ91">
        <v>0</v>
      </c>
      <c r="AR91">
        <v>0</v>
      </c>
      <c r="AS91" t="s">
        <v>6</v>
      </c>
      <c r="AT91">
        <v>9.5100000000000002E-4</v>
      </c>
      <c r="AU91" t="s">
        <v>6</v>
      </c>
      <c r="AV91">
        <v>0</v>
      </c>
      <c r="AW91">
        <v>1</v>
      </c>
      <c r="AX91">
        <v>-1</v>
      </c>
      <c r="AY91">
        <v>0</v>
      </c>
      <c r="AZ91">
        <v>0</v>
      </c>
      <c r="BA91" t="s">
        <v>6</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CV91">
        <v>0</v>
      </c>
      <c r="CW91">
        <v>0</v>
      </c>
      <c r="CX91">
        <f>ROUND(Y91*Source!I63,9)</f>
        <v>4.1962880000000003E-3</v>
      </c>
      <c r="CY91">
        <f t="shared" si="36"/>
        <v>80392</v>
      </c>
      <c r="CZ91">
        <f t="shared" si="37"/>
        <v>11142.150000000001</v>
      </c>
      <c r="DA91">
        <f t="shared" si="38"/>
        <v>7.56</v>
      </c>
      <c r="DB91">
        <f t="shared" si="39"/>
        <v>10.6</v>
      </c>
      <c r="DC91">
        <f t="shared" si="40"/>
        <v>0</v>
      </c>
      <c r="DD91" t="s">
        <v>6</v>
      </c>
      <c r="DE91" t="s">
        <v>6</v>
      </c>
      <c r="DF91">
        <f t="shared" si="41"/>
        <v>353</v>
      </c>
      <c r="DG91">
        <f t="shared" si="42"/>
        <v>0</v>
      </c>
      <c r="DH91">
        <f>Source!I63*SmtRes!Y91</f>
        <v>4.1962874999999997E-3</v>
      </c>
      <c r="DI91">
        <f t="shared" si="43"/>
        <v>80392</v>
      </c>
      <c r="DJ91">
        <f t="shared" si="44"/>
        <v>353</v>
      </c>
      <c r="DK91">
        <f>Source!BC63</f>
        <v>7.56</v>
      </c>
      <c r="DL91" t="s">
        <v>6</v>
      </c>
      <c r="DM91">
        <v>0</v>
      </c>
      <c r="DN91" t="s">
        <v>6</v>
      </c>
      <c r="DO91">
        <v>0</v>
      </c>
      <c r="GP91">
        <v>1</v>
      </c>
      <c r="GQ91">
        <v>-1</v>
      </c>
      <c r="GR91">
        <v>-1</v>
      </c>
    </row>
    <row r="92" spans="1:200" x14ac:dyDescent="0.2">
      <c r="A92">
        <f>ROW(Source!A63)</f>
        <v>63</v>
      </c>
      <c r="B92">
        <v>86326988</v>
      </c>
      <c r="C92">
        <v>86327303</v>
      </c>
      <c r="D92">
        <v>69408587</v>
      </c>
      <c r="E92">
        <v>1</v>
      </c>
      <c r="F92">
        <v>1</v>
      </c>
      <c r="G92">
        <v>1</v>
      </c>
      <c r="H92">
        <v>3</v>
      </c>
      <c r="I92" t="s">
        <v>87</v>
      </c>
      <c r="J92" t="s">
        <v>89</v>
      </c>
      <c r="K92" t="s">
        <v>88</v>
      </c>
      <c r="L92">
        <v>1339</v>
      </c>
      <c r="N92">
        <v>1007</v>
      </c>
      <c r="O92" t="s">
        <v>44</v>
      </c>
      <c r="P92" t="s">
        <v>44</v>
      </c>
      <c r="Q92">
        <v>1</v>
      </c>
      <c r="W92">
        <v>0</v>
      </c>
      <c r="X92">
        <v>-183216560</v>
      </c>
      <c r="Y92">
        <f t="shared" si="35"/>
        <v>2.70283286</v>
      </c>
      <c r="AA92">
        <v>6948.56</v>
      </c>
      <c r="AB92">
        <v>0</v>
      </c>
      <c r="AC92">
        <v>0</v>
      </c>
      <c r="AD92">
        <v>0</v>
      </c>
      <c r="AE92">
        <v>975</v>
      </c>
      <c r="AF92">
        <v>0</v>
      </c>
      <c r="AG92">
        <v>0</v>
      </c>
      <c r="AH92">
        <v>0</v>
      </c>
      <c r="AI92">
        <v>7.56</v>
      </c>
      <c r="AJ92">
        <v>1</v>
      </c>
      <c r="AK92">
        <v>1</v>
      </c>
      <c r="AL92">
        <v>1</v>
      </c>
      <c r="AM92">
        <v>0</v>
      </c>
      <c r="AN92">
        <v>0</v>
      </c>
      <c r="AO92">
        <v>0</v>
      </c>
      <c r="AP92">
        <v>1</v>
      </c>
      <c r="AQ92">
        <v>0</v>
      </c>
      <c r="AR92">
        <v>0</v>
      </c>
      <c r="AS92" t="s">
        <v>6</v>
      </c>
      <c r="AT92">
        <v>2.70283286</v>
      </c>
      <c r="AU92" t="s">
        <v>6</v>
      </c>
      <c r="AV92">
        <v>0</v>
      </c>
      <c r="AW92">
        <v>1</v>
      </c>
      <c r="AX92">
        <v>-1</v>
      </c>
      <c r="AY92">
        <v>0</v>
      </c>
      <c r="AZ92">
        <v>0</v>
      </c>
      <c r="BA92" t="s">
        <v>6</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CV92">
        <v>0</v>
      </c>
      <c r="CW92">
        <v>0</v>
      </c>
      <c r="CX92">
        <f>ROUND(Y92*Source!I63,9)</f>
        <v>11.926249994999999</v>
      </c>
      <c r="CY92">
        <f t="shared" si="36"/>
        <v>6948.56</v>
      </c>
      <c r="CZ92">
        <f t="shared" si="37"/>
        <v>975</v>
      </c>
      <c r="DA92">
        <f t="shared" si="38"/>
        <v>7.56</v>
      </c>
      <c r="DB92">
        <f t="shared" si="39"/>
        <v>2635.26</v>
      </c>
      <c r="DC92">
        <f t="shared" si="40"/>
        <v>0</v>
      </c>
      <c r="DD92" t="s">
        <v>6</v>
      </c>
      <c r="DE92" t="s">
        <v>6</v>
      </c>
      <c r="DF92">
        <f t="shared" si="41"/>
        <v>87908</v>
      </c>
      <c r="DG92">
        <f t="shared" si="42"/>
        <v>0</v>
      </c>
      <c r="DH92">
        <f>Source!I63*SmtRes!Y92</f>
        <v>11.926249994749998</v>
      </c>
      <c r="DI92">
        <f t="shared" si="43"/>
        <v>6948.56</v>
      </c>
      <c r="DJ92">
        <f t="shared" si="44"/>
        <v>87908</v>
      </c>
      <c r="DK92">
        <f>Source!BC63</f>
        <v>7.56</v>
      </c>
      <c r="DL92" t="s">
        <v>6</v>
      </c>
      <c r="DM92">
        <v>0</v>
      </c>
      <c r="DN92" t="s">
        <v>6</v>
      </c>
      <c r="DO92">
        <v>0</v>
      </c>
      <c r="GP92">
        <v>1</v>
      </c>
      <c r="GQ92">
        <v>-1</v>
      </c>
      <c r="GR92">
        <v>-1</v>
      </c>
    </row>
    <row r="93" spans="1:200" x14ac:dyDescent="0.2">
      <c r="A93">
        <f>ROW(Source!A119)</f>
        <v>119</v>
      </c>
      <c r="B93">
        <v>86326987</v>
      </c>
      <c r="C93">
        <v>86327334</v>
      </c>
      <c r="D93">
        <v>27493207</v>
      </c>
      <c r="E93">
        <v>1</v>
      </c>
      <c r="F93">
        <v>1</v>
      </c>
      <c r="G93">
        <v>1</v>
      </c>
      <c r="H93">
        <v>1</v>
      </c>
      <c r="I93" t="s">
        <v>623</v>
      </c>
      <c r="J93" t="s">
        <v>6</v>
      </c>
      <c r="K93" t="s">
        <v>624</v>
      </c>
      <c r="L93">
        <v>1369</v>
      </c>
      <c r="N93">
        <v>1013</v>
      </c>
      <c r="O93" t="s">
        <v>625</v>
      </c>
      <c r="P93" t="s">
        <v>625</v>
      </c>
      <c r="Q93">
        <v>1</v>
      </c>
      <c r="W93">
        <v>0</v>
      </c>
      <c r="X93">
        <v>-1900352537</v>
      </c>
      <c r="Y93">
        <f>(AT93*1.05)</f>
        <v>17.4405</v>
      </c>
      <c r="AA93">
        <v>0</v>
      </c>
      <c r="AB93">
        <v>0</v>
      </c>
      <c r="AC93">
        <v>0</v>
      </c>
      <c r="AD93">
        <v>7.87</v>
      </c>
      <c r="AE93">
        <v>0</v>
      </c>
      <c r="AF93">
        <v>0</v>
      </c>
      <c r="AG93">
        <v>0</v>
      </c>
      <c r="AH93">
        <v>7.87</v>
      </c>
      <c r="AI93">
        <v>1</v>
      </c>
      <c r="AJ93">
        <v>1</v>
      </c>
      <c r="AK93">
        <v>1</v>
      </c>
      <c r="AL93">
        <v>1</v>
      </c>
      <c r="AM93">
        <v>0</v>
      </c>
      <c r="AN93">
        <v>0</v>
      </c>
      <c r="AO93">
        <v>1</v>
      </c>
      <c r="AP93">
        <v>1</v>
      </c>
      <c r="AQ93">
        <v>0</v>
      </c>
      <c r="AR93">
        <v>0</v>
      </c>
      <c r="AS93" t="s">
        <v>6</v>
      </c>
      <c r="AT93">
        <v>16.61</v>
      </c>
      <c r="AU93" t="s">
        <v>25</v>
      </c>
      <c r="AV93">
        <v>1</v>
      </c>
      <c r="AW93">
        <v>2</v>
      </c>
      <c r="AX93">
        <v>86327343</v>
      </c>
      <c r="AY93">
        <v>1</v>
      </c>
      <c r="AZ93">
        <v>0</v>
      </c>
      <c r="BA93">
        <v>73</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CU93">
        <f>ROUND(AT93*Source!I119*AH93*AL93,0)</f>
        <v>4126</v>
      </c>
      <c r="CV93">
        <f>ROUND(Y93*Source!I119,9)</f>
        <v>550.46578124999996</v>
      </c>
      <c r="CW93">
        <v>0</v>
      </c>
      <c r="CX93">
        <f>ROUND(Y93*Source!I119,9)</f>
        <v>550.46578124999996</v>
      </c>
      <c r="CY93">
        <f>AD93</f>
        <v>7.87</v>
      </c>
      <c r="CZ93">
        <f>AH93</f>
        <v>7.87</v>
      </c>
      <c r="DA93">
        <f>AL93</f>
        <v>1</v>
      </c>
      <c r="DB93">
        <f>ROUND((ROUND(AT93*CZ93,2)*1.05),2)</f>
        <v>137.26</v>
      </c>
      <c r="DC93">
        <f>ROUND((ROUND(AT93*AG93,2)*1.05),2)</f>
        <v>0</v>
      </c>
      <c r="DD93" t="s">
        <v>6</v>
      </c>
      <c r="DE93" t="s">
        <v>6</v>
      </c>
      <c r="DF93">
        <f t="shared" ref="DF93:DF106" si="45">ROUND(ROUND(AE93,0)*CX93,0)</f>
        <v>0</v>
      </c>
      <c r="DG93">
        <f t="shared" si="42"/>
        <v>0</v>
      </c>
      <c r="DH93">
        <f>Source!I119*SmtRes!Y93</f>
        <v>550.46578124999996</v>
      </c>
      <c r="DI93">
        <f>AD93</f>
        <v>7.87</v>
      </c>
      <c r="DJ93">
        <f>EtalonRes!AB73</f>
        <v>7.87</v>
      </c>
      <c r="DK93">
        <f>Source!BA119</f>
        <v>1</v>
      </c>
      <c r="DL93" t="s">
        <v>6</v>
      </c>
      <c r="DM93">
        <v>0</v>
      </c>
      <c r="DN93" t="s">
        <v>6</v>
      </c>
      <c r="DO93">
        <v>0</v>
      </c>
      <c r="GQ93">
        <v>-1</v>
      </c>
      <c r="GR93">
        <v>-1</v>
      </c>
    </row>
    <row r="94" spans="1:200" x14ac:dyDescent="0.2">
      <c r="A94">
        <f>ROW(Source!A119)</f>
        <v>119</v>
      </c>
      <c r="B94">
        <v>86326987</v>
      </c>
      <c r="C94">
        <v>86327334</v>
      </c>
      <c r="D94">
        <v>121548</v>
      </c>
      <c r="E94">
        <v>1</v>
      </c>
      <c r="F94">
        <v>1</v>
      </c>
      <c r="G94">
        <v>1</v>
      </c>
      <c r="H94">
        <v>1</v>
      </c>
      <c r="I94" t="s">
        <v>40</v>
      </c>
      <c r="J94" t="s">
        <v>6</v>
      </c>
      <c r="K94" t="s">
        <v>626</v>
      </c>
      <c r="L94">
        <v>608254</v>
      </c>
      <c r="N94">
        <v>1013</v>
      </c>
      <c r="O94" t="s">
        <v>627</v>
      </c>
      <c r="P94" t="s">
        <v>627</v>
      </c>
      <c r="Q94">
        <v>1</v>
      </c>
      <c r="W94">
        <v>0</v>
      </c>
      <c r="X94">
        <v>-185737400</v>
      </c>
      <c r="Y94">
        <f>(AT94*1.12)</f>
        <v>5.6448000000000009</v>
      </c>
      <c r="AA94">
        <v>0</v>
      </c>
      <c r="AB94">
        <v>0</v>
      </c>
      <c r="AC94">
        <v>0</v>
      </c>
      <c r="AD94">
        <v>0</v>
      </c>
      <c r="AE94">
        <v>0</v>
      </c>
      <c r="AF94">
        <v>0</v>
      </c>
      <c r="AG94">
        <v>0</v>
      </c>
      <c r="AH94">
        <v>0</v>
      </c>
      <c r="AI94">
        <v>1</v>
      </c>
      <c r="AJ94">
        <v>1</v>
      </c>
      <c r="AK94">
        <v>1</v>
      </c>
      <c r="AL94">
        <v>1</v>
      </c>
      <c r="AM94">
        <v>0</v>
      </c>
      <c r="AN94">
        <v>0</v>
      </c>
      <c r="AO94">
        <v>1</v>
      </c>
      <c r="AP94">
        <v>1</v>
      </c>
      <c r="AQ94">
        <v>0</v>
      </c>
      <c r="AR94">
        <v>0</v>
      </c>
      <c r="AS94" t="s">
        <v>6</v>
      </c>
      <c r="AT94">
        <v>5.04</v>
      </c>
      <c r="AU94" t="s">
        <v>24</v>
      </c>
      <c r="AV94">
        <v>2</v>
      </c>
      <c r="AW94">
        <v>2</v>
      </c>
      <c r="AX94">
        <v>86327344</v>
      </c>
      <c r="AY94">
        <v>1</v>
      </c>
      <c r="AZ94">
        <v>0</v>
      </c>
      <c r="BA94">
        <v>74</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CV94">
        <v>0</v>
      </c>
      <c r="CW94">
        <v>0</v>
      </c>
      <c r="CX94">
        <f>ROUND(Y94*Source!I119,9)</f>
        <v>178.16399999999999</v>
      </c>
      <c r="CY94">
        <f>AD94</f>
        <v>0</v>
      </c>
      <c r="CZ94">
        <f>AH94</f>
        <v>0</v>
      </c>
      <c r="DA94">
        <f>AL94</f>
        <v>1</v>
      </c>
      <c r="DB94">
        <f>ROUND((ROUND(AT94*CZ94,2)*1.12),2)</f>
        <v>0</v>
      </c>
      <c r="DC94">
        <f>ROUND((ROUND(AT94*AG94,2)*1.12),2)</f>
        <v>0</v>
      </c>
      <c r="DD94" t="s">
        <v>6</v>
      </c>
      <c r="DE94" t="s">
        <v>6</v>
      </c>
      <c r="DF94">
        <f t="shared" si="45"/>
        <v>0</v>
      </c>
      <c r="DG94">
        <f t="shared" si="42"/>
        <v>0</v>
      </c>
      <c r="DH94">
        <f>Source!I119*SmtRes!Y94</f>
        <v>178.16400000000002</v>
      </c>
      <c r="DI94">
        <f>AD94</f>
        <v>0</v>
      </c>
      <c r="DJ94">
        <f>EtalonRes!AB74</f>
        <v>0</v>
      </c>
      <c r="DK94">
        <f>Source!BA119</f>
        <v>1</v>
      </c>
      <c r="DL94" t="s">
        <v>6</v>
      </c>
      <c r="DM94">
        <v>0</v>
      </c>
      <c r="DN94" t="s">
        <v>6</v>
      </c>
      <c r="DO94">
        <v>0</v>
      </c>
      <c r="GQ94">
        <v>-1</v>
      </c>
      <c r="GR94">
        <v>-1</v>
      </c>
    </row>
    <row r="95" spans="1:200" x14ac:dyDescent="0.2">
      <c r="A95">
        <f>ROW(Source!A119)</f>
        <v>119</v>
      </c>
      <c r="B95">
        <v>86326987</v>
      </c>
      <c r="C95">
        <v>86327334</v>
      </c>
      <c r="D95">
        <v>27439419</v>
      </c>
      <c r="E95">
        <v>1</v>
      </c>
      <c r="F95">
        <v>1</v>
      </c>
      <c r="G95">
        <v>1</v>
      </c>
      <c r="H95">
        <v>2</v>
      </c>
      <c r="I95" t="s">
        <v>628</v>
      </c>
      <c r="J95" t="s">
        <v>629</v>
      </c>
      <c r="K95" t="s">
        <v>630</v>
      </c>
      <c r="L95">
        <v>1368</v>
      </c>
      <c r="N95">
        <v>1011</v>
      </c>
      <c r="O95" t="s">
        <v>137</v>
      </c>
      <c r="P95" t="s">
        <v>137</v>
      </c>
      <c r="Q95">
        <v>1</v>
      </c>
      <c r="W95">
        <v>0</v>
      </c>
      <c r="X95">
        <v>1804162481</v>
      </c>
      <c r="Y95">
        <f>(AT95*1.12)</f>
        <v>3.3600000000000003</v>
      </c>
      <c r="AA95">
        <v>0</v>
      </c>
      <c r="AB95">
        <v>115.64</v>
      </c>
      <c r="AC95">
        <v>13.61</v>
      </c>
      <c r="AD95">
        <v>0</v>
      </c>
      <c r="AE95">
        <v>0</v>
      </c>
      <c r="AF95">
        <v>115.64</v>
      </c>
      <c r="AG95">
        <v>13.61</v>
      </c>
      <c r="AH95">
        <v>0</v>
      </c>
      <c r="AI95">
        <v>1</v>
      </c>
      <c r="AJ95">
        <v>1</v>
      </c>
      <c r="AK95">
        <v>1</v>
      </c>
      <c r="AL95">
        <v>1</v>
      </c>
      <c r="AM95">
        <v>0</v>
      </c>
      <c r="AN95">
        <v>0</v>
      </c>
      <c r="AO95">
        <v>1</v>
      </c>
      <c r="AP95">
        <v>1</v>
      </c>
      <c r="AQ95">
        <v>0</v>
      </c>
      <c r="AR95">
        <v>0</v>
      </c>
      <c r="AS95" t="s">
        <v>6</v>
      </c>
      <c r="AT95">
        <v>3</v>
      </c>
      <c r="AU95" t="s">
        <v>24</v>
      </c>
      <c r="AV95">
        <v>0</v>
      </c>
      <c r="AW95">
        <v>1</v>
      </c>
      <c r="AX95">
        <v>-1</v>
      </c>
      <c r="AY95">
        <v>0</v>
      </c>
      <c r="AZ95">
        <v>0</v>
      </c>
      <c r="BA95" t="s">
        <v>6</v>
      </c>
      <c r="BB95">
        <v>5</v>
      </c>
      <c r="BC95">
        <v>0</v>
      </c>
      <c r="BD95">
        <v>388.55040000000002</v>
      </c>
      <c r="BE95">
        <v>45.729600000000005</v>
      </c>
      <c r="BF95">
        <v>0</v>
      </c>
      <c r="BG95">
        <v>0</v>
      </c>
      <c r="BH95">
        <v>0</v>
      </c>
      <c r="BI95">
        <v>1</v>
      </c>
      <c r="BJ95">
        <v>0</v>
      </c>
      <c r="BK95">
        <v>0</v>
      </c>
      <c r="BL95">
        <v>0</v>
      </c>
      <c r="BM95">
        <v>0</v>
      </c>
      <c r="BN95">
        <v>0</v>
      </c>
      <c r="BO95">
        <v>0</v>
      </c>
      <c r="BP95">
        <v>0</v>
      </c>
      <c r="BQ95">
        <v>0</v>
      </c>
      <c r="BR95">
        <v>0</v>
      </c>
      <c r="BS95">
        <v>0</v>
      </c>
      <c r="BT95">
        <v>0</v>
      </c>
      <c r="BU95">
        <v>0</v>
      </c>
      <c r="BV95">
        <v>0</v>
      </c>
      <c r="BW95">
        <v>0</v>
      </c>
      <c r="CV95">
        <v>0</v>
      </c>
      <c r="CW95">
        <f>ROUND(Y95*Source!I119*DO95,9)</f>
        <v>0</v>
      </c>
      <c r="CX95">
        <f>ROUND(Y95*Source!I119,9)</f>
        <v>106.05</v>
      </c>
      <c r="CY95">
        <f>AB95</f>
        <v>115.64</v>
      </c>
      <c r="CZ95">
        <f>AF95</f>
        <v>115.64</v>
      </c>
      <c r="DA95">
        <f>AJ95</f>
        <v>1</v>
      </c>
      <c r="DB95">
        <f>ROUND((ROUND(AT95*CZ95,2)*1.12),2)</f>
        <v>388.55</v>
      </c>
      <c r="DC95">
        <f>ROUND((ROUND(AT95*AG95,2)*1.12),2)</f>
        <v>45.73</v>
      </c>
      <c r="DD95" t="s">
        <v>6</v>
      </c>
      <c r="DE95" t="s">
        <v>6</v>
      </c>
      <c r="DF95">
        <f t="shared" si="45"/>
        <v>0</v>
      </c>
      <c r="DG95">
        <f t="shared" si="42"/>
        <v>12302</v>
      </c>
      <c r="DH95">
        <f>Source!I119*SmtRes!Y95</f>
        <v>106.05000000000001</v>
      </c>
      <c r="DI95">
        <f>AB95</f>
        <v>115.64</v>
      </c>
      <c r="DJ95">
        <f>DG95</f>
        <v>12302</v>
      </c>
      <c r="DK95">
        <f>Source!BB119</f>
        <v>1</v>
      </c>
      <c r="DL95" t="s">
        <v>6</v>
      </c>
      <c r="DM95">
        <v>0</v>
      </c>
      <c r="DN95" t="s">
        <v>6</v>
      </c>
      <c r="DO95">
        <v>0</v>
      </c>
      <c r="GQ95">
        <v>-1</v>
      </c>
      <c r="GR95">
        <v>-1</v>
      </c>
    </row>
    <row r="96" spans="1:200" x14ac:dyDescent="0.2">
      <c r="A96">
        <f>ROW(Source!A119)</f>
        <v>119</v>
      </c>
      <c r="B96">
        <v>86326987</v>
      </c>
      <c r="C96">
        <v>86327334</v>
      </c>
      <c r="D96">
        <v>27439499</v>
      </c>
      <c r="E96">
        <v>1</v>
      </c>
      <c r="F96">
        <v>1</v>
      </c>
      <c r="G96">
        <v>1</v>
      </c>
      <c r="H96">
        <v>2</v>
      </c>
      <c r="I96" t="s">
        <v>631</v>
      </c>
      <c r="J96" t="s">
        <v>632</v>
      </c>
      <c r="K96" t="s">
        <v>633</v>
      </c>
      <c r="L96">
        <v>1368</v>
      </c>
      <c r="N96">
        <v>1011</v>
      </c>
      <c r="O96" t="s">
        <v>137</v>
      </c>
      <c r="P96" t="s">
        <v>137</v>
      </c>
      <c r="Q96">
        <v>1</v>
      </c>
      <c r="W96">
        <v>0</v>
      </c>
      <c r="X96">
        <v>1890856440</v>
      </c>
      <c r="Y96">
        <f>(AT96*1.12)</f>
        <v>0.49280000000000007</v>
      </c>
      <c r="AA96">
        <v>0</v>
      </c>
      <c r="AB96">
        <v>112.67</v>
      </c>
      <c r="AC96">
        <v>13.61</v>
      </c>
      <c r="AD96">
        <v>0</v>
      </c>
      <c r="AE96">
        <v>0</v>
      </c>
      <c r="AF96">
        <v>112.67</v>
      </c>
      <c r="AG96">
        <v>13.61</v>
      </c>
      <c r="AH96">
        <v>0</v>
      </c>
      <c r="AI96">
        <v>1</v>
      </c>
      <c r="AJ96">
        <v>1</v>
      </c>
      <c r="AK96">
        <v>1</v>
      </c>
      <c r="AL96">
        <v>1</v>
      </c>
      <c r="AM96">
        <v>0</v>
      </c>
      <c r="AN96">
        <v>0</v>
      </c>
      <c r="AO96">
        <v>1</v>
      </c>
      <c r="AP96">
        <v>1</v>
      </c>
      <c r="AQ96">
        <v>0</v>
      </c>
      <c r="AR96">
        <v>0</v>
      </c>
      <c r="AS96" t="s">
        <v>6</v>
      </c>
      <c r="AT96">
        <v>0.44</v>
      </c>
      <c r="AU96" t="s">
        <v>24</v>
      </c>
      <c r="AV96">
        <v>0</v>
      </c>
      <c r="AW96">
        <v>2</v>
      </c>
      <c r="AX96">
        <v>86327346</v>
      </c>
      <c r="AY96">
        <v>1</v>
      </c>
      <c r="AZ96">
        <v>0</v>
      </c>
      <c r="BA96">
        <v>76</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CV96">
        <v>0</v>
      </c>
      <c r="CW96">
        <f>ROUND(Y96*Source!I119*DO96,9)</f>
        <v>0</v>
      </c>
      <c r="CX96">
        <f>ROUND(Y96*Source!I119,9)</f>
        <v>15.554</v>
      </c>
      <c r="CY96">
        <f>AB96</f>
        <v>112.67</v>
      </c>
      <c r="CZ96">
        <f>AF96</f>
        <v>112.67</v>
      </c>
      <c r="DA96">
        <f>AJ96</f>
        <v>1</v>
      </c>
      <c r="DB96">
        <f>ROUND((ROUND(AT96*CZ96,2)*1.12),2)</f>
        <v>55.52</v>
      </c>
      <c r="DC96">
        <f>ROUND((ROUND(AT96*AG96,2)*1.12),2)</f>
        <v>6.71</v>
      </c>
      <c r="DD96" t="s">
        <v>6</v>
      </c>
      <c r="DE96" t="s">
        <v>6</v>
      </c>
      <c r="DF96">
        <f t="shared" si="45"/>
        <v>0</v>
      </c>
      <c r="DG96">
        <f t="shared" si="42"/>
        <v>1758</v>
      </c>
      <c r="DH96">
        <f>Source!I119*SmtRes!Y96</f>
        <v>15.554000000000002</v>
      </c>
      <c r="DI96">
        <f>AB96</f>
        <v>112.67</v>
      </c>
      <c r="DJ96">
        <f>EtalonRes!Z76</f>
        <v>112.67</v>
      </c>
      <c r="DK96">
        <f>Source!BB119</f>
        <v>1</v>
      </c>
      <c r="DL96" t="s">
        <v>6</v>
      </c>
      <c r="DM96">
        <v>0</v>
      </c>
      <c r="DN96" t="s">
        <v>6</v>
      </c>
      <c r="DO96">
        <v>0</v>
      </c>
      <c r="GQ96">
        <v>-1</v>
      </c>
      <c r="GR96">
        <v>-1</v>
      </c>
    </row>
    <row r="97" spans="1:200" x14ac:dyDescent="0.2">
      <c r="A97">
        <f>ROW(Source!A119)</f>
        <v>119</v>
      </c>
      <c r="B97">
        <v>86326987</v>
      </c>
      <c r="C97">
        <v>86327334</v>
      </c>
      <c r="D97">
        <v>27439640</v>
      </c>
      <c r="E97">
        <v>1</v>
      </c>
      <c r="F97">
        <v>1</v>
      </c>
      <c r="G97">
        <v>1</v>
      </c>
      <c r="H97">
        <v>2</v>
      </c>
      <c r="I97" t="s">
        <v>634</v>
      </c>
      <c r="J97" t="s">
        <v>635</v>
      </c>
      <c r="K97" t="s">
        <v>636</v>
      </c>
      <c r="L97">
        <v>1368</v>
      </c>
      <c r="N97">
        <v>1011</v>
      </c>
      <c r="O97" t="s">
        <v>137</v>
      </c>
      <c r="P97" t="s">
        <v>137</v>
      </c>
      <c r="Q97">
        <v>1</v>
      </c>
      <c r="W97">
        <v>0</v>
      </c>
      <c r="X97">
        <v>1935701055</v>
      </c>
      <c r="Y97">
        <f>(AT97*1.12)</f>
        <v>1.7920000000000003</v>
      </c>
      <c r="AA97">
        <v>0</v>
      </c>
      <c r="AB97">
        <v>56.1</v>
      </c>
      <c r="AC97">
        <v>13.61</v>
      </c>
      <c r="AD97">
        <v>0</v>
      </c>
      <c r="AE97">
        <v>0</v>
      </c>
      <c r="AF97">
        <v>56.1</v>
      </c>
      <c r="AG97">
        <v>13.61</v>
      </c>
      <c r="AH97">
        <v>0</v>
      </c>
      <c r="AI97">
        <v>1</v>
      </c>
      <c r="AJ97">
        <v>1</v>
      </c>
      <c r="AK97">
        <v>1</v>
      </c>
      <c r="AL97">
        <v>1</v>
      </c>
      <c r="AM97">
        <v>0</v>
      </c>
      <c r="AN97">
        <v>0</v>
      </c>
      <c r="AO97">
        <v>1</v>
      </c>
      <c r="AP97">
        <v>1</v>
      </c>
      <c r="AQ97">
        <v>0</v>
      </c>
      <c r="AR97">
        <v>0</v>
      </c>
      <c r="AS97" t="s">
        <v>6</v>
      </c>
      <c r="AT97">
        <v>1.6</v>
      </c>
      <c r="AU97" t="s">
        <v>24</v>
      </c>
      <c r="AV97">
        <v>0</v>
      </c>
      <c r="AW97">
        <v>2</v>
      </c>
      <c r="AX97">
        <v>86327347</v>
      </c>
      <c r="AY97">
        <v>1</v>
      </c>
      <c r="AZ97">
        <v>0</v>
      </c>
      <c r="BA97">
        <v>77</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CV97">
        <v>0</v>
      </c>
      <c r="CW97">
        <f>ROUND(Y97*Source!I119*DO97,9)</f>
        <v>0</v>
      </c>
      <c r="CX97">
        <f>ROUND(Y97*Source!I119,9)</f>
        <v>56.56</v>
      </c>
      <c r="CY97">
        <f>AB97</f>
        <v>56.1</v>
      </c>
      <c r="CZ97">
        <f>AF97</f>
        <v>56.1</v>
      </c>
      <c r="DA97">
        <f>AJ97</f>
        <v>1</v>
      </c>
      <c r="DB97">
        <f>ROUND((ROUND(AT97*CZ97,2)*1.12),2)</f>
        <v>100.53</v>
      </c>
      <c r="DC97">
        <f>ROUND((ROUND(AT97*AG97,2)*1.12),2)</f>
        <v>24.39</v>
      </c>
      <c r="DD97" t="s">
        <v>6</v>
      </c>
      <c r="DE97" t="s">
        <v>6</v>
      </c>
      <c r="DF97">
        <f t="shared" si="45"/>
        <v>0</v>
      </c>
      <c r="DG97">
        <f t="shared" si="42"/>
        <v>3167</v>
      </c>
      <c r="DH97">
        <f>Source!I119*SmtRes!Y97</f>
        <v>56.560000000000009</v>
      </c>
      <c r="DI97">
        <f>AB97</f>
        <v>56.1</v>
      </c>
      <c r="DJ97">
        <f>EtalonRes!Z77</f>
        <v>56.1</v>
      </c>
      <c r="DK97">
        <f>Source!BB119</f>
        <v>1</v>
      </c>
      <c r="DL97" t="s">
        <v>6</v>
      </c>
      <c r="DM97">
        <v>0</v>
      </c>
      <c r="DN97" t="s">
        <v>6</v>
      </c>
      <c r="DO97">
        <v>0</v>
      </c>
      <c r="GQ97">
        <v>-1</v>
      </c>
      <c r="GR97">
        <v>-1</v>
      </c>
    </row>
    <row r="98" spans="1:200" x14ac:dyDescent="0.2">
      <c r="A98">
        <f>ROW(Source!A119)</f>
        <v>119</v>
      </c>
      <c r="B98">
        <v>86326987</v>
      </c>
      <c r="C98">
        <v>86327334</v>
      </c>
      <c r="D98">
        <v>27441327</v>
      </c>
      <c r="E98">
        <v>1</v>
      </c>
      <c r="F98">
        <v>1</v>
      </c>
      <c r="G98">
        <v>1</v>
      </c>
      <c r="H98">
        <v>2</v>
      </c>
      <c r="I98" t="s">
        <v>637</v>
      </c>
      <c r="J98" t="s">
        <v>638</v>
      </c>
      <c r="K98" t="s">
        <v>639</v>
      </c>
      <c r="L98">
        <v>1368</v>
      </c>
      <c r="N98">
        <v>1011</v>
      </c>
      <c r="O98" t="s">
        <v>137</v>
      </c>
      <c r="P98" t="s">
        <v>137</v>
      </c>
      <c r="Q98">
        <v>1</v>
      </c>
      <c r="W98">
        <v>0</v>
      </c>
      <c r="X98">
        <v>-1583389094</v>
      </c>
      <c r="Y98">
        <f>(AT98*1.12)</f>
        <v>0.6160000000000001</v>
      </c>
      <c r="AA98">
        <v>0</v>
      </c>
      <c r="AB98">
        <v>93.37</v>
      </c>
      <c r="AC98">
        <v>11.69</v>
      </c>
      <c r="AD98">
        <v>0</v>
      </c>
      <c r="AE98">
        <v>0</v>
      </c>
      <c r="AF98">
        <v>93.37</v>
      </c>
      <c r="AG98">
        <v>11.69</v>
      </c>
      <c r="AH98">
        <v>0</v>
      </c>
      <c r="AI98">
        <v>1</v>
      </c>
      <c r="AJ98">
        <v>1</v>
      </c>
      <c r="AK98">
        <v>1</v>
      </c>
      <c r="AL98">
        <v>1</v>
      </c>
      <c r="AM98">
        <v>0</v>
      </c>
      <c r="AN98">
        <v>0</v>
      </c>
      <c r="AO98">
        <v>1</v>
      </c>
      <c r="AP98">
        <v>1</v>
      </c>
      <c r="AQ98">
        <v>0</v>
      </c>
      <c r="AR98">
        <v>0</v>
      </c>
      <c r="AS98" t="s">
        <v>6</v>
      </c>
      <c r="AT98">
        <v>0.55000000000000004</v>
      </c>
      <c r="AU98" t="s">
        <v>24</v>
      </c>
      <c r="AV98">
        <v>0</v>
      </c>
      <c r="AW98">
        <v>2</v>
      </c>
      <c r="AX98">
        <v>86327348</v>
      </c>
      <c r="AY98">
        <v>1</v>
      </c>
      <c r="AZ98">
        <v>0</v>
      </c>
      <c r="BA98">
        <v>78</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CV98">
        <v>0</v>
      </c>
      <c r="CW98">
        <f>ROUND(Y98*Source!I119*DO98,9)</f>
        <v>0</v>
      </c>
      <c r="CX98">
        <f>ROUND(Y98*Source!I119,9)</f>
        <v>19.442499999999999</v>
      </c>
      <c r="CY98">
        <f>AB98</f>
        <v>93.37</v>
      </c>
      <c r="CZ98">
        <f>AF98</f>
        <v>93.37</v>
      </c>
      <c r="DA98">
        <f>AJ98</f>
        <v>1</v>
      </c>
      <c r="DB98">
        <f>ROUND((ROUND(AT98*CZ98,2)*1.12),2)</f>
        <v>57.51</v>
      </c>
      <c r="DC98">
        <f>ROUND((ROUND(AT98*AG98,2)*1.12),2)</f>
        <v>7.2</v>
      </c>
      <c r="DD98" t="s">
        <v>6</v>
      </c>
      <c r="DE98" t="s">
        <v>6</v>
      </c>
      <c r="DF98">
        <f t="shared" si="45"/>
        <v>0</v>
      </c>
      <c r="DG98">
        <f t="shared" si="42"/>
        <v>1808</v>
      </c>
      <c r="DH98">
        <f>Source!I119*SmtRes!Y98</f>
        <v>19.442500000000003</v>
      </c>
      <c r="DI98">
        <f>AB98</f>
        <v>93.37</v>
      </c>
      <c r="DJ98">
        <f>EtalonRes!Z78</f>
        <v>93.37</v>
      </c>
      <c r="DK98">
        <f>Source!BB119</f>
        <v>1</v>
      </c>
      <c r="DL98" t="s">
        <v>6</v>
      </c>
      <c r="DM98">
        <v>0</v>
      </c>
      <c r="DN98" t="s">
        <v>6</v>
      </c>
      <c r="DO98">
        <v>0</v>
      </c>
      <c r="GQ98">
        <v>-1</v>
      </c>
      <c r="GR98">
        <v>-1</v>
      </c>
    </row>
    <row r="99" spans="1:200" x14ac:dyDescent="0.2">
      <c r="A99">
        <f>ROW(Source!A119)</f>
        <v>119</v>
      </c>
      <c r="B99">
        <v>86326987</v>
      </c>
      <c r="C99">
        <v>86327334</v>
      </c>
      <c r="D99">
        <v>27378580</v>
      </c>
      <c r="E99">
        <v>1</v>
      </c>
      <c r="F99">
        <v>1</v>
      </c>
      <c r="G99">
        <v>1</v>
      </c>
      <c r="H99">
        <v>3</v>
      </c>
      <c r="I99" t="s">
        <v>31</v>
      </c>
      <c r="J99" t="s">
        <v>34</v>
      </c>
      <c r="K99" t="s">
        <v>32</v>
      </c>
      <c r="L99">
        <v>1348</v>
      </c>
      <c r="N99">
        <v>1009</v>
      </c>
      <c r="O99" t="s">
        <v>33</v>
      </c>
      <c r="P99" t="s">
        <v>33</v>
      </c>
      <c r="Q99">
        <v>1000</v>
      </c>
      <c r="W99">
        <v>0</v>
      </c>
      <c r="X99">
        <v>2105756975</v>
      </c>
      <c r="Y99">
        <f>AT99</f>
        <v>2.6499999999999999E-4</v>
      </c>
      <c r="AA99">
        <v>8475</v>
      </c>
      <c r="AB99">
        <v>0</v>
      </c>
      <c r="AC99">
        <v>0</v>
      </c>
      <c r="AD99">
        <v>0</v>
      </c>
      <c r="AE99">
        <v>8475</v>
      </c>
      <c r="AF99">
        <v>0</v>
      </c>
      <c r="AG99">
        <v>0</v>
      </c>
      <c r="AH99">
        <v>0</v>
      </c>
      <c r="AI99">
        <v>1</v>
      </c>
      <c r="AJ99">
        <v>1</v>
      </c>
      <c r="AK99">
        <v>1</v>
      </c>
      <c r="AL99">
        <v>1</v>
      </c>
      <c r="AM99">
        <v>0</v>
      </c>
      <c r="AN99">
        <v>0</v>
      </c>
      <c r="AO99">
        <v>0</v>
      </c>
      <c r="AP99">
        <v>1</v>
      </c>
      <c r="AQ99">
        <v>0</v>
      </c>
      <c r="AR99">
        <v>0</v>
      </c>
      <c r="AS99" t="s">
        <v>6</v>
      </c>
      <c r="AT99">
        <v>2.6499999999999999E-4</v>
      </c>
      <c r="AU99" t="s">
        <v>6</v>
      </c>
      <c r="AV99">
        <v>0</v>
      </c>
      <c r="AW99">
        <v>1</v>
      </c>
      <c r="AX99">
        <v>-1</v>
      </c>
      <c r="AY99">
        <v>0</v>
      </c>
      <c r="AZ99">
        <v>0</v>
      </c>
      <c r="BA99" t="s">
        <v>6</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CV99">
        <v>0</v>
      </c>
      <c r="CW99">
        <v>0</v>
      </c>
      <c r="CX99">
        <f>ROUND(Y99*Source!I119,9)</f>
        <v>8.3640629999999997E-3</v>
      </c>
      <c r="CY99">
        <f>AA99</f>
        <v>8475</v>
      </c>
      <c r="CZ99">
        <f>AE99</f>
        <v>8475</v>
      </c>
      <c r="DA99">
        <f>AI99</f>
        <v>1</v>
      </c>
      <c r="DB99">
        <f>ROUND(ROUND(AT99*CZ99,2),2)</f>
        <v>2.25</v>
      </c>
      <c r="DC99">
        <f>ROUND(ROUND(AT99*AG99,2),2)</f>
        <v>0</v>
      </c>
      <c r="DD99" t="s">
        <v>6</v>
      </c>
      <c r="DE99" t="s">
        <v>6</v>
      </c>
      <c r="DF99">
        <f t="shared" si="45"/>
        <v>71</v>
      </c>
      <c r="DG99">
        <f t="shared" si="42"/>
        <v>0</v>
      </c>
      <c r="DH99">
        <f>Source!I119*SmtRes!Y99</f>
        <v>8.3640625E-3</v>
      </c>
      <c r="DI99">
        <f>AA99</f>
        <v>8475</v>
      </c>
      <c r="DJ99">
        <f>DF99</f>
        <v>71</v>
      </c>
      <c r="DK99">
        <f>Source!BC119</f>
        <v>1</v>
      </c>
      <c r="DL99" t="s">
        <v>6</v>
      </c>
      <c r="DM99">
        <v>0</v>
      </c>
      <c r="DN99" t="s">
        <v>6</v>
      </c>
      <c r="DO99">
        <v>0</v>
      </c>
      <c r="GP99">
        <v>1</v>
      </c>
      <c r="GQ99">
        <v>-1</v>
      </c>
      <c r="GR99">
        <v>-1</v>
      </c>
    </row>
    <row r="100" spans="1:200" x14ac:dyDescent="0.2">
      <c r="A100">
        <f>ROW(Source!A119)</f>
        <v>119</v>
      </c>
      <c r="B100">
        <v>86326987</v>
      </c>
      <c r="C100">
        <v>86327334</v>
      </c>
      <c r="D100">
        <v>27379786</v>
      </c>
      <c r="E100">
        <v>1</v>
      </c>
      <c r="F100">
        <v>1</v>
      </c>
      <c r="G100">
        <v>1</v>
      </c>
      <c r="H100">
        <v>3</v>
      </c>
      <c r="I100" t="s">
        <v>42</v>
      </c>
      <c r="J100" t="s">
        <v>45</v>
      </c>
      <c r="K100" t="s">
        <v>43</v>
      </c>
      <c r="L100">
        <v>1339</v>
      </c>
      <c r="N100">
        <v>1007</v>
      </c>
      <c r="O100" t="s">
        <v>44</v>
      </c>
      <c r="P100" t="s">
        <v>44</v>
      </c>
      <c r="Q100">
        <v>1</v>
      </c>
      <c r="W100">
        <v>0</v>
      </c>
      <c r="X100">
        <v>703937141</v>
      </c>
      <c r="Y100">
        <f>AT100</f>
        <v>8.9870000000000002E-3</v>
      </c>
      <c r="AA100">
        <v>1100</v>
      </c>
      <c r="AB100">
        <v>0</v>
      </c>
      <c r="AC100">
        <v>0</v>
      </c>
      <c r="AD100">
        <v>0</v>
      </c>
      <c r="AE100">
        <v>1100</v>
      </c>
      <c r="AF100">
        <v>0</v>
      </c>
      <c r="AG100">
        <v>0</v>
      </c>
      <c r="AH100">
        <v>0</v>
      </c>
      <c r="AI100">
        <v>1</v>
      </c>
      <c r="AJ100">
        <v>1</v>
      </c>
      <c r="AK100">
        <v>1</v>
      </c>
      <c r="AL100">
        <v>1</v>
      </c>
      <c r="AM100">
        <v>0</v>
      </c>
      <c r="AN100">
        <v>0</v>
      </c>
      <c r="AO100">
        <v>0</v>
      </c>
      <c r="AP100">
        <v>1</v>
      </c>
      <c r="AQ100">
        <v>0</v>
      </c>
      <c r="AR100">
        <v>0</v>
      </c>
      <c r="AS100" t="s">
        <v>6</v>
      </c>
      <c r="AT100">
        <v>8.9870000000000002E-3</v>
      </c>
      <c r="AU100" t="s">
        <v>6</v>
      </c>
      <c r="AV100">
        <v>0</v>
      </c>
      <c r="AW100">
        <v>2</v>
      </c>
      <c r="AX100">
        <v>86327350</v>
      </c>
      <c r="AY100">
        <v>1</v>
      </c>
      <c r="AZ100">
        <v>6144</v>
      </c>
      <c r="BA100">
        <v>80</v>
      </c>
      <c r="BB100">
        <v>3</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CV100">
        <v>0</v>
      </c>
      <c r="CW100">
        <v>0</v>
      </c>
      <c r="CX100">
        <f>ROUND(Y100*Source!I119,9)</f>
        <v>0.28365218800000003</v>
      </c>
      <c r="CY100">
        <f>AA100</f>
        <v>1100</v>
      </c>
      <c r="CZ100">
        <f>AE100</f>
        <v>1100</v>
      </c>
      <c r="DA100">
        <f>AI100</f>
        <v>1</v>
      </c>
      <c r="DB100">
        <f>ROUND(ROUND(AT100*CZ100,2),2)</f>
        <v>9.89</v>
      </c>
      <c r="DC100">
        <f>ROUND(ROUND(AT100*AG100,2),2)</f>
        <v>0</v>
      </c>
      <c r="DD100" t="s">
        <v>6</v>
      </c>
      <c r="DE100" t="s">
        <v>6</v>
      </c>
      <c r="DF100">
        <f t="shared" si="45"/>
        <v>312</v>
      </c>
      <c r="DG100">
        <f t="shared" si="42"/>
        <v>0</v>
      </c>
      <c r="DH100">
        <f>Source!I119*SmtRes!Y100</f>
        <v>0.28365218749999999</v>
      </c>
      <c r="DI100">
        <f>AA100</f>
        <v>1100</v>
      </c>
      <c r="DJ100">
        <f>EtalonRes!Y80</f>
        <v>1100</v>
      </c>
      <c r="DK100">
        <f>Source!BC119</f>
        <v>1</v>
      </c>
      <c r="DL100" t="s">
        <v>6</v>
      </c>
      <c r="DM100">
        <v>0</v>
      </c>
      <c r="DN100" t="s">
        <v>6</v>
      </c>
      <c r="DO100">
        <v>0</v>
      </c>
      <c r="GP100">
        <v>1</v>
      </c>
      <c r="GQ100">
        <v>-1</v>
      </c>
      <c r="GR100">
        <v>-1</v>
      </c>
    </row>
    <row r="101" spans="1:200" x14ac:dyDescent="0.2">
      <c r="A101">
        <f>ROW(Source!A120)</f>
        <v>120</v>
      </c>
      <c r="B101">
        <v>86326988</v>
      </c>
      <c r="C101">
        <v>86327334</v>
      </c>
      <c r="D101">
        <v>27493207</v>
      </c>
      <c r="E101">
        <v>1</v>
      </c>
      <c r="F101">
        <v>1</v>
      </c>
      <c r="G101">
        <v>1</v>
      </c>
      <c r="H101">
        <v>1</v>
      </c>
      <c r="I101" t="s">
        <v>623</v>
      </c>
      <c r="J101" t="s">
        <v>6</v>
      </c>
      <c r="K101" t="s">
        <v>624</v>
      </c>
      <c r="L101">
        <v>1369</v>
      </c>
      <c r="N101">
        <v>1013</v>
      </c>
      <c r="O101" t="s">
        <v>625</v>
      </c>
      <c r="P101" t="s">
        <v>625</v>
      </c>
      <c r="Q101">
        <v>1</v>
      </c>
      <c r="W101">
        <v>0</v>
      </c>
      <c r="X101">
        <v>-1900352537</v>
      </c>
      <c r="Y101">
        <f>(AT101*1.05)</f>
        <v>17.4405</v>
      </c>
      <c r="AA101">
        <v>0</v>
      </c>
      <c r="AB101">
        <v>0</v>
      </c>
      <c r="AC101">
        <v>0</v>
      </c>
      <c r="AD101">
        <v>283.87</v>
      </c>
      <c r="AE101">
        <v>0</v>
      </c>
      <c r="AF101">
        <v>0</v>
      </c>
      <c r="AG101">
        <v>0</v>
      </c>
      <c r="AH101">
        <v>7.87</v>
      </c>
      <c r="AI101">
        <v>1</v>
      </c>
      <c r="AJ101">
        <v>1</v>
      </c>
      <c r="AK101">
        <v>1</v>
      </c>
      <c r="AL101">
        <v>36.07</v>
      </c>
      <c r="AM101">
        <v>5</v>
      </c>
      <c r="AN101">
        <v>0</v>
      </c>
      <c r="AO101">
        <v>1</v>
      </c>
      <c r="AP101">
        <v>1</v>
      </c>
      <c r="AQ101">
        <v>0</v>
      </c>
      <c r="AR101">
        <v>0</v>
      </c>
      <c r="AS101" t="s">
        <v>6</v>
      </c>
      <c r="AT101">
        <v>16.61</v>
      </c>
      <c r="AU101" t="s">
        <v>25</v>
      </c>
      <c r="AV101">
        <v>1</v>
      </c>
      <c r="AW101">
        <v>2</v>
      </c>
      <c r="AX101">
        <v>86327343</v>
      </c>
      <c r="AY101">
        <v>1</v>
      </c>
      <c r="AZ101">
        <v>0</v>
      </c>
      <c r="BA101">
        <v>81</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CU101">
        <f>ROUND(AT101*Source!I120*AH101*AL101,0)</f>
        <v>148820</v>
      </c>
      <c r="CV101">
        <f>ROUND(Y101*Source!I120,9)</f>
        <v>550.46578124999996</v>
      </c>
      <c r="CW101">
        <v>0</v>
      </c>
      <c r="CX101">
        <f>ROUND(Y101*Source!I120,9)</f>
        <v>550.46578124999996</v>
      </c>
      <c r="CY101">
        <f>AD101</f>
        <v>283.87</v>
      </c>
      <c r="CZ101">
        <f>AH101</f>
        <v>7.87</v>
      </c>
      <c r="DA101">
        <f>AL101</f>
        <v>36.07</v>
      </c>
      <c r="DB101">
        <f>ROUND((ROUND(AT101*CZ101,2)*1.05),2)</f>
        <v>137.26</v>
      </c>
      <c r="DC101">
        <f>ROUND((ROUND(AT101*AG101,2)*1.05),2)</f>
        <v>0</v>
      </c>
      <c r="DD101" t="s">
        <v>6</v>
      </c>
      <c r="DE101" t="s">
        <v>6</v>
      </c>
      <c r="DF101">
        <f t="shared" si="45"/>
        <v>0</v>
      </c>
      <c r="DG101">
        <f t="shared" si="42"/>
        <v>0</v>
      </c>
      <c r="DH101">
        <f>Source!I120*SmtRes!Y101</f>
        <v>550.46578124999996</v>
      </c>
      <c r="DI101">
        <f>AD101</f>
        <v>283.87</v>
      </c>
      <c r="DJ101">
        <f>EtalonRes!AB81</f>
        <v>7.87</v>
      </c>
      <c r="DK101">
        <f>Source!BA120</f>
        <v>36.07</v>
      </c>
      <c r="DL101" t="s">
        <v>6</v>
      </c>
      <c r="DM101">
        <v>0</v>
      </c>
      <c r="DN101" t="s">
        <v>6</v>
      </c>
      <c r="DO101">
        <v>0</v>
      </c>
      <c r="GQ101">
        <v>-1</v>
      </c>
      <c r="GR101">
        <v>-1</v>
      </c>
    </row>
    <row r="102" spans="1:200" x14ac:dyDescent="0.2">
      <c r="A102">
        <f>ROW(Source!A120)</f>
        <v>120</v>
      </c>
      <c r="B102">
        <v>86326988</v>
      </c>
      <c r="C102">
        <v>86327334</v>
      </c>
      <c r="D102">
        <v>121548</v>
      </c>
      <c r="E102">
        <v>1</v>
      </c>
      <c r="F102">
        <v>1</v>
      </c>
      <c r="G102">
        <v>1</v>
      </c>
      <c r="H102">
        <v>1</v>
      </c>
      <c r="I102" t="s">
        <v>40</v>
      </c>
      <c r="J102" t="s">
        <v>6</v>
      </c>
      <c r="K102" t="s">
        <v>626</v>
      </c>
      <c r="L102">
        <v>608254</v>
      </c>
      <c r="N102">
        <v>1013</v>
      </c>
      <c r="O102" t="s">
        <v>627</v>
      </c>
      <c r="P102" t="s">
        <v>627</v>
      </c>
      <c r="Q102">
        <v>1</v>
      </c>
      <c r="W102">
        <v>0</v>
      </c>
      <c r="X102">
        <v>-185737400</v>
      </c>
      <c r="Y102">
        <f>(AT102*1.12)</f>
        <v>5.6448000000000009</v>
      </c>
      <c r="AA102">
        <v>0</v>
      </c>
      <c r="AB102">
        <v>0</v>
      </c>
      <c r="AC102">
        <v>0</v>
      </c>
      <c r="AD102">
        <v>0</v>
      </c>
      <c r="AE102">
        <v>0</v>
      </c>
      <c r="AF102">
        <v>0</v>
      </c>
      <c r="AG102">
        <v>0</v>
      </c>
      <c r="AH102">
        <v>0</v>
      </c>
      <c r="AI102">
        <v>1</v>
      </c>
      <c r="AJ102">
        <v>1</v>
      </c>
      <c r="AK102">
        <v>19.8</v>
      </c>
      <c r="AL102">
        <v>1</v>
      </c>
      <c r="AM102">
        <v>5</v>
      </c>
      <c r="AN102">
        <v>0</v>
      </c>
      <c r="AO102">
        <v>1</v>
      </c>
      <c r="AP102">
        <v>1</v>
      </c>
      <c r="AQ102">
        <v>0</v>
      </c>
      <c r="AR102">
        <v>0</v>
      </c>
      <c r="AS102" t="s">
        <v>6</v>
      </c>
      <c r="AT102">
        <v>5.04</v>
      </c>
      <c r="AU102" t="s">
        <v>24</v>
      </c>
      <c r="AV102">
        <v>2</v>
      </c>
      <c r="AW102">
        <v>2</v>
      </c>
      <c r="AX102">
        <v>86327344</v>
      </c>
      <c r="AY102">
        <v>1</v>
      </c>
      <c r="AZ102">
        <v>0</v>
      </c>
      <c r="BA102">
        <v>82</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CV102">
        <v>0</v>
      </c>
      <c r="CW102">
        <v>0</v>
      </c>
      <c r="CX102">
        <f>ROUND(Y102*Source!I120,9)</f>
        <v>178.16399999999999</v>
      </c>
      <c r="CY102">
        <f>AD102</f>
        <v>0</v>
      </c>
      <c r="CZ102">
        <f>AH102</f>
        <v>0</v>
      </c>
      <c r="DA102">
        <f>AL102</f>
        <v>1</v>
      </c>
      <c r="DB102">
        <f>ROUND((ROUND(AT102*CZ102,2)*1.12),2)</f>
        <v>0</v>
      </c>
      <c r="DC102">
        <f>ROUND((ROUND(AT102*AG102,2)*1.12),2)</f>
        <v>0</v>
      </c>
      <c r="DD102" t="s">
        <v>6</v>
      </c>
      <c r="DE102" t="s">
        <v>6</v>
      </c>
      <c r="DF102">
        <f t="shared" si="45"/>
        <v>0</v>
      </c>
      <c r="DG102">
        <f t="shared" si="42"/>
        <v>0</v>
      </c>
      <c r="DH102">
        <f>Source!I120*SmtRes!Y102</f>
        <v>178.16400000000002</v>
      </c>
      <c r="DI102">
        <f>AD102</f>
        <v>0</v>
      </c>
      <c r="DJ102">
        <f>EtalonRes!AB82</f>
        <v>0</v>
      </c>
      <c r="DK102">
        <f>Source!BA120</f>
        <v>36.07</v>
      </c>
      <c r="DL102" t="s">
        <v>6</v>
      </c>
      <c r="DM102">
        <v>0</v>
      </c>
      <c r="DN102" t="s">
        <v>6</v>
      </c>
      <c r="DO102">
        <v>0</v>
      </c>
      <c r="GQ102">
        <v>-1</v>
      </c>
      <c r="GR102">
        <v>-1</v>
      </c>
    </row>
    <row r="103" spans="1:200" x14ac:dyDescent="0.2">
      <c r="A103">
        <f>ROW(Source!A120)</f>
        <v>120</v>
      </c>
      <c r="B103">
        <v>86326988</v>
      </c>
      <c r="C103">
        <v>86327334</v>
      </c>
      <c r="D103">
        <v>27439419</v>
      </c>
      <c r="E103">
        <v>1</v>
      </c>
      <c r="F103">
        <v>1</v>
      </c>
      <c r="G103">
        <v>1</v>
      </c>
      <c r="H103">
        <v>2</v>
      </c>
      <c r="I103" t="s">
        <v>628</v>
      </c>
      <c r="J103" t="s">
        <v>629</v>
      </c>
      <c r="K103" t="s">
        <v>630</v>
      </c>
      <c r="L103">
        <v>1368</v>
      </c>
      <c r="N103">
        <v>1011</v>
      </c>
      <c r="O103" t="s">
        <v>137</v>
      </c>
      <c r="P103" t="s">
        <v>137</v>
      </c>
      <c r="Q103">
        <v>1</v>
      </c>
      <c r="W103">
        <v>0</v>
      </c>
      <c r="X103">
        <v>1804162481</v>
      </c>
      <c r="Y103">
        <f>(AT103*1.12)</f>
        <v>3.3600000000000003</v>
      </c>
      <c r="AA103">
        <v>0</v>
      </c>
      <c r="AB103">
        <v>1075.45</v>
      </c>
      <c r="AC103">
        <v>269.48</v>
      </c>
      <c r="AD103">
        <v>0</v>
      </c>
      <c r="AE103">
        <v>0</v>
      </c>
      <c r="AF103">
        <v>115.64</v>
      </c>
      <c r="AG103">
        <v>13.61</v>
      </c>
      <c r="AH103">
        <v>0</v>
      </c>
      <c r="AI103">
        <v>1</v>
      </c>
      <c r="AJ103">
        <v>9.3000000000000007</v>
      </c>
      <c r="AK103">
        <v>19.8</v>
      </c>
      <c r="AL103">
        <v>1</v>
      </c>
      <c r="AM103">
        <v>5</v>
      </c>
      <c r="AN103">
        <v>0</v>
      </c>
      <c r="AO103">
        <v>1</v>
      </c>
      <c r="AP103">
        <v>1</v>
      </c>
      <c r="AQ103">
        <v>0</v>
      </c>
      <c r="AR103">
        <v>0</v>
      </c>
      <c r="AS103" t="s">
        <v>6</v>
      </c>
      <c r="AT103">
        <v>3</v>
      </c>
      <c r="AU103" t="s">
        <v>24</v>
      </c>
      <c r="AV103">
        <v>0</v>
      </c>
      <c r="AW103">
        <v>1</v>
      </c>
      <c r="AX103">
        <v>-1</v>
      </c>
      <c r="AY103">
        <v>0</v>
      </c>
      <c r="AZ103">
        <v>0</v>
      </c>
      <c r="BA103" t="s">
        <v>6</v>
      </c>
      <c r="BB103">
        <v>5</v>
      </c>
      <c r="BC103">
        <v>0</v>
      </c>
      <c r="BD103">
        <v>388.55040000000002</v>
      </c>
      <c r="BE103">
        <v>45.729600000000005</v>
      </c>
      <c r="BF103">
        <v>0</v>
      </c>
      <c r="BG103">
        <v>0</v>
      </c>
      <c r="BH103">
        <v>0</v>
      </c>
      <c r="BI103">
        <v>1</v>
      </c>
      <c r="BJ103">
        <v>0</v>
      </c>
      <c r="BK103">
        <v>0</v>
      </c>
      <c r="BL103">
        <v>0</v>
      </c>
      <c r="BM103">
        <v>0</v>
      </c>
      <c r="BN103">
        <v>0</v>
      </c>
      <c r="BO103">
        <v>0</v>
      </c>
      <c r="BP103">
        <v>0</v>
      </c>
      <c r="BQ103">
        <v>0</v>
      </c>
      <c r="BR103">
        <v>0</v>
      </c>
      <c r="BS103">
        <v>0</v>
      </c>
      <c r="BT103">
        <v>0</v>
      </c>
      <c r="BU103">
        <v>0</v>
      </c>
      <c r="BV103">
        <v>0</v>
      </c>
      <c r="BW103">
        <v>0</v>
      </c>
      <c r="CV103">
        <v>0</v>
      </c>
      <c r="CW103">
        <f>ROUND(Y103*Source!I120*DO103,9)</f>
        <v>0</v>
      </c>
      <c r="CX103">
        <f>ROUND(Y103*Source!I120,9)</f>
        <v>106.05</v>
      </c>
      <c r="CY103">
        <f>AB103</f>
        <v>1075.45</v>
      </c>
      <c r="CZ103">
        <f>AF103</f>
        <v>115.64</v>
      </c>
      <c r="DA103">
        <f>AJ103</f>
        <v>9.3000000000000007</v>
      </c>
      <c r="DB103">
        <f>ROUND((ROUND(AT103*CZ103,2)*1.12),2)</f>
        <v>388.55</v>
      </c>
      <c r="DC103">
        <f>ROUND((ROUND(AT103*AG103,2)*1.12),2)</f>
        <v>45.73</v>
      </c>
      <c r="DD103" t="s">
        <v>6</v>
      </c>
      <c r="DE103" t="s">
        <v>6</v>
      </c>
      <c r="DF103">
        <f t="shared" si="45"/>
        <v>0</v>
      </c>
      <c r="DG103">
        <f>ROUND(ROUND(AF103*AJ103,0)*CX103,0)</f>
        <v>114004</v>
      </c>
      <c r="DH103">
        <f>Source!I120*SmtRes!Y103</f>
        <v>106.05000000000001</v>
      </c>
      <c r="DI103">
        <f>AB103</f>
        <v>1075.45</v>
      </c>
      <c r="DJ103">
        <f>DG103</f>
        <v>114004</v>
      </c>
      <c r="DK103">
        <f>Source!BB120</f>
        <v>9.3000000000000007</v>
      </c>
      <c r="DL103" t="s">
        <v>6</v>
      </c>
      <c r="DM103">
        <v>0</v>
      </c>
      <c r="DN103" t="s">
        <v>6</v>
      </c>
      <c r="DO103">
        <v>0</v>
      </c>
      <c r="GQ103">
        <v>-1</v>
      </c>
      <c r="GR103">
        <v>-1</v>
      </c>
    </row>
    <row r="104" spans="1:200" x14ac:dyDescent="0.2">
      <c r="A104">
        <f>ROW(Source!A120)</f>
        <v>120</v>
      </c>
      <c r="B104">
        <v>86326988</v>
      </c>
      <c r="C104">
        <v>86327334</v>
      </c>
      <c r="D104">
        <v>27439499</v>
      </c>
      <c r="E104">
        <v>1</v>
      </c>
      <c r="F104">
        <v>1</v>
      </c>
      <c r="G104">
        <v>1</v>
      </c>
      <c r="H104">
        <v>2</v>
      </c>
      <c r="I104" t="s">
        <v>631</v>
      </c>
      <c r="J104" t="s">
        <v>632</v>
      </c>
      <c r="K104" t="s">
        <v>633</v>
      </c>
      <c r="L104">
        <v>1368</v>
      </c>
      <c r="N104">
        <v>1011</v>
      </c>
      <c r="O104" t="s">
        <v>137</v>
      </c>
      <c r="P104" t="s">
        <v>137</v>
      </c>
      <c r="Q104">
        <v>1</v>
      </c>
      <c r="W104">
        <v>0</v>
      </c>
      <c r="X104">
        <v>1890856440</v>
      </c>
      <c r="Y104">
        <f>(AT104*1.12)</f>
        <v>0.49280000000000007</v>
      </c>
      <c r="AA104">
        <v>0</v>
      </c>
      <c r="AB104">
        <v>1047.83</v>
      </c>
      <c r="AC104">
        <v>269.48</v>
      </c>
      <c r="AD104">
        <v>0</v>
      </c>
      <c r="AE104">
        <v>0</v>
      </c>
      <c r="AF104">
        <v>112.67</v>
      </c>
      <c r="AG104">
        <v>13.61</v>
      </c>
      <c r="AH104">
        <v>0</v>
      </c>
      <c r="AI104">
        <v>1</v>
      </c>
      <c r="AJ104">
        <v>9.3000000000000007</v>
      </c>
      <c r="AK104">
        <v>19.8</v>
      </c>
      <c r="AL104">
        <v>1</v>
      </c>
      <c r="AM104">
        <v>5</v>
      </c>
      <c r="AN104">
        <v>0</v>
      </c>
      <c r="AO104">
        <v>1</v>
      </c>
      <c r="AP104">
        <v>1</v>
      </c>
      <c r="AQ104">
        <v>0</v>
      </c>
      <c r="AR104">
        <v>0</v>
      </c>
      <c r="AS104" t="s">
        <v>6</v>
      </c>
      <c r="AT104">
        <v>0.44</v>
      </c>
      <c r="AU104" t="s">
        <v>24</v>
      </c>
      <c r="AV104">
        <v>0</v>
      </c>
      <c r="AW104">
        <v>2</v>
      </c>
      <c r="AX104">
        <v>86327346</v>
      </c>
      <c r="AY104">
        <v>1</v>
      </c>
      <c r="AZ104">
        <v>0</v>
      </c>
      <c r="BA104">
        <v>84</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CV104">
        <v>0</v>
      </c>
      <c r="CW104">
        <f>ROUND(Y104*Source!I120*DO104,9)</f>
        <v>0</v>
      </c>
      <c r="CX104">
        <f>ROUND(Y104*Source!I120,9)</f>
        <v>15.554</v>
      </c>
      <c r="CY104">
        <f>AB104</f>
        <v>1047.83</v>
      </c>
      <c r="CZ104">
        <f>AF104</f>
        <v>112.67</v>
      </c>
      <c r="DA104">
        <f>AJ104</f>
        <v>9.3000000000000007</v>
      </c>
      <c r="DB104">
        <f>ROUND((ROUND(AT104*CZ104,2)*1.12),2)</f>
        <v>55.52</v>
      </c>
      <c r="DC104">
        <f>ROUND((ROUND(AT104*AG104,2)*1.12),2)</f>
        <v>6.71</v>
      </c>
      <c r="DD104" t="s">
        <v>6</v>
      </c>
      <c r="DE104" t="s">
        <v>6</v>
      </c>
      <c r="DF104">
        <f t="shared" si="45"/>
        <v>0</v>
      </c>
      <c r="DG104">
        <f>ROUND(ROUND(AF104*AJ104,0)*CX104,0)</f>
        <v>16301</v>
      </c>
      <c r="DH104">
        <f>Source!I120*SmtRes!Y104</f>
        <v>15.554000000000002</v>
      </c>
      <c r="DI104">
        <f>AB104</f>
        <v>1047.83</v>
      </c>
      <c r="DJ104">
        <f>EtalonRes!Z84</f>
        <v>112.67</v>
      </c>
      <c r="DK104">
        <f>Source!BB120</f>
        <v>9.3000000000000007</v>
      </c>
      <c r="DL104" t="s">
        <v>6</v>
      </c>
      <c r="DM104">
        <v>0</v>
      </c>
      <c r="DN104" t="s">
        <v>6</v>
      </c>
      <c r="DO104">
        <v>0</v>
      </c>
      <c r="GQ104">
        <v>-1</v>
      </c>
      <c r="GR104">
        <v>-1</v>
      </c>
    </row>
    <row r="105" spans="1:200" x14ac:dyDescent="0.2">
      <c r="A105">
        <f>ROW(Source!A120)</f>
        <v>120</v>
      </c>
      <c r="B105">
        <v>86326988</v>
      </c>
      <c r="C105">
        <v>86327334</v>
      </c>
      <c r="D105">
        <v>27439640</v>
      </c>
      <c r="E105">
        <v>1</v>
      </c>
      <c r="F105">
        <v>1</v>
      </c>
      <c r="G105">
        <v>1</v>
      </c>
      <c r="H105">
        <v>2</v>
      </c>
      <c r="I105" t="s">
        <v>634</v>
      </c>
      <c r="J105" t="s">
        <v>635</v>
      </c>
      <c r="K105" t="s">
        <v>636</v>
      </c>
      <c r="L105">
        <v>1368</v>
      </c>
      <c r="N105">
        <v>1011</v>
      </c>
      <c r="O105" t="s">
        <v>137</v>
      </c>
      <c r="P105" t="s">
        <v>137</v>
      </c>
      <c r="Q105">
        <v>1</v>
      </c>
      <c r="W105">
        <v>0</v>
      </c>
      <c r="X105">
        <v>1935701055</v>
      </c>
      <c r="Y105">
        <f>(AT105*1.12)</f>
        <v>1.7920000000000003</v>
      </c>
      <c r="AA105">
        <v>0</v>
      </c>
      <c r="AB105">
        <v>521.73</v>
      </c>
      <c r="AC105">
        <v>269.48</v>
      </c>
      <c r="AD105">
        <v>0</v>
      </c>
      <c r="AE105">
        <v>0</v>
      </c>
      <c r="AF105">
        <v>56.1</v>
      </c>
      <c r="AG105">
        <v>13.61</v>
      </c>
      <c r="AH105">
        <v>0</v>
      </c>
      <c r="AI105">
        <v>1</v>
      </c>
      <c r="AJ105">
        <v>9.3000000000000007</v>
      </c>
      <c r="AK105">
        <v>19.8</v>
      </c>
      <c r="AL105">
        <v>1</v>
      </c>
      <c r="AM105">
        <v>5</v>
      </c>
      <c r="AN105">
        <v>0</v>
      </c>
      <c r="AO105">
        <v>1</v>
      </c>
      <c r="AP105">
        <v>1</v>
      </c>
      <c r="AQ105">
        <v>0</v>
      </c>
      <c r="AR105">
        <v>0</v>
      </c>
      <c r="AS105" t="s">
        <v>6</v>
      </c>
      <c r="AT105">
        <v>1.6</v>
      </c>
      <c r="AU105" t="s">
        <v>24</v>
      </c>
      <c r="AV105">
        <v>0</v>
      </c>
      <c r="AW105">
        <v>2</v>
      </c>
      <c r="AX105">
        <v>86327347</v>
      </c>
      <c r="AY105">
        <v>1</v>
      </c>
      <c r="AZ105">
        <v>0</v>
      </c>
      <c r="BA105">
        <v>85</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CV105">
        <v>0</v>
      </c>
      <c r="CW105">
        <f>ROUND(Y105*Source!I120*DO105,9)</f>
        <v>0</v>
      </c>
      <c r="CX105">
        <f>ROUND(Y105*Source!I120,9)</f>
        <v>56.56</v>
      </c>
      <c r="CY105">
        <f>AB105</f>
        <v>521.73</v>
      </c>
      <c r="CZ105">
        <f>AF105</f>
        <v>56.1</v>
      </c>
      <c r="DA105">
        <f>AJ105</f>
        <v>9.3000000000000007</v>
      </c>
      <c r="DB105">
        <f>ROUND((ROUND(AT105*CZ105,2)*1.12),2)</f>
        <v>100.53</v>
      </c>
      <c r="DC105">
        <f>ROUND((ROUND(AT105*AG105,2)*1.12),2)</f>
        <v>24.39</v>
      </c>
      <c r="DD105" t="s">
        <v>6</v>
      </c>
      <c r="DE105" t="s">
        <v>6</v>
      </c>
      <c r="DF105">
        <f t="shared" si="45"/>
        <v>0</v>
      </c>
      <c r="DG105">
        <f>ROUND(ROUND(AF105*AJ105,0)*CX105,0)</f>
        <v>29524</v>
      </c>
      <c r="DH105">
        <f>Source!I120*SmtRes!Y105</f>
        <v>56.560000000000009</v>
      </c>
      <c r="DI105">
        <f>AB105</f>
        <v>521.73</v>
      </c>
      <c r="DJ105">
        <f>EtalonRes!Z85</f>
        <v>56.1</v>
      </c>
      <c r="DK105">
        <f>Source!BB120</f>
        <v>9.3000000000000007</v>
      </c>
      <c r="DL105" t="s">
        <v>6</v>
      </c>
      <c r="DM105">
        <v>0</v>
      </c>
      <c r="DN105" t="s">
        <v>6</v>
      </c>
      <c r="DO105">
        <v>0</v>
      </c>
      <c r="GQ105">
        <v>-1</v>
      </c>
      <c r="GR105">
        <v>-1</v>
      </c>
    </row>
    <row r="106" spans="1:200" x14ac:dyDescent="0.2">
      <c r="A106">
        <f>ROW(Source!A120)</f>
        <v>120</v>
      </c>
      <c r="B106">
        <v>86326988</v>
      </c>
      <c r="C106">
        <v>86327334</v>
      </c>
      <c r="D106">
        <v>27441327</v>
      </c>
      <c r="E106">
        <v>1</v>
      </c>
      <c r="F106">
        <v>1</v>
      </c>
      <c r="G106">
        <v>1</v>
      </c>
      <c r="H106">
        <v>2</v>
      </c>
      <c r="I106" t="s">
        <v>637</v>
      </c>
      <c r="J106" t="s">
        <v>638</v>
      </c>
      <c r="K106" t="s">
        <v>639</v>
      </c>
      <c r="L106">
        <v>1368</v>
      </c>
      <c r="N106">
        <v>1011</v>
      </c>
      <c r="O106" t="s">
        <v>137</v>
      </c>
      <c r="P106" t="s">
        <v>137</v>
      </c>
      <c r="Q106">
        <v>1</v>
      </c>
      <c r="W106">
        <v>0</v>
      </c>
      <c r="X106">
        <v>-1583389094</v>
      </c>
      <c r="Y106">
        <f>(AT106*1.12)</f>
        <v>0.6160000000000001</v>
      </c>
      <c r="AA106">
        <v>0</v>
      </c>
      <c r="AB106">
        <v>868.34</v>
      </c>
      <c r="AC106">
        <v>231.46</v>
      </c>
      <c r="AD106">
        <v>0</v>
      </c>
      <c r="AE106">
        <v>0</v>
      </c>
      <c r="AF106">
        <v>93.37</v>
      </c>
      <c r="AG106">
        <v>11.69</v>
      </c>
      <c r="AH106">
        <v>0</v>
      </c>
      <c r="AI106">
        <v>1</v>
      </c>
      <c r="AJ106">
        <v>9.3000000000000007</v>
      </c>
      <c r="AK106">
        <v>19.8</v>
      </c>
      <c r="AL106">
        <v>1</v>
      </c>
      <c r="AM106">
        <v>5</v>
      </c>
      <c r="AN106">
        <v>0</v>
      </c>
      <c r="AO106">
        <v>1</v>
      </c>
      <c r="AP106">
        <v>1</v>
      </c>
      <c r="AQ106">
        <v>0</v>
      </c>
      <c r="AR106">
        <v>0</v>
      </c>
      <c r="AS106" t="s">
        <v>6</v>
      </c>
      <c r="AT106">
        <v>0.55000000000000004</v>
      </c>
      <c r="AU106" t="s">
        <v>24</v>
      </c>
      <c r="AV106">
        <v>0</v>
      </c>
      <c r="AW106">
        <v>2</v>
      </c>
      <c r="AX106">
        <v>86327348</v>
      </c>
      <c r="AY106">
        <v>1</v>
      </c>
      <c r="AZ106">
        <v>0</v>
      </c>
      <c r="BA106">
        <v>86</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CV106">
        <v>0</v>
      </c>
      <c r="CW106">
        <f>ROUND(Y106*Source!I120*DO106,9)</f>
        <v>0</v>
      </c>
      <c r="CX106">
        <f>ROUND(Y106*Source!I120,9)</f>
        <v>19.442499999999999</v>
      </c>
      <c r="CY106">
        <f>AB106</f>
        <v>868.34</v>
      </c>
      <c r="CZ106">
        <f>AF106</f>
        <v>93.37</v>
      </c>
      <c r="DA106">
        <f>AJ106</f>
        <v>9.3000000000000007</v>
      </c>
      <c r="DB106">
        <f>ROUND((ROUND(AT106*CZ106,2)*1.12),2)</f>
        <v>57.51</v>
      </c>
      <c r="DC106">
        <f>ROUND((ROUND(AT106*AG106,2)*1.12),2)</f>
        <v>7.2</v>
      </c>
      <c r="DD106" t="s">
        <v>6</v>
      </c>
      <c r="DE106" t="s">
        <v>6</v>
      </c>
      <c r="DF106">
        <f t="shared" si="45"/>
        <v>0</v>
      </c>
      <c r="DG106">
        <f>ROUND(ROUND(AF106*AJ106,0)*CX106,0)</f>
        <v>16876</v>
      </c>
      <c r="DH106">
        <f>Source!I120*SmtRes!Y106</f>
        <v>19.442500000000003</v>
      </c>
      <c r="DI106">
        <f>AB106</f>
        <v>868.34</v>
      </c>
      <c r="DJ106">
        <f>EtalonRes!Z86</f>
        <v>93.37</v>
      </c>
      <c r="DK106">
        <f>Source!BB120</f>
        <v>9.3000000000000007</v>
      </c>
      <c r="DL106" t="s">
        <v>6</v>
      </c>
      <c r="DM106">
        <v>0</v>
      </c>
      <c r="DN106" t="s">
        <v>6</v>
      </c>
      <c r="DO106">
        <v>0</v>
      </c>
      <c r="GQ106">
        <v>-1</v>
      </c>
      <c r="GR106">
        <v>-1</v>
      </c>
    </row>
    <row r="107" spans="1:200" x14ac:dyDescent="0.2">
      <c r="A107">
        <f>ROW(Source!A120)</f>
        <v>120</v>
      </c>
      <c r="B107">
        <v>86326988</v>
      </c>
      <c r="C107">
        <v>86327334</v>
      </c>
      <c r="D107">
        <v>27378580</v>
      </c>
      <c r="E107">
        <v>1</v>
      </c>
      <c r="F107">
        <v>1</v>
      </c>
      <c r="G107">
        <v>1</v>
      </c>
      <c r="H107">
        <v>3</v>
      </c>
      <c r="I107" t="s">
        <v>31</v>
      </c>
      <c r="J107" t="s">
        <v>34</v>
      </c>
      <c r="K107" t="s">
        <v>32</v>
      </c>
      <c r="L107">
        <v>1348</v>
      </c>
      <c r="N107">
        <v>1009</v>
      </c>
      <c r="O107" t="s">
        <v>33</v>
      </c>
      <c r="P107" t="s">
        <v>33</v>
      </c>
      <c r="Q107">
        <v>1000</v>
      </c>
      <c r="W107">
        <v>0</v>
      </c>
      <c r="X107">
        <v>2105756975</v>
      </c>
      <c r="Y107">
        <f>AT107</f>
        <v>2.6499999999999999E-4</v>
      </c>
      <c r="AA107">
        <v>71000</v>
      </c>
      <c r="AB107">
        <v>0</v>
      </c>
      <c r="AC107">
        <v>0</v>
      </c>
      <c r="AD107">
        <v>0</v>
      </c>
      <c r="AE107">
        <v>9962.5300000000007</v>
      </c>
      <c r="AF107">
        <v>0</v>
      </c>
      <c r="AG107">
        <v>0</v>
      </c>
      <c r="AH107">
        <v>0</v>
      </c>
      <c r="AI107">
        <v>7.56</v>
      </c>
      <c r="AJ107">
        <v>1</v>
      </c>
      <c r="AK107">
        <v>1</v>
      </c>
      <c r="AL107">
        <v>1</v>
      </c>
      <c r="AM107">
        <v>0</v>
      </c>
      <c r="AN107">
        <v>0</v>
      </c>
      <c r="AO107">
        <v>0</v>
      </c>
      <c r="AP107">
        <v>1</v>
      </c>
      <c r="AQ107">
        <v>0</v>
      </c>
      <c r="AR107">
        <v>0</v>
      </c>
      <c r="AS107" t="s">
        <v>6</v>
      </c>
      <c r="AT107">
        <v>2.6499999999999999E-4</v>
      </c>
      <c r="AU107" t="s">
        <v>6</v>
      </c>
      <c r="AV107">
        <v>0</v>
      </c>
      <c r="AW107">
        <v>1</v>
      </c>
      <c r="AX107">
        <v>-1</v>
      </c>
      <c r="AY107">
        <v>0</v>
      </c>
      <c r="AZ107">
        <v>0</v>
      </c>
      <c r="BA107" t="s">
        <v>6</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CV107">
        <v>0</v>
      </c>
      <c r="CW107">
        <v>0</v>
      </c>
      <c r="CX107">
        <f>ROUND(Y107*Source!I120,9)</f>
        <v>8.3640629999999997E-3</v>
      </c>
      <c r="CY107">
        <f>AA107</f>
        <v>71000</v>
      </c>
      <c r="CZ107">
        <f>AE107</f>
        <v>9962.5300000000007</v>
      </c>
      <c r="DA107">
        <f>AI107</f>
        <v>7.56</v>
      </c>
      <c r="DB107">
        <f>ROUND(ROUND(AT107*CZ107,2),2)</f>
        <v>2.64</v>
      </c>
      <c r="DC107">
        <f>ROUND(ROUND(AT107*AG107,2),2)</f>
        <v>0</v>
      </c>
      <c r="DD107" t="s">
        <v>6</v>
      </c>
      <c r="DE107" t="s">
        <v>6</v>
      </c>
      <c r="DF107">
        <f>ROUND(ROUND(AE107*AI107,0)*CX107,0)</f>
        <v>630</v>
      </c>
      <c r="DG107">
        <f t="shared" ref="DG107:DG119" si="46">ROUND(ROUND(AF107,0)*CX107,0)</f>
        <v>0</v>
      </c>
      <c r="DH107">
        <f>Source!I120*SmtRes!Y107</f>
        <v>8.3640625E-3</v>
      </c>
      <c r="DI107">
        <f>AA107</f>
        <v>71000</v>
      </c>
      <c r="DJ107">
        <f>DF107</f>
        <v>630</v>
      </c>
      <c r="DK107">
        <f>Source!BC120</f>
        <v>7.56</v>
      </c>
      <c r="DL107" t="s">
        <v>6</v>
      </c>
      <c r="DM107">
        <v>0</v>
      </c>
      <c r="DN107" t="s">
        <v>6</v>
      </c>
      <c r="DO107">
        <v>0</v>
      </c>
      <c r="GP107">
        <v>1</v>
      </c>
      <c r="GQ107">
        <v>-1</v>
      </c>
      <c r="GR107">
        <v>-1</v>
      </c>
    </row>
    <row r="108" spans="1:200" x14ac:dyDescent="0.2">
      <c r="A108">
        <f>ROW(Source!A120)</f>
        <v>120</v>
      </c>
      <c r="B108">
        <v>86326988</v>
      </c>
      <c r="C108">
        <v>86327334</v>
      </c>
      <c r="D108">
        <v>27379786</v>
      </c>
      <c r="E108">
        <v>1</v>
      </c>
      <c r="F108">
        <v>1</v>
      </c>
      <c r="G108">
        <v>1</v>
      </c>
      <c r="H108">
        <v>3</v>
      </c>
      <c r="I108" t="s">
        <v>42</v>
      </c>
      <c r="J108" t="s">
        <v>45</v>
      </c>
      <c r="K108" t="s">
        <v>43</v>
      </c>
      <c r="L108">
        <v>1339</v>
      </c>
      <c r="N108">
        <v>1007</v>
      </c>
      <c r="O108" t="s">
        <v>44</v>
      </c>
      <c r="P108" t="s">
        <v>44</v>
      </c>
      <c r="Q108">
        <v>1</v>
      </c>
      <c r="W108">
        <v>0</v>
      </c>
      <c r="X108">
        <v>703937141</v>
      </c>
      <c r="Y108">
        <f>AT108</f>
        <v>8.9870000000000002E-3</v>
      </c>
      <c r="AA108">
        <v>16666.669999999998</v>
      </c>
      <c r="AB108">
        <v>0</v>
      </c>
      <c r="AC108">
        <v>0</v>
      </c>
      <c r="AD108">
        <v>0</v>
      </c>
      <c r="AE108">
        <v>2338.63</v>
      </c>
      <c r="AF108">
        <v>0</v>
      </c>
      <c r="AG108">
        <v>0</v>
      </c>
      <c r="AH108">
        <v>0</v>
      </c>
      <c r="AI108">
        <v>7.56</v>
      </c>
      <c r="AJ108">
        <v>1</v>
      </c>
      <c r="AK108">
        <v>1</v>
      </c>
      <c r="AL108">
        <v>1</v>
      </c>
      <c r="AM108">
        <v>0</v>
      </c>
      <c r="AN108">
        <v>0</v>
      </c>
      <c r="AO108">
        <v>0</v>
      </c>
      <c r="AP108">
        <v>1</v>
      </c>
      <c r="AQ108">
        <v>0</v>
      </c>
      <c r="AR108">
        <v>0</v>
      </c>
      <c r="AS108" t="s">
        <v>6</v>
      </c>
      <c r="AT108">
        <v>8.9870000000000002E-3</v>
      </c>
      <c r="AU108" t="s">
        <v>6</v>
      </c>
      <c r="AV108">
        <v>0</v>
      </c>
      <c r="AW108">
        <v>2</v>
      </c>
      <c r="AX108">
        <v>86327350</v>
      </c>
      <c r="AY108">
        <v>1</v>
      </c>
      <c r="AZ108">
        <v>22528</v>
      </c>
      <c r="BA108">
        <v>88</v>
      </c>
      <c r="BB108">
        <v>3</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CV108">
        <v>0</v>
      </c>
      <c r="CW108">
        <v>0</v>
      </c>
      <c r="CX108">
        <f>ROUND(Y108*Source!I120,9)</f>
        <v>0.28365218800000003</v>
      </c>
      <c r="CY108">
        <f>AA108</f>
        <v>16666.669999999998</v>
      </c>
      <c r="CZ108">
        <f>AE108</f>
        <v>2338.63</v>
      </c>
      <c r="DA108">
        <f>AI108</f>
        <v>7.56</v>
      </c>
      <c r="DB108">
        <f>ROUND(ROUND(AT108*CZ108,2),2)</f>
        <v>21.02</v>
      </c>
      <c r="DC108">
        <f>ROUND(ROUND(AT108*AG108,2),2)</f>
        <v>0</v>
      </c>
      <c r="DD108" t="s">
        <v>6</v>
      </c>
      <c r="DE108" t="s">
        <v>6</v>
      </c>
      <c r="DF108">
        <f>ROUND(ROUND(AE108*AI108,0)*CX108,0)</f>
        <v>5015</v>
      </c>
      <c r="DG108">
        <f t="shared" si="46"/>
        <v>0</v>
      </c>
      <c r="DH108">
        <f>Source!I120*SmtRes!Y108</f>
        <v>0.28365218749999999</v>
      </c>
      <c r="DI108">
        <f>AA108</f>
        <v>16666.669999999998</v>
      </c>
      <c r="DJ108">
        <f>EtalonRes!Y88</f>
        <v>1100</v>
      </c>
      <c r="DK108">
        <f>Source!BC120</f>
        <v>7.56</v>
      </c>
      <c r="DL108" t="s">
        <v>6</v>
      </c>
      <c r="DM108">
        <v>0</v>
      </c>
      <c r="DN108" t="s">
        <v>6</v>
      </c>
      <c r="DO108">
        <v>0</v>
      </c>
      <c r="GP108">
        <v>1</v>
      </c>
      <c r="GQ108">
        <v>-1</v>
      </c>
      <c r="GR108">
        <v>-1</v>
      </c>
    </row>
    <row r="109" spans="1:200" x14ac:dyDescent="0.2">
      <c r="A109">
        <f>ROW(Source!A125)</f>
        <v>125</v>
      </c>
      <c r="B109">
        <v>86326987</v>
      </c>
      <c r="C109">
        <v>86327353</v>
      </c>
      <c r="D109">
        <v>27493207</v>
      </c>
      <c r="E109">
        <v>1</v>
      </c>
      <c r="F109">
        <v>1</v>
      </c>
      <c r="G109">
        <v>1</v>
      </c>
      <c r="H109">
        <v>1</v>
      </c>
      <c r="I109" t="s">
        <v>623</v>
      </c>
      <c r="J109" t="s">
        <v>6</v>
      </c>
      <c r="K109" t="s">
        <v>624</v>
      </c>
      <c r="L109">
        <v>1369</v>
      </c>
      <c r="N109">
        <v>1013</v>
      </c>
      <c r="O109" t="s">
        <v>625</v>
      </c>
      <c r="P109" t="s">
        <v>625</v>
      </c>
      <c r="Q109">
        <v>1</v>
      </c>
      <c r="W109">
        <v>0</v>
      </c>
      <c r="X109">
        <v>-1900352537</v>
      </c>
      <c r="Y109">
        <f>(AT109*1.05*0.75)</f>
        <v>13.080375</v>
      </c>
      <c r="AA109">
        <v>0</v>
      </c>
      <c r="AB109">
        <v>0</v>
      </c>
      <c r="AC109">
        <v>0</v>
      </c>
      <c r="AD109">
        <v>7.87</v>
      </c>
      <c r="AE109">
        <v>0</v>
      </c>
      <c r="AF109">
        <v>0</v>
      </c>
      <c r="AG109">
        <v>0</v>
      </c>
      <c r="AH109">
        <v>7.87</v>
      </c>
      <c r="AI109">
        <v>1</v>
      </c>
      <c r="AJ109">
        <v>1</v>
      </c>
      <c r="AK109">
        <v>1</v>
      </c>
      <c r="AL109">
        <v>1</v>
      </c>
      <c r="AM109">
        <v>0</v>
      </c>
      <c r="AN109">
        <v>0</v>
      </c>
      <c r="AO109">
        <v>1</v>
      </c>
      <c r="AP109">
        <v>1</v>
      </c>
      <c r="AQ109">
        <v>0</v>
      </c>
      <c r="AR109">
        <v>0</v>
      </c>
      <c r="AS109" t="s">
        <v>6</v>
      </c>
      <c r="AT109">
        <v>16.61</v>
      </c>
      <c r="AU109" t="s">
        <v>204</v>
      </c>
      <c r="AV109">
        <v>1</v>
      </c>
      <c r="AW109">
        <v>2</v>
      </c>
      <c r="AX109">
        <v>86327363</v>
      </c>
      <c r="AY109">
        <v>1</v>
      </c>
      <c r="AZ109">
        <v>0</v>
      </c>
      <c r="BA109">
        <v>89</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CU109">
        <f>ROUND(AT109*Source!I125*AH109*AL109,0)</f>
        <v>1213</v>
      </c>
      <c r="CV109">
        <f>ROUND(Y109*Source!I125,9)</f>
        <v>121.38588</v>
      </c>
      <c r="CW109">
        <v>0</v>
      </c>
      <c r="CX109">
        <f>ROUND(Y109*Source!I125,9)</f>
        <v>121.38588</v>
      </c>
      <c r="CY109">
        <f>AD109</f>
        <v>7.87</v>
      </c>
      <c r="CZ109">
        <f>AH109</f>
        <v>7.87</v>
      </c>
      <c r="DA109">
        <f>AL109</f>
        <v>1</v>
      </c>
      <c r="DB109">
        <f>ROUND((ROUND(AT109*CZ109,2)*1.05*0.75),2)</f>
        <v>102.94</v>
      </c>
      <c r="DC109">
        <f>ROUND((ROUND(AT109*AG109,2)*1.05*0.75),2)</f>
        <v>0</v>
      </c>
      <c r="DD109" t="s">
        <v>6</v>
      </c>
      <c r="DE109" t="s">
        <v>6</v>
      </c>
      <c r="DF109">
        <f t="shared" ref="DF109:DF123" si="47">ROUND(ROUND(AE109,0)*CX109,0)</f>
        <v>0</v>
      </c>
      <c r="DG109">
        <f t="shared" si="46"/>
        <v>0</v>
      </c>
      <c r="DH109">
        <f>Source!I125*SmtRes!Y109</f>
        <v>121.38587999999999</v>
      </c>
      <c r="DI109">
        <f>AD109</f>
        <v>7.87</v>
      </c>
      <c r="DJ109">
        <f>EtalonRes!AB89</f>
        <v>7.87</v>
      </c>
      <c r="DK109">
        <f>Source!BA125</f>
        <v>1</v>
      </c>
      <c r="DL109" t="s">
        <v>6</v>
      </c>
      <c r="DM109">
        <v>0</v>
      </c>
      <c r="DN109" t="s">
        <v>6</v>
      </c>
      <c r="DO109">
        <v>0</v>
      </c>
      <c r="GQ109">
        <v>-1</v>
      </c>
      <c r="GR109">
        <v>-1</v>
      </c>
    </row>
    <row r="110" spans="1:200" x14ac:dyDescent="0.2">
      <c r="A110">
        <f>ROW(Source!A125)</f>
        <v>125</v>
      </c>
      <c r="B110">
        <v>86326987</v>
      </c>
      <c r="C110">
        <v>86327353</v>
      </c>
      <c r="D110">
        <v>121548</v>
      </c>
      <c r="E110">
        <v>1</v>
      </c>
      <c r="F110">
        <v>1</v>
      </c>
      <c r="G110">
        <v>1</v>
      </c>
      <c r="H110">
        <v>1</v>
      </c>
      <c r="I110" t="s">
        <v>40</v>
      </c>
      <c r="J110" t="s">
        <v>6</v>
      </c>
      <c r="K110" t="s">
        <v>626</v>
      </c>
      <c r="L110">
        <v>608254</v>
      </c>
      <c r="N110">
        <v>1013</v>
      </c>
      <c r="O110" t="s">
        <v>627</v>
      </c>
      <c r="P110" t="s">
        <v>627</v>
      </c>
      <c r="Q110">
        <v>1</v>
      </c>
      <c r="W110">
        <v>0</v>
      </c>
      <c r="X110">
        <v>-185737400</v>
      </c>
      <c r="Y110">
        <f>(AT110*1.12*0.8)</f>
        <v>4.5158400000000007</v>
      </c>
      <c r="AA110">
        <v>0</v>
      </c>
      <c r="AB110">
        <v>0</v>
      </c>
      <c r="AC110">
        <v>0</v>
      </c>
      <c r="AD110">
        <v>0</v>
      </c>
      <c r="AE110">
        <v>0</v>
      </c>
      <c r="AF110">
        <v>0</v>
      </c>
      <c r="AG110">
        <v>0</v>
      </c>
      <c r="AH110">
        <v>0</v>
      </c>
      <c r="AI110">
        <v>1</v>
      </c>
      <c r="AJ110">
        <v>1</v>
      </c>
      <c r="AK110">
        <v>1</v>
      </c>
      <c r="AL110">
        <v>1</v>
      </c>
      <c r="AM110">
        <v>0</v>
      </c>
      <c r="AN110">
        <v>0</v>
      </c>
      <c r="AO110">
        <v>1</v>
      </c>
      <c r="AP110">
        <v>1</v>
      </c>
      <c r="AQ110">
        <v>0</v>
      </c>
      <c r="AR110">
        <v>0</v>
      </c>
      <c r="AS110" t="s">
        <v>6</v>
      </c>
      <c r="AT110">
        <v>5.04</v>
      </c>
      <c r="AU110" t="s">
        <v>203</v>
      </c>
      <c r="AV110">
        <v>2</v>
      </c>
      <c r="AW110">
        <v>2</v>
      </c>
      <c r="AX110">
        <v>86327364</v>
      </c>
      <c r="AY110">
        <v>1</v>
      </c>
      <c r="AZ110">
        <v>0</v>
      </c>
      <c r="BA110">
        <v>90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CV110">
        <v>0</v>
      </c>
      <c r="CW110">
        <v>0</v>
      </c>
      <c r="CX110">
        <f>ROUND(Y110*Source!I125,9)</f>
        <v>41.906995199999997</v>
      </c>
      <c r="CY110">
        <f>AD110</f>
        <v>0</v>
      </c>
      <c r="CZ110">
        <f>AH110</f>
        <v>0</v>
      </c>
      <c r="DA110">
        <f>AL110</f>
        <v>1</v>
      </c>
      <c r="DB110">
        <f>ROUND((ROUND(AT110*CZ110,2)*1.12*0.8),2)</f>
        <v>0</v>
      </c>
      <c r="DC110">
        <f>ROUND((ROUND(AT110*AG110,2)*1.12*0.8),2)</f>
        <v>0</v>
      </c>
      <c r="DD110" t="s">
        <v>6</v>
      </c>
      <c r="DE110" t="s">
        <v>6</v>
      </c>
      <c r="DF110">
        <f t="shared" si="47"/>
        <v>0</v>
      </c>
      <c r="DG110">
        <f t="shared" si="46"/>
        <v>0</v>
      </c>
      <c r="DH110">
        <f>Source!I125*SmtRes!Y110</f>
        <v>41.906995200000004</v>
      </c>
      <c r="DI110">
        <f>AD110</f>
        <v>0</v>
      </c>
      <c r="DJ110">
        <f>EtalonRes!AB90</f>
        <v>0</v>
      </c>
      <c r="DK110">
        <f>Source!BA125</f>
        <v>1</v>
      </c>
      <c r="DL110" t="s">
        <v>6</v>
      </c>
      <c r="DM110">
        <v>0</v>
      </c>
      <c r="DN110" t="s">
        <v>6</v>
      </c>
      <c r="DO110">
        <v>0</v>
      </c>
      <c r="GQ110">
        <v>-1</v>
      </c>
      <c r="GR110">
        <v>-1</v>
      </c>
    </row>
    <row r="111" spans="1:200" x14ac:dyDescent="0.2">
      <c r="A111">
        <f>ROW(Source!A125)</f>
        <v>125</v>
      </c>
      <c r="B111">
        <v>86326987</v>
      </c>
      <c r="C111">
        <v>86327353</v>
      </c>
      <c r="D111">
        <v>27439419</v>
      </c>
      <c r="E111">
        <v>1</v>
      </c>
      <c r="F111">
        <v>1</v>
      </c>
      <c r="G111">
        <v>1</v>
      </c>
      <c r="H111">
        <v>2</v>
      </c>
      <c r="I111" t="s">
        <v>628</v>
      </c>
      <c r="J111" t="s">
        <v>629</v>
      </c>
      <c r="K111" t="s">
        <v>630</v>
      </c>
      <c r="L111">
        <v>1368</v>
      </c>
      <c r="N111">
        <v>1011</v>
      </c>
      <c r="O111" t="s">
        <v>137</v>
      </c>
      <c r="P111" t="s">
        <v>137</v>
      </c>
      <c r="Q111">
        <v>1</v>
      </c>
      <c r="W111">
        <v>0</v>
      </c>
      <c r="X111">
        <v>1804162481</v>
      </c>
      <c r="Y111">
        <f>(AT111*1.12*0.8)</f>
        <v>2.6880000000000006</v>
      </c>
      <c r="AA111">
        <v>0</v>
      </c>
      <c r="AB111">
        <v>115.64</v>
      </c>
      <c r="AC111">
        <v>13.61</v>
      </c>
      <c r="AD111">
        <v>0</v>
      </c>
      <c r="AE111">
        <v>0</v>
      </c>
      <c r="AF111">
        <v>115.64</v>
      </c>
      <c r="AG111">
        <v>13.61</v>
      </c>
      <c r="AH111">
        <v>0</v>
      </c>
      <c r="AI111">
        <v>1</v>
      </c>
      <c r="AJ111">
        <v>1</v>
      </c>
      <c r="AK111">
        <v>1</v>
      </c>
      <c r="AL111">
        <v>1</v>
      </c>
      <c r="AM111">
        <v>0</v>
      </c>
      <c r="AN111">
        <v>0</v>
      </c>
      <c r="AO111">
        <v>1</v>
      </c>
      <c r="AP111">
        <v>1</v>
      </c>
      <c r="AQ111">
        <v>0</v>
      </c>
      <c r="AR111">
        <v>0</v>
      </c>
      <c r="AS111" t="s">
        <v>6</v>
      </c>
      <c r="AT111">
        <v>3</v>
      </c>
      <c r="AU111" t="s">
        <v>203</v>
      </c>
      <c r="AV111">
        <v>0</v>
      </c>
      <c r="AW111">
        <v>1</v>
      </c>
      <c r="AX111">
        <v>-1</v>
      </c>
      <c r="AY111">
        <v>0</v>
      </c>
      <c r="AZ111">
        <v>0</v>
      </c>
      <c r="BA111" t="s">
        <v>6</v>
      </c>
      <c r="BB111">
        <v>5</v>
      </c>
      <c r="BC111">
        <v>0</v>
      </c>
      <c r="BD111">
        <v>310.84032000000008</v>
      </c>
      <c r="BE111">
        <v>36.583680000000008</v>
      </c>
      <c r="BF111">
        <v>0</v>
      </c>
      <c r="BG111">
        <v>0</v>
      </c>
      <c r="BH111">
        <v>0</v>
      </c>
      <c r="BI111">
        <v>1</v>
      </c>
      <c r="BJ111">
        <v>0</v>
      </c>
      <c r="BK111">
        <v>0</v>
      </c>
      <c r="BL111">
        <v>0</v>
      </c>
      <c r="BM111">
        <v>0</v>
      </c>
      <c r="BN111">
        <v>0</v>
      </c>
      <c r="BO111">
        <v>0</v>
      </c>
      <c r="BP111">
        <v>0</v>
      </c>
      <c r="BQ111">
        <v>0</v>
      </c>
      <c r="BR111">
        <v>0</v>
      </c>
      <c r="BS111">
        <v>0</v>
      </c>
      <c r="BT111">
        <v>0</v>
      </c>
      <c r="BU111">
        <v>0</v>
      </c>
      <c r="BV111">
        <v>0</v>
      </c>
      <c r="BW111">
        <v>0</v>
      </c>
      <c r="CV111">
        <v>0</v>
      </c>
      <c r="CW111">
        <f>ROUND(Y111*Source!I125*DO111,9)</f>
        <v>0</v>
      </c>
      <c r="CX111">
        <f>ROUND(Y111*Source!I125,9)</f>
        <v>24.94464</v>
      </c>
      <c r="CY111">
        <f>AB111</f>
        <v>115.64</v>
      </c>
      <c r="CZ111">
        <f>AF111</f>
        <v>115.64</v>
      </c>
      <c r="DA111">
        <f>AJ111</f>
        <v>1</v>
      </c>
      <c r="DB111">
        <f>ROUND((ROUND(AT111*CZ111,2)*1.12*0.8),2)</f>
        <v>310.83999999999997</v>
      </c>
      <c r="DC111">
        <f>ROUND((ROUND(AT111*AG111,2)*1.12*0.8),2)</f>
        <v>36.58</v>
      </c>
      <c r="DD111" t="s">
        <v>6</v>
      </c>
      <c r="DE111" t="s">
        <v>6</v>
      </c>
      <c r="DF111">
        <f t="shared" si="47"/>
        <v>0</v>
      </c>
      <c r="DG111">
        <f t="shared" si="46"/>
        <v>2894</v>
      </c>
      <c r="DH111">
        <f>Source!I125*SmtRes!Y111</f>
        <v>24.944640000000003</v>
      </c>
      <c r="DI111">
        <f>AB111</f>
        <v>115.64</v>
      </c>
      <c r="DJ111">
        <f>DG111</f>
        <v>2894</v>
      </c>
      <c r="DK111">
        <f>Source!BB125</f>
        <v>1</v>
      </c>
      <c r="DL111" t="s">
        <v>6</v>
      </c>
      <c r="DM111">
        <v>0</v>
      </c>
      <c r="DN111" t="s">
        <v>6</v>
      </c>
      <c r="DO111">
        <v>0</v>
      </c>
      <c r="GQ111">
        <v>-1</v>
      </c>
      <c r="GR111">
        <v>-1</v>
      </c>
    </row>
    <row r="112" spans="1:200" x14ac:dyDescent="0.2">
      <c r="A112">
        <f>ROW(Source!A125)</f>
        <v>125</v>
      </c>
      <c r="B112">
        <v>86326987</v>
      </c>
      <c r="C112">
        <v>86327353</v>
      </c>
      <c r="D112">
        <v>27439499</v>
      </c>
      <c r="E112">
        <v>1</v>
      </c>
      <c r="F112">
        <v>1</v>
      </c>
      <c r="G112">
        <v>1</v>
      </c>
      <c r="H112">
        <v>2</v>
      </c>
      <c r="I112" t="s">
        <v>631</v>
      </c>
      <c r="J112" t="s">
        <v>632</v>
      </c>
      <c r="K112" t="s">
        <v>633</v>
      </c>
      <c r="L112">
        <v>1368</v>
      </c>
      <c r="N112">
        <v>1011</v>
      </c>
      <c r="O112" t="s">
        <v>137</v>
      </c>
      <c r="P112" t="s">
        <v>137</v>
      </c>
      <c r="Q112">
        <v>1</v>
      </c>
      <c r="W112">
        <v>0</v>
      </c>
      <c r="X112">
        <v>1890856440</v>
      </c>
      <c r="Y112">
        <f>(AT112*1.12*0.8)</f>
        <v>0.39424000000000009</v>
      </c>
      <c r="AA112">
        <v>0</v>
      </c>
      <c r="AB112">
        <v>112.67</v>
      </c>
      <c r="AC112">
        <v>13.61</v>
      </c>
      <c r="AD112">
        <v>0</v>
      </c>
      <c r="AE112">
        <v>0</v>
      </c>
      <c r="AF112">
        <v>112.67</v>
      </c>
      <c r="AG112">
        <v>13.61</v>
      </c>
      <c r="AH112">
        <v>0</v>
      </c>
      <c r="AI112">
        <v>1</v>
      </c>
      <c r="AJ112">
        <v>1</v>
      </c>
      <c r="AK112">
        <v>1</v>
      </c>
      <c r="AL112">
        <v>1</v>
      </c>
      <c r="AM112">
        <v>0</v>
      </c>
      <c r="AN112">
        <v>0</v>
      </c>
      <c r="AO112">
        <v>1</v>
      </c>
      <c r="AP112">
        <v>1</v>
      </c>
      <c r="AQ112">
        <v>0</v>
      </c>
      <c r="AR112">
        <v>0</v>
      </c>
      <c r="AS112" t="s">
        <v>6</v>
      </c>
      <c r="AT112">
        <v>0.44</v>
      </c>
      <c r="AU112" t="s">
        <v>203</v>
      </c>
      <c r="AV112">
        <v>0</v>
      </c>
      <c r="AW112">
        <v>2</v>
      </c>
      <c r="AX112">
        <v>86327366</v>
      </c>
      <c r="AY112">
        <v>1</v>
      </c>
      <c r="AZ112">
        <v>0</v>
      </c>
      <c r="BA112">
        <v>92</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CV112">
        <v>0</v>
      </c>
      <c r="CW112">
        <f>ROUND(Y112*Source!I125*DO112,9)</f>
        <v>0</v>
      </c>
      <c r="CX112">
        <f>ROUND(Y112*Source!I125,9)</f>
        <v>3.6585472000000001</v>
      </c>
      <c r="CY112">
        <f>AB112</f>
        <v>112.67</v>
      </c>
      <c r="CZ112">
        <f>AF112</f>
        <v>112.67</v>
      </c>
      <c r="DA112">
        <f>AJ112</f>
        <v>1</v>
      </c>
      <c r="DB112">
        <f>ROUND((ROUND(AT112*CZ112,2)*1.12*0.8),2)</f>
        <v>44.41</v>
      </c>
      <c r="DC112">
        <f>ROUND((ROUND(AT112*AG112,2)*1.12*0.8),2)</f>
        <v>5.37</v>
      </c>
      <c r="DD112" t="s">
        <v>6</v>
      </c>
      <c r="DE112" t="s">
        <v>6</v>
      </c>
      <c r="DF112">
        <f t="shared" si="47"/>
        <v>0</v>
      </c>
      <c r="DG112">
        <f t="shared" si="46"/>
        <v>413</v>
      </c>
      <c r="DH112">
        <f>Source!I125*SmtRes!Y112</f>
        <v>3.6585472000000006</v>
      </c>
      <c r="DI112">
        <f>AB112</f>
        <v>112.67</v>
      </c>
      <c r="DJ112">
        <f>EtalonRes!Z92</f>
        <v>112.67</v>
      </c>
      <c r="DK112">
        <f>Source!BB125</f>
        <v>1</v>
      </c>
      <c r="DL112" t="s">
        <v>6</v>
      </c>
      <c r="DM112">
        <v>0</v>
      </c>
      <c r="DN112" t="s">
        <v>6</v>
      </c>
      <c r="DO112">
        <v>0</v>
      </c>
      <c r="GQ112">
        <v>-1</v>
      </c>
      <c r="GR112">
        <v>-1</v>
      </c>
    </row>
    <row r="113" spans="1:200" x14ac:dyDescent="0.2">
      <c r="A113">
        <f>ROW(Source!A125)</f>
        <v>125</v>
      </c>
      <c r="B113">
        <v>86326987</v>
      </c>
      <c r="C113">
        <v>86327353</v>
      </c>
      <c r="D113">
        <v>27439640</v>
      </c>
      <c r="E113">
        <v>1</v>
      </c>
      <c r="F113">
        <v>1</v>
      </c>
      <c r="G113">
        <v>1</v>
      </c>
      <c r="H113">
        <v>2</v>
      </c>
      <c r="I113" t="s">
        <v>634</v>
      </c>
      <c r="J113" t="s">
        <v>635</v>
      </c>
      <c r="K113" t="s">
        <v>636</v>
      </c>
      <c r="L113">
        <v>1368</v>
      </c>
      <c r="N113">
        <v>1011</v>
      </c>
      <c r="O113" t="s">
        <v>137</v>
      </c>
      <c r="P113" t="s">
        <v>137</v>
      </c>
      <c r="Q113">
        <v>1</v>
      </c>
      <c r="W113">
        <v>0</v>
      </c>
      <c r="X113">
        <v>1935701055</v>
      </c>
      <c r="Y113">
        <f>(AT113*1.12*0.8)</f>
        <v>1.4336000000000002</v>
      </c>
      <c r="AA113">
        <v>0</v>
      </c>
      <c r="AB113">
        <v>56.1</v>
      </c>
      <c r="AC113">
        <v>13.61</v>
      </c>
      <c r="AD113">
        <v>0</v>
      </c>
      <c r="AE113">
        <v>0</v>
      </c>
      <c r="AF113">
        <v>56.1</v>
      </c>
      <c r="AG113">
        <v>13.61</v>
      </c>
      <c r="AH113">
        <v>0</v>
      </c>
      <c r="AI113">
        <v>1</v>
      </c>
      <c r="AJ113">
        <v>1</v>
      </c>
      <c r="AK113">
        <v>1</v>
      </c>
      <c r="AL113">
        <v>1</v>
      </c>
      <c r="AM113">
        <v>0</v>
      </c>
      <c r="AN113">
        <v>0</v>
      </c>
      <c r="AO113">
        <v>1</v>
      </c>
      <c r="AP113">
        <v>1</v>
      </c>
      <c r="AQ113">
        <v>0</v>
      </c>
      <c r="AR113">
        <v>0</v>
      </c>
      <c r="AS113" t="s">
        <v>6</v>
      </c>
      <c r="AT113">
        <v>1.6</v>
      </c>
      <c r="AU113" t="s">
        <v>203</v>
      </c>
      <c r="AV113">
        <v>0</v>
      </c>
      <c r="AW113">
        <v>2</v>
      </c>
      <c r="AX113">
        <v>86327367</v>
      </c>
      <c r="AY113">
        <v>1</v>
      </c>
      <c r="AZ113">
        <v>0</v>
      </c>
      <c r="BA113">
        <v>93</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CV113">
        <v>0</v>
      </c>
      <c r="CW113">
        <f>ROUND(Y113*Source!I125*DO113,9)</f>
        <v>0</v>
      </c>
      <c r="CX113">
        <f>ROUND(Y113*Source!I125,9)</f>
        <v>13.303808</v>
      </c>
      <c r="CY113">
        <f>AB113</f>
        <v>56.1</v>
      </c>
      <c r="CZ113">
        <f>AF113</f>
        <v>56.1</v>
      </c>
      <c r="DA113">
        <f>AJ113</f>
        <v>1</v>
      </c>
      <c r="DB113">
        <f>ROUND((ROUND(AT113*CZ113,2)*1.12*0.8),2)</f>
        <v>80.42</v>
      </c>
      <c r="DC113">
        <f>ROUND((ROUND(AT113*AG113,2)*1.12*0.8),2)</f>
        <v>19.510000000000002</v>
      </c>
      <c r="DD113" t="s">
        <v>6</v>
      </c>
      <c r="DE113" t="s">
        <v>6</v>
      </c>
      <c r="DF113">
        <f t="shared" si="47"/>
        <v>0</v>
      </c>
      <c r="DG113">
        <f t="shared" si="46"/>
        <v>745</v>
      </c>
      <c r="DH113">
        <f>Source!I125*SmtRes!Y113</f>
        <v>13.303808000000002</v>
      </c>
      <c r="DI113">
        <f>AB113</f>
        <v>56.1</v>
      </c>
      <c r="DJ113">
        <f>EtalonRes!Z93</f>
        <v>56.1</v>
      </c>
      <c r="DK113">
        <f>Source!BB125</f>
        <v>1</v>
      </c>
      <c r="DL113" t="s">
        <v>6</v>
      </c>
      <c r="DM113">
        <v>0</v>
      </c>
      <c r="DN113" t="s">
        <v>6</v>
      </c>
      <c r="DO113">
        <v>0</v>
      </c>
      <c r="GQ113">
        <v>-1</v>
      </c>
      <c r="GR113">
        <v>-1</v>
      </c>
    </row>
    <row r="114" spans="1:200" x14ac:dyDescent="0.2">
      <c r="A114">
        <f>ROW(Source!A125)</f>
        <v>125</v>
      </c>
      <c r="B114">
        <v>86326987</v>
      </c>
      <c r="C114">
        <v>86327353</v>
      </c>
      <c r="D114">
        <v>27441327</v>
      </c>
      <c r="E114">
        <v>1</v>
      </c>
      <c r="F114">
        <v>1</v>
      </c>
      <c r="G114">
        <v>1</v>
      </c>
      <c r="H114">
        <v>2</v>
      </c>
      <c r="I114" t="s">
        <v>637</v>
      </c>
      <c r="J114" t="s">
        <v>638</v>
      </c>
      <c r="K114" t="s">
        <v>639</v>
      </c>
      <c r="L114">
        <v>1368</v>
      </c>
      <c r="N114">
        <v>1011</v>
      </c>
      <c r="O114" t="s">
        <v>137</v>
      </c>
      <c r="P114" t="s">
        <v>137</v>
      </c>
      <c r="Q114">
        <v>1</v>
      </c>
      <c r="W114">
        <v>0</v>
      </c>
      <c r="X114">
        <v>-1583389094</v>
      </c>
      <c r="Y114">
        <f>(AT114*1.12*0.8)</f>
        <v>0.49280000000000013</v>
      </c>
      <c r="AA114">
        <v>0</v>
      </c>
      <c r="AB114">
        <v>93.37</v>
      </c>
      <c r="AC114">
        <v>11.69</v>
      </c>
      <c r="AD114">
        <v>0</v>
      </c>
      <c r="AE114">
        <v>0</v>
      </c>
      <c r="AF114">
        <v>93.37</v>
      </c>
      <c r="AG114">
        <v>11.69</v>
      </c>
      <c r="AH114">
        <v>0</v>
      </c>
      <c r="AI114">
        <v>1</v>
      </c>
      <c r="AJ114">
        <v>1</v>
      </c>
      <c r="AK114">
        <v>1</v>
      </c>
      <c r="AL114">
        <v>1</v>
      </c>
      <c r="AM114">
        <v>0</v>
      </c>
      <c r="AN114">
        <v>0</v>
      </c>
      <c r="AO114">
        <v>1</v>
      </c>
      <c r="AP114">
        <v>1</v>
      </c>
      <c r="AQ114">
        <v>0</v>
      </c>
      <c r="AR114">
        <v>0</v>
      </c>
      <c r="AS114" t="s">
        <v>6</v>
      </c>
      <c r="AT114">
        <v>0.55000000000000004</v>
      </c>
      <c r="AU114" t="s">
        <v>203</v>
      </c>
      <c r="AV114">
        <v>0</v>
      </c>
      <c r="AW114">
        <v>2</v>
      </c>
      <c r="AX114">
        <v>86327368</v>
      </c>
      <c r="AY114">
        <v>1</v>
      </c>
      <c r="AZ114">
        <v>0</v>
      </c>
      <c r="BA114">
        <v>94</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CV114">
        <v>0</v>
      </c>
      <c r="CW114">
        <f>ROUND(Y114*Source!I125*DO114,9)</f>
        <v>0</v>
      </c>
      <c r="CX114">
        <f>ROUND(Y114*Source!I125,9)</f>
        <v>4.5731840000000004</v>
      </c>
      <c r="CY114">
        <f>AB114</f>
        <v>93.37</v>
      </c>
      <c r="CZ114">
        <f>AF114</f>
        <v>93.37</v>
      </c>
      <c r="DA114">
        <f>AJ114</f>
        <v>1</v>
      </c>
      <c r="DB114">
        <f>ROUND((ROUND(AT114*CZ114,2)*1.12*0.8),2)</f>
        <v>46.01</v>
      </c>
      <c r="DC114">
        <f>ROUND((ROUND(AT114*AG114,2)*1.12*0.8),2)</f>
        <v>5.76</v>
      </c>
      <c r="DD114" t="s">
        <v>6</v>
      </c>
      <c r="DE114" t="s">
        <v>6</v>
      </c>
      <c r="DF114">
        <f t="shared" si="47"/>
        <v>0</v>
      </c>
      <c r="DG114">
        <f t="shared" si="46"/>
        <v>425</v>
      </c>
      <c r="DH114">
        <f>Source!I125*SmtRes!Y114</f>
        <v>4.5731840000000012</v>
      </c>
      <c r="DI114">
        <f>AB114</f>
        <v>93.37</v>
      </c>
      <c r="DJ114">
        <f>EtalonRes!Z94</f>
        <v>93.37</v>
      </c>
      <c r="DK114">
        <f>Source!BB125</f>
        <v>1</v>
      </c>
      <c r="DL114" t="s">
        <v>6</v>
      </c>
      <c r="DM114">
        <v>0</v>
      </c>
      <c r="DN114" t="s">
        <v>6</v>
      </c>
      <c r="DO114">
        <v>0</v>
      </c>
      <c r="GQ114">
        <v>-1</v>
      </c>
      <c r="GR114">
        <v>-1</v>
      </c>
    </row>
    <row r="115" spans="1:200" x14ac:dyDescent="0.2">
      <c r="A115">
        <f>ROW(Source!A125)</f>
        <v>125</v>
      </c>
      <c r="B115">
        <v>86326987</v>
      </c>
      <c r="C115">
        <v>86327353</v>
      </c>
      <c r="D115">
        <v>27378696</v>
      </c>
      <c r="E115">
        <v>1</v>
      </c>
      <c r="F115">
        <v>1</v>
      </c>
      <c r="G115">
        <v>1</v>
      </c>
      <c r="H115">
        <v>3</v>
      </c>
      <c r="I115" t="s">
        <v>206</v>
      </c>
      <c r="J115" t="s">
        <v>209</v>
      </c>
      <c r="K115" t="s">
        <v>207</v>
      </c>
      <c r="L115">
        <v>1358</v>
      </c>
      <c r="N115">
        <v>1010</v>
      </c>
      <c r="O115" t="s">
        <v>208</v>
      </c>
      <c r="P115" t="s">
        <v>208</v>
      </c>
      <c r="Q115">
        <v>10</v>
      </c>
      <c r="W115">
        <v>0</v>
      </c>
      <c r="X115">
        <v>1676310766</v>
      </c>
      <c r="Y115">
        <f>AT115</f>
        <v>5</v>
      </c>
      <c r="AA115">
        <v>6.26</v>
      </c>
      <c r="AB115">
        <v>0</v>
      </c>
      <c r="AC115">
        <v>0</v>
      </c>
      <c r="AD115">
        <v>0</v>
      </c>
      <c r="AE115">
        <v>6.26</v>
      </c>
      <c r="AF115">
        <v>0</v>
      </c>
      <c r="AG115">
        <v>0</v>
      </c>
      <c r="AH115">
        <v>0</v>
      </c>
      <c r="AI115">
        <v>1</v>
      </c>
      <c r="AJ115">
        <v>1</v>
      </c>
      <c r="AK115">
        <v>1</v>
      </c>
      <c r="AL115">
        <v>1</v>
      </c>
      <c r="AM115">
        <v>0</v>
      </c>
      <c r="AN115">
        <v>0</v>
      </c>
      <c r="AO115">
        <v>0</v>
      </c>
      <c r="AP115">
        <v>1</v>
      </c>
      <c r="AQ115">
        <v>0</v>
      </c>
      <c r="AR115">
        <v>0</v>
      </c>
      <c r="AS115" t="s">
        <v>6</v>
      </c>
      <c r="AT115">
        <v>5</v>
      </c>
      <c r="AU115" t="s">
        <v>6</v>
      </c>
      <c r="AV115">
        <v>0</v>
      </c>
      <c r="AW115">
        <v>1</v>
      </c>
      <c r="AX115">
        <v>-1</v>
      </c>
      <c r="AY115">
        <v>0</v>
      </c>
      <c r="AZ115">
        <v>0</v>
      </c>
      <c r="BA115" t="s">
        <v>6</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CV115">
        <v>0</v>
      </c>
      <c r="CW115">
        <v>0</v>
      </c>
      <c r="CX115">
        <f>ROUND(Y115*Source!I125,9)</f>
        <v>46.4</v>
      </c>
      <c r="CY115">
        <f>AA115</f>
        <v>6.26</v>
      </c>
      <c r="CZ115">
        <f>AE115</f>
        <v>6.26</v>
      </c>
      <c r="DA115">
        <f>AI115</f>
        <v>1</v>
      </c>
      <c r="DB115">
        <f>ROUND(ROUND(AT115*CZ115,2),2)</f>
        <v>31.3</v>
      </c>
      <c r="DC115">
        <f>ROUND(ROUND(AT115*AG115,2),2)</f>
        <v>0</v>
      </c>
      <c r="DD115" t="s">
        <v>6</v>
      </c>
      <c r="DE115" t="s">
        <v>6</v>
      </c>
      <c r="DF115">
        <f t="shared" si="47"/>
        <v>278</v>
      </c>
      <c r="DG115">
        <f t="shared" si="46"/>
        <v>0</v>
      </c>
      <c r="DH115">
        <f>Source!I125*SmtRes!Y115</f>
        <v>46.4</v>
      </c>
      <c r="DI115">
        <f>AA115</f>
        <v>6.26</v>
      </c>
      <c r="DJ115">
        <f>DF115</f>
        <v>278</v>
      </c>
      <c r="DK115">
        <f>Source!BC125</f>
        <v>1</v>
      </c>
      <c r="DL115" t="s">
        <v>6</v>
      </c>
      <c r="DM115">
        <v>0</v>
      </c>
      <c r="DN115" t="s">
        <v>6</v>
      </c>
      <c r="DO115">
        <v>0</v>
      </c>
      <c r="GP115">
        <v>1</v>
      </c>
      <c r="GQ115">
        <v>-1</v>
      </c>
      <c r="GR115">
        <v>-1</v>
      </c>
    </row>
    <row r="116" spans="1:200" x14ac:dyDescent="0.2">
      <c r="A116">
        <f>ROW(Source!A125)</f>
        <v>125</v>
      </c>
      <c r="B116">
        <v>86326987</v>
      </c>
      <c r="C116">
        <v>86327353</v>
      </c>
      <c r="D116">
        <v>27382851</v>
      </c>
      <c r="E116">
        <v>1</v>
      </c>
      <c r="F116">
        <v>1</v>
      </c>
      <c r="G116">
        <v>1</v>
      </c>
      <c r="H116">
        <v>3</v>
      </c>
      <c r="I116" t="s">
        <v>212</v>
      </c>
      <c r="J116" t="s">
        <v>214</v>
      </c>
      <c r="K116" t="s">
        <v>213</v>
      </c>
      <c r="L116">
        <v>1339</v>
      </c>
      <c r="N116">
        <v>1007</v>
      </c>
      <c r="O116" t="s">
        <v>44</v>
      </c>
      <c r="P116" t="s">
        <v>44</v>
      </c>
      <c r="Q116">
        <v>1</v>
      </c>
      <c r="W116">
        <v>0</v>
      </c>
      <c r="X116">
        <v>2108020173</v>
      </c>
      <c r="Y116">
        <f>AT116</f>
        <v>3.9569000000000002E-3</v>
      </c>
      <c r="AA116">
        <v>626.89</v>
      </c>
      <c r="AB116">
        <v>0</v>
      </c>
      <c r="AC116">
        <v>0</v>
      </c>
      <c r="AD116">
        <v>0</v>
      </c>
      <c r="AE116">
        <v>626.89</v>
      </c>
      <c r="AF116">
        <v>0</v>
      </c>
      <c r="AG116">
        <v>0</v>
      </c>
      <c r="AH116">
        <v>0</v>
      </c>
      <c r="AI116">
        <v>1</v>
      </c>
      <c r="AJ116">
        <v>1</v>
      </c>
      <c r="AK116">
        <v>1</v>
      </c>
      <c r="AL116">
        <v>1</v>
      </c>
      <c r="AM116">
        <v>0</v>
      </c>
      <c r="AN116">
        <v>0</v>
      </c>
      <c r="AO116">
        <v>0</v>
      </c>
      <c r="AP116">
        <v>1</v>
      </c>
      <c r="AQ116">
        <v>0</v>
      </c>
      <c r="AR116">
        <v>0</v>
      </c>
      <c r="AS116" t="s">
        <v>6</v>
      </c>
      <c r="AT116">
        <v>3.9569000000000002E-3</v>
      </c>
      <c r="AU116" t="s">
        <v>6</v>
      </c>
      <c r="AV116">
        <v>0</v>
      </c>
      <c r="AW116">
        <v>1</v>
      </c>
      <c r="AX116">
        <v>-1</v>
      </c>
      <c r="AY116">
        <v>0</v>
      </c>
      <c r="AZ116">
        <v>0</v>
      </c>
      <c r="BA116" t="s">
        <v>6</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CV116">
        <v>0</v>
      </c>
      <c r="CW116">
        <v>0</v>
      </c>
      <c r="CX116">
        <f>ROUND(Y116*Source!I125,9)</f>
        <v>3.6720032E-2</v>
      </c>
      <c r="CY116">
        <f>AA116</f>
        <v>626.89</v>
      </c>
      <c r="CZ116">
        <f>AE116</f>
        <v>626.89</v>
      </c>
      <c r="DA116">
        <f>AI116</f>
        <v>1</v>
      </c>
      <c r="DB116">
        <f>ROUND(ROUND(AT116*CZ116,2),2)</f>
        <v>2.48</v>
      </c>
      <c r="DC116">
        <f>ROUND(ROUND(AT116*AG116,2),2)</f>
        <v>0</v>
      </c>
      <c r="DD116" t="s">
        <v>6</v>
      </c>
      <c r="DE116" t="s">
        <v>6</v>
      </c>
      <c r="DF116">
        <f t="shared" si="47"/>
        <v>23</v>
      </c>
      <c r="DG116">
        <f t="shared" si="46"/>
        <v>0</v>
      </c>
      <c r="DH116">
        <f>Source!I125*SmtRes!Y116</f>
        <v>3.6720032E-2</v>
      </c>
      <c r="DI116">
        <f>AA116</f>
        <v>626.89</v>
      </c>
      <c r="DJ116">
        <f>DF116</f>
        <v>23</v>
      </c>
      <c r="DK116">
        <f>Source!BC125</f>
        <v>1</v>
      </c>
      <c r="DL116" t="s">
        <v>6</v>
      </c>
      <c r="DM116">
        <v>0</v>
      </c>
      <c r="DN116" t="s">
        <v>6</v>
      </c>
      <c r="DO116">
        <v>0</v>
      </c>
      <c r="GP116">
        <v>1</v>
      </c>
      <c r="GQ116">
        <v>-1</v>
      </c>
      <c r="GR116">
        <v>-1</v>
      </c>
    </row>
    <row r="117" spans="1:200" x14ac:dyDescent="0.2">
      <c r="A117">
        <f>ROW(Source!A125)</f>
        <v>125</v>
      </c>
      <c r="B117">
        <v>86326987</v>
      </c>
      <c r="C117">
        <v>86327353</v>
      </c>
      <c r="D117">
        <v>69204593</v>
      </c>
      <c r="E117">
        <v>1</v>
      </c>
      <c r="F117">
        <v>1</v>
      </c>
      <c r="G117">
        <v>1</v>
      </c>
      <c r="H117">
        <v>3</v>
      </c>
      <c r="I117" t="s">
        <v>217</v>
      </c>
      <c r="J117" t="s">
        <v>219</v>
      </c>
      <c r="K117" t="s">
        <v>218</v>
      </c>
      <c r="L117">
        <v>1339</v>
      </c>
      <c r="N117">
        <v>1007</v>
      </c>
      <c r="O117" t="s">
        <v>44</v>
      </c>
      <c r="P117" t="s">
        <v>44</v>
      </c>
      <c r="Q117">
        <v>1</v>
      </c>
      <c r="W117">
        <v>0</v>
      </c>
      <c r="X117">
        <v>-1920777181</v>
      </c>
      <c r="Y117">
        <f>AT117</f>
        <v>0.45724137999999998</v>
      </c>
      <c r="AA117">
        <v>459.1</v>
      </c>
      <c r="AB117">
        <v>0</v>
      </c>
      <c r="AC117">
        <v>0</v>
      </c>
      <c r="AD117">
        <v>0</v>
      </c>
      <c r="AE117">
        <v>459.1</v>
      </c>
      <c r="AF117">
        <v>0</v>
      </c>
      <c r="AG117">
        <v>0</v>
      </c>
      <c r="AH117">
        <v>0</v>
      </c>
      <c r="AI117">
        <v>1</v>
      </c>
      <c r="AJ117">
        <v>1</v>
      </c>
      <c r="AK117">
        <v>1</v>
      </c>
      <c r="AL117">
        <v>1</v>
      </c>
      <c r="AM117">
        <v>0</v>
      </c>
      <c r="AN117">
        <v>0</v>
      </c>
      <c r="AO117">
        <v>0</v>
      </c>
      <c r="AP117">
        <v>1</v>
      </c>
      <c r="AQ117">
        <v>0</v>
      </c>
      <c r="AR117">
        <v>0</v>
      </c>
      <c r="AS117" t="s">
        <v>6</v>
      </c>
      <c r="AT117">
        <v>0.45724137999999998</v>
      </c>
      <c r="AU117" t="s">
        <v>6</v>
      </c>
      <c r="AV117">
        <v>0</v>
      </c>
      <c r="AW117">
        <v>1</v>
      </c>
      <c r="AX117">
        <v>-1</v>
      </c>
      <c r="AY117">
        <v>0</v>
      </c>
      <c r="AZ117">
        <v>0</v>
      </c>
      <c r="BA117" t="s">
        <v>6</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CV117">
        <v>0</v>
      </c>
      <c r="CW117">
        <v>0</v>
      </c>
      <c r="CX117">
        <f>ROUND(Y117*Source!I125,9)</f>
        <v>4.2432000060000004</v>
      </c>
      <c r="CY117">
        <f>AA117</f>
        <v>459.1</v>
      </c>
      <c r="CZ117">
        <f>AE117</f>
        <v>459.1</v>
      </c>
      <c r="DA117">
        <f>AI117</f>
        <v>1</v>
      </c>
      <c r="DB117">
        <f>ROUND(ROUND(AT117*CZ117,2),2)</f>
        <v>209.92</v>
      </c>
      <c r="DC117">
        <f>ROUND(ROUND(AT117*AG117,2),2)</f>
        <v>0</v>
      </c>
      <c r="DD117" t="s">
        <v>6</v>
      </c>
      <c r="DE117" t="s">
        <v>6</v>
      </c>
      <c r="DF117">
        <f t="shared" si="47"/>
        <v>1948</v>
      </c>
      <c r="DG117">
        <f t="shared" si="46"/>
        <v>0</v>
      </c>
      <c r="DH117">
        <f>Source!I125*SmtRes!Y117</f>
        <v>4.2432000063999995</v>
      </c>
      <c r="DI117">
        <f>AA117</f>
        <v>459.1</v>
      </c>
      <c r="DJ117">
        <f>DF117</f>
        <v>1948</v>
      </c>
      <c r="DK117">
        <f>Source!BC125</f>
        <v>1</v>
      </c>
      <c r="DL117" t="s">
        <v>6</v>
      </c>
      <c r="DM117">
        <v>0</v>
      </c>
      <c r="DN117" t="s">
        <v>6</v>
      </c>
      <c r="DO117">
        <v>0</v>
      </c>
      <c r="GP117">
        <v>1</v>
      </c>
      <c r="GQ117">
        <v>-1</v>
      </c>
      <c r="GR117">
        <v>-1</v>
      </c>
    </row>
    <row r="118" spans="1:200" x14ac:dyDescent="0.2">
      <c r="A118">
        <f>ROW(Source!A126)</f>
        <v>126</v>
      </c>
      <c r="B118">
        <v>86326988</v>
      </c>
      <c r="C118">
        <v>86327353</v>
      </c>
      <c r="D118">
        <v>27493207</v>
      </c>
      <c r="E118">
        <v>1</v>
      </c>
      <c r="F118">
        <v>1</v>
      </c>
      <c r="G118">
        <v>1</v>
      </c>
      <c r="H118">
        <v>1</v>
      </c>
      <c r="I118" t="s">
        <v>623</v>
      </c>
      <c r="J118" t="s">
        <v>6</v>
      </c>
      <c r="K118" t="s">
        <v>624</v>
      </c>
      <c r="L118">
        <v>1369</v>
      </c>
      <c r="N118">
        <v>1013</v>
      </c>
      <c r="O118" t="s">
        <v>625</v>
      </c>
      <c r="P118" t="s">
        <v>625</v>
      </c>
      <c r="Q118">
        <v>1</v>
      </c>
      <c r="W118">
        <v>0</v>
      </c>
      <c r="X118">
        <v>-1900352537</v>
      </c>
      <c r="Y118">
        <f>(AT118*1.05*0.75)</f>
        <v>13.080375</v>
      </c>
      <c r="AA118">
        <v>0</v>
      </c>
      <c r="AB118">
        <v>0</v>
      </c>
      <c r="AC118">
        <v>0</v>
      </c>
      <c r="AD118">
        <v>283.87</v>
      </c>
      <c r="AE118">
        <v>0</v>
      </c>
      <c r="AF118">
        <v>0</v>
      </c>
      <c r="AG118">
        <v>0</v>
      </c>
      <c r="AH118">
        <v>7.87</v>
      </c>
      <c r="AI118">
        <v>1</v>
      </c>
      <c r="AJ118">
        <v>1</v>
      </c>
      <c r="AK118">
        <v>1</v>
      </c>
      <c r="AL118">
        <v>36.07</v>
      </c>
      <c r="AM118">
        <v>5</v>
      </c>
      <c r="AN118">
        <v>0</v>
      </c>
      <c r="AO118">
        <v>1</v>
      </c>
      <c r="AP118">
        <v>1</v>
      </c>
      <c r="AQ118">
        <v>0</v>
      </c>
      <c r="AR118">
        <v>0</v>
      </c>
      <c r="AS118" t="s">
        <v>6</v>
      </c>
      <c r="AT118">
        <v>16.61</v>
      </c>
      <c r="AU118" t="s">
        <v>204</v>
      </c>
      <c r="AV118">
        <v>1</v>
      </c>
      <c r="AW118">
        <v>2</v>
      </c>
      <c r="AX118">
        <v>86327363</v>
      </c>
      <c r="AY118">
        <v>1</v>
      </c>
      <c r="AZ118">
        <v>0</v>
      </c>
      <c r="BA118">
        <v>97</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CU118">
        <f>ROUND(AT118*Source!I126*AH118*AL118,0)</f>
        <v>43756</v>
      </c>
      <c r="CV118">
        <f>ROUND(Y118*Source!I126,9)</f>
        <v>121.38588</v>
      </c>
      <c r="CW118">
        <v>0</v>
      </c>
      <c r="CX118">
        <f>ROUND(Y118*Source!I126,9)</f>
        <v>121.38588</v>
      </c>
      <c r="CY118">
        <f>AD118</f>
        <v>283.87</v>
      </c>
      <c r="CZ118">
        <f>AH118</f>
        <v>7.87</v>
      </c>
      <c r="DA118">
        <f>AL118</f>
        <v>36.07</v>
      </c>
      <c r="DB118">
        <f>ROUND((ROUND(AT118*CZ118,2)*1.05*0.75),2)</f>
        <v>102.94</v>
      </c>
      <c r="DC118">
        <f>ROUND((ROUND(AT118*AG118,2)*1.05*0.75),2)</f>
        <v>0</v>
      </c>
      <c r="DD118" t="s">
        <v>6</v>
      </c>
      <c r="DE118" t="s">
        <v>6</v>
      </c>
      <c r="DF118">
        <f t="shared" si="47"/>
        <v>0</v>
      </c>
      <c r="DG118">
        <f t="shared" si="46"/>
        <v>0</v>
      </c>
      <c r="DH118">
        <f>Source!I126*SmtRes!Y118</f>
        <v>121.38587999999999</v>
      </c>
      <c r="DI118">
        <f>AD118</f>
        <v>283.87</v>
      </c>
      <c r="DJ118">
        <f>EtalonRes!AB97</f>
        <v>7.87</v>
      </c>
      <c r="DK118">
        <f>Source!BA126</f>
        <v>36.07</v>
      </c>
      <c r="DL118" t="s">
        <v>6</v>
      </c>
      <c r="DM118">
        <v>0</v>
      </c>
      <c r="DN118" t="s">
        <v>6</v>
      </c>
      <c r="DO118">
        <v>0</v>
      </c>
      <c r="GQ118">
        <v>-1</v>
      </c>
      <c r="GR118">
        <v>-1</v>
      </c>
    </row>
    <row r="119" spans="1:200" x14ac:dyDescent="0.2">
      <c r="A119">
        <f>ROW(Source!A126)</f>
        <v>126</v>
      </c>
      <c r="B119">
        <v>86326988</v>
      </c>
      <c r="C119">
        <v>86327353</v>
      </c>
      <c r="D119">
        <v>121548</v>
      </c>
      <c r="E119">
        <v>1</v>
      </c>
      <c r="F119">
        <v>1</v>
      </c>
      <c r="G119">
        <v>1</v>
      </c>
      <c r="H119">
        <v>1</v>
      </c>
      <c r="I119" t="s">
        <v>40</v>
      </c>
      <c r="J119" t="s">
        <v>6</v>
      </c>
      <c r="K119" t="s">
        <v>626</v>
      </c>
      <c r="L119">
        <v>608254</v>
      </c>
      <c r="N119">
        <v>1013</v>
      </c>
      <c r="O119" t="s">
        <v>627</v>
      </c>
      <c r="P119" t="s">
        <v>627</v>
      </c>
      <c r="Q119">
        <v>1</v>
      </c>
      <c r="W119">
        <v>0</v>
      </c>
      <c r="X119">
        <v>-185737400</v>
      </c>
      <c r="Y119">
        <f>(AT119*1.12*0.8)</f>
        <v>4.5158400000000007</v>
      </c>
      <c r="AA119">
        <v>0</v>
      </c>
      <c r="AB119">
        <v>0</v>
      </c>
      <c r="AC119">
        <v>0</v>
      </c>
      <c r="AD119">
        <v>0</v>
      </c>
      <c r="AE119">
        <v>0</v>
      </c>
      <c r="AF119">
        <v>0</v>
      </c>
      <c r="AG119">
        <v>0</v>
      </c>
      <c r="AH119">
        <v>0</v>
      </c>
      <c r="AI119">
        <v>1</v>
      </c>
      <c r="AJ119">
        <v>1</v>
      </c>
      <c r="AK119">
        <v>19.8</v>
      </c>
      <c r="AL119">
        <v>1</v>
      </c>
      <c r="AM119">
        <v>5</v>
      </c>
      <c r="AN119">
        <v>0</v>
      </c>
      <c r="AO119">
        <v>1</v>
      </c>
      <c r="AP119">
        <v>1</v>
      </c>
      <c r="AQ119">
        <v>0</v>
      </c>
      <c r="AR119">
        <v>0</v>
      </c>
      <c r="AS119" t="s">
        <v>6</v>
      </c>
      <c r="AT119">
        <v>5.04</v>
      </c>
      <c r="AU119" t="s">
        <v>203</v>
      </c>
      <c r="AV119">
        <v>2</v>
      </c>
      <c r="AW119">
        <v>2</v>
      </c>
      <c r="AX119">
        <v>86327364</v>
      </c>
      <c r="AY119">
        <v>1</v>
      </c>
      <c r="AZ119">
        <v>0</v>
      </c>
      <c r="BA119">
        <v>98</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CV119">
        <v>0</v>
      </c>
      <c r="CW119">
        <v>0</v>
      </c>
      <c r="CX119">
        <f>ROUND(Y119*Source!I126,9)</f>
        <v>41.906995199999997</v>
      </c>
      <c r="CY119">
        <f>AD119</f>
        <v>0</v>
      </c>
      <c r="CZ119">
        <f>AH119</f>
        <v>0</v>
      </c>
      <c r="DA119">
        <f>AL119</f>
        <v>1</v>
      </c>
      <c r="DB119">
        <f>ROUND((ROUND(AT119*CZ119,2)*1.12*0.8),2)</f>
        <v>0</v>
      </c>
      <c r="DC119">
        <f>ROUND((ROUND(AT119*AG119,2)*1.12*0.8),2)</f>
        <v>0</v>
      </c>
      <c r="DD119" t="s">
        <v>6</v>
      </c>
      <c r="DE119" t="s">
        <v>6</v>
      </c>
      <c r="DF119">
        <f t="shared" si="47"/>
        <v>0</v>
      </c>
      <c r="DG119">
        <f t="shared" si="46"/>
        <v>0</v>
      </c>
      <c r="DH119">
        <f>Source!I126*SmtRes!Y119</f>
        <v>41.906995200000004</v>
      </c>
      <c r="DI119">
        <f>AD119</f>
        <v>0</v>
      </c>
      <c r="DJ119">
        <f>EtalonRes!AB98</f>
        <v>0</v>
      </c>
      <c r="DK119">
        <f>Source!BA126</f>
        <v>36.07</v>
      </c>
      <c r="DL119" t="s">
        <v>6</v>
      </c>
      <c r="DM119">
        <v>0</v>
      </c>
      <c r="DN119" t="s">
        <v>6</v>
      </c>
      <c r="DO119">
        <v>0</v>
      </c>
      <c r="GQ119">
        <v>-1</v>
      </c>
      <c r="GR119">
        <v>-1</v>
      </c>
    </row>
    <row r="120" spans="1:200" x14ac:dyDescent="0.2">
      <c r="A120">
        <f>ROW(Source!A126)</f>
        <v>126</v>
      </c>
      <c r="B120">
        <v>86326988</v>
      </c>
      <c r="C120">
        <v>86327353</v>
      </c>
      <c r="D120">
        <v>27439419</v>
      </c>
      <c r="E120">
        <v>1</v>
      </c>
      <c r="F120">
        <v>1</v>
      </c>
      <c r="G120">
        <v>1</v>
      </c>
      <c r="H120">
        <v>2</v>
      </c>
      <c r="I120" t="s">
        <v>628</v>
      </c>
      <c r="J120" t="s">
        <v>629</v>
      </c>
      <c r="K120" t="s">
        <v>630</v>
      </c>
      <c r="L120">
        <v>1368</v>
      </c>
      <c r="N120">
        <v>1011</v>
      </c>
      <c r="O120" t="s">
        <v>137</v>
      </c>
      <c r="P120" t="s">
        <v>137</v>
      </c>
      <c r="Q120">
        <v>1</v>
      </c>
      <c r="W120">
        <v>0</v>
      </c>
      <c r="X120">
        <v>1804162481</v>
      </c>
      <c r="Y120">
        <f>(AT120*1.12*0.8)</f>
        <v>2.6880000000000006</v>
      </c>
      <c r="AA120">
        <v>0</v>
      </c>
      <c r="AB120">
        <v>1075.45</v>
      </c>
      <c r="AC120">
        <v>269.48</v>
      </c>
      <c r="AD120">
        <v>0</v>
      </c>
      <c r="AE120">
        <v>0</v>
      </c>
      <c r="AF120">
        <v>115.64</v>
      </c>
      <c r="AG120">
        <v>13.61</v>
      </c>
      <c r="AH120">
        <v>0</v>
      </c>
      <c r="AI120">
        <v>1</v>
      </c>
      <c r="AJ120">
        <v>9.3000000000000007</v>
      </c>
      <c r="AK120">
        <v>19.8</v>
      </c>
      <c r="AL120">
        <v>1</v>
      </c>
      <c r="AM120">
        <v>5</v>
      </c>
      <c r="AN120">
        <v>0</v>
      </c>
      <c r="AO120">
        <v>1</v>
      </c>
      <c r="AP120">
        <v>1</v>
      </c>
      <c r="AQ120">
        <v>0</v>
      </c>
      <c r="AR120">
        <v>0</v>
      </c>
      <c r="AS120" t="s">
        <v>6</v>
      </c>
      <c r="AT120">
        <v>3</v>
      </c>
      <c r="AU120" t="s">
        <v>203</v>
      </c>
      <c r="AV120">
        <v>0</v>
      </c>
      <c r="AW120">
        <v>1</v>
      </c>
      <c r="AX120">
        <v>-1</v>
      </c>
      <c r="AY120">
        <v>0</v>
      </c>
      <c r="AZ120">
        <v>0</v>
      </c>
      <c r="BA120" t="s">
        <v>6</v>
      </c>
      <c r="BB120">
        <v>5</v>
      </c>
      <c r="BC120">
        <v>0</v>
      </c>
      <c r="BD120">
        <v>310.84032000000008</v>
      </c>
      <c r="BE120">
        <v>36.583680000000008</v>
      </c>
      <c r="BF120">
        <v>0</v>
      </c>
      <c r="BG120">
        <v>0</v>
      </c>
      <c r="BH120">
        <v>0</v>
      </c>
      <c r="BI120">
        <v>1</v>
      </c>
      <c r="BJ120">
        <v>0</v>
      </c>
      <c r="BK120">
        <v>0</v>
      </c>
      <c r="BL120">
        <v>0</v>
      </c>
      <c r="BM120">
        <v>0</v>
      </c>
      <c r="BN120">
        <v>0</v>
      </c>
      <c r="BO120">
        <v>0</v>
      </c>
      <c r="BP120">
        <v>0</v>
      </c>
      <c r="BQ120">
        <v>0</v>
      </c>
      <c r="BR120">
        <v>0</v>
      </c>
      <c r="BS120">
        <v>0</v>
      </c>
      <c r="BT120">
        <v>0</v>
      </c>
      <c r="BU120">
        <v>0</v>
      </c>
      <c r="BV120">
        <v>0</v>
      </c>
      <c r="BW120">
        <v>0</v>
      </c>
      <c r="CV120">
        <v>0</v>
      </c>
      <c r="CW120">
        <f>ROUND(Y120*Source!I126*DO120,9)</f>
        <v>0</v>
      </c>
      <c r="CX120">
        <f>ROUND(Y120*Source!I126,9)</f>
        <v>24.94464</v>
      </c>
      <c r="CY120">
        <f>AB120</f>
        <v>1075.45</v>
      </c>
      <c r="CZ120">
        <f>AF120</f>
        <v>115.64</v>
      </c>
      <c r="DA120">
        <f>AJ120</f>
        <v>9.3000000000000007</v>
      </c>
      <c r="DB120">
        <f>ROUND((ROUND(AT120*CZ120,2)*1.12*0.8),2)</f>
        <v>310.83999999999997</v>
      </c>
      <c r="DC120">
        <f>ROUND((ROUND(AT120*AG120,2)*1.12*0.8),2)</f>
        <v>36.58</v>
      </c>
      <c r="DD120" t="s">
        <v>6</v>
      </c>
      <c r="DE120" t="s">
        <v>6</v>
      </c>
      <c r="DF120">
        <f t="shared" si="47"/>
        <v>0</v>
      </c>
      <c r="DG120">
        <f>ROUND(ROUND(AF120*AJ120,0)*CX120,0)</f>
        <v>26815</v>
      </c>
      <c r="DH120">
        <f>Source!I126*SmtRes!Y120</f>
        <v>24.944640000000003</v>
      </c>
      <c r="DI120">
        <f>AB120</f>
        <v>1075.45</v>
      </c>
      <c r="DJ120">
        <f>DG120</f>
        <v>26815</v>
      </c>
      <c r="DK120">
        <f>Source!BB126</f>
        <v>9.3000000000000007</v>
      </c>
      <c r="DL120" t="s">
        <v>6</v>
      </c>
      <c r="DM120">
        <v>0</v>
      </c>
      <c r="DN120" t="s">
        <v>6</v>
      </c>
      <c r="DO120">
        <v>0</v>
      </c>
      <c r="GQ120">
        <v>-1</v>
      </c>
      <c r="GR120">
        <v>-1</v>
      </c>
    </row>
    <row r="121" spans="1:200" x14ac:dyDescent="0.2">
      <c r="A121">
        <f>ROW(Source!A126)</f>
        <v>126</v>
      </c>
      <c r="B121">
        <v>86326988</v>
      </c>
      <c r="C121">
        <v>86327353</v>
      </c>
      <c r="D121">
        <v>27439499</v>
      </c>
      <c r="E121">
        <v>1</v>
      </c>
      <c r="F121">
        <v>1</v>
      </c>
      <c r="G121">
        <v>1</v>
      </c>
      <c r="H121">
        <v>2</v>
      </c>
      <c r="I121" t="s">
        <v>631</v>
      </c>
      <c r="J121" t="s">
        <v>632</v>
      </c>
      <c r="K121" t="s">
        <v>633</v>
      </c>
      <c r="L121">
        <v>1368</v>
      </c>
      <c r="N121">
        <v>1011</v>
      </c>
      <c r="O121" t="s">
        <v>137</v>
      </c>
      <c r="P121" t="s">
        <v>137</v>
      </c>
      <c r="Q121">
        <v>1</v>
      </c>
      <c r="W121">
        <v>0</v>
      </c>
      <c r="X121">
        <v>1890856440</v>
      </c>
      <c r="Y121">
        <f>(AT121*1.12*0.8)</f>
        <v>0.39424000000000009</v>
      </c>
      <c r="AA121">
        <v>0</v>
      </c>
      <c r="AB121">
        <v>1047.83</v>
      </c>
      <c r="AC121">
        <v>269.48</v>
      </c>
      <c r="AD121">
        <v>0</v>
      </c>
      <c r="AE121">
        <v>0</v>
      </c>
      <c r="AF121">
        <v>112.67</v>
      </c>
      <c r="AG121">
        <v>13.61</v>
      </c>
      <c r="AH121">
        <v>0</v>
      </c>
      <c r="AI121">
        <v>1</v>
      </c>
      <c r="AJ121">
        <v>9.3000000000000007</v>
      </c>
      <c r="AK121">
        <v>19.8</v>
      </c>
      <c r="AL121">
        <v>1</v>
      </c>
      <c r="AM121">
        <v>5</v>
      </c>
      <c r="AN121">
        <v>0</v>
      </c>
      <c r="AO121">
        <v>1</v>
      </c>
      <c r="AP121">
        <v>1</v>
      </c>
      <c r="AQ121">
        <v>0</v>
      </c>
      <c r="AR121">
        <v>0</v>
      </c>
      <c r="AS121" t="s">
        <v>6</v>
      </c>
      <c r="AT121">
        <v>0.44</v>
      </c>
      <c r="AU121" t="s">
        <v>203</v>
      </c>
      <c r="AV121">
        <v>0</v>
      </c>
      <c r="AW121">
        <v>2</v>
      </c>
      <c r="AX121">
        <v>86327366</v>
      </c>
      <c r="AY121">
        <v>1</v>
      </c>
      <c r="AZ121">
        <v>0</v>
      </c>
      <c r="BA121">
        <v>100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CV121">
        <v>0</v>
      </c>
      <c r="CW121">
        <f>ROUND(Y121*Source!I126*DO121,9)</f>
        <v>0</v>
      </c>
      <c r="CX121">
        <f>ROUND(Y121*Source!I126,9)</f>
        <v>3.6585472000000001</v>
      </c>
      <c r="CY121">
        <f>AB121</f>
        <v>1047.83</v>
      </c>
      <c r="CZ121">
        <f>AF121</f>
        <v>112.67</v>
      </c>
      <c r="DA121">
        <f>AJ121</f>
        <v>9.3000000000000007</v>
      </c>
      <c r="DB121">
        <f>ROUND((ROUND(AT121*CZ121,2)*1.12*0.8),2)</f>
        <v>44.41</v>
      </c>
      <c r="DC121">
        <f>ROUND((ROUND(AT121*AG121,2)*1.12*0.8),2)</f>
        <v>5.37</v>
      </c>
      <c r="DD121" t="s">
        <v>6</v>
      </c>
      <c r="DE121" t="s">
        <v>6</v>
      </c>
      <c r="DF121">
        <f t="shared" si="47"/>
        <v>0</v>
      </c>
      <c r="DG121">
        <f>ROUND(ROUND(AF121*AJ121,0)*CX121,0)</f>
        <v>3834</v>
      </c>
      <c r="DH121">
        <f>Source!I126*SmtRes!Y121</f>
        <v>3.6585472000000006</v>
      </c>
      <c r="DI121">
        <f>AB121</f>
        <v>1047.83</v>
      </c>
      <c r="DJ121">
        <f>EtalonRes!Z100</f>
        <v>112.67</v>
      </c>
      <c r="DK121">
        <f>Source!BB126</f>
        <v>9.3000000000000007</v>
      </c>
      <c r="DL121" t="s">
        <v>6</v>
      </c>
      <c r="DM121">
        <v>0</v>
      </c>
      <c r="DN121" t="s">
        <v>6</v>
      </c>
      <c r="DO121">
        <v>0</v>
      </c>
      <c r="GQ121">
        <v>-1</v>
      </c>
      <c r="GR121">
        <v>-1</v>
      </c>
    </row>
    <row r="122" spans="1:200" x14ac:dyDescent="0.2">
      <c r="A122">
        <f>ROW(Source!A126)</f>
        <v>126</v>
      </c>
      <c r="B122">
        <v>86326988</v>
      </c>
      <c r="C122">
        <v>86327353</v>
      </c>
      <c r="D122">
        <v>27439640</v>
      </c>
      <c r="E122">
        <v>1</v>
      </c>
      <c r="F122">
        <v>1</v>
      </c>
      <c r="G122">
        <v>1</v>
      </c>
      <c r="H122">
        <v>2</v>
      </c>
      <c r="I122" t="s">
        <v>634</v>
      </c>
      <c r="J122" t="s">
        <v>635</v>
      </c>
      <c r="K122" t="s">
        <v>636</v>
      </c>
      <c r="L122">
        <v>1368</v>
      </c>
      <c r="N122">
        <v>1011</v>
      </c>
      <c r="O122" t="s">
        <v>137</v>
      </c>
      <c r="P122" t="s">
        <v>137</v>
      </c>
      <c r="Q122">
        <v>1</v>
      </c>
      <c r="W122">
        <v>0</v>
      </c>
      <c r="X122">
        <v>1935701055</v>
      </c>
      <c r="Y122">
        <f>(AT122*1.12*0.8)</f>
        <v>1.4336000000000002</v>
      </c>
      <c r="AA122">
        <v>0</v>
      </c>
      <c r="AB122">
        <v>521.73</v>
      </c>
      <c r="AC122">
        <v>269.48</v>
      </c>
      <c r="AD122">
        <v>0</v>
      </c>
      <c r="AE122">
        <v>0</v>
      </c>
      <c r="AF122">
        <v>56.1</v>
      </c>
      <c r="AG122">
        <v>13.61</v>
      </c>
      <c r="AH122">
        <v>0</v>
      </c>
      <c r="AI122">
        <v>1</v>
      </c>
      <c r="AJ122">
        <v>9.3000000000000007</v>
      </c>
      <c r="AK122">
        <v>19.8</v>
      </c>
      <c r="AL122">
        <v>1</v>
      </c>
      <c r="AM122">
        <v>5</v>
      </c>
      <c r="AN122">
        <v>0</v>
      </c>
      <c r="AO122">
        <v>1</v>
      </c>
      <c r="AP122">
        <v>1</v>
      </c>
      <c r="AQ122">
        <v>0</v>
      </c>
      <c r="AR122">
        <v>0</v>
      </c>
      <c r="AS122" t="s">
        <v>6</v>
      </c>
      <c r="AT122">
        <v>1.6</v>
      </c>
      <c r="AU122" t="s">
        <v>203</v>
      </c>
      <c r="AV122">
        <v>0</v>
      </c>
      <c r="AW122">
        <v>2</v>
      </c>
      <c r="AX122">
        <v>86327367</v>
      </c>
      <c r="AY122">
        <v>1</v>
      </c>
      <c r="AZ122">
        <v>0</v>
      </c>
      <c r="BA122">
        <v>101</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CV122">
        <v>0</v>
      </c>
      <c r="CW122">
        <f>ROUND(Y122*Source!I126*DO122,9)</f>
        <v>0</v>
      </c>
      <c r="CX122">
        <f>ROUND(Y122*Source!I126,9)</f>
        <v>13.303808</v>
      </c>
      <c r="CY122">
        <f>AB122</f>
        <v>521.73</v>
      </c>
      <c r="CZ122">
        <f>AF122</f>
        <v>56.1</v>
      </c>
      <c r="DA122">
        <f>AJ122</f>
        <v>9.3000000000000007</v>
      </c>
      <c r="DB122">
        <f>ROUND((ROUND(AT122*CZ122,2)*1.12*0.8),2)</f>
        <v>80.42</v>
      </c>
      <c r="DC122">
        <f>ROUND((ROUND(AT122*AG122,2)*1.12*0.8),2)</f>
        <v>19.510000000000002</v>
      </c>
      <c r="DD122" t="s">
        <v>6</v>
      </c>
      <c r="DE122" t="s">
        <v>6</v>
      </c>
      <c r="DF122">
        <f t="shared" si="47"/>
        <v>0</v>
      </c>
      <c r="DG122">
        <f>ROUND(ROUND(AF122*AJ122,0)*CX122,0)</f>
        <v>6945</v>
      </c>
      <c r="DH122">
        <f>Source!I126*SmtRes!Y122</f>
        <v>13.303808000000002</v>
      </c>
      <c r="DI122">
        <f>AB122</f>
        <v>521.73</v>
      </c>
      <c r="DJ122">
        <f>EtalonRes!Z101</f>
        <v>56.1</v>
      </c>
      <c r="DK122">
        <f>Source!BB126</f>
        <v>9.3000000000000007</v>
      </c>
      <c r="DL122" t="s">
        <v>6</v>
      </c>
      <c r="DM122">
        <v>0</v>
      </c>
      <c r="DN122" t="s">
        <v>6</v>
      </c>
      <c r="DO122">
        <v>0</v>
      </c>
      <c r="GQ122">
        <v>-1</v>
      </c>
      <c r="GR122">
        <v>-1</v>
      </c>
    </row>
    <row r="123" spans="1:200" x14ac:dyDescent="0.2">
      <c r="A123">
        <f>ROW(Source!A126)</f>
        <v>126</v>
      </c>
      <c r="B123">
        <v>86326988</v>
      </c>
      <c r="C123">
        <v>86327353</v>
      </c>
      <c r="D123">
        <v>27441327</v>
      </c>
      <c r="E123">
        <v>1</v>
      </c>
      <c r="F123">
        <v>1</v>
      </c>
      <c r="G123">
        <v>1</v>
      </c>
      <c r="H123">
        <v>2</v>
      </c>
      <c r="I123" t="s">
        <v>637</v>
      </c>
      <c r="J123" t="s">
        <v>638</v>
      </c>
      <c r="K123" t="s">
        <v>639</v>
      </c>
      <c r="L123">
        <v>1368</v>
      </c>
      <c r="N123">
        <v>1011</v>
      </c>
      <c r="O123" t="s">
        <v>137</v>
      </c>
      <c r="P123" t="s">
        <v>137</v>
      </c>
      <c r="Q123">
        <v>1</v>
      </c>
      <c r="W123">
        <v>0</v>
      </c>
      <c r="X123">
        <v>-1583389094</v>
      </c>
      <c r="Y123">
        <f>(AT123*1.12*0.8)</f>
        <v>0.49280000000000013</v>
      </c>
      <c r="AA123">
        <v>0</v>
      </c>
      <c r="AB123">
        <v>868.34</v>
      </c>
      <c r="AC123">
        <v>231.46</v>
      </c>
      <c r="AD123">
        <v>0</v>
      </c>
      <c r="AE123">
        <v>0</v>
      </c>
      <c r="AF123">
        <v>93.37</v>
      </c>
      <c r="AG123">
        <v>11.69</v>
      </c>
      <c r="AH123">
        <v>0</v>
      </c>
      <c r="AI123">
        <v>1</v>
      </c>
      <c r="AJ123">
        <v>9.3000000000000007</v>
      </c>
      <c r="AK123">
        <v>19.8</v>
      </c>
      <c r="AL123">
        <v>1</v>
      </c>
      <c r="AM123">
        <v>5</v>
      </c>
      <c r="AN123">
        <v>0</v>
      </c>
      <c r="AO123">
        <v>1</v>
      </c>
      <c r="AP123">
        <v>1</v>
      </c>
      <c r="AQ123">
        <v>0</v>
      </c>
      <c r="AR123">
        <v>0</v>
      </c>
      <c r="AS123" t="s">
        <v>6</v>
      </c>
      <c r="AT123">
        <v>0.55000000000000004</v>
      </c>
      <c r="AU123" t="s">
        <v>203</v>
      </c>
      <c r="AV123">
        <v>0</v>
      </c>
      <c r="AW123">
        <v>2</v>
      </c>
      <c r="AX123">
        <v>86327368</v>
      </c>
      <c r="AY123">
        <v>1</v>
      </c>
      <c r="AZ123">
        <v>0</v>
      </c>
      <c r="BA123">
        <v>102</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CV123">
        <v>0</v>
      </c>
      <c r="CW123">
        <f>ROUND(Y123*Source!I126*DO123,9)</f>
        <v>0</v>
      </c>
      <c r="CX123">
        <f>ROUND(Y123*Source!I126,9)</f>
        <v>4.5731840000000004</v>
      </c>
      <c r="CY123">
        <f>AB123</f>
        <v>868.34</v>
      </c>
      <c r="CZ123">
        <f>AF123</f>
        <v>93.37</v>
      </c>
      <c r="DA123">
        <f>AJ123</f>
        <v>9.3000000000000007</v>
      </c>
      <c r="DB123">
        <f>ROUND((ROUND(AT123*CZ123,2)*1.12*0.8),2)</f>
        <v>46.01</v>
      </c>
      <c r="DC123">
        <f>ROUND((ROUND(AT123*AG123,2)*1.12*0.8),2)</f>
        <v>5.76</v>
      </c>
      <c r="DD123" t="s">
        <v>6</v>
      </c>
      <c r="DE123" t="s">
        <v>6</v>
      </c>
      <c r="DF123">
        <f t="shared" si="47"/>
        <v>0</v>
      </c>
      <c r="DG123">
        <f>ROUND(ROUND(AF123*AJ123,0)*CX123,0)</f>
        <v>3970</v>
      </c>
      <c r="DH123">
        <f>Source!I126*SmtRes!Y123</f>
        <v>4.5731840000000012</v>
      </c>
      <c r="DI123">
        <f>AB123</f>
        <v>868.34</v>
      </c>
      <c r="DJ123">
        <f>EtalonRes!Z102</f>
        <v>93.37</v>
      </c>
      <c r="DK123">
        <f>Source!BB126</f>
        <v>9.3000000000000007</v>
      </c>
      <c r="DL123" t="s">
        <v>6</v>
      </c>
      <c r="DM123">
        <v>0</v>
      </c>
      <c r="DN123" t="s">
        <v>6</v>
      </c>
      <c r="DO123">
        <v>0</v>
      </c>
      <c r="GQ123">
        <v>-1</v>
      </c>
      <c r="GR123">
        <v>-1</v>
      </c>
    </row>
    <row r="124" spans="1:200" x14ac:dyDescent="0.2">
      <c r="A124">
        <f>ROW(Source!A126)</f>
        <v>126</v>
      </c>
      <c r="B124">
        <v>86326988</v>
      </c>
      <c r="C124">
        <v>86327353</v>
      </c>
      <c r="D124">
        <v>27378696</v>
      </c>
      <c r="E124">
        <v>1</v>
      </c>
      <c r="F124">
        <v>1</v>
      </c>
      <c r="G124">
        <v>1</v>
      </c>
      <c r="H124">
        <v>3</v>
      </c>
      <c r="I124" t="s">
        <v>206</v>
      </c>
      <c r="J124" t="s">
        <v>209</v>
      </c>
      <c r="K124" t="s">
        <v>207</v>
      </c>
      <c r="L124">
        <v>1358</v>
      </c>
      <c r="N124">
        <v>1010</v>
      </c>
      <c r="O124" t="s">
        <v>208</v>
      </c>
      <c r="P124" t="s">
        <v>208</v>
      </c>
      <c r="Q124">
        <v>10</v>
      </c>
      <c r="W124">
        <v>0</v>
      </c>
      <c r="X124">
        <v>1676310766</v>
      </c>
      <c r="Y124">
        <f>AT124</f>
        <v>5</v>
      </c>
      <c r="AA124">
        <v>70.8</v>
      </c>
      <c r="AB124">
        <v>0</v>
      </c>
      <c r="AC124">
        <v>0</v>
      </c>
      <c r="AD124">
        <v>0</v>
      </c>
      <c r="AE124">
        <v>9.9299999999999979</v>
      </c>
      <c r="AF124">
        <v>0</v>
      </c>
      <c r="AG124">
        <v>0</v>
      </c>
      <c r="AH124">
        <v>0</v>
      </c>
      <c r="AI124">
        <v>7.56</v>
      </c>
      <c r="AJ124">
        <v>1</v>
      </c>
      <c r="AK124">
        <v>1</v>
      </c>
      <c r="AL124">
        <v>1</v>
      </c>
      <c r="AM124">
        <v>0</v>
      </c>
      <c r="AN124">
        <v>0</v>
      </c>
      <c r="AO124">
        <v>0</v>
      </c>
      <c r="AP124">
        <v>1</v>
      </c>
      <c r="AQ124">
        <v>0</v>
      </c>
      <c r="AR124">
        <v>0</v>
      </c>
      <c r="AS124" t="s">
        <v>6</v>
      </c>
      <c r="AT124">
        <v>5</v>
      </c>
      <c r="AU124" t="s">
        <v>6</v>
      </c>
      <c r="AV124">
        <v>0</v>
      </c>
      <c r="AW124">
        <v>1</v>
      </c>
      <c r="AX124">
        <v>-1</v>
      </c>
      <c r="AY124">
        <v>0</v>
      </c>
      <c r="AZ124">
        <v>0</v>
      </c>
      <c r="BA124" t="s">
        <v>6</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CV124">
        <v>0</v>
      </c>
      <c r="CW124">
        <v>0</v>
      </c>
      <c r="CX124">
        <f>ROUND(Y124*Source!I126,9)</f>
        <v>46.4</v>
      </c>
      <c r="CY124">
        <f>AA124</f>
        <v>70.8</v>
      </c>
      <c r="CZ124">
        <f>AE124</f>
        <v>9.9299999999999979</v>
      </c>
      <c r="DA124">
        <f>AI124</f>
        <v>7.56</v>
      </c>
      <c r="DB124">
        <f>ROUND(ROUND(AT124*CZ124,2),2)</f>
        <v>49.65</v>
      </c>
      <c r="DC124">
        <f>ROUND(ROUND(AT124*AG124,2),2)</f>
        <v>0</v>
      </c>
      <c r="DD124" t="s">
        <v>6</v>
      </c>
      <c r="DE124" t="s">
        <v>6</v>
      </c>
      <c r="DF124">
        <f>ROUND(ROUND(AE124*AI124,0)*CX124,0)</f>
        <v>3480</v>
      </c>
      <c r="DG124">
        <f t="shared" ref="DG124:DG134" si="48">ROUND(ROUND(AF124,0)*CX124,0)</f>
        <v>0</v>
      </c>
      <c r="DH124">
        <f>Source!I126*SmtRes!Y124</f>
        <v>46.4</v>
      </c>
      <c r="DI124">
        <f>AA124</f>
        <v>70.8</v>
      </c>
      <c r="DJ124">
        <f>DF124</f>
        <v>3480</v>
      </c>
      <c r="DK124">
        <f>Source!BC126</f>
        <v>7.56</v>
      </c>
      <c r="DL124" t="s">
        <v>6</v>
      </c>
      <c r="DM124">
        <v>0</v>
      </c>
      <c r="DN124" t="s">
        <v>6</v>
      </c>
      <c r="DO124">
        <v>0</v>
      </c>
      <c r="GP124">
        <v>1</v>
      </c>
      <c r="GQ124">
        <v>-1</v>
      </c>
      <c r="GR124">
        <v>-1</v>
      </c>
    </row>
    <row r="125" spans="1:200" x14ac:dyDescent="0.2">
      <c r="A125">
        <f>ROW(Source!A126)</f>
        <v>126</v>
      </c>
      <c r="B125">
        <v>86326988</v>
      </c>
      <c r="C125">
        <v>86327353</v>
      </c>
      <c r="D125">
        <v>27382851</v>
      </c>
      <c r="E125">
        <v>1</v>
      </c>
      <c r="F125">
        <v>1</v>
      </c>
      <c r="G125">
        <v>1</v>
      </c>
      <c r="H125">
        <v>3</v>
      </c>
      <c r="I125" t="s">
        <v>212</v>
      </c>
      <c r="J125" t="s">
        <v>214</v>
      </c>
      <c r="K125" t="s">
        <v>213</v>
      </c>
      <c r="L125">
        <v>1339</v>
      </c>
      <c r="N125">
        <v>1007</v>
      </c>
      <c r="O125" t="s">
        <v>44</v>
      </c>
      <c r="P125" t="s">
        <v>44</v>
      </c>
      <c r="Q125">
        <v>1</v>
      </c>
      <c r="W125">
        <v>0</v>
      </c>
      <c r="X125">
        <v>2108020173</v>
      </c>
      <c r="Y125">
        <f>AT125</f>
        <v>3.9569000000000002E-3</v>
      </c>
      <c r="AA125">
        <v>8425</v>
      </c>
      <c r="AB125">
        <v>0</v>
      </c>
      <c r="AC125">
        <v>0</v>
      </c>
      <c r="AD125">
        <v>0</v>
      </c>
      <c r="AE125">
        <v>1182.18</v>
      </c>
      <c r="AF125">
        <v>0</v>
      </c>
      <c r="AG125">
        <v>0</v>
      </c>
      <c r="AH125">
        <v>0</v>
      </c>
      <c r="AI125">
        <v>7.56</v>
      </c>
      <c r="AJ125">
        <v>1</v>
      </c>
      <c r="AK125">
        <v>1</v>
      </c>
      <c r="AL125">
        <v>1</v>
      </c>
      <c r="AM125">
        <v>0</v>
      </c>
      <c r="AN125">
        <v>0</v>
      </c>
      <c r="AO125">
        <v>0</v>
      </c>
      <c r="AP125">
        <v>1</v>
      </c>
      <c r="AQ125">
        <v>0</v>
      </c>
      <c r="AR125">
        <v>0</v>
      </c>
      <c r="AS125" t="s">
        <v>6</v>
      </c>
      <c r="AT125">
        <v>3.9569000000000002E-3</v>
      </c>
      <c r="AU125" t="s">
        <v>6</v>
      </c>
      <c r="AV125">
        <v>0</v>
      </c>
      <c r="AW125">
        <v>1</v>
      </c>
      <c r="AX125">
        <v>-1</v>
      </c>
      <c r="AY125">
        <v>0</v>
      </c>
      <c r="AZ125">
        <v>0</v>
      </c>
      <c r="BA125" t="s">
        <v>6</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CV125">
        <v>0</v>
      </c>
      <c r="CW125">
        <v>0</v>
      </c>
      <c r="CX125">
        <f>ROUND(Y125*Source!I126,9)</f>
        <v>3.6720032E-2</v>
      </c>
      <c r="CY125">
        <f>AA125</f>
        <v>8425</v>
      </c>
      <c r="CZ125">
        <f>AE125</f>
        <v>1182.18</v>
      </c>
      <c r="DA125">
        <f>AI125</f>
        <v>7.56</v>
      </c>
      <c r="DB125">
        <f>ROUND(ROUND(AT125*CZ125,2),2)</f>
        <v>4.68</v>
      </c>
      <c r="DC125">
        <f>ROUND(ROUND(AT125*AG125,2),2)</f>
        <v>0</v>
      </c>
      <c r="DD125" t="s">
        <v>6</v>
      </c>
      <c r="DE125" t="s">
        <v>6</v>
      </c>
      <c r="DF125">
        <f>ROUND(ROUND(AE125*AI125,0)*CX125,0)</f>
        <v>328</v>
      </c>
      <c r="DG125">
        <f t="shared" si="48"/>
        <v>0</v>
      </c>
      <c r="DH125">
        <f>Source!I126*SmtRes!Y125</f>
        <v>3.6720032E-2</v>
      </c>
      <c r="DI125">
        <f>AA125</f>
        <v>8425</v>
      </c>
      <c r="DJ125">
        <f>DF125</f>
        <v>328</v>
      </c>
      <c r="DK125">
        <f>Source!BC126</f>
        <v>7.56</v>
      </c>
      <c r="DL125" t="s">
        <v>6</v>
      </c>
      <c r="DM125">
        <v>0</v>
      </c>
      <c r="DN125" t="s">
        <v>6</v>
      </c>
      <c r="DO125">
        <v>0</v>
      </c>
      <c r="GP125">
        <v>1</v>
      </c>
      <c r="GQ125">
        <v>-1</v>
      </c>
      <c r="GR125">
        <v>-1</v>
      </c>
    </row>
    <row r="126" spans="1:200" x14ac:dyDescent="0.2">
      <c r="A126">
        <f>ROW(Source!A126)</f>
        <v>126</v>
      </c>
      <c r="B126">
        <v>86326988</v>
      </c>
      <c r="C126">
        <v>86327353</v>
      </c>
      <c r="D126">
        <v>69204593</v>
      </c>
      <c r="E126">
        <v>1</v>
      </c>
      <c r="F126">
        <v>1</v>
      </c>
      <c r="G126">
        <v>1</v>
      </c>
      <c r="H126">
        <v>3</v>
      </c>
      <c r="I126" t="s">
        <v>217</v>
      </c>
      <c r="J126" t="s">
        <v>219</v>
      </c>
      <c r="K126" t="s">
        <v>218</v>
      </c>
      <c r="L126">
        <v>1339</v>
      </c>
      <c r="N126">
        <v>1007</v>
      </c>
      <c r="O126" t="s">
        <v>44</v>
      </c>
      <c r="P126" t="s">
        <v>44</v>
      </c>
      <c r="Q126">
        <v>1</v>
      </c>
      <c r="W126">
        <v>0</v>
      </c>
      <c r="X126">
        <v>-1920777181</v>
      </c>
      <c r="Y126">
        <f>AT126</f>
        <v>0.45724137999999998</v>
      </c>
      <c r="AA126">
        <v>3755.38</v>
      </c>
      <c r="AB126">
        <v>0</v>
      </c>
      <c r="AC126">
        <v>0</v>
      </c>
      <c r="AD126">
        <v>0</v>
      </c>
      <c r="AE126">
        <v>526.94000000000005</v>
      </c>
      <c r="AF126">
        <v>0</v>
      </c>
      <c r="AG126">
        <v>0</v>
      </c>
      <c r="AH126">
        <v>0</v>
      </c>
      <c r="AI126">
        <v>7.56</v>
      </c>
      <c r="AJ126">
        <v>1</v>
      </c>
      <c r="AK126">
        <v>1</v>
      </c>
      <c r="AL126">
        <v>1</v>
      </c>
      <c r="AM126">
        <v>0</v>
      </c>
      <c r="AN126">
        <v>0</v>
      </c>
      <c r="AO126">
        <v>0</v>
      </c>
      <c r="AP126">
        <v>1</v>
      </c>
      <c r="AQ126">
        <v>0</v>
      </c>
      <c r="AR126">
        <v>0</v>
      </c>
      <c r="AS126" t="s">
        <v>6</v>
      </c>
      <c r="AT126">
        <v>0.45724137999999998</v>
      </c>
      <c r="AU126" t="s">
        <v>6</v>
      </c>
      <c r="AV126">
        <v>0</v>
      </c>
      <c r="AW126">
        <v>1</v>
      </c>
      <c r="AX126">
        <v>-1</v>
      </c>
      <c r="AY126">
        <v>0</v>
      </c>
      <c r="AZ126">
        <v>0</v>
      </c>
      <c r="BA126" t="s">
        <v>6</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CV126">
        <v>0</v>
      </c>
      <c r="CW126">
        <v>0</v>
      </c>
      <c r="CX126">
        <f>ROUND(Y126*Source!I126,9)</f>
        <v>4.2432000060000004</v>
      </c>
      <c r="CY126">
        <f>AA126</f>
        <v>3755.38</v>
      </c>
      <c r="CZ126">
        <f>AE126</f>
        <v>526.94000000000005</v>
      </c>
      <c r="DA126">
        <f>AI126</f>
        <v>7.56</v>
      </c>
      <c r="DB126">
        <f>ROUND(ROUND(AT126*CZ126,2),2)</f>
        <v>240.94</v>
      </c>
      <c r="DC126">
        <f>ROUND(ROUND(AT126*AG126,2),2)</f>
        <v>0</v>
      </c>
      <c r="DD126" t="s">
        <v>6</v>
      </c>
      <c r="DE126" t="s">
        <v>6</v>
      </c>
      <c r="DF126">
        <f>ROUND(ROUND(AE126*AI126,0)*CX126,0)</f>
        <v>16905</v>
      </c>
      <c r="DG126">
        <f t="shared" si="48"/>
        <v>0</v>
      </c>
      <c r="DH126">
        <f>Source!I126*SmtRes!Y126</f>
        <v>4.2432000063999995</v>
      </c>
      <c r="DI126">
        <f>AA126</f>
        <v>3755.38</v>
      </c>
      <c r="DJ126">
        <f>DF126</f>
        <v>16905</v>
      </c>
      <c r="DK126">
        <f>Source!BC126</f>
        <v>7.56</v>
      </c>
      <c r="DL126" t="s">
        <v>6</v>
      </c>
      <c r="DM126">
        <v>0</v>
      </c>
      <c r="DN126" t="s">
        <v>6</v>
      </c>
      <c r="DO126">
        <v>0</v>
      </c>
      <c r="GP126">
        <v>1</v>
      </c>
      <c r="GQ126">
        <v>-1</v>
      </c>
      <c r="GR126">
        <v>-1</v>
      </c>
    </row>
    <row r="127" spans="1:200" x14ac:dyDescent="0.2">
      <c r="A127">
        <f>ROW(Source!A133)</f>
        <v>133</v>
      </c>
      <c r="B127">
        <v>86326987</v>
      </c>
      <c r="C127">
        <v>86327374</v>
      </c>
      <c r="D127">
        <v>5511010</v>
      </c>
      <c r="E127">
        <v>1</v>
      </c>
      <c r="F127">
        <v>1</v>
      </c>
      <c r="G127">
        <v>1</v>
      </c>
      <c r="H127">
        <v>1</v>
      </c>
      <c r="I127" t="s">
        <v>640</v>
      </c>
      <c r="J127" t="s">
        <v>6</v>
      </c>
      <c r="K127" t="s">
        <v>641</v>
      </c>
      <c r="L127">
        <v>1369</v>
      </c>
      <c r="N127">
        <v>1013</v>
      </c>
      <c r="O127" t="s">
        <v>625</v>
      </c>
      <c r="P127" t="s">
        <v>625</v>
      </c>
      <c r="Q127">
        <v>1</v>
      </c>
      <c r="W127">
        <v>0</v>
      </c>
      <c r="X127">
        <v>-1977858316</v>
      </c>
      <c r="Y127">
        <f>(AT127*1.05)</f>
        <v>54.110700000000001</v>
      </c>
      <c r="AA127">
        <v>0</v>
      </c>
      <c r="AB127">
        <v>0</v>
      </c>
      <c r="AC127">
        <v>0</v>
      </c>
      <c r="AD127">
        <v>11.92</v>
      </c>
      <c r="AE127">
        <v>0</v>
      </c>
      <c r="AF127">
        <v>0</v>
      </c>
      <c r="AG127">
        <v>0</v>
      </c>
      <c r="AH127">
        <v>11.92</v>
      </c>
      <c r="AI127">
        <v>1</v>
      </c>
      <c r="AJ127">
        <v>1</v>
      </c>
      <c r="AK127">
        <v>1</v>
      </c>
      <c r="AL127">
        <v>1</v>
      </c>
      <c r="AM127">
        <v>0</v>
      </c>
      <c r="AN127">
        <v>0</v>
      </c>
      <c r="AO127">
        <v>1</v>
      </c>
      <c r="AP127">
        <v>1</v>
      </c>
      <c r="AQ127">
        <v>0</v>
      </c>
      <c r="AR127">
        <v>0</v>
      </c>
      <c r="AS127" t="s">
        <v>6</v>
      </c>
      <c r="AT127">
        <v>51.533999999999999</v>
      </c>
      <c r="AU127" t="s">
        <v>25</v>
      </c>
      <c r="AV127">
        <v>1</v>
      </c>
      <c r="AW127">
        <v>2</v>
      </c>
      <c r="AX127">
        <v>86327381</v>
      </c>
      <c r="AY127">
        <v>1</v>
      </c>
      <c r="AZ127">
        <v>0</v>
      </c>
      <c r="BA127">
        <v>105</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CU127">
        <f>ROUND(AT127*Source!I133*AH127*AL127,0)</f>
        <v>406</v>
      </c>
      <c r="CV127">
        <f>ROUND(Y127*Source!I133,9)</f>
        <v>35.767172700000003</v>
      </c>
      <c r="CW127">
        <v>0</v>
      </c>
      <c r="CX127">
        <f>ROUND(Y127*Source!I133,9)</f>
        <v>35.767172700000003</v>
      </c>
      <c r="CY127">
        <f>AD127</f>
        <v>11.92</v>
      </c>
      <c r="CZ127">
        <f>AH127</f>
        <v>11.92</v>
      </c>
      <c r="DA127">
        <f>AL127</f>
        <v>1</v>
      </c>
      <c r="DB127">
        <f>ROUND((ROUND(AT127*CZ127,2)*1.05),2)</f>
        <v>645</v>
      </c>
      <c r="DC127">
        <f>ROUND((ROUND(AT127*AG127,2)*1.05),2)</f>
        <v>0</v>
      </c>
      <c r="DD127" t="s">
        <v>6</v>
      </c>
      <c r="DE127" t="s">
        <v>6</v>
      </c>
      <c r="DF127">
        <f t="shared" ref="DF127:DF137" si="49">ROUND(ROUND(AE127,0)*CX127,0)</f>
        <v>0</v>
      </c>
      <c r="DG127">
        <f t="shared" si="48"/>
        <v>0</v>
      </c>
      <c r="DH127">
        <f>Source!I133*SmtRes!Y127</f>
        <v>35.767172700000003</v>
      </c>
      <c r="DI127">
        <f>AD127</f>
        <v>11.92</v>
      </c>
      <c r="DJ127">
        <f>EtalonRes!AB105</f>
        <v>11.92</v>
      </c>
      <c r="DK127">
        <f>Source!BA133</f>
        <v>1</v>
      </c>
      <c r="DL127" t="s">
        <v>6</v>
      </c>
      <c r="DM127">
        <v>0</v>
      </c>
      <c r="DN127" t="s">
        <v>6</v>
      </c>
      <c r="DO127">
        <v>0</v>
      </c>
      <c r="GQ127">
        <v>-1</v>
      </c>
      <c r="GR127">
        <v>-1</v>
      </c>
    </row>
    <row r="128" spans="1:200" x14ac:dyDescent="0.2">
      <c r="A128">
        <f>ROW(Source!A133)</f>
        <v>133</v>
      </c>
      <c r="B128">
        <v>86326987</v>
      </c>
      <c r="C128">
        <v>86327374</v>
      </c>
      <c r="D128">
        <v>121548</v>
      </c>
      <c r="E128">
        <v>1</v>
      </c>
      <c r="F128">
        <v>1</v>
      </c>
      <c r="G128">
        <v>1</v>
      </c>
      <c r="H128">
        <v>1</v>
      </c>
      <c r="I128" t="s">
        <v>40</v>
      </c>
      <c r="J128" t="s">
        <v>6</v>
      </c>
      <c r="K128" t="s">
        <v>626</v>
      </c>
      <c r="L128">
        <v>608254</v>
      </c>
      <c r="N128">
        <v>1013</v>
      </c>
      <c r="O128" t="s">
        <v>627</v>
      </c>
      <c r="P128" t="s">
        <v>627</v>
      </c>
      <c r="Q128">
        <v>1</v>
      </c>
      <c r="W128">
        <v>0</v>
      </c>
      <c r="X128">
        <v>-185737400</v>
      </c>
      <c r="Y128">
        <f>(AT128*1.12)</f>
        <v>0.5152000000000001</v>
      </c>
      <c r="AA128">
        <v>0</v>
      </c>
      <c r="AB128">
        <v>0</v>
      </c>
      <c r="AC128">
        <v>0</v>
      </c>
      <c r="AD128">
        <v>0</v>
      </c>
      <c r="AE128">
        <v>0</v>
      </c>
      <c r="AF128">
        <v>0</v>
      </c>
      <c r="AG128">
        <v>0</v>
      </c>
      <c r="AH128">
        <v>0</v>
      </c>
      <c r="AI128">
        <v>1</v>
      </c>
      <c r="AJ128">
        <v>1</v>
      </c>
      <c r="AK128">
        <v>1</v>
      </c>
      <c r="AL128">
        <v>1</v>
      </c>
      <c r="AM128">
        <v>0</v>
      </c>
      <c r="AN128">
        <v>0</v>
      </c>
      <c r="AO128">
        <v>1</v>
      </c>
      <c r="AP128">
        <v>1</v>
      </c>
      <c r="AQ128">
        <v>0</v>
      </c>
      <c r="AR128">
        <v>0</v>
      </c>
      <c r="AS128" t="s">
        <v>6</v>
      </c>
      <c r="AT128">
        <v>0.46</v>
      </c>
      <c r="AU128" t="s">
        <v>24</v>
      </c>
      <c r="AV128">
        <v>2</v>
      </c>
      <c r="AW128">
        <v>2</v>
      </c>
      <c r="AX128">
        <v>86327382</v>
      </c>
      <c r="AY128">
        <v>1</v>
      </c>
      <c r="AZ128">
        <v>0</v>
      </c>
      <c r="BA128">
        <v>106</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CV128">
        <v>0</v>
      </c>
      <c r="CW128">
        <v>0</v>
      </c>
      <c r="CX128">
        <f>ROUND(Y128*Source!I133,9)</f>
        <v>0.34054719999999999</v>
      </c>
      <c r="CY128">
        <f>AD128</f>
        <v>0</v>
      </c>
      <c r="CZ128">
        <f>AH128</f>
        <v>0</v>
      </c>
      <c r="DA128">
        <f>AL128</f>
        <v>1</v>
      </c>
      <c r="DB128">
        <f>ROUND((ROUND(AT128*CZ128,2)*1.12),2)</f>
        <v>0</v>
      </c>
      <c r="DC128">
        <f>ROUND((ROUND(AT128*AG128,2)*1.12),2)</f>
        <v>0</v>
      </c>
      <c r="DD128" t="s">
        <v>6</v>
      </c>
      <c r="DE128" t="s">
        <v>6</v>
      </c>
      <c r="DF128">
        <f t="shared" si="49"/>
        <v>0</v>
      </c>
      <c r="DG128">
        <f t="shared" si="48"/>
        <v>0</v>
      </c>
      <c r="DH128">
        <f>Source!I133*SmtRes!Y128</f>
        <v>0.34054720000000011</v>
      </c>
      <c r="DI128">
        <f>AD128</f>
        <v>0</v>
      </c>
      <c r="DJ128">
        <f>EtalonRes!AB106</f>
        <v>0</v>
      </c>
      <c r="DK128">
        <f>Source!BA133</f>
        <v>1</v>
      </c>
      <c r="DL128" t="s">
        <v>6</v>
      </c>
      <c r="DM128">
        <v>0</v>
      </c>
      <c r="DN128" t="s">
        <v>6</v>
      </c>
      <c r="DO128">
        <v>0</v>
      </c>
      <c r="GQ128">
        <v>-1</v>
      </c>
      <c r="GR128">
        <v>-1</v>
      </c>
    </row>
    <row r="129" spans="1:200" x14ac:dyDescent="0.2">
      <c r="A129">
        <f>ROW(Source!A133)</f>
        <v>133</v>
      </c>
      <c r="B129">
        <v>86326987</v>
      </c>
      <c r="C129">
        <v>86327374</v>
      </c>
      <c r="D129">
        <v>35950917</v>
      </c>
      <c r="E129">
        <v>1</v>
      </c>
      <c r="F129">
        <v>1</v>
      </c>
      <c r="G129">
        <v>1</v>
      </c>
      <c r="H129">
        <v>2</v>
      </c>
      <c r="I129" t="s">
        <v>628</v>
      </c>
      <c r="J129" t="s">
        <v>642</v>
      </c>
      <c r="K129" t="s">
        <v>643</v>
      </c>
      <c r="L129">
        <v>1368</v>
      </c>
      <c r="N129">
        <v>1011</v>
      </c>
      <c r="O129" t="s">
        <v>137</v>
      </c>
      <c r="P129" t="s">
        <v>137</v>
      </c>
      <c r="Q129">
        <v>1</v>
      </c>
      <c r="W129">
        <v>0</v>
      </c>
      <c r="X129">
        <v>1919308296</v>
      </c>
      <c r="Y129">
        <f>(AT129*1.12)</f>
        <v>0.4032</v>
      </c>
      <c r="AA129">
        <v>0</v>
      </c>
      <c r="AB129">
        <v>115.64</v>
      </c>
      <c r="AC129">
        <v>11.18</v>
      </c>
      <c r="AD129">
        <v>0</v>
      </c>
      <c r="AE129">
        <v>0</v>
      </c>
      <c r="AF129">
        <v>115.64</v>
      </c>
      <c r="AG129">
        <v>11.18</v>
      </c>
      <c r="AH129">
        <v>0</v>
      </c>
      <c r="AI129">
        <v>1</v>
      </c>
      <c r="AJ129">
        <v>1</v>
      </c>
      <c r="AK129">
        <v>1</v>
      </c>
      <c r="AL129">
        <v>1</v>
      </c>
      <c r="AM129">
        <v>0</v>
      </c>
      <c r="AN129">
        <v>0</v>
      </c>
      <c r="AO129">
        <v>1</v>
      </c>
      <c r="AP129">
        <v>1</v>
      </c>
      <c r="AQ129">
        <v>0</v>
      </c>
      <c r="AR129">
        <v>0</v>
      </c>
      <c r="AS129" t="s">
        <v>6</v>
      </c>
      <c r="AT129">
        <v>0.36</v>
      </c>
      <c r="AU129" t="s">
        <v>24</v>
      </c>
      <c r="AV129">
        <v>0</v>
      </c>
      <c r="AW129">
        <v>2</v>
      </c>
      <c r="AX129">
        <v>86327383</v>
      </c>
      <c r="AY129">
        <v>1</v>
      </c>
      <c r="AZ129">
        <v>0</v>
      </c>
      <c r="BA129">
        <v>107</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CV129">
        <v>0</v>
      </c>
      <c r="CW129">
        <f>ROUND(Y129*Source!I133*DO129,9)</f>
        <v>0</v>
      </c>
      <c r="CX129">
        <f>ROUND(Y129*Source!I133,9)</f>
        <v>0.26651520000000001</v>
      </c>
      <c r="CY129">
        <f>AB129</f>
        <v>115.64</v>
      </c>
      <c r="CZ129">
        <f>AF129</f>
        <v>115.64</v>
      </c>
      <c r="DA129">
        <f>AJ129</f>
        <v>1</v>
      </c>
      <c r="DB129">
        <f>ROUND((ROUND(AT129*CZ129,2)*1.12),2)</f>
        <v>46.63</v>
      </c>
      <c r="DC129">
        <f>ROUND((ROUND(AT129*AG129,2)*1.12),2)</f>
        <v>4.5</v>
      </c>
      <c r="DD129" t="s">
        <v>6</v>
      </c>
      <c r="DE129" t="s">
        <v>6</v>
      </c>
      <c r="DF129">
        <f t="shared" si="49"/>
        <v>0</v>
      </c>
      <c r="DG129">
        <f t="shared" si="48"/>
        <v>31</v>
      </c>
      <c r="DH129">
        <f>Source!I133*SmtRes!Y129</f>
        <v>0.26651520000000001</v>
      </c>
      <c r="DI129">
        <f>AB129</f>
        <v>115.64</v>
      </c>
      <c r="DJ129">
        <f>EtalonRes!Z107</f>
        <v>115.64</v>
      </c>
      <c r="DK129">
        <f>Source!BB133</f>
        <v>1</v>
      </c>
      <c r="DL129" t="s">
        <v>6</v>
      </c>
      <c r="DM129">
        <v>0</v>
      </c>
      <c r="DN129" t="s">
        <v>6</v>
      </c>
      <c r="DO129">
        <v>0</v>
      </c>
      <c r="GQ129">
        <v>-1</v>
      </c>
      <c r="GR129">
        <v>-1</v>
      </c>
    </row>
    <row r="130" spans="1:200" x14ac:dyDescent="0.2">
      <c r="A130">
        <f>ROW(Source!A133)</f>
        <v>133</v>
      </c>
      <c r="B130">
        <v>86326987</v>
      </c>
      <c r="C130">
        <v>86327374</v>
      </c>
      <c r="D130">
        <v>35950918</v>
      </c>
      <c r="E130">
        <v>1</v>
      </c>
      <c r="F130">
        <v>1</v>
      </c>
      <c r="G130">
        <v>1</v>
      </c>
      <c r="H130">
        <v>2</v>
      </c>
      <c r="I130" t="s">
        <v>631</v>
      </c>
      <c r="J130" t="s">
        <v>644</v>
      </c>
      <c r="K130" t="s">
        <v>645</v>
      </c>
      <c r="L130">
        <v>1368</v>
      </c>
      <c r="N130">
        <v>1011</v>
      </c>
      <c r="O130" t="s">
        <v>137</v>
      </c>
      <c r="P130" t="s">
        <v>137</v>
      </c>
      <c r="Q130">
        <v>1</v>
      </c>
      <c r="W130">
        <v>0</v>
      </c>
      <c r="X130">
        <v>-629854247</v>
      </c>
      <c r="Y130">
        <f>(AT130*1.12)</f>
        <v>0.11200000000000002</v>
      </c>
      <c r="AA130">
        <v>0</v>
      </c>
      <c r="AB130">
        <v>112.67</v>
      </c>
      <c r="AC130">
        <v>13.02</v>
      </c>
      <c r="AD130">
        <v>0</v>
      </c>
      <c r="AE130">
        <v>0</v>
      </c>
      <c r="AF130">
        <v>112.67</v>
      </c>
      <c r="AG130">
        <v>13.02</v>
      </c>
      <c r="AH130">
        <v>0</v>
      </c>
      <c r="AI130">
        <v>1</v>
      </c>
      <c r="AJ130">
        <v>1</v>
      </c>
      <c r="AK130">
        <v>1</v>
      </c>
      <c r="AL130">
        <v>1</v>
      </c>
      <c r="AM130">
        <v>0</v>
      </c>
      <c r="AN130">
        <v>0</v>
      </c>
      <c r="AO130">
        <v>1</v>
      </c>
      <c r="AP130">
        <v>1</v>
      </c>
      <c r="AQ130">
        <v>0</v>
      </c>
      <c r="AR130">
        <v>0</v>
      </c>
      <c r="AS130" t="s">
        <v>6</v>
      </c>
      <c r="AT130">
        <v>0.1</v>
      </c>
      <c r="AU130" t="s">
        <v>24</v>
      </c>
      <c r="AV130">
        <v>0</v>
      </c>
      <c r="AW130">
        <v>2</v>
      </c>
      <c r="AX130">
        <v>86327384</v>
      </c>
      <c r="AY130">
        <v>1</v>
      </c>
      <c r="AZ130">
        <v>0</v>
      </c>
      <c r="BA130">
        <v>108</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CV130">
        <v>0</v>
      </c>
      <c r="CW130">
        <f>ROUND(Y130*Source!I133*DO130,9)</f>
        <v>0</v>
      </c>
      <c r="CX130">
        <f>ROUND(Y130*Source!I133,9)</f>
        <v>7.4032000000000001E-2</v>
      </c>
      <c r="CY130">
        <f>AB130</f>
        <v>112.67</v>
      </c>
      <c r="CZ130">
        <f>AF130</f>
        <v>112.67</v>
      </c>
      <c r="DA130">
        <f>AJ130</f>
        <v>1</v>
      </c>
      <c r="DB130">
        <f>ROUND((ROUND(AT130*CZ130,2)*1.12),2)</f>
        <v>12.62</v>
      </c>
      <c r="DC130">
        <f>ROUND((ROUND(AT130*AG130,2)*1.12),2)</f>
        <v>1.46</v>
      </c>
      <c r="DD130" t="s">
        <v>6</v>
      </c>
      <c r="DE130" t="s">
        <v>6</v>
      </c>
      <c r="DF130">
        <f t="shared" si="49"/>
        <v>0</v>
      </c>
      <c r="DG130">
        <f t="shared" si="48"/>
        <v>8</v>
      </c>
      <c r="DH130">
        <f>Source!I133*SmtRes!Y130</f>
        <v>7.4032000000000014E-2</v>
      </c>
      <c r="DI130">
        <f>AB130</f>
        <v>112.67</v>
      </c>
      <c r="DJ130">
        <f>EtalonRes!Z108</f>
        <v>112.67</v>
      </c>
      <c r="DK130">
        <f>Source!BB133</f>
        <v>1</v>
      </c>
      <c r="DL130" t="s">
        <v>6</v>
      </c>
      <c r="DM130">
        <v>0</v>
      </c>
      <c r="DN130" t="s">
        <v>6</v>
      </c>
      <c r="DO130">
        <v>0</v>
      </c>
      <c r="GQ130">
        <v>-1</v>
      </c>
      <c r="GR130">
        <v>-1</v>
      </c>
    </row>
    <row r="131" spans="1:200" x14ac:dyDescent="0.2">
      <c r="A131">
        <f>ROW(Source!A133)</f>
        <v>133</v>
      </c>
      <c r="B131">
        <v>86326987</v>
      </c>
      <c r="C131">
        <v>86327374</v>
      </c>
      <c r="D131">
        <v>35950919</v>
      </c>
      <c r="E131">
        <v>1</v>
      </c>
      <c r="F131">
        <v>1</v>
      </c>
      <c r="G131">
        <v>1</v>
      </c>
      <c r="H131">
        <v>2</v>
      </c>
      <c r="I131" t="s">
        <v>637</v>
      </c>
      <c r="J131" t="s">
        <v>646</v>
      </c>
      <c r="K131" t="s">
        <v>639</v>
      </c>
      <c r="L131">
        <v>1368</v>
      </c>
      <c r="N131">
        <v>1011</v>
      </c>
      <c r="O131" t="s">
        <v>137</v>
      </c>
      <c r="P131" t="s">
        <v>137</v>
      </c>
      <c r="Q131">
        <v>1</v>
      </c>
      <c r="W131">
        <v>0</v>
      </c>
      <c r="X131">
        <v>-1317427794</v>
      </c>
      <c r="Y131">
        <f>(AT131*1.12)</f>
        <v>0.15680000000000002</v>
      </c>
      <c r="AA131">
        <v>0</v>
      </c>
      <c r="AB131">
        <v>93.37</v>
      </c>
      <c r="AC131">
        <v>11.69</v>
      </c>
      <c r="AD131">
        <v>0</v>
      </c>
      <c r="AE131">
        <v>0</v>
      </c>
      <c r="AF131">
        <v>93.37</v>
      </c>
      <c r="AG131">
        <v>11.69</v>
      </c>
      <c r="AH131">
        <v>0</v>
      </c>
      <c r="AI131">
        <v>1</v>
      </c>
      <c r="AJ131">
        <v>1</v>
      </c>
      <c r="AK131">
        <v>1</v>
      </c>
      <c r="AL131">
        <v>1</v>
      </c>
      <c r="AM131">
        <v>0</v>
      </c>
      <c r="AN131">
        <v>0</v>
      </c>
      <c r="AO131">
        <v>1</v>
      </c>
      <c r="AP131">
        <v>1</v>
      </c>
      <c r="AQ131">
        <v>0</v>
      </c>
      <c r="AR131">
        <v>0</v>
      </c>
      <c r="AS131" t="s">
        <v>6</v>
      </c>
      <c r="AT131">
        <v>0.14000000000000001</v>
      </c>
      <c r="AU131" t="s">
        <v>24</v>
      </c>
      <c r="AV131">
        <v>0</v>
      </c>
      <c r="AW131">
        <v>2</v>
      </c>
      <c r="AX131">
        <v>86327385</v>
      </c>
      <c r="AY131">
        <v>1</v>
      </c>
      <c r="AZ131">
        <v>0</v>
      </c>
      <c r="BA131">
        <v>109</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CV131">
        <v>0</v>
      </c>
      <c r="CW131">
        <f>ROUND(Y131*Source!I133*DO131,9)</f>
        <v>0</v>
      </c>
      <c r="CX131">
        <f>ROUND(Y131*Source!I133,9)</f>
        <v>0.1036448</v>
      </c>
      <c r="CY131">
        <f>AB131</f>
        <v>93.37</v>
      </c>
      <c r="CZ131">
        <f>AF131</f>
        <v>93.37</v>
      </c>
      <c r="DA131">
        <f>AJ131</f>
        <v>1</v>
      </c>
      <c r="DB131">
        <f>ROUND((ROUND(AT131*CZ131,2)*1.12),2)</f>
        <v>14.64</v>
      </c>
      <c r="DC131">
        <f>ROUND((ROUND(AT131*AG131,2)*1.12),2)</f>
        <v>1.84</v>
      </c>
      <c r="DD131" t="s">
        <v>6</v>
      </c>
      <c r="DE131" t="s">
        <v>6</v>
      </c>
      <c r="DF131">
        <f t="shared" si="49"/>
        <v>0</v>
      </c>
      <c r="DG131">
        <f t="shared" si="48"/>
        <v>10</v>
      </c>
      <c r="DH131">
        <f>Source!I133*SmtRes!Y131</f>
        <v>0.10364480000000002</v>
      </c>
      <c r="DI131">
        <f>AB131</f>
        <v>93.37</v>
      </c>
      <c r="DJ131">
        <f>EtalonRes!Z109</f>
        <v>93.37</v>
      </c>
      <c r="DK131">
        <f>Source!BB133</f>
        <v>1</v>
      </c>
      <c r="DL131" t="s">
        <v>6</v>
      </c>
      <c r="DM131">
        <v>0</v>
      </c>
      <c r="DN131" t="s">
        <v>6</v>
      </c>
      <c r="DO131">
        <v>0</v>
      </c>
      <c r="GQ131">
        <v>-1</v>
      </c>
      <c r="GR131">
        <v>-1</v>
      </c>
    </row>
    <row r="132" spans="1:200" x14ac:dyDescent="0.2">
      <c r="A132">
        <f>ROW(Source!A133)</f>
        <v>133</v>
      </c>
      <c r="B132">
        <v>86326987</v>
      </c>
      <c r="C132">
        <v>86327374</v>
      </c>
      <c r="D132">
        <v>52930024</v>
      </c>
      <c r="E132">
        <v>1</v>
      </c>
      <c r="F132">
        <v>1</v>
      </c>
      <c r="G132">
        <v>1</v>
      </c>
      <c r="H132">
        <v>3</v>
      </c>
      <c r="I132" t="s">
        <v>226</v>
      </c>
      <c r="J132" t="s">
        <v>228</v>
      </c>
      <c r="K132" t="s">
        <v>227</v>
      </c>
      <c r="L132">
        <v>1348</v>
      </c>
      <c r="N132">
        <v>1009</v>
      </c>
      <c r="O132" t="s">
        <v>33</v>
      </c>
      <c r="P132" t="s">
        <v>33</v>
      </c>
      <c r="Q132">
        <v>1000</v>
      </c>
      <c r="W132">
        <v>0</v>
      </c>
      <c r="X132">
        <v>-1683247353</v>
      </c>
      <c r="Y132">
        <f>AT132</f>
        <v>1</v>
      </c>
      <c r="AA132">
        <v>5132.8999999999996</v>
      </c>
      <c r="AB132">
        <v>0</v>
      </c>
      <c r="AC132">
        <v>0</v>
      </c>
      <c r="AD132">
        <v>0</v>
      </c>
      <c r="AE132">
        <v>5132.8999999999996</v>
      </c>
      <c r="AF132">
        <v>0</v>
      </c>
      <c r="AG132">
        <v>0</v>
      </c>
      <c r="AH132">
        <v>0</v>
      </c>
      <c r="AI132">
        <v>1</v>
      </c>
      <c r="AJ132">
        <v>1</v>
      </c>
      <c r="AK132">
        <v>1</v>
      </c>
      <c r="AL132">
        <v>1</v>
      </c>
      <c r="AM132">
        <v>0</v>
      </c>
      <c r="AN132">
        <v>0</v>
      </c>
      <c r="AO132">
        <v>0</v>
      </c>
      <c r="AP132">
        <v>1</v>
      </c>
      <c r="AQ132">
        <v>0</v>
      </c>
      <c r="AR132">
        <v>0</v>
      </c>
      <c r="AS132" t="s">
        <v>6</v>
      </c>
      <c r="AT132">
        <v>1</v>
      </c>
      <c r="AU132" t="s">
        <v>6</v>
      </c>
      <c r="AV132">
        <v>0</v>
      </c>
      <c r="AW132">
        <v>1</v>
      </c>
      <c r="AX132">
        <v>-1</v>
      </c>
      <c r="AY132">
        <v>0</v>
      </c>
      <c r="AZ132">
        <v>0</v>
      </c>
      <c r="BA132" t="s">
        <v>6</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CV132">
        <v>0</v>
      </c>
      <c r="CW132">
        <v>0</v>
      </c>
      <c r="CX132">
        <f>ROUND(Y132*Source!I133,9)</f>
        <v>0.66100000000000003</v>
      </c>
      <c r="CY132">
        <f>AA132</f>
        <v>5132.8999999999996</v>
      </c>
      <c r="CZ132">
        <f>AE132</f>
        <v>5132.8999999999996</v>
      </c>
      <c r="DA132">
        <f>AI132</f>
        <v>1</v>
      </c>
      <c r="DB132">
        <f>ROUND(ROUND(AT132*CZ132,2),2)</f>
        <v>5132.8999999999996</v>
      </c>
      <c r="DC132">
        <f>ROUND(ROUND(AT132*AG132,2),2)</f>
        <v>0</v>
      </c>
      <c r="DD132" t="s">
        <v>6</v>
      </c>
      <c r="DE132" t="s">
        <v>6</v>
      </c>
      <c r="DF132">
        <f t="shared" si="49"/>
        <v>3393</v>
      </c>
      <c r="DG132">
        <f t="shared" si="48"/>
        <v>0</v>
      </c>
      <c r="DH132">
        <f>Source!I133*SmtRes!Y132</f>
        <v>0.66100000000000003</v>
      </c>
      <c r="DI132">
        <f>AA132</f>
        <v>5132.8999999999996</v>
      </c>
      <c r="DJ132">
        <f>DF132</f>
        <v>3393</v>
      </c>
      <c r="DK132">
        <f>Source!BC133</f>
        <v>1</v>
      </c>
      <c r="DL132" t="s">
        <v>6</v>
      </c>
      <c r="DM132">
        <v>0</v>
      </c>
      <c r="DN132" t="s">
        <v>6</v>
      </c>
      <c r="DO132">
        <v>0</v>
      </c>
      <c r="GP132">
        <v>1</v>
      </c>
      <c r="GQ132">
        <v>-1</v>
      </c>
      <c r="GR132">
        <v>-1</v>
      </c>
    </row>
    <row r="133" spans="1:200" x14ac:dyDescent="0.2">
      <c r="A133">
        <f>ROW(Source!A134)</f>
        <v>134</v>
      </c>
      <c r="B133">
        <v>86326988</v>
      </c>
      <c r="C133">
        <v>86327374</v>
      </c>
      <c r="D133">
        <v>5511010</v>
      </c>
      <c r="E133">
        <v>1</v>
      </c>
      <c r="F133">
        <v>1</v>
      </c>
      <c r="G133">
        <v>1</v>
      </c>
      <c r="H133">
        <v>1</v>
      </c>
      <c r="I133" t="s">
        <v>640</v>
      </c>
      <c r="J133" t="s">
        <v>6</v>
      </c>
      <c r="K133" t="s">
        <v>641</v>
      </c>
      <c r="L133">
        <v>1369</v>
      </c>
      <c r="N133">
        <v>1013</v>
      </c>
      <c r="O133" t="s">
        <v>625</v>
      </c>
      <c r="P133" t="s">
        <v>625</v>
      </c>
      <c r="Q133">
        <v>1</v>
      </c>
      <c r="W133">
        <v>0</v>
      </c>
      <c r="X133">
        <v>-1977858316</v>
      </c>
      <c r="Y133">
        <f>(AT133*1.05)</f>
        <v>54.110700000000001</v>
      </c>
      <c r="AA133">
        <v>0</v>
      </c>
      <c r="AB133">
        <v>0</v>
      </c>
      <c r="AC133">
        <v>0</v>
      </c>
      <c r="AD133">
        <v>302.29000000000002</v>
      </c>
      <c r="AE133">
        <v>0</v>
      </c>
      <c r="AF133">
        <v>0</v>
      </c>
      <c r="AG133">
        <v>0</v>
      </c>
      <c r="AH133">
        <v>11.92</v>
      </c>
      <c r="AI133">
        <v>1</v>
      </c>
      <c r="AJ133">
        <v>1</v>
      </c>
      <c r="AK133">
        <v>1</v>
      </c>
      <c r="AL133">
        <v>25.36</v>
      </c>
      <c r="AM133">
        <v>5</v>
      </c>
      <c r="AN133">
        <v>0</v>
      </c>
      <c r="AO133">
        <v>1</v>
      </c>
      <c r="AP133">
        <v>1</v>
      </c>
      <c r="AQ133">
        <v>0</v>
      </c>
      <c r="AR133">
        <v>0</v>
      </c>
      <c r="AS133" t="s">
        <v>6</v>
      </c>
      <c r="AT133">
        <v>51.533999999999999</v>
      </c>
      <c r="AU133" t="s">
        <v>25</v>
      </c>
      <c r="AV133">
        <v>1</v>
      </c>
      <c r="AW133">
        <v>2</v>
      </c>
      <c r="AX133">
        <v>86327381</v>
      </c>
      <c r="AY133">
        <v>1</v>
      </c>
      <c r="AZ133">
        <v>0</v>
      </c>
      <c r="BA133">
        <v>112</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CU133">
        <f>ROUND(AT133*Source!I134*AH133*AL133,0)</f>
        <v>10297</v>
      </c>
      <c r="CV133">
        <f>ROUND(Y133*Source!I134,9)</f>
        <v>35.767172700000003</v>
      </c>
      <c r="CW133">
        <v>0</v>
      </c>
      <c r="CX133">
        <f>ROUND(Y133*Source!I134,9)</f>
        <v>35.767172700000003</v>
      </c>
      <c r="CY133">
        <f>AD133</f>
        <v>302.29000000000002</v>
      </c>
      <c r="CZ133">
        <f>AH133</f>
        <v>11.92</v>
      </c>
      <c r="DA133">
        <f>AL133</f>
        <v>25.36</v>
      </c>
      <c r="DB133">
        <f>ROUND((ROUND(AT133*CZ133,2)*1.05),2)</f>
        <v>645</v>
      </c>
      <c r="DC133">
        <f>ROUND((ROUND(AT133*AG133,2)*1.05),2)</f>
        <v>0</v>
      </c>
      <c r="DD133" t="s">
        <v>6</v>
      </c>
      <c r="DE133" t="s">
        <v>6</v>
      </c>
      <c r="DF133">
        <f t="shared" si="49"/>
        <v>0</v>
      </c>
      <c r="DG133">
        <f t="shared" si="48"/>
        <v>0</v>
      </c>
      <c r="DH133">
        <f>Source!I134*SmtRes!Y133</f>
        <v>35.767172700000003</v>
      </c>
      <c r="DI133">
        <f>AD133</f>
        <v>302.29000000000002</v>
      </c>
      <c r="DJ133">
        <f>EtalonRes!AB112</f>
        <v>11.92</v>
      </c>
      <c r="DK133">
        <f>Source!BA134</f>
        <v>25.36</v>
      </c>
      <c r="DL133" t="s">
        <v>6</v>
      </c>
      <c r="DM133">
        <v>0</v>
      </c>
      <c r="DN133" t="s">
        <v>6</v>
      </c>
      <c r="DO133">
        <v>0</v>
      </c>
      <c r="GQ133">
        <v>-1</v>
      </c>
      <c r="GR133">
        <v>-1</v>
      </c>
    </row>
    <row r="134" spans="1:200" x14ac:dyDescent="0.2">
      <c r="A134">
        <f>ROW(Source!A134)</f>
        <v>134</v>
      </c>
      <c r="B134">
        <v>86326988</v>
      </c>
      <c r="C134">
        <v>86327374</v>
      </c>
      <c r="D134">
        <v>121548</v>
      </c>
      <c r="E134">
        <v>1</v>
      </c>
      <c r="F134">
        <v>1</v>
      </c>
      <c r="G134">
        <v>1</v>
      </c>
      <c r="H134">
        <v>1</v>
      </c>
      <c r="I134" t="s">
        <v>40</v>
      </c>
      <c r="J134" t="s">
        <v>6</v>
      </c>
      <c r="K134" t="s">
        <v>626</v>
      </c>
      <c r="L134">
        <v>608254</v>
      </c>
      <c r="N134">
        <v>1013</v>
      </c>
      <c r="O134" t="s">
        <v>627</v>
      </c>
      <c r="P134" t="s">
        <v>627</v>
      </c>
      <c r="Q134">
        <v>1</v>
      </c>
      <c r="W134">
        <v>0</v>
      </c>
      <c r="X134">
        <v>-185737400</v>
      </c>
      <c r="Y134">
        <f>(AT134*1.12)</f>
        <v>0.5152000000000001</v>
      </c>
      <c r="AA134">
        <v>0</v>
      </c>
      <c r="AB134">
        <v>0</v>
      </c>
      <c r="AC134">
        <v>0</v>
      </c>
      <c r="AD134">
        <v>0</v>
      </c>
      <c r="AE134">
        <v>0</v>
      </c>
      <c r="AF134">
        <v>0</v>
      </c>
      <c r="AG134">
        <v>0</v>
      </c>
      <c r="AH134">
        <v>0</v>
      </c>
      <c r="AI134">
        <v>1</v>
      </c>
      <c r="AJ134">
        <v>1</v>
      </c>
      <c r="AK134">
        <v>19.8</v>
      </c>
      <c r="AL134">
        <v>1</v>
      </c>
      <c r="AM134">
        <v>5</v>
      </c>
      <c r="AN134">
        <v>0</v>
      </c>
      <c r="AO134">
        <v>1</v>
      </c>
      <c r="AP134">
        <v>1</v>
      </c>
      <c r="AQ134">
        <v>0</v>
      </c>
      <c r="AR134">
        <v>0</v>
      </c>
      <c r="AS134" t="s">
        <v>6</v>
      </c>
      <c r="AT134">
        <v>0.46</v>
      </c>
      <c r="AU134" t="s">
        <v>24</v>
      </c>
      <c r="AV134">
        <v>2</v>
      </c>
      <c r="AW134">
        <v>2</v>
      </c>
      <c r="AX134">
        <v>86327382</v>
      </c>
      <c r="AY134">
        <v>1</v>
      </c>
      <c r="AZ134">
        <v>0</v>
      </c>
      <c r="BA134">
        <v>113</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CV134">
        <v>0</v>
      </c>
      <c r="CW134">
        <v>0</v>
      </c>
      <c r="CX134">
        <f>ROUND(Y134*Source!I134,9)</f>
        <v>0.34054719999999999</v>
      </c>
      <c r="CY134">
        <f>AD134</f>
        <v>0</v>
      </c>
      <c r="CZ134">
        <f>AH134</f>
        <v>0</v>
      </c>
      <c r="DA134">
        <f>AL134</f>
        <v>1</v>
      </c>
      <c r="DB134">
        <f>ROUND((ROUND(AT134*CZ134,2)*1.12),2)</f>
        <v>0</v>
      </c>
      <c r="DC134">
        <f>ROUND((ROUND(AT134*AG134,2)*1.12),2)</f>
        <v>0</v>
      </c>
      <c r="DD134" t="s">
        <v>6</v>
      </c>
      <c r="DE134" t="s">
        <v>6</v>
      </c>
      <c r="DF134">
        <f t="shared" si="49"/>
        <v>0</v>
      </c>
      <c r="DG134">
        <f t="shared" si="48"/>
        <v>0</v>
      </c>
      <c r="DH134">
        <f>Source!I134*SmtRes!Y134</f>
        <v>0.34054720000000011</v>
      </c>
      <c r="DI134">
        <f>AD134</f>
        <v>0</v>
      </c>
      <c r="DJ134">
        <f>EtalonRes!AB113</f>
        <v>0</v>
      </c>
      <c r="DK134">
        <f>Source!BA134</f>
        <v>25.36</v>
      </c>
      <c r="DL134" t="s">
        <v>6</v>
      </c>
      <c r="DM134">
        <v>0</v>
      </c>
      <c r="DN134" t="s">
        <v>6</v>
      </c>
      <c r="DO134">
        <v>0</v>
      </c>
      <c r="GQ134">
        <v>-1</v>
      </c>
      <c r="GR134">
        <v>-1</v>
      </c>
    </row>
    <row r="135" spans="1:200" x14ac:dyDescent="0.2">
      <c r="A135">
        <f>ROW(Source!A134)</f>
        <v>134</v>
      </c>
      <c r="B135">
        <v>86326988</v>
      </c>
      <c r="C135">
        <v>86327374</v>
      </c>
      <c r="D135">
        <v>35950917</v>
      </c>
      <c r="E135">
        <v>1</v>
      </c>
      <c r="F135">
        <v>1</v>
      </c>
      <c r="G135">
        <v>1</v>
      </c>
      <c r="H135">
        <v>2</v>
      </c>
      <c r="I135" t="s">
        <v>628</v>
      </c>
      <c r="J135" t="s">
        <v>642</v>
      </c>
      <c r="K135" t="s">
        <v>643</v>
      </c>
      <c r="L135">
        <v>1368</v>
      </c>
      <c r="N135">
        <v>1011</v>
      </c>
      <c r="O135" t="s">
        <v>137</v>
      </c>
      <c r="P135" t="s">
        <v>137</v>
      </c>
      <c r="Q135">
        <v>1</v>
      </c>
      <c r="W135">
        <v>0</v>
      </c>
      <c r="X135">
        <v>1919308296</v>
      </c>
      <c r="Y135">
        <f>(AT135*1.12)</f>
        <v>0.4032</v>
      </c>
      <c r="AA135">
        <v>0</v>
      </c>
      <c r="AB135">
        <v>906.62</v>
      </c>
      <c r="AC135">
        <v>221.36</v>
      </c>
      <c r="AD135">
        <v>0</v>
      </c>
      <c r="AE135">
        <v>0</v>
      </c>
      <c r="AF135">
        <v>115.64</v>
      </c>
      <c r="AG135">
        <v>11.18</v>
      </c>
      <c r="AH135">
        <v>0</v>
      </c>
      <c r="AI135">
        <v>1</v>
      </c>
      <c r="AJ135">
        <v>7.84</v>
      </c>
      <c r="AK135">
        <v>19.8</v>
      </c>
      <c r="AL135">
        <v>1</v>
      </c>
      <c r="AM135">
        <v>5</v>
      </c>
      <c r="AN135">
        <v>0</v>
      </c>
      <c r="AO135">
        <v>1</v>
      </c>
      <c r="AP135">
        <v>1</v>
      </c>
      <c r="AQ135">
        <v>0</v>
      </c>
      <c r="AR135">
        <v>0</v>
      </c>
      <c r="AS135" t="s">
        <v>6</v>
      </c>
      <c r="AT135">
        <v>0.36</v>
      </c>
      <c r="AU135" t="s">
        <v>24</v>
      </c>
      <c r="AV135">
        <v>0</v>
      </c>
      <c r="AW135">
        <v>2</v>
      </c>
      <c r="AX135">
        <v>86327383</v>
      </c>
      <c r="AY135">
        <v>1</v>
      </c>
      <c r="AZ135">
        <v>0</v>
      </c>
      <c r="BA135">
        <v>114</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CV135">
        <v>0</v>
      </c>
      <c r="CW135">
        <f>ROUND(Y135*Source!I134*DO135,9)</f>
        <v>0</v>
      </c>
      <c r="CX135">
        <f>ROUND(Y135*Source!I134,9)</f>
        <v>0.26651520000000001</v>
      </c>
      <c r="CY135">
        <f>AB135</f>
        <v>906.62</v>
      </c>
      <c r="CZ135">
        <f>AF135</f>
        <v>115.64</v>
      </c>
      <c r="DA135">
        <f>AJ135</f>
        <v>7.84</v>
      </c>
      <c r="DB135">
        <f>ROUND((ROUND(AT135*CZ135,2)*1.12),2)</f>
        <v>46.63</v>
      </c>
      <c r="DC135">
        <f>ROUND((ROUND(AT135*AG135,2)*1.12),2)</f>
        <v>4.5</v>
      </c>
      <c r="DD135" t="s">
        <v>6</v>
      </c>
      <c r="DE135" t="s">
        <v>6</v>
      </c>
      <c r="DF135">
        <f t="shared" si="49"/>
        <v>0</v>
      </c>
      <c r="DG135">
        <f>ROUND(ROUND(AF135*AJ135,0)*CX135,0)</f>
        <v>242</v>
      </c>
      <c r="DH135">
        <f>Source!I134*SmtRes!Y135</f>
        <v>0.26651520000000001</v>
      </c>
      <c r="DI135">
        <f>AB135</f>
        <v>906.62</v>
      </c>
      <c r="DJ135">
        <f>EtalonRes!Z114</f>
        <v>115.64</v>
      </c>
      <c r="DK135">
        <f>Source!BB134</f>
        <v>7.84</v>
      </c>
      <c r="DL135" t="s">
        <v>6</v>
      </c>
      <c r="DM135">
        <v>0</v>
      </c>
      <c r="DN135" t="s">
        <v>6</v>
      </c>
      <c r="DO135">
        <v>0</v>
      </c>
      <c r="GQ135">
        <v>-1</v>
      </c>
      <c r="GR135">
        <v>-1</v>
      </c>
    </row>
    <row r="136" spans="1:200" x14ac:dyDescent="0.2">
      <c r="A136">
        <f>ROW(Source!A134)</f>
        <v>134</v>
      </c>
      <c r="B136">
        <v>86326988</v>
      </c>
      <c r="C136">
        <v>86327374</v>
      </c>
      <c r="D136">
        <v>35950918</v>
      </c>
      <c r="E136">
        <v>1</v>
      </c>
      <c r="F136">
        <v>1</v>
      </c>
      <c r="G136">
        <v>1</v>
      </c>
      <c r="H136">
        <v>2</v>
      </c>
      <c r="I136" t="s">
        <v>631</v>
      </c>
      <c r="J136" t="s">
        <v>644</v>
      </c>
      <c r="K136" t="s">
        <v>645</v>
      </c>
      <c r="L136">
        <v>1368</v>
      </c>
      <c r="N136">
        <v>1011</v>
      </c>
      <c r="O136" t="s">
        <v>137</v>
      </c>
      <c r="P136" t="s">
        <v>137</v>
      </c>
      <c r="Q136">
        <v>1</v>
      </c>
      <c r="W136">
        <v>0</v>
      </c>
      <c r="X136">
        <v>-629854247</v>
      </c>
      <c r="Y136">
        <f>(AT136*1.12)</f>
        <v>0.11200000000000002</v>
      </c>
      <c r="AA136">
        <v>0</v>
      </c>
      <c r="AB136">
        <v>883.33</v>
      </c>
      <c r="AC136">
        <v>257.8</v>
      </c>
      <c r="AD136">
        <v>0</v>
      </c>
      <c r="AE136">
        <v>0</v>
      </c>
      <c r="AF136">
        <v>112.67</v>
      </c>
      <c r="AG136">
        <v>13.02</v>
      </c>
      <c r="AH136">
        <v>0</v>
      </c>
      <c r="AI136">
        <v>1</v>
      </c>
      <c r="AJ136">
        <v>7.84</v>
      </c>
      <c r="AK136">
        <v>19.8</v>
      </c>
      <c r="AL136">
        <v>1</v>
      </c>
      <c r="AM136">
        <v>5</v>
      </c>
      <c r="AN136">
        <v>0</v>
      </c>
      <c r="AO136">
        <v>1</v>
      </c>
      <c r="AP136">
        <v>1</v>
      </c>
      <c r="AQ136">
        <v>0</v>
      </c>
      <c r="AR136">
        <v>0</v>
      </c>
      <c r="AS136" t="s">
        <v>6</v>
      </c>
      <c r="AT136">
        <v>0.1</v>
      </c>
      <c r="AU136" t="s">
        <v>24</v>
      </c>
      <c r="AV136">
        <v>0</v>
      </c>
      <c r="AW136">
        <v>2</v>
      </c>
      <c r="AX136">
        <v>86327384</v>
      </c>
      <c r="AY136">
        <v>1</v>
      </c>
      <c r="AZ136">
        <v>0</v>
      </c>
      <c r="BA136">
        <v>115</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CV136">
        <v>0</v>
      </c>
      <c r="CW136">
        <f>ROUND(Y136*Source!I134*DO136,9)</f>
        <v>0</v>
      </c>
      <c r="CX136">
        <f>ROUND(Y136*Source!I134,9)</f>
        <v>7.4032000000000001E-2</v>
      </c>
      <c r="CY136">
        <f>AB136</f>
        <v>883.33</v>
      </c>
      <c r="CZ136">
        <f>AF136</f>
        <v>112.67</v>
      </c>
      <c r="DA136">
        <f>AJ136</f>
        <v>7.84</v>
      </c>
      <c r="DB136">
        <f>ROUND((ROUND(AT136*CZ136,2)*1.12),2)</f>
        <v>12.62</v>
      </c>
      <c r="DC136">
        <f>ROUND((ROUND(AT136*AG136,2)*1.12),2)</f>
        <v>1.46</v>
      </c>
      <c r="DD136" t="s">
        <v>6</v>
      </c>
      <c r="DE136" t="s">
        <v>6</v>
      </c>
      <c r="DF136">
        <f t="shared" si="49"/>
        <v>0</v>
      </c>
      <c r="DG136">
        <f>ROUND(ROUND(AF136*AJ136,0)*CX136,0)</f>
        <v>65</v>
      </c>
      <c r="DH136">
        <f>Source!I134*SmtRes!Y136</f>
        <v>7.4032000000000014E-2</v>
      </c>
      <c r="DI136">
        <f>AB136</f>
        <v>883.33</v>
      </c>
      <c r="DJ136">
        <f>EtalonRes!Z115</f>
        <v>112.67</v>
      </c>
      <c r="DK136">
        <f>Source!BB134</f>
        <v>7.84</v>
      </c>
      <c r="DL136" t="s">
        <v>6</v>
      </c>
      <c r="DM136">
        <v>0</v>
      </c>
      <c r="DN136" t="s">
        <v>6</v>
      </c>
      <c r="DO136">
        <v>0</v>
      </c>
      <c r="GQ136">
        <v>-1</v>
      </c>
      <c r="GR136">
        <v>-1</v>
      </c>
    </row>
    <row r="137" spans="1:200" x14ac:dyDescent="0.2">
      <c r="A137">
        <f>ROW(Source!A134)</f>
        <v>134</v>
      </c>
      <c r="B137">
        <v>86326988</v>
      </c>
      <c r="C137">
        <v>86327374</v>
      </c>
      <c r="D137">
        <v>35950919</v>
      </c>
      <c r="E137">
        <v>1</v>
      </c>
      <c r="F137">
        <v>1</v>
      </c>
      <c r="G137">
        <v>1</v>
      </c>
      <c r="H137">
        <v>2</v>
      </c>
      <c r="I137" t="s">
        <v>637</v>
      </c>
      <c r="J137" t="s">
        <v>646</v>
      </c>
      <c r="K137" t="s">
        <v>639</v>
      </c>
      <c r="L137">
        <v>1368</v>
      </c>
      <c r="N137">
        <v>1011</v>
      </c>
      <c r="O137" t="s">
        <v>137</v>
      </c>
      <c r="P137" t="s">
        <v>137</v>
      </c>
      <c r="Q137">
        <v>1</v>
      </c>
      <c r="W137">
        <v>0</v>
      </c>
      <c r="X137">
        <v>-1317427794</v>
      </c>
      <c r="Y137">
        <f>(AT137*1.12)</f>
        <v>0.15680000000000002</v>
      </c>
      <c r="AA137">
        <v>0</v>
      </c>
      <c r="AB137">
        <v>732.02</v>
      </c>
      <c r="AC137">
        <v>231.46</v>
      </c>
      <c r="AD137">
        <v>0</v>
      </c>
      <c r="AE137">
        <v>0</v>
      </c>
      <c r="AF137">
        <v>93.37</v>
      </c>
      <c r="AG137">
        <v>11.69</v>
      </c>
      <c r="AH137">
        <v>0</v>
      </c>
      <c r="AI137">
        <v>1</v>
      </c>
      <c r="AJ137">
        <v>7.84</v>
      </c>
      <c r="AK137">
        <v>19.8</v>
      </c>
      <c r="AL137">
        <v>1</v>
      </c>
      <c r="AM137">
        <v>5</v>
      </c>
      <c r="AN137">
        <v>0</v>
      </c>
      <c r="AO137">
        <v>1</v>
      </c>
      <c r="AP137">
        <v>1</v>
      </c>
      <c r="AQ137">
        <v>0</v>
      </c>
      <c r="AR137">
        <v>0</v>
      </c>
      <c r="AS137" t="s">
        <v>6</v>
      </c>
      <c r="AT137">
        <v>0.14000000000000001</v>
      </c>
      <c r="AU137" t="s">
        <v>24</v>
      </c>
      <c r="AV137">
        <v>0</v>
      </c>
      <c r="AW137">
        <v>2</v>
      </c>
      <c r="AX137">
        <v>86327385</v>
      </c>
      <c r="AY137">
        <v>1</v>
      </c>
      <c r="AZ137">
        <v>0</v>
      </c>
      <c r="BA137">
        <v>116</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CV137">
        <v>0</v>
      </c>
      <c r="CW137">
        <f>ROUND(Y137*Source!I134*DO137,9)</f>
        <v>0</v>
      </c>
      <c r="CX137">
        <f>ROUND(Y137*Source!I134,9)</f>
        <v>0.1036448</v>
      </c>
      <c r="CY137">
        <f>AB137</f>
        <v>732.02</v>
      </c>
      <c r="CZ137">
        <f>AF137</f>
        <v>93.37</v>
      </c>
      <c r="DA137">
        <f>AJ137</f>
        <v>7.84</v>
      </c>
      <c r="DB137">
        <f>ROUND((ROUND(AT137*CZ137,2)*1.12),2)</f>
        <v>14.64</v>
      </c>
      <c r="DC137">
        <f>ROUND((ROUND(AT137*AG137,2)*1.12),2)</f>
        <v>1.84</v>
      </c>
      <c r="DD137" t="s">
        <v>6</v>
      </c>
      <c r="DE137" t="s">
        <v>6</v>
      </c>
      <c r="DF137">
        <f t="shared" si="49"/>
        <v>0</v>
      </c>
      <c r="DG137">
        <f>ROUND(ROUND(AF137*AJ137,0)*CX137,0)</f>
        <v>76</v>
      </c>
      <c r="DH137">
        <f>Source!I134*SmtRes!Y137</f>
        <v>0.10364480000000002</v>
      </c>
      <c r="DI137">
        <f>AB137</f>
        <v>732.02</v>
      </c>
      <c r="DJ137">
        <f>EtalonRes!Z116</f>
        <v>93.37</v>
      </c>
      <c r="DK137">
        <f>Source!BB134</f>
        <v>7.84</v>
      </c>
      <c r="DL137" t="s">
        <v>6</v>
      </c>
      <c r="DM137">
        <v>0</v>
      </c>
      <c r="DN137" t="s">
        <v>6</v>
      </c>
      <c r="DO137">
        <v>0</v>
      </c>
      <c r="GQ137">
        <v>-1</v>
      </c>
      <c r="GR137">
        <v>-1</v>
      </c>
    </row>
    <row r="138" spans="1:200" x14ac:dyDescent="0.2">
      <c r="A138">
        <f>ROW(Source!A134)</f>
        <v>134</v>
      </c>
      <c r="B138">
        <v>86326988</v>
      </c>
      <c r="C138">
        <v>86327374</v>
      </c>
      <c r="D138">
        <v>52930024</v>
      </c>
      <c r="E138">
        <v>1</v>
      </c>
      <c r="F138">
        <v>1</v>
      </c>
      <c r="G138">
        <v>1</v>
      </c>
      <c r="H138">
        <v>3</v>
      </c>
      <c r="I138" t="s">
        <v>226</v>
      </c>
      <c r="J138" t="s">
        <v>228</v>
      </c>
      <c r="K138" t="s">
        <v>227</v>
      </c>
      <c r="L138">
        <v>1348</v>
      </c>
      <c r="N138">
        <v>1009</v>
      </c>
      <c r="O138" t="s">
        <v>33</v>
      </c>
      <c r="P138" t="s">
        <v>33</v>
      </c>
      <c r="Q138">
        <v>1000</v>
      </c>
      <c r="W138">
        <v>0</v>
      </c>
      <c r="X138">
        <v>-1683247353</v>
      </c>
      <c r="Y138">
        <f>AT138</f>
        <v>1</v>
      </c>
      <c r="AA138">
        <v>59385.33</v>
      </c>
      <c r="AB138">
        <v>0</v>
      </c>
      <c r="AC138">
        <v>0</v>
      </c>
      <c r="AD138">
        <v>0</v>
      </c>
      <c r="AE138">
        <v>8230.68</v>
      </c>
      <c r="AF138">
        <v>0</v>
      </c>
      <c r="AG138">
        <v>0</v>
      </c>
      <c r="AH138">
        <v>0</v>
      </c>
      <c r="AI138">
        <v>7.56</v>
      </c>
      <c r="AJ138">
        <v>1</v>
      </c>
      <c r="AK138">
        <v>1</v>
      </c>
      <c r="AL138">
        <v>1</v>
      </c>
      <c r="AM138">
        <v>0</v>
      </c>
      <c r="AN138">
        <v>0</v>
      </c>
      <c r="AO138">
        <v>0</v>
      </c>
      <c r="AP138">
        <v>1</v>
      </c>
      <c r="AQ138">
        <v>0</v>
      </c>
      <c r="AR138">
        <v>0</v>
      </c>
      <c r="AS138" t="s">
        <v>6</v>
      </c>
      <c r="AT138">
        <v>1</v>
      </c>
      <c r="AU138" t="s">
        <v>6</v>
      </c>
      <c r="AV138">
        <v>0</v>
      </c>
      <c r="AW138">
        <v>1</v>
      </c>
      <c r="AX138">
        <v>-1</v>
      </c>
      <c r="AY138">
        <v>0</v>
      </c>
      <c r="AZ138">
        <v>0</v>
      </c>
      <c r="BA138" t="s">
        <v>6</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CV138">
        <v>0</v>
      </c>
      <c r="CW138">
        <v>0</v>
      </c>
      <c r="CX138">
        <f>ROUND(Y138*Source!I134,9)</f>
        <v>0.66100000000000003</v>
      </c>
      <c r="CY138">
        <f>AA138</f>
        <v>59385.33</v>
      </c>
      <c r="CZ138">
        <f>AE138</f>
        <v>8230.68</v>
      </c>
      <c r="DA138">
        <f>AI138</f>
        <v>7.56</v>
      </c>
      <c r="DB138">
        <f>ROUND(ROUND(AT138*CZ138,2),2)</f>
        <v>8230.68</v>
      </c>
      <c r="DC138">
        <f>ROUND(ROUND(AT138*AG138,2),2)</f>
        <v>0</v>
      </c>
      <c r="DD138" t="s">
        <v>6</v>
      </c>
      <c r="DE138" t="s">
        <v>6</v>
      </c>
      <c r="DF138">
        <f>ROUND(ROUND(AE138*AI138,0)*CX138,0)</f>
        <v>41130</v>
      </c>
      <c r="DG138">
        <f t="shared" ref="DG138:DG147" si="50">ROUND(ROUND(AF138,0)*CX138,0)</f>
        <v>0</v>
      </c>
      <c r="DH138">
        <f>Source!I134*SmtRes!Y138</f>
        <v>0.66100000000000003</v>
      </c>
      <c r="DI138">
        <f>AA138</f>
        <v>59385.33</v>
      </c>
      <c r="DJ138">
        <f>DF138</f>
        <v>41130</v>
      </c>
      <c r="DK138">
        <f>Source!BC134</f>
        <v>7.56</v>
      </c>
      <c r="DL138" t="s">
        <v>6</v>
      </c>
      <c r="DM138">
        <v>0</v>
      </c>
      <c r="DN138" t="s">
        <v>6</v>
      </c>
      <c r="DO138">
        <v>0</v>
      </c>
      <c r="GP138">
        <v>1</v>
      </c>
      <c r="GQ138">
        <v>-1</v>
      </c>
      <c r="GR138">
        <v>-1</v>
      </c>
    </row>
    <row r="139" spans="1:200" x14ac:dyDescent="0.2">
      <c r="A139">
        <f>ROW(Source!A137)</f>
        <v>137</v>
      </c>
      <c r="B139">
        <v>86326987</v>
      </c>
      <c r="C139">
        <v>86327389</v>
      </c>
      <c r="D139">
        <v>5511010</v>
      </c>
      <c r="E139">
        <v>1</v>
      </c>
      <c r="F139">
        <v>1</v>
      </c>
      <c r="G139">
        <v>1</v>
      </c>
      <c r="H139">
        <v>1</v>
      </c>
      <c r="I139" t="s">
        <v>640</v>
      </c>
      <c r="J139" t="s">
        <v>6</v>
      </c>
      <c r="K139" t="s">
        <v>641</v>
      </c>
      <c r="L139">
        <v>1369</v>
      </c>
      <c r="N139">
        <v>1013</v>
      </c>
      <c r="O139" t="s">
        <v>625</v>
      </c>
      <c r="P139" t="s">
        <v>625</v>
      </c>
      <c r="Q139">
        <v>1</v>
      </c>
      <c r="W139">
        <v>0</v>
      </c>
      <c r="X139">
        <v>-1977858316</v>
      </c>
      <c r="Y139">
        <f>(AT139*1.05)</f>
        <v>54.110700000000001</v>
      </c>
      <c r="AA139">
        <v>0</v>
      </c>
      <c r="AB139">
        <v>0</v>
      </c>
      <c r="AC139">
        <v>0</v>
      </c>
      <c r="AD139">
        <v>11.92</v>
      </c>
      <c r="AE139">
        <v>0</v>
      </c>
      <c r="AF139">
        <v>0</v>
      </c>
      <c r="AG139">
        <v>0</v>
      </c>
      <c r="AH139">
        <v>11.92</v>
      </c>
      <c r="AI139">
        <v>1</v>
      </c>
      <c r="AJ139">
        <v>1</v>
      </c>
      <c r="AK139">
        <v>1</v>
      </c>
      <c r="AL139">
        <v>1</v>
      </c>
      <c r="AM139">
        <v>0</v>
      </c>
      <c r="AN139">
        <v>0</v>
      </c>
      <c r="AO139">
        <v>1</v>
      </c>
      <c r="AP139">
        <v>1</v>
      </c>
      <c r="AQ139">
        <v>0</v>
      </c>
      <c r="AR139">
        <v>0</v>
      </c>
      <c r="AS139" t="s">
        <v>6</v>
      </c>
      <c r="AT139">
        <v>51.533999999999999</v>
      </c>
      <c r="AU139" t="s">
        <v>25</v>
      </c>
      <c r="AV139">
        <v>1</v>
      </c>
      <c r="AW139">
        <v>2</v>
      </c>
      <c r="AX139">
        <v>86327397</v>
      </c>
      <c r="AY139">
        <v>1</v>
      </c>
      <c r="AZ139">
        <v>0</v>
      </c>
      <c r="BA139">
        <v>119</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CU139">
        <f>ROUND(AT139*Source!I137*AH139*AL139,0)</f>
        <v>6213</v>
      </c>
      <c r="CV139">
        <f>ROUND(Y139*Source!I137,9)</f>
        <v>547.26209212499998</v>
      </c>
      <c r="CW139">
        <v>0</v>
      </c>
      <c r="CX139">
        <f>ROUND(Y139*Source!I137,9)</f>
        <v>547.26209212499998</v>
      </c>
      <c r="CY139">
        <f>AD139</f>
        <v>11.92</v>
      </c>
      <c r="CZ139">
        <f>AH139</f>
        <v>11.92</v>
      </c>
      <c r="DA139">
        <f>AL139</f>
        <v>1</v>
      </c>
      <c r="DB139">
        <f>ROUND((ROUND(AT139*CZ139,2)*1.05),2)</f>
        <v>645</v>
      </c>
      <c r="DC139">
        <f>ROUND((ROUND(AT139*AG139,2)*1.05),2)</f>
        <v>0</v>
      </c>
      <c r="DD139" t="s">
        <v>6</v>
      </c>
      <c r="DE139" t="s">
        <v>6</v>
      </c>
      <c r="DF139">
        <f t="shared" ref="DF139:DF150" si="51">ROUND(ROUND(AE139,0)*CX139,0)</f>
        <v>0</v>
      </c>
      <c r="DG139">
        <f t="shared" si="50"/>
        <v>0</v>
      </c>
      <c r="DH139">
        <f>Source!I137*SmtRes!Y139</f>
        <v>547.26209212499998</v>
      </c>
      <c r="DI139">
        <f>AD139</f>
        <v>11.92</v>
      </c>
      <c r="DJ139">
        <f>EtalonRes!AB119</f>
        <v>11.92</v>
      </c>
      <c r="DK139">
        <f>Source!BA137</f>
        <v>1</v>
      </c>
      <c r="DL139" t="s">
        <v>6</v>
      </c>
      <c r="DM139">
        <v>0</v>
      </c>
      <c r="DN139" t="s">
        <v>6</v>
      </c>
      <c r="DO139">
        <v>0</v>
      </c>
      <c r="GQ139">
        <v>-1</v>
      </c>
      <c r="GR139">
        <v>-1</v>
      </c>
    </row>
    <row r="140" spans="1:200" x14ac:dyDescent="0.2">
      <c r="A140">
        <f>ROW(Source!A137)</f>
        <v>137</v>
      </c>
      <c r="B140">
        <v>86326987</v>
      </c>
      <c r="C140">
        <v>86327389</v>
      </c>
      <c r="D140">
        <v>121548</v>
      </c>
      <c r="E140">
        <v>1</v>
      </c>
      <c r="F140">
        <v>1</v>
      </c>
      <c r="G140">
        <v>1</v>
      </c>
      <c r="H140">
        <v>1</v>
      </c>
      <c r="I140" t="s">
        <v>40</v>
      </c>
      <c r="J140" t="s">
        <v>6</v>
      </c>
      <c r="K140" t="s">
        <v>626</v>
      </c>
      <c r="L140">
        <v>608254</v>
      </c>
      <c r="N140">
        <v>1013</v>
      </c>
      <c r="O140" t="s">
        <v>627</v>
      </c>
      <c r="P140" t="s">
        <v>627</v>
      </c>
      <c r="Q140">
        <v>1</v>
      </c>
      <c r="W140">
        <v>0</v>
      </c>
      <c r="X140">
        <v>-185737400</v>
      </c>
      <c r="Y140">
        <f>(AT140*1.12)</f>
        <v>0.50400000000000011</v>
      </c>
      <c r="AA140">
        <v>0</v>
      </c>
      <c r="AB140">
        <v>0</v>
      </c>
      <c r="AC140">
        <v>0</v>
      </c>
      <c r="AD140">
        <v>0</v>
      </c>
      <c r="AE140">
        <v>0</v>
      </c>
      <c r="AF140">
        <v>0</v>
      </c>
      <c r="AG140">
        <v>0</v>
      </c>
      <c r="AH140">
        <v>0</v>
      </c>
      <c r="AI140">
        <v>1</v>
      </c>
      <c r="AJ140">
        <v>1</v>
      </c>
      <c r="AK140">
        <v>1</v>
      </c>
      <c r="AL140">
        <v>1</v>
      </c>
      <c r="AM140">
        <v>0</v>
      </c>
      <c r="AN140">
        <v>0</v>
      </c>
      <c r="AO140">
        <v>1</v>
      </c>
      <c r="AP140">
        <v>1</v>
      </c>
      <c r="AQ140">
        <v>0</v>
      </c>
      <c r="AR140">
        <v>0</v>
      </c>
      <c r="AS140" t="s">
        <v>6</v>
      </c>
      <c r="AT140">
        <v>0.45</v>
      </c>
      <c r="AU140" t="s">
        <v>24</v>
      </c>
      <c r="AV140">
        <v>2</v>
      </c>
      <c r="AW140">
        <v>2</v>
      </c>
      <c r="AX140">
        <v>86327398</v>
      </c>
      <c r="AY140">
        <v>1</v>
      </c>
      <c r="AZ140">
        <v>0</v>
      </c>
      <c r="BA140">
        <v>120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CV140">
        <v>0</v>
      </c>
      <c r="CW140">
        <v>0</v>
      </c>
      <c r="CX140">
        <f>ROUND(Y140*Source!I137,9)</f>
        <v>5.0973300000000004</v>
      </c>
      <c r="CY140">
        <f>AD140</f>
        <v>0</v>
      </c>
      <c r="CZ140">
        <f>AH140</f>
        <v>0</v>
      </c>
      <c r="DA140">
        <f>AL140</f>
        <v>1</v>
      </c>
      <c r="DB140">
        <f>ROUND((ROUND(AT140*CZ140,2)*1.12),2)</f>
        <v>0</v>
      </c>
      <c r="DC140">
        <f>ROUND((ROUND(AT140*AG140,2)*1.12),2)</f>
        <v>0</v>
      </c>
      <c r="DD140" t="s">
        <v>6</v>
      </c>
      <c r="DE140" t="s">
        <v>6</v>
      </c>
      <c r="DF140">
        <f t="shared" si="51"/>
        <v>0</v>
      </c>
      <c r="DG140">
        <f t="shared" si="50"/>
        <v>0</v>
      </c>
      <c r="DH140">
        <f>Source!I137*SmtRes!Y140</f>
        <v>5.0973300000000012</v>
      </c>
      <c r="DI140">
        <f>AD140</f>
        <v>0</v>
      </c>
      <c r="DJ140">
        <f>EtalonRes!AB120</f>
        <v>0</v>
      </c>
      <c r="DK140">
        <f>Source!BA137</f>
        <v>1</v>
      </c>
      <c r="DL140" t="s">
        <v>6</v>
      </c>
      <c r="DM140">
        <v>0</v>
      </c>
      <c r="DN140" t="s">
        <v>6</v>
      </c>
      <c r="DO140">
        <v>0</v>
      </c>
      <c r="GQ140">
        <v>-1</v>
      </c>
      <c r="GR140">
        <v>-1</v>
      </c>
    </row>
    <row r="141" spans="1:200" x14ac:dyDescent="0.2">
      <c r="A141">
        <f>ROW(Source!A137)</f>
        <v>137</v>
      </c>
      <c r="B141">
        <v>86326987</v>
      </c>
      <c r="C141">
        <v>86327389</v>
      </c>
      <c r="D141">
        <v>35950917</v>
      </c>
      <c r="E141">
        <v>1</v>
      </c>
      <c r="F141">
        <v>1</v>
      </c>
      <c r="G141">
        <v>1</v>
      </c>
      <c r="H141">
        <v>2</v>
      </c>
      <c r="I141" t="s">
        <v>628</v>
      </c>
      <c r="J141" t="s">
        <v>642</v>
      </c>
      <c r="K141" t="s">
        <v>643</v>
      </c>
      <c r="L141">
        <v>1368</v>
      </c>
      <c r="N141">
        <v>1011</v>
      </c>
      <c r="O141" t="s">
        <v>137</v>
      </c>
      <c r="P141" t="s">
        <v>137</v>
      </c>
      <c r="Q141">
        <v>1</v>
      </c>
      <c r="W141">
        <v>0</v>
      </c>
      <c r="X141">
        <v>1919308296</v>
      </c>
      <c r="Y141">
        <f>(AT141*1.12)</f>
        <v>0.4032</v>
      </c>
      <c r="AA141">
        <v>0</v>
      </c>
      <c r="AB141">
        <v>115.64</v>
      </c>
      <c r="AC141">
        <v>11.18</v>
      </c>
      <c r="AD141">
        <v>0</v>
      </c>
      <c r="AE141">
        <v>0</v>
      </c>
      <c r="AF141">
        <v>115.64</v>
      </c>
      <c r="AG141">
        <v>11.18</v>
      </c>
      <c r="AH141">
        <v>0</v>
      </c>
      <c r="AI141">
        <v>1</v>
      </c>
      <c r="AJ141">
        <v>1</v>
      </c>
      <c r="AK141">
        <v>1</v>
      </c>
      <c r="AL141">
        <v>1</v>
      </c>
      <c r="AM141">
        <v>0</v>
      </c>
      <c r="AN141">
        <v>0</v>
      </c>
      <c r="AO141">
        <v>1</v>
      </c>
      <c r="AP141">
        <v>1</v>
      </c>
      <c r="AQ141">
        <v>0</v>
      </c>
      <c r="AR141">
        <v>0</v>
      </c>
      <c r="AS141" t="s">
        <v>6</v>
      </c>
      <c r="AT141">
        <v>0.36</v>
      </c>
      <c r="AU141" t="s">
        <v>24</v>
      </c>
      <c r="AV141">
        <v>0</v>
      </c>
      <c r="AW141">
        <v>2</v>
      </c>
      <c r="AX141">
        <v>86327399</v>
      </c>
      <c r="AY141">
        <v>1</v>
      </c>
      <c r="AZ141">
        <v>0</v>
      </c>
      <c r="BA141">
        <v>121</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CV141">
        <v>0</v>
      </c>
      <c r="CW141">
        <f>ROUND(Y141*Source!I137*DO141,9)</f>
        <v>0</v>
      </c>
      <c r="CX141">
        <f>ROUND(Y141*Source!I137,9)</f>
        <v>4.0778639999999999</v>
      </c>
      <c r="CY141">
        <f>AB141</f>
        <v>115.64</v>
      </c>
      <c r="CZ141">
        <f>AF141</f>
        <v>115.64</v>
      </c>
      <c r="DA141">
        <f>AJ141</f>
        <v>1</v>
      </c>
      <c r="DB141">
        <f>ROUND((ROUND(AT141*CZ141,2)*1.12),2)</f>
        <v>46.63</v>
      </c>
      <c r="DC141">
        <f>ROUND((ROUND(AT141*AG141,2)*1.12),2)</f>
        <v>4.5</v>
      </c>
      <c r="DD141" t="s">
        <v>6</v>
      </c>
      <c r="DE141" t="s">
        <v>6</v>
      </c>
      <c r="DF141">
        <f t="shared" si="51"/>
        <v>0</v>
      </c>
      <c r="DG141">
        <f t="shared" si="50"/>
        <v>473</v>
      </c>
      <c r="DH141">
        <f>Source!I137*SmtRes!Y141</f>
        <v>4.0778639999999999</v>
      </c>
      <c r="DI141">
        <f>AB141</f>
        <v>115.64</v>
      </c>
      <c r="DJ141">
        <f>EtalonRes!Z121</f>
        <v>115.64</v>
      </c>
      <c r="DK141">
        <f>Source!BB137</f>
        <v>1</v>
      </c>
      <c r="DL141" t="s">
        <v>6</v>
      </c>
      <c r="DM141">
        <v>0</v>
      </c>
      <c r="DN141" t="s">
        <v>6</v>
      </c>
      <c r="DO141">
        <v>0</v>
      </c>
      <c r="GQ141">
        <v>-1</v>
      </c>
      <c r="GR141">
        <v>-1</v>
      </c>
    </row>
    <row r="142" spans="1:200" x14ac:dyDescent="0.2">
      <c r="A142">
        <f>ROW(Source!A137)</f>
        <v>137</v>
      </c>
      <c r="B142">
        <v>86326987</v>
      </c>
      <c r="C142">
        <v>86327389</v>
      </c>
      <c r="D142">
        <v>35950918</v>
      </c>
      <c r="E142">
        <v>1</v>
      </c>
      <c r="F142">
        <v>1</v>
      </c>
      <c r="G142">
        <v>1</v>
      </c>
      <c r="H142">
        <v>2</v>
      </c>
      <c r="I142" t="s">
        <v>631</v>
      </c>
      <c r="J142" t="s">
        <v>644</v>
      </c>
      <c r="K142" t="s">
        <v>645</v>
      </c>
      <c r="L142">
        <v>1368</v>
      </c>
      <c r="N142">
        <v>1011</v>
      </c>
      <c r="O142" t="s">
        <v>137</v>
      </c>
      <c r="P142" t="s">
        <v>137</v>
      </c>
      <c r="Q142">
        <v>1</v>
      </c>
      <c r="W142">
        <v>0</v>
      </c>
      <c r="X142">
        <v>-629854247</v>
      </c>
      <c r="Y142">
        <f>(AT142*1.12)</f>
        <v>0.1008</v>
      </c>
      <c r="AA142">
        <v>0</v>
      </c>
      <c r="AB142">
        <v>112.67</v>
      </c>
      <c r="AC142">
        <v>13.02</v>
      </c>
      <c r="AD142">
        <v>0</v>
      </c>
      <c r="AE142">
        <v>0</v>
      </c>
      <c r="AF142">
        <v>112.67</v>
      </c>
      <c r="AG142">
        <v>13.02</v>
      </c>
      <c r="AH142">
        <v>0</v>
      </c>
      <c r="AI142">
        <v>1</v>
      </c>
      <c r="AJ142">
        <v>1</v>
      </c>
      <c r="AK142">
        <v>1</v>
      </c>
      <c r="AL142">
        <v>1</v>
      </c>
      <c r="AM142">
        <v>0</v>
      </c>
      <c r="AN142">
        <v>0</v>
      </c>
      <c r="AO142">
        <v>1</v>
      </c>
      <c r="AP142">
        <v>1</v>
      </c>
      <c r="AQ142">
        <v>0</v>
      </c>
      <c r="AR142">
        <v>0</v>
      </c>
      <c r="AS142" t="s">
        <v>6</v>
      </c>
      <c r="AT142">
        <v>0.09</v>
      </c>
      <c r="AU142" t="s">
        <v>24</v>
      </c>
      <c r="AV142">
        <v>0</v>
      </c>
      <c r="AW142">
        <v>2</v>
      </c>
      <c r="AX142">
        <v>86327400</v>
      </c>
      <c r="AY142">
        <v>1</v>
      </c>
      <c r="AZ142">
        <v>0</v>
      </c>
      <c r="BA142">
        <v>122</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CV142">
        <v>0</v>
      </c>
      <c r="CW142">
        <f>ROUND(Y142*Source!I137*DO142,9)</f>
        <v>0</v>
      </c>
      <c r="CX142">
        <f>ROUND(Y142*Source!I137,9)</f>
        <v>1.019466</v>
      </c>
      <c r="CY142">
        <f>AB142</f>
        <v>112.67</v>
      </c>
      <c r="CZ142">
        <f>AF142</f>
        <v>112.67</v>
      </c>
      <c r="DA142">
        <f>AJ142</f>
        <v>1</v>
      </c>
      <c r="DB142">
        <f>ROUND((ROUND(AT142*CZ142,2)*1.12),2)</f>
        <v>11.36</v>
      </c>
      <c r="DC142">
        <f>ROUND((ROUND(AT142*AG142,2)*1.12),2)</f>
        <v>1.31</v>
      </c>
      <c r="DD142" t="s">
        <v>6</v>
      </c>
      <c r="DE142" t="s">
        <v>6</v>
      </c>
      <c r="DF142">
        <f t="shared" si="51"/>
        <v>0</v>
      </c>
      <c r="DG142">
        <f t="shared" si="50"/>
        <v>115</v>
      </c>
      <c r="DH142">
        <f>Source!I137*SmtRes!Y142</f>
        <v>1.019466</v>
      </c>
      <c r="DI142">
        <f>AB142</f>
        <v>112.67</v>
      </c>
      <c r="DJ142">
        <f>EtalonRes!Z122</f>
        <v>112.67</v>
      </c>
      <c r="DK142">
        <f>Source!BB137</f>
        <v>1</v>
      </c>
      <c r="DL142" t="s">
        <v>6</v>
      </c>
      <c r="DM142">
        <v>0</v>
      </c>
      <c r="DN142" t="s">
        <v>6</v>
      </c>
      <c r="DO142">
        <v>0</v>
      </c>
      <c r="GQ142">
        <v>-1</v>
      </c>
      <c r="GR142">
        <v>-1</v>
      </c>
    </row>
    <row r="143" spans="1:200" x14ac:dyDescent="0.2">
      <c r="A143">
        <f>ROW(Source!A137)</f>
        <v>137</v>
      </c>
      <c r="B143">
        <v>86326987</v>
      </c>
      <c r="C143">
        <v>86327389</v>
      </c>
      <c r="D143">
        <v>35950919</v>
      </c>
      <c r="E143">
        <v>1</v>
      </c>
      <c r="F143">
        <v>1</v>
      </c>
      <c r="G143">
        <v>1</v>
      </c>
      <c r="H143">
        <v>2</v>
      </c>
      <c r="I143" t="s">
        <v>637</v>
      </c>
      <c r="J143" t="s">
        <v>646</v>
      </c>
      <c r="K143" t="s">
        <v>639</v>
      </c>
      <c r="L143">
        <v>1368</v>
      </c>
      <c r="N143">
        <v>1011</v>
      </c>
      <c r="O143" t="s">
        <v>137</v>
      </c>
      <c r="P143" t="s">
        <v>137</v>
      </c>
      <c r="Q143">
        <v>1</v>
      </c>
      <c r="W143">
        <v>0</v>
      </c>
      <c r="X143">
        <v>-1317427794</v>
      </c>
      <c r="Y143">
        <f>(AT143*1.12)</f>
        <v>0.14560000000000001</v>
      </c>
      <c r="AA143">
        <v>0</v>
      </c>
      <c r="AB143">
        <v>93.37</v>
      </c>
      <c r="AC143">
        <v>11.69</v>
      </c>
      <c r="AD143">
        <v>0</v>
      </c>
      <c r="AE143">
        <v>0</v>
      </c>
      <c r="AF143">
        <v>93.37</v>
      </c>
      <c r="AG143">
        <v>11.69</v>
      </c>
      <c r="AH143">
        <v>0</v>
      </c>
      <c r="AI143">
        <v>1</v>
      </c>
      <c r="AJ143">
        <v>1</v>
      </c>
      <c r="AK143">
        <v>1</v>
      </c>
      <c r="AL143">
        <v>1</v>
      </c>
      <c r="AM143">
        <v>0</v>
      </c>
      <c r="AN143">
        <v>0</v>
      </c>
      <c r="AO143">
        <v>1</v>
      </c>
      <c r="AP143">
        <v>1</v>
      </c>
      <c r="AQ143">
        <v>0</v>
      </c>
      <c r="AR143">
        <v>0</v>
      </c>
      <c r="AS143" t="s">
        <v>6</v>
      </c>
      <c r="AT143">
        <v>0.13</v>
      </c>
      <c r="AU143" t="s">
        <v>24</v>
      </c>
      <c r="AV143">
        <v>0</v>
      </c>
      <c r="AW143">
        <v>2</v>
      </c>
      <c r="AX143">
        <v>86327401</v>
      </c>
      <c r="AY143">
        <v>1</v>
      </c>
      <c r="AZ143">
        <v>0</v>
      </c>
      <c r="BA143">
        <v>123</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CV143">
        <v>0</v>
      </c>
      <c r="CW143">
        <f>ROUND(Y143*Source!I137*DO143,9)</f>
        <v>0</v>
      </c>
      <c r="CX143">
        <f>ROUND(Y143*Source!I137,9)</f>
        <v>1.4725619999999999</v>
      </c>
      <c r="CY143">
        <f>AB143</f>
        <v>93.37</v>
      </c>
      <c r="CZ143">
        <f>AF143</f>
        <v>93.37</v>
      </c>
      <c r="DA143">
        <f>AJ143</f>
        <v>1</v>
      </c>
      <c r="DB143">
        <f>ROUND((ROUND(AT143*CZ143,2)*1.12),2)</f>
        <v>13.6</v>
      </c>
      <c r="DC143">
        <f>ROUND((ROUND(AT143*AG143,2)*1.12),2)</f>
        <v>1.7</v>
      </c>
      <c r="DD143" t="s">
        <v>6</v>
      </c>
      <c r="DE143" t="s">
        <v>6</v>
      </c>
      <c r="DF143">
        <f t="shared" si="51"/>
        <v>0</v>
      </c>
      <c r="DG143">
        <f t="shared" si="50"/>
        <v>137</v>
      </c>
      <c r="DH143">
        <f>Source!I137*SmtRes!Y143</f>
        <v>1.4725619999999999</v>
      </c>
      <c r="DI143">
        <f>AB143</f>
        <v>93.37</v>
      </c>
      <c r="DJ143">
        <f>EtalonRes!Z123</f>
        <v>93.37</v>
      </c>
      <c r="DK143">
        <f>Source!BB137</f>
        <v>1</v>
      </c>
      <c r="DL143" t="s">
        <v>6</v>
      </c>
      <c r="DM143">
        <v>0</v>
      </c>
      <c r="DN143" t="s">
        <v>6</v>
      </c>
      <c r="DO143">
        <v>0</v>
      </c>
      <c r="GQ143">
        <v>-1</v>
      </c>
      <c r="GR143">
        <v>-1</v>
      </c>
    </row>
    <row r="144" spans="1:200" x14ac:dyDescent="0.2">
      <c r="A144">
        <f>ROW(Source!A137)</f>
        <v>137</v>
      </c>
      <c r="B144">
        <v>86326987</v>
      </c>
      <c r="C144">
        <v>86327389</v>
      </c>
      <c r="D144">
        <v>52930024</v>
      </c>
      <c r="E144">
        <v>1</v>
      </c>
      <c r="F144">
        <v>1</v>
      </c>
      <c r="G144">
        <v>1</v>
      </c>
      <c r="H144">
        <v>3</v>
      </c>
      <c r="I144" t="s">
        <v>226</v>
      </c>
      <c r="J144" t="s">
        <v>228</v>
      </c>
      <c r="K144" t="s">
        <v>227</v>
      </c>
      <c r="L144">
        <v>1348</v>
      </c>
      <c r="N144">
        <v>1009</v>
      </c>
      <c r="O144" t="s">
        <v>33</v>
      </c>
      <c r="P144" t="s">
        <v>33</v>
      </c>
      <c r="Q144">
        <v>1000</v>
      </c>
      <c r="W144">
        <v>0</v>
      </c>
      <c r="X144">
        <v>-1683247353</v>
      </c>
      <c r="Y144">
        <f>AT144</f>
        <v>0.99982696999999998</v>
      </c>
      <c r="AA144">
        <v>5132.8999999999996</v>
      </c>
      <c r="AB144">
        <v>0</v>
      </c>
      <c r="AC144">
        <v>0</v>
      </c>
      <c r="AD144">
        <v>0</v>
      </c>
      <c r="AE144">
        <v>5132.8999999999996</v>
      </c>
      <c r="AF144">
        <v>0</v>
      </c>
      <c r="AG144">
        <v>0</v>
      </c>
      <c r="AH144">
        <v>0</v>
      </c>
      <c r="AI144">
        <v>1</v>
      </c>
      <c r="AJ144">
        <v>1</v>
      </c>
      <c r="AK144">
        <v>1</v>
      </c>
      <c r="AL144">
        <v>1</v>
      </c>
      <c r="AM144">
        <v>0</v>
      </c>
      <c r="AN144">
        <v>0</v>
      </c>
      <c r="AO144">
        <v>0</v>
      </c>
      <c r="AP144">
        <v>1</v>
      </c>
      <c r="AQ144">
        <v>0</v>
      </c>
      <c r="AR144">
        <v>0</v>
      </c>
      <c r="AS144" t="s">
        <v>6</v>
      </c>
      <c r="AT144">
        <v>0.99982696999999998</v>
      </c>
      <c r="AU144" t="s">
        <v>6</v>
      </c>
      <c r="AV144">
        <v>0</v>
      </c>
      <c r="AW144">
        <v>1</v>
      </c>
      <c r="AX144">
        <v>-1</v>
      </c>
      <c r="AY144">
        <v>0</v>
      </c>
      <c r="AZ144">
        <v>0</v>
      </c>
      <c r="BA144" t="s">
        <v>6</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CV144">
        <v>0</v>
      </c>
      <c r="CW144">
        <v>0</v>
      </c>
      <c r="CX144">
        <f>ROUND(Y144*Source!I137,9)</f>
        <v>10.112000018</v>
      </c>
      <c r="CY144">
        <f>AA144</f>
        <v>5132.8999999999996</v>
      </c>
      <c r="CZ144">
        <f>AE144</f>
        <v>5132.8999999999996</v>
      </c>
      <c r="DA144">
        <f>AI144</f>
        <v>1</v>
      </c>
      <c r="DB144">
        <f>ROUND(ROUND(AT144*CZ144,2),2)</f>
        <v>5132.01</v>
      </c>
      <c r="DC144">
        <f>ROUND(ROUND(AT144*AG144,2),2)</f>
        <v>0</v>
      </c>
      <c r="DD144" t="s">
        <v>6</v>
      </c>
      <c r="DE144" t="s">
        <v>6</v>
      </c>
      <c r="DF144">
        <f t="shared" si="51"/>
        <v>51905</v>
      </c>
      <c r="DG144">
        <f t="shared" si="50"/>
        <v>0</v>
      </c>
      <c r="DH144">
        <f>Source!I137*SmtRes!Y144</f>
        <v>10.112000017837499</v>
      </c>
      <c r="DI144">
        <f>AA144</f>
        <v>5132.8999999999996</v>
      </c>
      <c r="DJ144">
        <f>DF144</f>
        <v>51905</v>
      </c>
      <c r="DK144">
        <f>Source!BC137</f>
        <v>1</v>
      </c>
      <c r="DL144" t="s">
        <v>6</v>
      </c>
      <c r="DM144">
        <v>0</v>
      </c>
      <c r="DN144" t="s">
        <v>6</v>
      </c>
      <c r="DO144">
        <v>0</v>
      </c>
      <c r="GP144">
        <v>1</v>
      </c>
      <c r="GQ144">
        <v>-1</v>
      </c>
      <c r="GR144">
        <v>-1</v>
      </c>
    </row>
    <row r="145" spans="1:200" x14ac:dyDescent="0.2">
      <c r="A145">
        <f>ROW(Source!A137)</f>
        <v>137</v>
      </c>
      <c r="B145">
        <v>86326987</v>
      </c>
      <c r="C145">
        <v>86327389</v>
      </c>
      <c r="D145">
        <v>0</v>
      </c>
      <c r="E145">
        <v>0</v>
      </c>
      <c r="F145">
        <v>1</v>
      </c>
      <c r="G145">
        <v>1</v>
      </c>
      <c r="H145">
        <v>3</v>
      </c>
      <c r="I145" t="s">
        <v>236</v>
      </c>
      <c r="J145" t="s">
        <v>228</v>
      </c>
      <c r="K145" t="s">
        <v>237</v>
      </c>
      <c r="L145">
        <v>1348</v>
      </c>
      <c r="N145">
        <v>1009</v>
      </c>
      <c r="O145" t="s">
        <v>33</v>
      </c>
      <c r="P145" t="s">
        <v>33</v>
      </c>
      <c r="Q145">
        <v>1000</v>
      </c>
      <c r="W145">
        <v>0</v>
      </c>
      <c r="X145">
        <v>-1565279954</v>
      </c>
      <c r="Y145">
        <f>AT145</f>
        <v>1.8242000000000001E-4</v>
      </c>
      <c r="AA145">
        <v>18322.43</v>
      </c>
      <c r="AB145">
        <v>0</v>
      </c>
      <c r="AC145">
        <v>0</v>
      </c>
      <c r="AD145">
        <v>0</v>
      </c>
      <c r="AE145">
        <v>18322.43</v>
      </c>
      <c r="AF145">
        <v>0</v>
      </c>
      <c r="AG145">
        <v>0</v>
      </c>
      <c r="AH145">
        <v>0</v>
      </c>
      <c r="AI145">
        <v>1</v>
      </c>
      <c r="AJ145">
        <v>1</v>
      </c>
      <c r="AK145">
        <v>1</v>
      </c>
      <c r="AL145">
        <v>1</v>
      </c>
      <c r="AM145">
        <v>0</v>
      </c>
      <c r="AN145">
        <v>0</v>
      </c>
      <c r="AO145">
        <v>0</v>
      </c>
      <c r="AP145">
        <v>0</v>
      </c>
      <c r="AQ145">
        <v>0</v>
      </c>
      <c r="AR145">
        <v>0</v>
      </c>
      <c r="AS145" t="s">
        <v>6</v>
      </c>
      <c r="AT145">
        <v>1.8242000000000001E-4</v>
      </c>
      <c r="AU145" t="s">
        <v>6</v>
      </c>
      <c r="AV145">
        <v>0</v>
      </c>
      <c r="AW145">
        <v>1</v>
      </c>
      <c r="AX145">
        <v>-1</v>
      </c>
      <c r="AY145">
        <v>0</v>
      </c>
      <c r="AZ145">
        <v>0</v>
      </c>
      <c r="BA145" t="s">
        <v>6</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CV145">
        <v>0</v>
      </c>
      <c r="CW145">
        <v>0</v>
      </c>
      <c r="CX145">
        <f>ROUND(Y145*Source!I137,9)</f>
        <v>1.8449499999999999E-3</v>
      </c>
      <c r="CY145">
        <f>AA145</f>
        <v>18322.43</v>
      </c>
      <c r="CZ145">
        <f>AE145</f>
        <v>18322.43</v>
      </c>
      <c r="DA145">
        <f>AI145</f>
        <v>1</v>
      </c>
      <c r="DB145">
        <f>ROUND(ROUND(AT145*CZ145,2),2)</f>
        <v>3.34</v>
      </c>
      <c r="DC145">
        <f>ROUND(ROUND(AT145*AG145,2),2)</f>
        <v>0</v>
      </c>
      <c r="DD145" t="s">
        <v>6</v>
      </c>
      <c r="DE145" t="s">
        <v>6</v>
      </c>
      <c r="DF145">
        <f t="shared" si="51"/>
        <v>34</v>
      </c>
      <c r="DG145">
        <f t="shared" si="50"/>
        <v>0</v>
      </c>
      <c r="DH145">
        <f>Source!I137*SmtRes!Y145</f>
        <v>1.8449502749999999E-3</v>
      </c>
      <c r="DI145">
        <f>AA145</f>
        <v>18322.43</v>
      </c>
      <c r="DJ145">
        <f>DF145</f>
        <v>34</v>
      </c>
      <c r="DK145">
        <f>Source!BC137</f>
        <v>1</v>
      </c>
      <c r="DL145" t="s">
        <v>6</v>
      </c>
      <c r="DM145">
        <v>0</v>
      </c>
      <c r="DN145" t="s">
        <v>6</v>
      </c>
      <c r="DO145">
        <v>0</v>
      </c>
      <c r="GP145">
        <v>1</v>
      </c>
      <c r="GQ145">
        <v>-1</v>
      </c>
      <c r="GR145">
        <v>-1</v>
      </c>
    </row>
    <row r="146" spans="1:200" x14ac:dyDescent="0.2">
      <c r="A146">
        <f>ROW(Source!A138)</f>
        <v>138</v>
      </c>
      <c r="B146">
        <v>86326988</v>
      </c>
      <c r="C146">
        <v>86327389</v>
      </c>
      <c r="D146">
        <v>5511010</v>
      </c>
      <c r="E146">
        <v>1</v>
      </c>
      <c r="F146">
        <v>1</v>
      </c>
      <c r="G146">
        <v>1</v>
      </c>
      <c r="H146">
        <v>1</v>
      </c>
      <c r="I146" t="s">
        <v>640</v>
      </c>
      <c r="J146" t="s">
        <v>6</v>
      </c>
      <c r="K146" t="s">
        <v>641</v>
      </c>
      <c r="L146">
        <v>1369</v>
      </c>
      <c r="N146">
        <v>1013</v>
      </c>
      <c r="O146" t="s">
        <v>625</v>
      </c>
      <c r="P146" t="s">
        <v>625</v>
      </c>
      <c r="Q146">
        <v>1</v>
      </c>
      <c r="W146">
        <v>0</v>
      </c>
      <c r="X146">
        <v>-1977858316</v>
      </c>
      <c r="Y146">
        <f>(AT146*1.05)</f>
        <v>54.110700000000001</v>
      </c>
      <c r="AA146">
        <v>0</v>
      </c>
      <c r="AB146">
        <v>0</v>
      </c>
      <c r="AC146">
        <v>0</v>
      </c>
      <c r="AD146">
        <v>302.29000000000002</v>
      </c>
      <c r="AE146">
        <v>0</v>
      </c>
      <c r="AF146">
        <v>0</v>
      </c>
      <c r="AG146">
        <v>0</v>
      </c>
      <c r="AH146">
        <v>11.92</v>
      </c>
      <c r="AI146">
        <v>1</v>
      </c>
      <c r="AJ146">
        <v>1</v>
      </c>
      <c r="AK146">
        <v>1</v>
      </c>
      <c r="AL146">
        <v>25.36</v>
      </c>
      <c r="AM146">
        <v>5</v>
      </c>
      <c r="AN146">
        <v>0</v>
      </c>
      <c r="AO146">
        <v>1</v>
      </c>
      <c r="AP146">
        <v>1</v>
      </c>
      <c r="AQ146">
        <v>0</v>
      </c>
      <c r="AR146">
        <v>0</v>
      </c>
      <c r="AS146" t="s">
        <v>6</v>
      </c>
      <c r="AT146">
        <v>51.533999999999999</v>
      </c>
      <c r="AU146" t="s">
        <v>25</v>
      </c>
      <c r="AV146">
        <v>1</v>
      </c>
      <c r="AW146">
        <v>2</v>
      </c>
      <c r="AX146">
        <v>86327397</v>
      </c>
      <c r="AY146">
        <v>1</v>
      </c>
      <c r="AZ146">
        <v>0</v>
      </c>
      <c r="BA146">
        <v>126</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CU146">
        <f>ROUND(AT146*Source!I138*AH146*AL146,0)</f>
        <v>157555</v>
      </c>
      <c r="CV146">
        <f>ROUND(Y146*Source!I138,9)</f>
        <v>547.26209212499998</v>
      </c>
      <c r="CW146">
        <v>0</v>
      </c>
      <c r="CX146">
        <f>ROUND(Y146*Source!I138,9)</f>
        <v>547.26209212499998</v>
      </c>
      <c r="CY146">
        <f>AD146</f>
        <v>302.29000000000002</v>
      </c>
      <c r="CZ146">
        <f>AH146</f>
        <v>11.92</v>
      </c>
      <c r="DA146">
        <f>AL146</f>
        <v>25.36</v>
      </c>
      <c r="DB146">
        <f>ROUND((ROUND(AT146*CZ146,2)*1.05),2)</f>
        <v>645</v>
      </c>
      <c r="DC146">
        <f>ROUND((ROUND(AT146*AG146,2)*1.05),2)</f>
        <v>0</v>
      </c>
      <c r="DD146" t="s">
        <v>6</v>
      </c>
      <c r="DE146" t="s">
        <v>6</v>
      </c>
      <c r="DF146">
        <f t="shared" si="51"/>
        <v>0</v>
      </c>
      <c r="DG146">
        <f t="shared" si="50"/>
        <v>0</v>
      </c>
      <c r="DH146">
        <f>Source!I138*SmtRes!Y146</f>
        <v>547.26209212499998</v>
      </c>
      <c r="DI146">
        <f>AD146</f>
        <v>302.29000000000002</v>
      </c>
      <c r="DJ146">
        <f>EtalonRes!AB126</f>
        <v>11.92</v>
      </c>
      <c r="DK146">
        <f>Source!BA138</f>
        <v>25.36</v>
      </c>
      <c r="DL146" t="s">
        <v>6</v>
      </c>
      <c r="DM146">
        <v>0</v>
      </c>
      <c r="DN146" t="s">
        <v>6</v>
      </c>
      <c r="DO146">
        <v>0</v>
      </c>
      <c r="GQ146">
        <v>-1</v>
      </c>
      <c r="GR146">
        <v>-1</v>
      </c>
    </row>
    <row r="147" spans="1:200" x14ac:dyDescent="0.2">
      <c r="A147">
        <f>ROW(Source!A138)</f>
        <v>138</v>
      </c>
      <c r="B147">
        <v>86326988</v>
      </c>
      <c r="C147">
        <v>86327389</v>
      </c>
      <c r="D147">
        <v>121548</v>
      </c>
      <c r="E147">
        <v>1</v>
      </c>
      <c r="F147">
        <v>1</v>
      </c>
      <c r="G147">
        <v>1</v>
      </c>
      <c r="H147">
        <v>1</v>
      </c>
      <c r="I147" t="s">
        <v>40</v>
      </c>
      <c r="J147" t="s">
        <v>6</v>
      </c>
      <c r="K147" t="s">
        <v>626</v>
      </c>
      <c r="L147">
        <v>608254</v>
      </c>
      <c r="N147">
        <v>1013</v>
      </c>
      <c r="O147" t="s">
        <v>627</v>
      </c>
      <c r="P147" t="s">
        <v>627</v>
      </c>
      <c r="Q147">
        <v>1</v>
      </c>
      <c r="W147">
        <v>0</v>
      </c>
      <c r="X147">
        <v>-185737400</v>
      </c>
      <c r="Y147">
        <f>(AT147*1.12)</f>
        <v>0.50400000000000011</v>
      </c>
      <c r="AA147">
        <v>0</v>
      </c>
      <c r="AB147">
        <v>0</v>
      </c>
      <c r="AC147">
        <v>0</v>
      </c>
      <c r="AD147">
        <v>0</v>
      </c>
      <c r="AE147">
        <v>0</v>
      </c>
      <c r="AF147">
        <v>0</v>
      </c>
      <c r="AG147">
        <v>0</v>
      </c>
      <c r="AH147">
        <v>0</v>
      </c>
      <c r="AI147">
        <v>1</v>
      </c>
      <c r="AJ147">
        <v>1</v>
      </c>
      <c r="AK147">
        <v>19.8</v>
      </c>
      <c r="AL147">
        <v>1</v>
      </c>
      <c r="AM147">
        <v>5</v>
      </c>
      <c r="AN147">
        <v>0</v>
      </c>
      <c r="AO147">
        <v>1</v>
      </c>
      <c r="AP147">
        <v>1</v>
      </c>
      <c r="AQ147">
        <v>0</v>
      </c>
      <c r="AR147">
        <v>0</v>
      </c>
      <c r="AS147" t="s">
        <v>6</v>
      </c>
      <c r="AT147">
        <v>0.45</v>
      </c>
      <c r="AU147" t="s">
        <v>24</v>
      </c>
      <c r="AV147">
        <v>2</v>
      </c>
      <c r="AW147">
        <v>2</v>
      </c>
      <c r="AX147">
        <v>86327398</v>
      </c>
      <c r="AY147">
        <v>1</v>
      </c>
      <c r="AZ147">
        <v>0</v>
      </c>
      <c r="BA147">
        <v>127</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CV147">
        <v>0</v>
      </c>
      <c r="CW147">
        <v>0</v>
      </c>
      <c r="CX147">
        <f>ROUND(Y147*Source!I138,9)</f>
        <v>5.0973300000000004</v>
      </c>
      <c r="CY147">
        <f>AD147</f>
        <v>0</v>
      </c>
      <c r="CZ147">
        <f>AH147</f>
        <v>0</v>
      </c>
      <c r="DA147">
        <f>AL147</f>
        <v>1</v>
      </c>
      <c r="DB147">
        <f>ROUND((ROUND(AT147*CZ147,2)*1.12),2)</f>
        <v>0</v>
      </c>
      <c r="DC147">
        <f>ROUND((ROUND(AT147*AG147,2)*1.12),2)</f>
        <v>0</v>
      </c>
      <c r="DD147" t="s">
        <v>6</v>
      </c>
      <c r="DE147" t="s">
        <v>6</v>
      </c>
      <c r="DF147">
        <f t="shared" si="51"/>
        <v>0</v>
      </c>
      <c r="DG147">
        <f t="shared" si="50"/>
        <v>0</v>
      </c>
      <c r="DH147">
        <f>Source!I138*SmtRes!Y147</f>
        <v>5.0973300000000012</v>
      </c>
      <c r="DI147">
        <f>AD147</f>
        <v>0</v>
      </c>
      <c r="DJ147">
        <f>EtalonRes!AB127</f>
        <v>0</v>
      </c>
      <c r="DK147">
        <f>Source!BA138</f>
        <v>25.36</v>
      </c>
      <c r="DL147" t="s">
        <v>6</v>
      </c>
      <c r="DM147">
        <v>0</v>
      </c>
      <c r="DN147" t="s">
        <v>6</v>
      </c>
      <c r="DO147">
        <v>0</v>
      </c>
      <c r="GQ147">
        <v>-1</v>
      </c>
      <c r="GR147">
        <v>-1</v>
      </c>
    </row>
    <row r="148" spans="1:200" x14ac:dyDescent="0.2">
      <c r="A148">
        <f>ROW(Source!A138)</f>
        <v>138</v>
      </c>
      <c r="B148">
        <v>86326988</v>
      </c>
      <c r="C148">
        <v>86327389</v>
      </c>
      <c r="D148">
        <v>35950917</v>
      </c>
      <c r="E148">
        <v>1</v>
      </c>
      <c r="F148">
        <v>1</v>
      </c>
      <c r="G148">
        <v>1</v>
      </c>
      <c r="H148">
        <v>2</v>
      </c>
      <c r="I148" t="s">
        <v>628</v>
      </c>
      <c r="J148" t="s">
        <v>642</v>
      </c>
      <c r="K148" t="s">
        <v>643</v>
      </c>
      <c r="L148">
        <v>1368</v>
      </c>
      <c r="N148">
        <v>1011</v>
      </c>
      <c r="O148" t="s">
        <v>137</v>
      </c>
      <c r="P148" t="s">
        <v>137</v>
      </c>
      <c r="Q148">
        <v>1</v>
      </c>
      <c r="W148">
        <v>0</v>
      </c>
      <c r="X148">
        <v>1919308296</v>
      </c>
      <c r="Y148">
        <f>(AT148*1.12)</f>
        <v>0.4032</v>
      </c>
      <c r="AA148">
        <v>0</v>
      </c>
      <c r="AB148">
        <v>906.62</v>
      </c>
      <c r="AC148">
        <v>221.36</v>
      </c>
      <c r="AD148">
        <v>0</v>
      </c>
      <c r="AE148">
        <v>0</v>
      </c>
      <c r="AF148">
        <v>115.64</v>
      </c>
      <c r="AG148">
        <v>11.18</v>
      </c>
      <c r="AH148">
        <v>0</v>
      </c>
      <c r="AI148">
        <v>1</v>
      </c>
      <c r="AJ148">
        <v>7.84</v>
      </c>
      <c r="AK148">
        <v>19.8</v>
      </c>
      <c r="AL148">
        <v>1</v>
      </c>
      <c r="AM148">
        <v>5</v>
      </c>
      <c r="AN148">
        <v>0</v>
      </c>
      <c r="AO148">
        <v>1</v>
      </c>
      <c r="AP148">
        <v>1</v>
      </c>
      <c r="AQ148">
        <v>0</v>
      </c>
      <c r="AR148">
        <v>0</v>
      </c>
      <c r="AS148" t="s">
        <v>6</v>
      </c>
      <c r="AT148">
        <v>0.36</v>
      </c>
      <c r="AU148" t="s">
        <v>24</v>
      </c>
      <c r="AV148">
        <v>0</v>
      </c>
      <c r="AW148">
        <v>2</v>
      </c>
      <c r="AX148">
        <v>86327399</v>
      </c>
      <c r="AY148">
        <v>1</v>
      </c>
      <c r="AZ148">
        <v>0</v>
      </c>
      <c r="BA148">
        <v>128</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CV148">
        <v>0</v>
      </c>
      <c r="CW148">
        <f>ROUND(Y148*Source!I138*DO148,9)</f>
        <v>0</v>
      </c>
      <c r="CX148">
        <f>ROUND(Y148*Source!I138,9)</f>
        <v>4.0778639999999999</v>
      </c>
      <c r="CY148">
        <f>AB148</f>
        <v>906.62</v>
      </c>
      <c r="CZ148">
        <f>AF148</f>
        <v>115.64</v>
      </c>
      <c r="DA148">
        <f>AJ148</f>
        <v>7.84</v>
      </c>
      <c r="DB148">
        <f>ROUND((ROUND(AT148*CZ148,2)*1.12),2)</f>
        <v>46.63</v>
      </c>
      <c r="DC148">
        <f>ROUND((ROUND(AT148*AG148,2)*1.12),2)</f>
        <v>4.5</v>
      </c>
      <c r="DD148" t="s">
        <v>6</v>
      </c>
      <c r="DE148" t="s">
        <v>6</v>
      </c>
      <c r="DF148">
        <f t="shared" si="51"/>
        <v>0</v>
      </c>
      <c r="DG148">
        <f>ROUND(ROUND(AF148*AJ148,0)*CX148,0)</f>
        <v>3699</v>
      </c>
      <c r="DH148">
        <f>Source!I138*SmtRes!Y148</f>
        <v>4.0778639999999999</v>
      </c>
      <c r="DI148">
        <f>AB148</f>
        <v>906.62</v>
      </c>
      <c r="DJ148">
        <f>EtalonRes!Z128</f>
        <v>115.64</v>
      </c>
      <c r="DK148">
        <f>Source!BB138</f>
        <v>7.84</v>
      </c>
      <c r="DL148" t="s">
        <v>6</v>
      </c>
      <c r="DM148">
        <v>0</v>
      </c>
      <c r="DN148" t="s">
        <v>6</v>
      </c>
      <c r="DO148">
        <v>0</v>
      </c>
      <c r="GQ148">
        <v>-1</v>
      </c>
      <c r="GR148">
        <v>-1</v>
      </c>
    </row>
    <row r="149" spans="1:200" x14ac:dyDescent="0.2">
      <c r="A149">
        <f>ROW(Source!A138)</f>
        <v>138</v>
      </c>
      <c r="B149">
        <v>86326988</v>
      </c>
      <c r="C149">
        <v>86327389</v>
      </c>
      <c r="D149">
        <v>35950918</v>
      </c>
      <c r="E149">
        <v>1</v>
      </c>
      <c r="F149">
        <v>1</v>
      </c>
      <c r="G149">
        <v>1</v>
      </c>
      <c r="H149">
        <v>2</v>
      </c>
      <c r="I149" t="s">
        <v>631</v>
      </c>
      <c r="J149" t="s">
        <v>644</v>
      </c>
      <c r="K149" t="s">
        <v>645</v>
      </c>
      <c r="L149">
        <v>1368</v>
      </c>
      <c r="N149">
        <v>1011</v>
      </c>
      <c r="O149" t="s">
        <v>137</v>
      </c>
      <c r="P149" t="s">
        <v>137</v>
      </c>
      <c r="Q149">
        <v>1</v>
      </c>
      <c r="W149">
        <v>0</v>
      </c>
      <c r="X149">
        <v>-629854247</v>
      </c>
      <c r="Y149">
        <f>(AT149*1.12)</f>
        <v>0.1008</v>
      </c>
      <c r="AA149">
        <v>0</v>
      </c>
      <c r="AB149">
        <v>883.33</v>
      </c>
      <c r="AC149">
        <v>257.8</v>
      </c>
      <c r="AD149">
        <v>0</v>
      </c>
      <c r="AE149">
        <v>0</v>
      </c>
      <c r="AF149">
        <v>112.67</v>
      </c>
      <c r="AG149">
        <v>13.02</v>
      </c>
      <c r="AH149">
        <v>0</v>
      </c>
      <c r="AI149">
        <v>1</v>
      </c>
      <c r="AJ149">
        <v>7.84</v>
      </c>
      <c r="AK149">
        <v>19.8</v>
      </c>
      <c r="AL149">
        <v>1</v>
      </c>
      <c r="AM149">
        <v>5</v>
      </c>
      <c r="AN149">
        <v>0</v>
      </c>
      <c r="AO149">
        <v>1</v>
      </c>
      <c r="AP149">
        <v>1</v>
      </c>
      <c r="AQ149">
        <v>0</v>
      </c>
      <c r="AR149">
        <v>0</v>
      </c>
      <c r="AS149" t="s">
        <v>6</v>
      </c>
      <c r="AT149">
        <v>0.09</v>
      </c>
      <c r="AU149" t="s">
        <v>24</v>
      </c>
      <c r="AV149">
        <v>0</v>
      </c>
      <c r="AW149">
        <v>2</v>
      </c>
      <c r="AX149">
        <v>86327400</v>
      </c>
      <c r="AY149">
        <v>1</v>
      </c>
      <c r="AZ149">
        <v>0</v>
      </c>
      <c r="BA149">
        <v>129</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CV149">
        <v>0</v>
      </c>
      <c r="CW149">
        <f>ROUND(Y149*Source!I138*DO149,9)</f>
        <v>0</v>
      </c>
      <c r="CX149">
        <f>ROUND(Y149*Source!I138,9)</f>
        <v>1.019466</v>
      </c>
      <c r="CY149">
        <f>AB149</f>
        <v>883.33</v>
      </c>
      <c r="CZ149">
        <f>AF149</f>
        <v>112.67</v>
      </c>
      <c r="DA149">
        <f>AJ149</f>
        <v>7.84</v>
      </c>
      <c r="DB149">
        <f>ROUND((ROUND(AT149*CZ149,2)*1.12),2)</f>
        <v>11.36</v>
      </c>
      <c r="DC149">
        <f>ROUND((ROUND(AT149*AG149,2)*1.12),2)</f>
        <v>1.31</v>
      </c>
      <c r="DD149" t="s">
        <v>6</v>
      </c>
      <c r="DE149" t="s">
        <v>6</v>
      </c>
      <c r="DF149">
        <f t="shared" si="51"/>
        <v>0</v>
      </c>
      <c r="DG149">
        <f>ROUND(ROUND(AF149*AJ149,0)*CX149,0)</f>
        <v>900</v>
      </c>
      <c r="DH149">
        <f>Source!I138*SmtRes!Y149</f>
        <v>1.019466</v>
      </c>
      <c r="DI149">
        <f>AB149</f>
        <v>883.33</v>
      </c>
      <c r="DJ149">
        <f>EtalonRes!Z129</f>
        <v>112.67</v>
      </c>
      <c r="DK149">
        <f>Source!BB138</f>
        <v>7.84</v>
      </c>
      <c r="DL149" t="s">
        <v>6</v>
      </c>
      <c r="DM149">
        <v>0</v>
      </c>
      <c r="DN149" t="s">
        <v>6</v>
      </c>
      <c r="DO149">
        <v>0</v>
      </c>
      <c r="GQ149">
        <v>-1</v>
      </c>
      <c r="GR149">
        <v>-1</v>
      </c>
    </row>
    <row r="150" spans="1:200" x14ac:dyDescent="0.2">
      <c r="A150">
        <f>ROW(Source!A138)</f>
        <v>138</v>
      </c>
      <c r="B150">
        <v>86326988</v>
      </c>
      <c r="C150">
        <v>86327389</v>
      </c>
      <c r="D150">
        <v>35950919</v>
      </c>
      <c r="E150">
        <v>1</v>
      </c>
      <c r="F150">
        <v>1</v>
      </c>
      <c r="G150">
        <v>1</v>
      </c>
      <c r="H150">
        <v>2</v>
      </c>
      <c r="I150" t="s">
        <v>637</v>
      </c>
      <c r="J150" t="s">
        <v>646</v>
      </c>
      <c r="K150" t="s">
        <v>639</v>
      </c>
      <c r="L150">
        <v>1368</v>
      </c>
      <c r="N150">
        <v>1011</v>
      </c>
      <c r="O150" t="s">
        <v>137</v>
      </c>
      <c r="P150" t="s">
        <v>137</v>
      </c>
      <c r="Q150">
        <v>1</v>
      </c>
      <c r="W150">
        <v>0</v>
      </c>
      <c r="X150">
        <v>-1317427794</v>
      </c>
      <c r="Y150">
        <f>(AT150*1.12)</f>
        <v>0.14560000000000001</v>
      </c>
      <c r="AA150">
        <v>0</v>
      </c>
      <c r="AB150">
        <v>732.02</v>
      </c>
      <c r="AC150">
        <v>231.46</v>
      </c>
      <c r="AD150">
        <v>0</v>
      </c>
      <c r="AE150">
        <v>0</v>
      </c>
      <c r="AF150">
        <v>93.37</v>
      </c>
      <c r="AG150">
        <v>11.69</v>
      </c>
      <c r="AH150">
        <v>0</v>
      </c>
      <c r="AI150">
        <v>1</v>
      </c>
      <c r="AJ150">
        <v>7.84</v>
      </c>
      <c r="AK150">
        <v>19.8</v>
      </c>
      <c r="AL150">
        <v>1</v>
      </c>
      <c r="AM150">
        <v>5</v>
      </c>
      <c r="AN150">
        <v>0</v>
      </c>
      <c r="AO150">
        <v>1</v>
      </c>
      <c r="AP150">
        <v>1</v>
      </c>
      <c r="AQ150">
        <v>0</v>
      </c>
      <c r="AR150">
        <v>0</v>
      </c>
      <c r="AS150" t="s">
        <v>6</v>
      </c>
      <c r="AT150">
        <v>0.13</v>
      </c>
      <c r="AU150" t="s">
        <v>24</v>
      </c>
      <c r="AV150">
        <v>0</v>
      </c>
      <c r="AW150">
        <v>2</v>
      </c>
      <c r="AX150">
        <v>86327401</v>
      </c>
      <c r="AY150">
        <v>1</v>
      </c>
      <c r="AZ150">
        <v>0</v>
      </c>
      <c r="BA150">
        <v>130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CV150">
        <v>0</v>
      </c>
      <c r="CW150">
        <f>ROUND(Y150*Source!I138*DO150,9)</f>
        <v>0</v>
      </c>
      <c r="CX150">
        <f>ROUND(Y150*Source!I138,9)</f>
        <v>1.4725619999999999</v>
      </c>
      <c r="CY150">
        <f>AB150</f>
        <v>732.02</v>
      </c>
      <c r="CZ150">
        <f>AF150</f>
        <v>93.37</v>
      </c>
      <c r="DA150">
        <f>AJ150</f>
        <v>7.84</v>
      </c>
      <c r="DB150">
        <f>ROUND((ROUND(AT150*CZ150,2)*1.12),2)</f>
        <v>13.6</v>
      </c>
      <c r="DC150">
        <f>ROUND((ROUND(AT150*AG150,2)*1.12),2)</f>
        <v>1.7</v>
      </c>
      <c r="DD150" t="s">
        <v>6</v>
      </c>
      <c r="DE150" t="s">
        <v>6</v>
      </c>
      <c r="DF150">
        <f t="shared" si="51"/>
        <v>0</v>
      </c>
      <c r="DG150">
        <f>ROUND(ROUND(AF150*AJ150,0)*CX150,0)</f>
        <v>1078</v>
      </c>
      <c r="DH150">
        <f>Source!I138*SmtRes!Y150</f>
        <v>1.4725619999999999</v>
      </c>
      <c r="DI150">
        <f>AB150</f>
        <v>732.02</v>
      </c>
      <c r="DJ150">
        <f>EtalonRes!Z130</f>
        <v>93.37</v>
      </c>
      <c r="DK150">
        <f>Source!BB138</f>
        <v>7.84</v>
      </c>
      <c r="DL150" t="s">
        <v>6</v>
      </c>
      <c r="DM150">
        <v>0</v>
      </c>
      <c r="DN150" t="s">
        <v>6</v>
      </c>
      <c r="DO150">
        <v>0</v>
      </c>
      <c r="GQ150">
        <v>-1</v>
      </c>
      <c r="GR150">
        <v>-1</v>
      </c>
    </row>
    <row r="151" spans="1:200" x14ac:dyDescent="0.2">
      <c r="A151">
        <f>ROW(Source!A138)</f>
        <v>138</v>
      </c>
      <c r="B151">
        <v>86326988</v>
      </c>
      <c r="C151">
        <v>86327389</v>
      </c>
      <c r="D151">
        <v>52930024</v>
      </c>
      <c r="E151">
        <v>1</v>
      </c>
      <c r="F151">
        <v>1</v>
      </c>
      <c r="G151">
        <v>1</v>
      </c>
      <c r="H151">
        <v>3</v>
      </c>
      <c r="I151" t="s">
        <v>226</v>
      </c>
      <c r="J151" t="s">
        <v>228</v>
      </c>
      <c r="K151" t="s">
        <v>227</v>
      </c>
      <c r="L151">
        <v>1348</v>
      </c>
      <c r="N151">
        <v>1009</v>
      </c>
      <c r="O151" t="s">
        <v>33</v>
      </c>
      <c r="P151" t="s">
        <v>33</v>
      </c>
      <c r="Q151">
        <v>1000</v>
      </c>
      <c r="W151">
        <v>0</v>
      </c>
      <c r="X151">
        <v>-1683247353</v>
      </c>
      <c r="Y151">
        <f>AT151</f>
        <v>0.99982696999999998</v>
      </c>
      <c r="AA151">
        <v>59385.33</v>
      </c>
      <c r="AB151">
        <v>0</v>
      </c>
      <c r="AC151">
        <v>0</v>
      </c>
      <c r="AD151">
        <v>0</v>
      </c>
      <c r="AE151">
        <v>8230.68</v>
      </c>
      <c r="AF151">
        <v>0</v>
      </c>
      <c r="AG151">
        <v>0</v>
      </c>
      <c r="AH151">
        <v>0</v>
      </c>
      <c r="AI151">
        <v>7.56</v>
      </c>
      <c r="AJ151">
        <v>1</v>
      </c>
      <c r="AK151">
        <v>1</v>
      </c>
      <c r="AL151">
        <v>1</v>
      </c>
      <c r="AM151">
        <v>0</v>
      </c>
      <c r="AN151">
        <v>0</v>
      </c>
      <c r="AO151">
        <v>0</v>
      </c>
      <c r="AP151">
        <v>1</v>
      </c>
      <c r="AQ151">
        <v>0</v>
      </c>
      <c r="AR151">
        <v>0</v>
      </c>
      <c r="AS151" t="s">
        <v>6</v>
      </c>
      <c r="AT151">
        <v>0.99982696999999998</v>
      </c>
      <c r="AU151" t="s">
        <v>6</v>
      </c>
      <c r="AV151">
        <v>0</v>
      </c>
      <c r="AW151">
        <v>1</v>
      </c>
      <c r="AX151">
        <v>-1</v>
      </c>
      <c r="AY151">
        <v>0</v>
      </c>
      <c r="AZ151">
        <v>0</v>
      </c>
      <c r="BA151" t="s">
        <v>6</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CV151">
        <v>0</v>
      </c>
      <c r="CW151">
        <v>0</v>
      </c>
      <c r="CX151">
        <f>ROUND(Y151*Source!I138,9)</f>
        <v>10.112000018</v>
      </c>
      <c r="CY151">
        <f>AA151</f>
        <v>59385.33</v>
      </c>
      <c r="CZ151">
        <f>AE151</f>
        <v>8230.68</v>
      </c>
      <c r="DA151">
        <f>AI151</f>
        <v>7.56</v>
      </c>
      <c r="DB151">
        <f>ROUND(ROUND(AT151*CZ151,2),2)</f>
        <v>8229.26</v>
      </c>
      <c r="DC151">
        <f>ROUND(ROUND(AT151*AG151,2),2)</f>
        <v>0</v>
      </c>
      <c r="DD151" t="s">
        <v>6</v>
      </c>
      <c r="DE151" t="s">
        <v>6</v>
      </c>
      <c r="DF151">
        <f>ROUND(ROUND(AE151*AI151,0)*CX151,0)</f>
        <v>629209</v>
      </c>
      <c r="DG151">
        <f t="shared" ref="DG151:DG167" si="52">ROUND(ROUND(AF151,0)*CX151,0)</f>
        <v>0</v>
      </c>
      <c r="DH151">
        <f>Source!I138*SmtRes!Y151</f>
        <v>10.112000017837499</v>
      </c>
      <c r="DI151">
        <f>AA151</f>
        <v>59385.33</v>
      </c>
      <c r="DJ151">
        <f>DF151</f>
        <v>629209</v>
      </c>
      <c r="DK151">
        <f>Source!BC138</f>
        <v>7.56</v>
      </c>
      <c r="DL151" t="s">
        <v>6</v>
      </c>
      <c r="DM151">
        <v>0</v>
      </c>
      <c r="DN151" t="s">
        <v>6</v>
      </c>
      <c r="DO151">
        <v>0</v>
      </c>
      <c r="GP151">
        <v>1</v>
      </c>
      <c r="GQ151">
        <v>-1</v>
      </c>
      <c r="GR151">
        <v>-1</v>
      </c>
    </row>
    <row r="152" spans="1:200" x14ac:dyDescent="0.2">
      <c r="A152">
        <f>ROW(Source!A138)</f>
        <v>138</v>
      </c>
      <c r="B152">
        <v>86326988</v>
      </c>
      <c r="C152">
        <v>86327389</v>
      </c>
      <c r="D152">
        <v>0</v>
      </c>
      <c r="E152">
        <v>0</v>
      </c>
      <c r="F152">
        <v>1</v>
      </c>
      <c r="G152">
        <v>1</v>
      </c>
      <c r="H152">
        <v>3</v>
      </c>
      <c r="I152" t="s">
        <v>236</v>
      </c>
      <c r="J152" t="s">
        <v>228</v>
      </c>
      <c r="K152" t="s">
        <v>237</v>
      </c>
      <c r="L152">
        <v>1348</v>
      </c>
      <c r="N152">
        <v>1009</v>
      </c>
      <c r="O152" t="s">
        <v>33</v>
      </c>
      <c r="P152" t="s">
        <v>33</v>
      </c>
      <c r="Q152">
        <v>1000</v>
      </c>
      <c r="W152">
        <v>0</v>
      </c>
      <c r="X152">
        <v>-1565279954</v>
      </c>
      <c r="Y152">
        <f>AT152</f>
        <v>1.8242000000000001E-4</v>
      </c>
      <c r="AA152">
        <v>132198.48000000001</v>
      </c>
      <c r="AB152">
        <v>0</v>
      </c>
      <c r="AC152">
        <v>0</v>
      </c>
      <c r="AD152">
        <v>0</v>
      </c>
      <c r="AE152">
        <v>18322.43</v>
      </c>
      <c r="AF152">
        <v>0</v>
      </c>
      <c r="AG152">
        <v>0</v>
      </c>
      <c r="AH152">
        <v>0</v>
      </c>
      <c r="AI152">
        <v>7.56</v>
      </c>
      <c r="AJ152">
        <v>1</v>
      </c>
      <c r="AK152">
        <v>1</v>
      </c>
      <c r="AL152">
        <v>1</v>
      </c>
      <c r="AM152">
        <v>0</v>
      </c>
      <c r="AN152">
        <v>0</v>
      </c>
      <c r="AO152">
        <v>0</v>
      </c>
      <c r="AP152">
        <v>0</v>
      </c>
      <c r="AQ152">
        <v>0</v>
      </c>
      <c r="AR152">
        <v>0</v>
      </c>
      <c r="AS152" t="s">
        <v>6</v>
      </c>
      <c r="AT152">
        <v>1.8242000000000001E-4</v>
      </c>
      <c r="AU152" t="s">
        <v>6</v>
      </c>
      <c r="AV152">
        <v>0</v>
      </c>
      <c r="AW152">
        <v>1</v>
      </c>
      <c r="AX152">
        <v>-1</v>
      </c>
      <c r="AY152">
        <v>0</v>
      </c>
      <c r="AZ152">
        <v>0</v>
      </c>
      <c r="BA152" t="s">
        <v>6</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CV152">
        <v>0</v>
      </c>
      <c r="CW152">
        <v>0</v>
      </c>
      <c r="CX152">
        <f>ROUND(Y152*Source!I138,9)</f>
        <v>1.8449499999999999E-3</v>
      </c>
      <c r="CY152">
        <f>AA152</f>
        <v>132198.48000000001</v>
      </c>
      <c r="CZ152">
        <f>AE152</f>
        <v>18322.43</v>
      </c>
      <c r="DA152">
        <f>AI152</f>
        <v>7.56</v>
      </c>
      <c r="DB152">
        <f>ROUND(ROUND(AT152*CZ152,2),2)</f>
        <v>3.34</v>
      </c>
      <c r="DC152">
        <f>ROUND(ROUND(AT152*AG152,2),2)</f>
        <v>0</v>
      </c>
      <c r="DD152" t="s">
        <v>6</v>
      </c>
      <c r="DE152" t="s">
        <v>6</v>
      </c>
      <c r="DF152">
        <f>ROUND(ROUND(AE152*AI152,0)*CX152,0)</f>
        <v>256</v>
      </c>
      <c r="DG152">
        <f t="shared" si="52"/>
        <v>0</v>
      </c>
      <c r="DH152">
        <f>Source!I138*SmtRes!Y152</f>
        <v>1.8449502749999999E-3</v>
      </c>
      <c r="DI152">
        <f>AA152</f>
        <v>132198.48000000001</v>
      </c>
      <c r="DJ152">
        <f>DF152</f>
        <v>256</v>
      </c>
      <c r="DK152">
        <f>Source!BC138</f>
        <v>7.56</v>
      </c>
      <c r="DL152" t="s">
        <v>6</v>
      </c>
      <c r="DM152">
        <v>0</v>
      </c>
      <c r="DN152" t="s">
        <v>6</v>
      </c>
      <c r="DO152">
        <v>0</v>
      </c>
      <c r="GP152">
        <v>1</v>
      </c>
      <c r="GQ152">
        <v>-1</v>
      </c>
      <c r="GR152">
        <v>-1</v>
      </c>
    </row>
    <row r="153" spans="1:200" x14ac:dyDescent="0.2">
      <c r="A153">
        <f>ROW(Source!A143)</f>
        <v>143</v>
      </c>
      <c r="B153">
        <v>86326987</v>
      </c>
      <c r="C153">
        <v>86327406</v>
      </c>
      <c r="D153">
        <v>27497778</v>
      </c>
      <c r="E153">
        <v>1</v>
      </c>
      <c r="F153">
        <v>1</v>
      </c>
      <c r="G153">
        <v>1</v>
      </c>
      <c r="H153">
        <v>1</v>
      </c>
      <c r="I153" t="s">
        <v>647</v>
      </c>
      <c r="J153" t="s">
        <v>6</v>
      </c>
      <c r="K153" t="s">
        <v>648</v>
      </c>
      <c r="L153">
        <v>1369</v>
      </c>
      <c r="N153">
        <v>1013</v>
      </c>
      <c r="O153" t="s">
        <v>625</v>
      </c>
      <c r="P153" t="s">
        <v>625</v>
      </c>
      <c r="Q153">
        <v>1</v>
      </c>
      <c r="W153">
        <v>0</v>
      </c>
      <c r="X153">
        <v>-160844189</v>
      </c>
      <c r="Y153">
        <f>(AT153*1.05)</f>
        <v>3.9375</v>
      </c>
      <c r="AA153">
        <v>0</v>
      </c>
      <c r="AB153">
        <v>0</v>
      </c>
      <c r="AC153">
        <v>0</v>
      </c>
      <c r="AD153">
        <v>8.7100000000000009</v>
      </c>
      <c r="AE153">
        <v>0</v>
      </c>
      <c r="AF153">
        <v>0</v>
      </c>
      <c r="AG153">
        <v>0</v>
      </c>
      <c r="AH153">
        <v>8.7100000000000009</v>
      </c>
      <c r="AI153">
        <v>1</v>
      </c>
      <c r="AJ153">
        <v>1</v>
      </c>
      <c r="AK153">
        <v>1</v>
      </c>
      <c r="AL153">
        <v>1</v>
      </c>
      <c r="AM153">
        <v>0</v>
      </c>
      <c r="AN153">
        <v>0</v>
      </c>
      <c r="AO153">
        <v>1</v>
      </c>
      <c r="AP153">
        <v>1</v>
      </c>
      <c r="AQ153">
        <v>0</v>
      </c>
      <c r="AR153">
        <v>0</v>
      </c>
      <c r="AS153" t="s">
        <v>6</v>
      </c>
      <c r="AT153">
        <v>3.75</v>
      </c>
      <c r="AU153" t="s">
        <v>25</v>
      </c>
      <c r="AV153">
        <v>1</v>
      </c>
      <c r="AW153">
        <v>2</v>
      </c>
      <c r="AX153">
        <v>86327420</v>
      </c>
      <c r="AY153">
        <v>1</v>
      </c>
      <c r="AZ153">
        <v>0</v>
      </c>
      <c r="BA153">
        <v>133</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CU153">
        <f>ROUND(AT153*Source!I143*AH153*AL153,0)</f>
        <v>162</v>
      </c>
      <c r="CV153">
        <f>ROUND(Y153*Source!I143,9)</f>
        <v>19.492593750000001</v>
      </c>
      <c r="CW153">
        <v>0</v>
      </c>
      <c r="CX153">
        <f>ROUND(Y153*Source!I143,9)</f>
        <v>19.492593750000001</v>
      </c>
      <c r="CY153">
        <f>AD153</f>
        <v>8.7100000000000009</v>
      </c>
      <c r="CZ153">
        <f>AH153</f>
        <v>8.7100000000000009</v>
      </c>
      <c r="DA153">
        <f>AL153</f>
        <v>1</v>
      </c>
      <c r="DB153">
        <f>ROUND((ROUND(AT153*CZ153,2)*1.05),2)</f>
        <v>34.29</v>
      </c>
      <c r="DC153">
        <f>ROUND((ROUND(AT153*AG153,2)*1.05),2)</f>
        <v>0</v>
      </c>
      <c r="DD153" t="s">
        <v>6</v>
      </c>
      <c r="DE153" t="s">
        <v>6</v>
      </c>
      <c r="DF153">
        <f t="shared" ref="DF153:DF169" si="53">ROUND(ROUND(AE153,0)*CX153,0)</f>
        <v>0</v>
      </c>
      <c r="DG153">
        <f t="shared" si="52"/>
        <v>0</v>
      </c>
      <c r="DH153">
        <f>Source!I143*SmtRes!Y153</f>
        <v>19.492593750000001</v>
      </c>
      <c r="DI153">
        <f>AD153</f>
        <v>8.7100000000000009</v>
      </c>
      <c r="DJ153">
        <f>EtalonRes!AB133</f>
        <v>8.7100000000000009</v>
      </c>
      <c r="DK153">
        <f>Source!BA143</f>
        <v>1</v>
      </c>
      <c r="DL153" t="s">
        <v>6</v>
      </c>
      <c r="DM153">
        <v>0</v>
      </c>
      <c r="DN153" t="s">
        <v>6</v>
      </c>
      <c r="DO153">
        <v>0</v>
      </c>
      <c r="GQ153">
        <v>-1</v>
      </c>
      <c r="GR153">
        <v>-1</v>
      </c>
    </row>
    <row r="154" spans="1:200" x14ac:dyDescent="0.2">
      <c r="A154">
        <f>ROW(Source!A143)</f>
        <v>143</v>
      </c>
      <c r="B154">
        <v>86326987</v>
      </c>
      <c r="C154">
        <v>86327406</v>
      </c>
      <c r="D154">
        <v>121548</v>
      </c>
      <c r="E154">
        <v>1</v>
      </c>
      <c r="F154">
        <v>1</v>
      </c>
      <c r="G154">
        <v>1</v>
      </c>
      <c r="H154">
        <v>1</v>
      </c>
      <c r="I154" t="s">
        <v>40</v>
      </c>
      <c r="J154" t="s">
        <v>6</v>
      </c>
      <c r="K154" t="s">
        <v>626</v>
      </c>
      <c r="L154">
        <v>608254</v>
      </c>
      <c r="N154">
        <v>1013</v>
      </c>
      <c r="O154" t="s">
        <v>627</v>
      </c>
      <c r="P154" t="s">
        <v>627</v>
      </c>
      <c r="Q154">
        <v>1</v>
      </c>
      <c r="W154">
        <v>0</v>
      </c>
      <c r="X154">
        <v>-185737400</v>
      </c>
      <c r="Y154">
        <f>(AT154*1.12)</f>
        <v>1.6576000000000002</v>
      </c>
      <c r="AA154">
        <v>0</v>
      </c>
      <c r="AB154">
        <v>0</v>
      </c>
      <c r="AC154">
        <v>0</v>
      </c>
      <c r="AD154">
        <v>0</v>
      </c>
      <c r="AE154">
        <v>0</v>
      </c>
      <c r="AF154">
        <v>0</v>
      </c>
      <c r="AG154">
        <v>0</v>
      </c>
      <c r="AH154">
        <v>0</v>
      </c>
      <c r="AI154">
        <v>1</v>
      </c>
      <c r="AJ154">
        <v>1</v>
      </c>
      <c r="AK154">
        <v>1</v>
      </c>
      <c r="AL154">
        <v>1</v>
      </c>
      <c r="AM154">
        <v>0</v>
      </c>
      <c r="AN154">
        <v>0</v>
      </c>
      <c r="AO154">
        <v>1</v>
      </c>
      <c r="AP154">
        <v>1</v>
      </c>
      <c r="AQ154">
        <v>0</v>
      </c>
      <c r="AR154">
        <v>0</v>
      </c>
      <c r="AS154" t="s">
        <v>6</v>
      </c>
      <c r="AT154">
        <v>1.48</v>
      </c>
      <c r="AU154" t="s">
        <v>24</v>
      </c>
      <c r="AV154">
        <v>2</v>
      </c>
      <c r="AW154">
        <v>2</v>
      </c>
      <c r="AX154">
        <v>86327421</v>
      </c>
      <c r="AY154">
        <v>1</v>
      </c>
      <c r="AZ154">
        <v>0</v>
      </c>
      <c r="BA154">
        <v>134</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CV154">
        <v>0</v>
      </c>
      <c r="CW154">
        <v>0</v>
      </c>
      <c r="CX154">
        <f>ROUND(Y154*Source!I143,9)</f>
        <v>8.2059487999999998</v>
      </c>
      <c r="CY154">
        <f>AD154</f>
        <v>0</v>
      </c>
      <c r="CZ154">
        <f>AH154</f>
        <v>0</v>
      </c>
      <c r="DA154">
        <f>AL154</f>
        <v>1</v>
      </c>
      <c r="DB154">
        <f>ROUND((ROUND(AT154*CZ154,2)*1.12),2)</f>
        <v>0</v>
      </c>
      <c r="DC154">
        <f>ROUND((ROUND(AT154*AG154,2)*1.12),2)</f>
        <v>0</v>
      </c>
      <c r="DD154" t="s">
        <v>6</v>
      </c>
      <c r="DE154" t="s">
        <v>6</v>
      </c>
      <c r="DF154">
        <f t="shared" si="53"/>
        <v>0</v>
      </c>
      <c r="DG154">
        <f t="shared" si="52"/>
        <v>0</v>
      </c>
      <c r="DH154">
        <f>Source!I143*SmtRes!Y154</f>
        <v>8.2059488000000016</v>
      </c>
      <c r="DI154">
        <f>AD154</f>
        <v>0</v>
      </c>
      <c r="DJ154">
        <f>EtalonRes!AB134</f>
        <v>0</v>
      </c>
      <c r="DK154">
        <f>Source!BA143</f>
        <v>1</v>
      </c>
      <c r="DL154" t="s">
        <v>6</v>
      </c>
      <c r="DM154">
        <v>0</v>
      </c>
      <c r="DN154" t="s">
        <v>6</v>
      </c>
      <c r="DO154">
        <v>0</v>
      </c>
      <c r="GQ154">
        <v>-1</v>
      </c>
      <c r="GR154">
        <v>-1</v>
      </c>
    </row>
    <row r="155" spans="1:200" x14ac:dyDescent="0.2">
      <c r="A155">
        <f>ROW(Source!A143)</f>
        <v>143</v>
      </c>
      <c r="B155">
        <v>86326987</v>
      </c>
      <c r="C155">
        <v>86327406</v>
      </c>
      <c r="D155">
        <v>27439418</v>
      </c>
      <c r="E155">
        <v>1</v>
      </c>
      <c r="F155">
        <v>1</v>
      </c>
      <c r="G155">
        <v>1</v>
      </c>
      <c r="H155">
        <v>2</v>
      </c>
      <c r="I155" t="s">
        <v>652</v>
      </c>
      <c r="J155" t="s">
        <v>653</v>
      </c>
      <c r="K155" t="s">
        <v>654</v>
      </c>
      <c r="L155">
        <v>1368</v>
      </c>
      <c r="N155">
        <v>1011</v>
      </c>
      <c r="O155" t="s">
        <v>137</v>
      </c>
      <c r="P155" t="s">
        <v>137</v>
      </c>
      <c r="Q155">
        <v>1</v>
      </c>
      <c r="W155">
        <v>0</v>
      </c>
      <c r="X155">
        <v>674127709</v>
      </c>
      <c r="Y155">
        <f>(AT155*1.12)</f>
        <v>1.6576000000000002</v>
      </c>
      <c r="AA155">
        <v>0</v>
      </c>
      <c r="AB155">
        <v>91.69</v>
      </c>
      <c r="AC155">
        <v>13.61</v>
      </c>
      <c r="AD155">
        <v>0</v>
      </c>
      <c r="AE155">
        <v>0</v>
      </c>
      <c r="AF155">
        <v>91.69</v>
      </c>
      <c r="AG155">
        <v>13.61</v>
      </c>
      <c r="AH155">
        <v>0</v>
      </c>
      <c r="AI155">
        <v>1</v>
      </c>
      <c r="AJ155">
        <v>1</v>
      </c>
      <c r="AK155">
        <v>1</v>
      </c>
      <c r="AL155">
        <v>1</v>
      </c>
      <c r="AM155">
        <v>0</v>
      </c>
      <c r="AN155">
        <v>0</v>
      </c>
      <c r="AO155">
        <v>1</v>
      </c>
      <c r="AP155">
        <v>1</v>
      </c>
      <c r="AQ155">
        <v>0</v>
      </c>
      <c r="AR155">
        <v>0</v>
      </c>
      <c r="AS155" t="s">
        <v>6</v>
      </c>
      <c r="AT155">
        <v>1.48</v>
      </c>
      <c r="AU155" t="s">
        <v>24</v>
      </c>
      <c r="AV155">
        <v>0</v>
      </c>
      <c r="AW155">
        <v>2</v>
      </c>
      <c r="AX155">
        <v>86327422</v>
      </c>
      <c r="AY155">
        <v>1</v>
      </c>
      <c r="AZ155">
        <v>0</v>
      </c>
      <c r="BA155">
        <v>135</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CV155">
        <v>0</v>
      </c>
      <c r="CW155">
        <f>ROUND(Y155*Source!I143*DO155,9)</f>
        <v>0</v>
      </c>
      <c r="CX155">
        <f>ROUND(Y155*Source!I143,9)</f>
        <v>8.2059487999999998</v>
      </c>
      <c r="CY155">
        <f>AB155</f>
        <v>91.69</v>
      </c>
      <c r="CZ155">
        <f>AF155</f>
        <v>91.69</v>
      </c>
      <c r="DA155">
        <f>AJ155</f>
        <v>1</v>
      </c>
      <c r="DB155">
        <f>ROUND((ROUND(AT155*CZ155,2)*1.12),2)</f>
        <v>151.97999999999999</v>
      </c>
      <c r="DC155">
        <f>ROUND((ROUND(AT155*AG155,2)*1.12),2)</f>
        <v>22.56</v>
      </c>
      <c r="DD155" t="s">
        <v>6</v>
      </c>
      <c r="DE155" t="s">
        <v>6</v>
      </c>
      <c r="DF155">
        <f t="shared" si="53"/>
        <v>0</v>
      </c>
      <c r="DG155">
        <f t="shared" si="52"/>
        <v>755</v>
      </c>
      <c r="DH155">
        <f>Source!I143*SmtRes!Y155</f>
        <v>8.2059488000000016</v>
      </c>
      <c r="DI155">
        <f>AB155</f>
        <v>91.69</v>
      </c>
      <c r="DJ155">
        <f>EtalonRes!Z135</f>
        <v>91.69</v>
      </c>
      <c r="DK155">
        <f>Source!BB143</f>
        <v>1</v>
      </c>
      <c r="DL155" t="s">
        <v>6</v>
      </c>
      <c r="DM155">
        <v>0</v>
      </c>
      <c r="DN155" t="s">
        <v>6</v>
      </c>
      <c r="DO155">
        <v>0</v>
      </c>
      <c r="GQ155">
        <v>-1</v>
      </c>
      <c r="GR155">
        <v>-1</v>
      </c>
    </row>
    <row r="156" spans="1:200" x14ac:dyDescent="0.2">
      <c r="A156">
        <f>ROW(Source!A143)</f>
        <v>143</v>
      </c>
      <c r="B156">
        <v>86326987</v>
      </c>
      <c r="C156">
        <v>86327406</v>
      </c>
      <c r="D156">
        <v>27440039</v>
      </c>
      <c r="E156">
        <v>1</v>
      </c>
      <c r="F156">
        <v>1</v>
      </c>
      <c r="G156">
        <v>1</v>
      </c>
      <c r="H156">
        <v>2</v>
      </c>
      <c r="I156" t="s">
        <v>649</v>
      </c>
      <c r="J156" t="s">
        <v>650</v>
      </c>
      <c r="K156" t="s">
        <v>651</v>
      </c>
      <c r="L156">
        <v>1368</v>
      </c>
      <c r="N156">
        <v>1011</v>
      </c>
      <c r="O156" t="s">
        <v>137</v>
      </c>
      <c r="P156" t="s">
        <v>137</v>
      </c>
      <c r="Q156">
        <v>1</v>
      </c>
      <c r="W156">
        <v>0</v>
      </c>
      <c r="X156">
        <v>389347920</v>
      </c>
      <c r="Y156">
        <f>(AT156*1.12)</f>
        <v>1.4672000000000003</v>
      </c>
      <c r="AA156">
        <v>0</v>
      </c>
      <c r="AB156">
        <v>1.83</v>
      </c>
      <c r="AC156">
        <v>0</v>
      </c>
      <c r="AD156">
        <v>0</v>
      </c>
      <c r="AE156">
        <v>0</v>
      </c>
      <c r="AF156">
        <v>1.83</v>
      </c>
      <c r="AG156">
        <v>0</v>
      </c>
      <c r="AH156">
        <v>0</v>
      </c>
      <c r="AI156">
        <v>1</v>
      </c>
      <c r="AJ156">
        <v>1</v>
      </c>
      <c r="AK156">
        <v>1</v>
      </c>
      <c r="AL156">
        <v>1</v>
      </c>
      <c r="AM156">
        <v>0</v>
      </c>
      <c r="AN156">
        <v>0</v>
      </c>
      <c r="AO156">
        <v>1</v>
      </c>
      <c r="AP156">
        <v>1</v>
      </c>
      <c r="AQ156">
        <v>0</v>
      </c>
      <c r="AR156">
        <v>0</v>
      </c>
      <c r="AS156" t="s">
        <v>6</v>
      </c>
      <c r="AT156">
        <v>1.31</v>
      </c>
      <c r="AU156" t="s">
        <v>24</v>
      </c>
      <c r="AV156">
        <v>0</v>
      </c>
      <c r="AW156">
        <v>2</v>
      </c>
      <c r="AX156">
        <v>86327423</v>
      </c>
      <c r="AY156">
        <v>1</v>
      </c>
      <c r="AZ156">
        <v>0</v>
      </c>
      <c r="BA156">
        <v>136</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CV156">
        <v>0</v>
      </c>
      <c r="CW156">
        <f>ROUND(Y156*Source!I143*DO156,9)</f>
        <v>0</v>
      </c>
      <c r="CX156">
        <f>ROUND(Y156*Source!I143,9)</f>
        <v>7.2633736000000004</v>
      </c>
      <c r="CY156">
        <f>AB156</f>
        <v>1.83</v>
      </c>
      <c r="CZ156">
        <f>AF156</f>
        <v>1.83</v>
      </c>
      <c r="DA156">
        <f>AJ156</f>
        <v>1</v>
      </c>
      <c r="DB156">
        <f>ROUND((ROUND(AT156*CZ156,2)*1.12),2)</f>
        <v>2.69</v>
      </c>
      <c r="DC156">
        <f>ROUND((ROUND(AT156*AG156,2)*1.12),2)</f>
        <v>0</v>
      </c>
      <c r="DD156" t="s">
        <v>6</v>
      </c>
      <c r="DE156" t="s">
        <v>6</v>
      </c>
      <c r="DF156">
        <f t="shared" si="53"/>
        <v>0</v>
      </c>
      <c r="DG156">
        <f t="shared" si="52"/>
        <v>15</v>
      </c>
      <c r="DH156">
        <f>Source!I143*SmtRes!Y156</f>
        <v>7.2633736000000013</v>
      </c>
      <c r="DI156">
        <f>AB156</f>
        <v>1.83</v>
      </c>
      <c r="DJ156">
        <f>EtalonRes!Z136</f>
        <v>1.83</v>
      </c>
      <c r="DK156">
        <f>Source!BB143</f>
        <v>1</v>
      </c>
      <c r="DL156" t="s">
        <v>6</v>
      </c>
      <c r="DM156">
        <v>0</v>
      </c>
      <c r="DN156" t="s">
        <v>6</v>
      </c>
      <c r="DO156">
        <v>0</v>
      </c>
      <c r="GQ156">
        <v>-1</v>
      </c>
      <c r="GR156">
        <v>-1</v>
      </c>
    </row>
    <row r="157" spans="1:200" x14ac:dyDescent="0.2">
      <c r="A157">
        <f>ROW(Source!A143)</f>
        <v>143</v>
      </c>
      <c r="B157">
        <v>86326987</v>
      </c>
      <c r="C157">
        <v>86327406</v>
      </c>
      <c r="D157">
        <v>27371200</v>
      </c>
      <c r="E157">
        <v>1</v>
      </c>
      <c r="F157">
        <v>1</v>
      </c>
      <c r="G157">
        <v>1</v>
      </c>
      <c r="H157">
        <v>3</v>
      </c>
      <c r="I157" t="s">
        <v>71</v>
      </c>
      <c r="J157" t="s">
        <v>73</v>
      </c>
      <c r="K157" t="s">
        <v>72</v>
      </c>
      <c r="L157">
        <v>1348</v>
      </c>
      <c r="N157">
        <v>1009</v>
      </c>
      <c r="O157" t="s">
        <v>33</v>
      </c>
      <c r="P157" t="s">
        <v>33</v>
      </c>
      <c r="Q157">
        <v>1000</v>
      </c>
      <c r="W157">
        <v>0</v>
      </c>
      <c r="X157">
        <v>-81122142</v>
      </c>
      <c r="Y157">
        <f t="shared" ref="Y157:Y165" si="54">AT157</f>
        <v>4.1999999999999997E-3</v>
      </c>
      <c r="AA157">
        <v>1696.01</v>
      </c>
      <c r="AB157">
        <v>0</v>
      </c>
      <c r="AC157">
        <v>0</v>
      </c>
      <c r="AD157">
        <v>0</v>
      </c>
      <c r="AE157">
        <v>1696.01</v>
      </c>
      <c r="AF157">
        <v>0</v>
      </c>
      <c r="AG157">
        <v>0</v>
      </c>
      <c r="AH157">
        <v>0</v>
      </c>
      <c r="AI157">
        <v>1</v>
      </c>
      <c r="AJ157">
        <v>1</v>
      </c>
      <c r="AK157">
        <v>1</v>
      </c>
      <c r="AL157">
        <v>1</v>
      </c>
      <c r="AM157">
        <v>0</v>
      </c>
      <c r="AN157">
        <v>0</v>
      </c>
      <c r="AO157">
        <v>0</v>
      </c>
      <c r="AP157">
        <v>1</v>
      </c>
      <c r="AQ157">
        <v>0</v>
      </c>
      <c r="AR157">
        <v>0</v>
      </c>
      <c r="AS157" t="s">
        <v>6</v>
      </c>
      <c r="AT157">
        <v>4.1999999999999997E-3</v>
      </c>
      <c r="AU157" t="s">
        <v>6</v>
      </c>
      <c r="AV157">
        <v>0</v>
      </c>
      <c r="AW157">
        <v>2</v>
      </c>
      <c r="AX157">
        <v>86327424</v>
      </c>
      <c r="AY157">
        <v>1</v>
      </c>
      <c r="AZ157">
        <v>0</v>
      </c>
      <c r="BA157">
        <v>137</v>
      </c>
      <c r="BB157">
        <v>3</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CV157">
        <v>0</v>
      </c>
      <c r="CW157">
        <v>0</v>
      </c>
      <c r="CX157">
        <f>ROUND(Y157*Source!I143,9)</f>
        <v>2.0792100000000001E-2</v>
      </c>
      <c r="CY157">
        <f t="shared" ref="CY157:CY165" si="55">AA157</f>
        <v>1696.01</v>
      </c>
      <c r="CZ157">
        <f t="shared" ref="CZ157:CZ165" si="56">AE157</f>
        <v>1696.01</v>
      </c>
      <c r="DA157">
        <f t="shared" ref="DA157:DA165" si="57">AI157</f>
        <v>1</v>
      </c>
      <c r="DB157">
        <f t="shared" ref="DB157:DB165" si="58">ROUND(ROUND(AT157*CZ157,2),2)</f>
        <v>7.12</v>
      </c>
      <c r="DC157">
        <f t="shared" ref="DC157:DC165" si="59">ROUND(ROUND(AT157*AG157,2),2)</f>
        <v>0</v>
      </c>
      <c r="DD157" t="s">
        <v>6</v>
      </c>
      <c r="DE157" t="s">
        <v>6</v>
      </c>
      <c r="DF157">
        <f t="shared" si="53"/>
        <v>35</v>
      </c>
      <c r="DG157">
        <f t="shared" si="52"/>
        <v>0</v>
      </c>
      <c r="DH157">
        <f>Source!I143*SmtRes!Y157</f>
        <v>2.0792099999999997E-2</v>
      </c>
      <c r="DI157">
        <f t="shared" ref="DI157:DI165" si="60">AA157</f>
        <v>1696.01</v>
      </c>
      <c r="DJ157">
        <f>EtalonRes!Y137</f>
        <v>1696.01</v>
      </c>
      <c r="DK157">
        <f>Source!BC143</f>
        <v>1</v>
      </c>
      <c r="DL157" t="s">
        <v>6</v>
      </c>
      <c r="DM157">
        <v>0</v>
      </c>
      <c r="DN157" t="s">
        <v>6</v>
      </c>
      <c r="DO157">
        <v>0</v>
      </c>
      <c r="GP157">
        <v>1</v>
      </c>
      <c r="GQ157">
        <v>-1</v>
      </c>
      <c r="GR157">
        <v>-1</v>
      </c>
    </row>
    <row r="158" spans="1:200" x14ac:dyDescent="0.2">
      <c r="A158">
        <f>ROW(Source!A143)</f>
        <v>143</v>
      </c>
      <c r="B158">
        <v>86326987</v>
      </c>
      <c r="C158">
        <v>86327406</v>
      </c>
      <c r="D158">
        <v>11618017</v>
      </c>
      <c r="E158">
        <v>1</v>
      </c>
      <c r="F158">
        <v>1</v>
      </c>
      <c r="G158">
        <v>1</v>
      </c>
      <c r="H158">
        <v>3</v>
      </c>
      <c r="I158" t="s">
        <v>107</v>
      </c>
      <c r="J158" t="s">
        <v>109</v>
      </c>
      <c r="K158" t="s">
        <v>108</v>
      </c>
      <c r="L158">
        <v>1371</v>
      </c>
      <c r="N158">
        <v>1013</v>
      </c>
      <c r="O158" t="s">
        <v>103</v>
      </c>
      <c r="P158" t="s">
        <v>103</v>
      </c>
      <c r="Q158">
        <v>1</v>
      </c>
      <c r="W158">
        <v>0</v>
      </c>
      <c r="X158">
        <v>-1648273723</v>
      </c>
      <c r="Y158">
        <f t="shared" si="54"/>
        <v>12</v>
      </c>
      <c r="AA158">
        <v>0.24</v>
      </c>
      <c r="AB158">
        <v>0</v>
      </c>
      <c r="AC158">
        <v>0</v>
      </c>
      <c r="AD158">
        <v>0</v>
      </c>
      <c r="AE158">
        <v>0.24</v>
      </c>
      <c r="AF158">
        <v>0</v>
      </c>
      <c r="AG158">
        <v>0</v>
      </c>
      <c r="AH158">
        <v>0</v>
      </c>
      <c r="AI158">
        <v>1</v>
      </c>
      <c r="AJ158">
        <v>1</v>
      </c>
      <c r="AK158">
        <v>1</v>
      </c>
      <c r="AL158">
        <v>1</v>
      </c>
      <c r="AM158">
        <v>0</v>
      </c>
      <c r="AN158">
        <v>0</v>
      </c>
      <c r="AO158">
        <v>0</v>
      </c>
      <c r="AP158">
        <v>0</v>
      </c>
      <c r="AQ158">
        <v>0</v>
      </c>
      <c r="AR158">
        <v>0</v>
      </c>
      <c r="AS158" t="s">
        <v>6</v>
      </c>
      <c r="AT158">
        <v>12</v>
      </c>
      <c r="AU158" t="s">
        <v>6</v>
      </c>
      <c r="AV158">
        <v>0</v>
      </c>
      <c r="AW158">
        <v>1</v>
      </c>
      <c r="AX158">
        <v>-1</v>
      </c>
      <c r="AY158">
        <v>0</v>
      </c>
      <c r="AZ158">
        <v>0</v>
      </c>
      <c r="BA158" t="s">
        <v>6</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CV158">
        <v>0</v>
      </c>
      <c r="CW158">
        <v>0</v>
      </c>
      <c r="CX158">
        <f>ROUND(Y158*Source!I143,9)</f>
        <v>59.405999999999999</v>
      </c>
      <c r="CY158">
        <f t="shared" si="55"/>
        <v>0.24</v>
      </c>
      <c r="CZ158">
        <f t="shared" si="56"/>
        <v>0.24</v>
      </c>
      <c r="DA158">
        <f t="shared" si="57"/>
        <v>1</v>
      </c>
      <c r="DB158">
        <f t="shared" si="58"/>
        <v>2.88</v>
      </c>
      <c r="DC158">
        <f t="shared" si="59"/>
        <v>0</v>
      </c>
      <c r="DD158" t="s">
        <v>6</v>
      </c>
      <c r="DE158" t="s">
        <v>6</v>
      </c>
      <c r="DF158">
        <f t="shared" si="53"/>
        <v>0</v>
      </c>
      <c r="DG158">
        <f t="shared" si="52"/>
        <v>0</v>
      </c>
      <c r="DH158">
        <f>Source!I143*SmtRes!Y158</f>
        <v>59.405999999999999</v>
      </c>
      <c r="DI158">
        <f t="shared" si="60"/>
        <v>0.24</v>
      </c>
      <c r="DJ158">
        <f t="shared" ref="DJ158:DJ165" si="61">DF158</f>
        <v>0</v>
      </c>
      <c r="DK158">
        <f>Source!BC143</f>
        <v>1</v>
      </c>
      <c r="DL158" t="s">
        <v>6</v>
      </c>
      <c r="DM158">
        <v>0</v>
      </c>
      <c r="DN158" t="s">
        <v>6</v>
      </c>
      <c r="DO158">
        <v>0</v>
      </c>
      <c r="GP158">
        <v>1</v>
      </c>
      <c r="GQ158">
        <v>-1</v>
      </c>
      <c r="GR158">
        <v>-1</v>
      </c>
    </row>
    <row r="159" spans="1:200" x14ac:dyDescent="0.2">
      <c r="A159">
        <f>ROW(Source!A143)</f>
        <v>143</v>
      </c>
      <c r="B159">
        <v>86326987</v>
      </c>
      <c r="C159">
        <v>86327406</v>
      </c>
      <c r="D159">
        <v>11618018</v>
      </c>
      <c r="E159">
        <v>1</v>
      </c>
      <c r="F159">
        <v>1</v>
      </c>
      <c r="G159">
        <v>1</v>
      </c>
      <c r="H159">
        <v>3</v>
      </c>
      <c r="I159" t="s">
        <v>112</v>
      </c>
      <c r="J159" t="s">
        <v>114</v>
      </c>
      <c r="K159" t="s">
        <v>113</v>
      </c>
      <c r="L159">
        <v>1371</v>
      </c>
      <c r="N159">
        <v>1013</v>
      </c>
      <c r="O159" t="s">
        <v>103</v>
      </c>
      <c r="P159" t="s">
        <v>103</v>
      </c>
      <c r="Q159">
        <v>1</v>
      </c>
      <c r="W159">
        <v>0</v>
      </c>
      <c r="X159">
        <v>1900494391</v>
      </c>
      <c r="Y159">
        <f t="shared" si="54"/>
        <v>12</v>
      </c>
      <c r="AA159">
        <v>0.3</v>
      </c>
      <c r="AB159">
        <v>0</v>
      </c>
      <c r="AC159">
        <v>0</v>
      </c>
      <c r="AD159">
        <v>0</v>
      </c>
      <c r="AE159">
        <v>0.3</v>
      </c>
      <c r="AF159">
        <v>0</v>
      </c>
      <c r="AG159">
        <v>0</v>
      </c>
      <c r="AH159">
        <v>0</v>
      </c>
      <c r="AI159">
        <v>1</v>
      </c>
      <c r="AJ159">
        <v>1</v>
      </c>
      <c r="AK159">
        <v>1</v>
      </c>
      <c r="AL159">
        <v>1</v>
      </c>
      <c r="AM159">
        <v>0</v>
      </c>
      <c r="AN159">
        <v>0</v>
      </c>
      <c r="AO159">
        <v>0</v>
      </c>
      <c r="AP159">
        <v>0</v>
      </c>
      <c r="AQ159">
        <v>0</v>
      </c>
      <c r="AR159">
        <v>0</v>
      </c>
      <c r="AS159" t="s">
        <v>6</v>
      </c>
      <c r="AT159">
        <v>12</v>
      </c>
      <c r="AU159" t="s">
        <v>6</v>
      </c>
      <c r="AV159">
        <v>0</v>
      </c>
      <c r="AW159">
        <v>1</v>
      </c>
      <c r="AX159">
        <v>-1</v>
      </c>
      <c r="AY159">
        <v>0</v>
      </c>
      <c r="AZ159">
        <v>0</v>
      </c>
      <c r="BA159" t="s">
        <v>6</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CV159">
        <v>0</v>
      </c>
      <c r="CW159">
        <v>0</v>
      </c>
      <c r="CX159">
        <f>ROUND(Y159*Source!I143,9)</f>
        <v>59.405999999999999</v>
      </c>
      <c r="CY159">
        <f t="shared" si="55"/>
        <v>0.3</v>
      </c>
      <c r="CZ159">
        <f t="shared" si="56"/>
        <v>0.3</v>
      </c>
      <c r="DA159">
        <f t="shared" si="57"/>
        <v>1</v>
      </c>
      <c r="DB159">
        <f t="shared" si="58"/>
        <v>3.6</v>
      </c>
      <c r="DC159">
        <f t="shared" si="59"/>
        <v>0</v>
      </c>
      <c r="DD159" t="s">
        <v>6</v>
      </c>
      <c r="DE159" t="s">
        <v>6</v>
      </c>
      <c r="DF159">
        <f t="shared" si="53"/>
        <v>0</v>
      </c>
      <c r="DG159">
        <f t="shared" si="52"/>
        <v>0</v>
      </c>
      <c r="DH159">
        <f>Source!I143*SmtRes!Y159</f>
        <v>59.405999999999999</v>
      </c>
      <c r="DI159">
        <f t="shared" si="60"/>
        <v>0.3</v>
      </c>
      <c r="DJ159">
        <f t="shared" si="61"/>
        <v>0</v>
      </c>
      <c r="DK159">
        <f>Source!BC143</f>
        <v>1</v>
      </c>
      <c r="DL159" t="s">
        <v>6</v>
      </c>
      <c r="DM159">
        <v>0</v>
      </c>
      <c r="DN159" t="s">
        <v>6</v>
      </c>
      <c r="DO159">
        <v>0</v>
      </c>
      <c r="GP159">
        <v>1</v>
      </c>
      <c r="GQ159">
        <v>-1</v>
      </c>
      <c r="GR159">
        <v>-1</v>
      </c>
    </row>
    <row r="160" spans="1:200" x14ac:dyDescent="0.2">
      <c r="A160">
        <f>ROW(Source!A143)</f>
        <v>143</v>
      </c>
      <c r="B160">
        <v>86326987</v>
      </c>
      <c r="C160">
        <v>86327406</v>
      </c>
      <c r="D160">
        <v>11618019</v>
      </c>
      <c r="E160">
        <v>1</v>
      </c>
      <c r="F160">
        <v>1</v>
      </c>
      <c r="G160">
        <v>1</v>
      </c>
      <c r="H160">
        <v>3</v>
      </c>
      <c r="I160" t="s">
        <v>101</v>
      </c>
      <c r="J160" t="s">
        <v>104</v>
      </c>
      <c r="K160" t="s">
        <v>102</v>
      </c>
      <c r="L160">
        <v>1371</v>
      </c>
      <c r="N160">
        <v>1013</v>
      </c>
      <c r="O160" t="s">
        <v>103</v>
      </c>
      <c r="P160" t="s">
        <v>103</v>
      </c>
      <c r="Q160">
        <v>1</v>
      </c>
      <c r="W160">
        <v>0</v>
      </c>
      <c r="X160">
        <v>-504018761</v>
      </c>
      <c r="Y160">
        <f t="shared" si="54"/>
        <v>23</v>
      </c>
      <c r="AA160">
        <v>0.24</v>
      </c>
      <c r="AB160">
        <v>0</v>
      </c>
      <c r="AC160">
        <v>0</v>
      </c>
      <c r="AD160">
        <v>0</v>
      </c>
      <c r="AE160">
        <v>0.24</v>
      </c>
      <c r="AF160">
        <v>0</v>
      </c>
      <c r="AG160">
        <v>0</v>
      </c>
      <c r="AH160">
        <v>0</v>
      </c>
      <c r="AI160">
        <v>1</v>
      </c>
      <c r="AJ160">
        <v>1</v>
      </c>
      <c r="AK160">
        <v>1</v>
      </c>
      <c r="AL160">
        <v>1</v>
      </c>
      <c r="AM160">
        <v>0</v>
      </c>
      <c r="AN160">
        <v>0</v>
      </c>
      <c r="AO160">
        <v>0</v>
      </c>
      <c r="AP160">
        <v>0</v>
      </c>
      <c r="AQ160">
        <v>0</v>
      </c>
      <c r="AR160">
        <v>0</v>
      </c>
      <c r="AS160" t="s">
        <v>6</v>
      </c>
      <c r="AT160">
        <v>23</v>
      </c>
      <c r="AU160" t="s">
        <v>6</v>
      </c>
      <c r="AV160">
        <v>0</v>
      </c>
      <c r="AW160">
        <v>1</v>
      </c>
      <c r="AX160">
        <v>-1</v>
      </c>
      <c r="AY160">
        <v>0</v>
      </c>
      <c r="AZ160">
        <v>0</v>
      </c>
      <c r="BA160" t="s">
        <v>6</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CV160">
        <v>0</v>
      </c>
      <c r="CW160">
        <v>0</v>
      </c>
      <c r="CX160">
        <f>ROUND(Y160*Source!I143,9)</f>
        <v>113.86150000000001</v>
      </c>
      <c r="CY160">
        <f t="shared" si="55"/>
        <v>0.24</v>
      </c>
      <c r="CZ160">
        <f t="shared" si="56"/>
        <v>0.24</v>
      </c>
      <c r="DA160">
        <f t="shared" si="57"/>
        <v>1</v>
      </c>
      <c r="DB160">
        <f t="shared" si="58"/>
        <v>5.52</v>
      </c>
      <c r="DC160">
        <f t="shared" si="59"/>
        <v>0</v>
      </c>
      <c r="DD160" t="s">
        <v>6</v>
      </c>
      <c r="DE160" t="s">
        <v>6</v>
      </c>
      <c r="DF160">
        <f t="shared" si="53"/>
        <v>0</v>
      </c>
      <c r="DG160">
        <f t="shared" si="52"/>
        <v>0</v>
      </c>
      <c r="DH160">
        <f>Source!I143*SmtRes!Y160</f>
        <v>113.86149999999999</v>
      </c>
      <c r="DI160">
        <f t="shared" si="60"/>
        <v>0.24</v>
      </c>
      <c r="DJ160">
        <f t="shared" si="61"/>
        <v>0</v>
      </c>
      <c r="DK160">
        <f>Source!BC143</f>
        <v>1</v>
      </c>
      <c r="DL160" t="s">
        <v>6</v>
      </c>
      <c r="DM160">
        <v>0</v>
      </c>
      <c r="DN160" t="s">
        <v>6</v>
      </c>
      <c r="DO160">
        <v>0</v>
      </c>
      <c r="GP160">
        <v>1</v>
      </c>
      <c r="GQ160">
        <v>-1</v>
      </c>
      <c r="GR160">
        <v>-1</v>
      </c>
    </row>
    <row r="161" spans="1:200" x14ac:dyDescent="0.2">
      <c r="A161">
        <f>ROW(Source!A143)</f>
        <v>143</v>
      </c>
      <c r="B161">
        <v>86326987</v>
      </c>
      <c r="C161">
        <v>86327406</v>
      </c>
      <c r="D161">
        <v>35950821</v>
      </c>
      <c r="E161">
        <v>1</v>
      </c>
      <c r="F161">
        <v>1</v>
      </c>
      <c r="G161">
        <v>1</v>
      </c>
      <c r="H161">
        <v>3</v>
      </c>
      <c r="I161" t="s">
        <v>76</v>
      </c>
      <c r="J161" t="s">
        <v>79</v>
      </c>
      <c r="K161" t="s">
        <v>245</v>
      </c>
      <c r="L161">
        <v>1391</v>
      </c>
      <c r="N161">
        <v>1013</v>
      </c>
      <c r="O161" t="s">
        <v>78</v>
      </c>
      <c r="P161" t="s">
        <v>78</v>
      </c>
      <c r="Q161">
        <v>1</v>
      </c>
      <c r="W161">
        <v>0</v>
      </c>
      <c r="X161">
        <v>1869088844</v>
      </c>
      <c r="Y161">
        <f t="shared" si="54"/>
        <v>1.7755782</v>
      </c>
      <c r="AA161">
        <v>87.58</v>
      </c>
      <c r="AB161">
        <v>0</v>
      </c>
      <c r="AC161">
        <v>0</v>
      </c>
      <c r="AD161">
        <v>0</v>
      </c>
      <c r="AE161">
        <v>87.58</v>
      </c>
      <c r="AF161">
        <v>0</v>
      </c>
      <c r="AG161">
        <v>0</v>
      </c>
      <c r="AH161">
        <v>0</v>
      </c>
      <c r="AI161">
        <v>1</v>
      </c>
      <c r="AJ161">
        <v>1</v>
      </c>
      <c r="AK161">
        <v>1</v>
      </c>
      <c r="AL161">
        <v>1</v>
      </c>
      <c r="AM161">
        <v>0</v>
      </c>
      <c r="AN161">
        <v>0</v>
      </c>
      <c r="AO161">
        <v>0</v>
      </c>
      <c r="AP161">
        <v>0</v>
      </c>
      <c r="AQ161">
        <v>0</v>
      </c>
      <c r="AR161">
        <v>0</v>
      </c>
      <c r="AS161" t="s">
        <v>6</v>
      </c>
      <c r="AT161">
        <v>1.7755782</v>
      </c>
      <c r="AU161" t="s">
        <v>6</v>
      </c>
      <c r="AV161">
        <v>0</v>
      </c>
      <c r="AW161">
        <v>1</v>
      </c>
      <c r="AX161">
        <v>-1</v>
      </c>
      <c r="AY161">
        <v>0</v>
      </c>
      <c r="AZ161">
        <v>0</v>
      </c>
      <c r="BA161" t="s">
        <v>6</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CV161">
        <v>0</v>
      </c>
      <c r="CW161">
        <v>0</v>
      </c>
      <c r="CX161">
        <f>ROUND(Y161*Source!I143,9)</f>
        <v>8.7899998789999998</v>
      </c>
      <c r="CY161">
        <f t="shared" si="55"/>
        <v>87.58</v>
      </c>
      <c r="CZ161">
        <f t="shared" si="56"/>
        <v>87.58</v>
      </c>
      <c r="DA161">
        <f t="shared" si="57"/>
        <v>1</v>
      </c>
      <c r="DB161">
        <f t="shared" si="58"/>
        <v>155.51</v>
      </c>
      <c r="DC161">
        <f t="shared" si="59"/>
        <v>0</v>
      </c>
      <c r="DD161" t="s">
        <v>6</v>
      </c>
      <c r="DE161" t="s">
        <v>6</v>
      </c>
      <c r="DF161">
        <f t="shared" si="53"/>
        <v>774</v>
      </c>
      <c r="DG161">
        <f t="shared" si="52"/>
        <v>0</v>
      </c>
      <c r="DH161">
        <f>Source!I143*SmtRes!Y161</f>
        <v>8.7899998790999998</v>
      </c>
      <c r="DI161">
        <f t="shared" si="60"/>
        <v>87.58</v>
      </c>
      <c r="DJ161">
        <f t="shared" si="61"/>
        <v>774</v>
      </c>
      <c r="DK161">
        <f>Source!BC143</f>
        <v>1</v>
      </c>
      <c r="DL161" t="s">
        <v>6</v>
      </c>
      <c r="DM161">
        <v>0</v>
      </c>
      <c r="DN161" t="s">
        <v>6</v>
      </c>
      <c r="DO161">
        <v>0</v>
      </c>
      <c r="GP161">
        <v>1</v>
      </c>
      <c r="GQ161">
        <v>-1</v>
      </c>
      <c r="GR161">
        <v>-1</v>
      </c>
    </row>
    <row r="162" spans="1:200" x14ac:dyDescent="0.2">
      <c r="A162">
        <f>ROW(Source!A143)</f>
        <v>143</v>
      </c>
      <c r="B162">
        <v>86326987</v>
      </c>
      <c r="C162">
        <v>86327406</v>
      </c>
      <c r="D162">
        <v>35950824</v>
      </c>
      <c r="E162">
        <v>1</v>
      </c>
      <c r="F162">
        <v>1</v>
      </c>
      <c r="G162">
        <v>1</v>
      </c>
      <c r="H162">
        <v>3</v>
      </c>
      <c r="I162" t="s">
        <v>82</v>
      </c>
      <c r="J162" t="s">
        <v>84</v>
      </c>
      <c r="K162" t="s">
        <v>247</v>
      </c>
      <c r="L162">
        <v>1391</v>
      </c>
      <c r="N162">
        <v>1013</v>
      </c>
      <c r="O162" t="s">
        <v>78</v>
      </c>
      <c r="P162" t="s">
        <v>78</v>
      </c>
      <c r="Q162">
        <v>1</v>
      </c>
      <c r="W162">
        <v>0</v>
      </c>
      <c r="X162">
        <v>-1555597847</v>
      </c>
      <c r="Y162">
        <f t="shared" si="54"/>
        <v>1.7755782</v>
      </c>
      <c r="AA162">
        <v>56.57</v>
      </c>
      <c r="AB162">
        <v>0</v>
      </c>
      <c r="AC162">
        <v>0</v>
      </c>
      <c r="AD162">
        <v>0</v>
      </c>
      <c r="AE162">
        <v>56.57</v>
      </c>
      <c r="AF162">
        <v>0</v>
      </c>
      <c r="AG162">
        <v>0</v>
      </c>
      <c r="AH162">
        <v>0</v>
      </c>
      <c r="AI162">
        <v>1</v>
      </c>
      <c r="AJ162">
        <v>1</v>
      </c>
      <c r="AK162">
        <v>1</v>
      </c>
      <c r="AL162">
        <v>1</v>
      </c>
      <c r="AM162">
        <v>0</v>
      </c>
      <c r="AN162">
        <v>0</v>
      </c>
      <c r="AO162">
        <v>0</v>
      </c>
      <c r="AP162">
        <v>0</v>
      </c>
      <c r="AQ162">
        <v>0</v>
      </c>
      <c r="AR162">
        <v>0</v>
      </c>
      <c r="AS162" t="s">
        <v>6</v>
      </c>
      <c r="AT162">
        <v>1.7755782</v>
      </c>
      <c r="AU162" t="s">
        <v>6</v>
      </c>
      <c r="AV162">
        <v>0</v>
      </c>
      <c r="AW162">
        <v>1</v>
      </c>
      <c r="AX162">
        <v>-1</v>
      </c>
      <c r="AY162">
        <v>0</v>
      </c>
      <c r="AZ162">
        <v>0</v>
      </c>
      <c r="BA162" t="s">
        <v>6</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CV162">
        <v>0</v>
      </c>
      <c r="CW162">
        <v>0</v>
      </c>
      <c r="CX162">
        <f>ROUND(Y162*Source!I143,9)</f>
        <v>8.7899998789999998</v>
      </c>
      <c r="CY162">
        <f t="shared" si="55"/>
        <v>56.57</v>
      </c>
      <c r="CZ162">
        <f t="shared" si="56"/>
        <v>56.57</v>
      </c>
      <c r="DA162">
        <f t="shared" si="57"/>
        <v>1</v>
      </c>
      <c r="DB162">
        <f t="shared" si="58"/>
        <v>100.44</v>
      </c>
      <c r="DC162">
        <f t="shared" si="59"/>
        <v>0</v>
      </c>
      <c r="DD162" t="s">
        <v>6</v>
      </c>
      <c r="DE162" t="s">
        <v>6</v>
      </c>
      <c r="DF162">
        <f t="shared" si="53"/>
        <v>501</v>
      </c>
      <c r="DG162">
        <f t="shared" si="52"/>
        <v>0</v>
      </c>
      <c r="DH162">
        <f>Source!I143*SmtRes!Y162</f>
        <v>8.7899998790999998</v>
      </c>
      <c r="DI162">
        <f t="shared" si="60"/>
        <v>56.57</v>
      </c>
      <c r="DJ162">
        <f t="shared" si="61"/>
        <v>501</v>
      </c>
      <c r="DK162">
        <f>Source!BC143</f>
        <v>1</v>
      </c>
      <c r="DL162" t="s">
        <v>6</v>
      </c>
      <c r="DM162">
        <v>0</v>
      </c>
      <c r="DN162" t="s">
        <v>6</v>
      </c>
      <c r="DO162">
        <v>0</v>
      </c>
      <c r="GP162">
        <v>1</v>
      </c>
      <c r="GQ162">
        <v>-1</v>
      </c>
      <c r="GR162">
        <v>-1</v>
      </c>
    </row>
    <row r="163" spans="1:200" x14ac:dyDescent="0.2">
      <c r="A163">
        <f>ROW(Source!A143)</f>
        <v>143</v>
      </c>
      <c r="B163">
        <v>86326987</v>
      </c>
      <c r="C163">
        <v>86327406</v>
      </c>
      <c r="D163">
        <v>27425862</v>
      </c>
      <c r="E163">
        <v>1</v>
      </c>
      <c r="F163">
        <v>1</v>
      </c>
      <c r="G163">
        <v>1</v>
      </c>
      <c r="H163">
        <v>3</v>
      </c>
      <c r="I163" t="s">
        <v>92</v>
      </c>
      <c r="J163" t="s">
        <v>95</v>
      </c>
      <c r="K163" t="s">
        <v>93</v>
      </c>
      <c r="L163">
        <v>1301</v>
      </c>
      <c r="N163">
        <v>1003</v>
      </c>
      <c r="O163" t="s">
        <v>94</v>
      </c>
      <c r="P163" t="s">
        <v>94</v>
      </c>
      <c r="Q163">
        <v>1</v>
      </c>
      <c r="W163">
        <v>0</v>
      </c>
      <c r="X163">
        <v>-1608277363</v>
      </c>
      <c r="Y163">
        <f t="shared" si="54"/>
        <v>5.3879999999999999</v>
      </c>
      <c r="AA163">
        <v>4.6900000000000004</v>
      </c>
      <c r="AB163">
        <v>0</v>
      </c>
      <c r="AC163">
        <v>0</v>
      </c>
      <c r="AD163">
        <v>0</v>
      </c>
      <c r="AE163">
        <v>4.6900000000000004</v>
      </c>
      <c r="AF163">
        <v>0</v>
      </c>
      <c r="AG163">
        <v>0</v>
      </c>
      <c r="AH163">
        <v>0</v>
      </c>
      <c r="AI163">
        <v>1</v>
      </c>
      <c r="AJ163">
        <v>1</v>
      </c>
      <c r="AK163">
        <v>1</v>
      </c>
      <c r="AL163">
        <v>1</v>
      </c>
      <c r="AM163">
        <v>0</v>
      </c>
      <c r="AN163">
        <v>0</v>
      </c>
      <c r="AO163">
        <v>0</v>
      </c>
      <c r="AP163">
        <v>0</v>
      </c>
      <c r="AQ163">
        <v>0</v>
      </c>
      <c r="AR163">
        <v>0</v>
      </c>
      <c r="AS163" t="s">
        <v>6</v>
      </c>
      <c r="AT163">
        <v>5.3879999999999999</v>
      </c>
      <c r="AU163" t="s">
        <v>6</v>
      </c>
      <c r="AV163">
        <v>0</v>
      </c>
      <c r="AW163">
        <v>1</v>
      </c>
      <c r="AX163">
        <v>-1</v>
      </c>
      <c r="AY163">
        <v>0</v>
      </c>
      <c r="AZ163">
        <v>0</v>
      </c>
      <c r="BA163" t="s">
        <v>6</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CV163">
        <v>0</v>
      </c>
      <c r="CW163">
        <v>0</v>
      </c>
      <c r="CX163">
        <f>ROUND(Y163*Source!I143,9)</f>
        <v>26.673293999999999</v>
      </c>
      <c r="CY163">
        <f t="shared" si="55"/>
        <v>4.6900000000000004</v>
      </c>
      <c r="CZ163">
        <f t="shared" si="56"/>
        <v>4.6900000000000004</v>
      </c>
      <c r="DA163">
        <f t="shared" si="57"/>
        <v>1</v>
      </c>
      <c r="DB163">
        <f t="shared" si="58"/>
        <v>25.27</v>
      </c>
      <c r="DC163">
        <f t="shared" si="59"/>
        <v>0</v>
      </c>
      <c r="DD163" t="s">
        <v>6</v>
      </c>
      <c r="DE163" t="s">
        <v>6</v>
      </c>
      <c r="DF163">
        <f t="shared" si="53"/>
        <v>133</v>
      </c>
      <c r="DG163">
        <f t="shared" si="52"/>
        <v>0</v>
      </c>
      <c r="DH163">
        <f>Source!I143*SmtRes!Y163</f>
        <v>26.673293999999999</v>
      </c>
      <c r="DI163">
        <f t="shared" si="60"/>
        <v>4.6900000000000004</v>
      </c>
      <c r="DJ163">
        <f t="shared" si="61"/>
        <v>133</v>
      </c>
      <c r="DK163">
        <f>Source!BC143</f>
        <v>1</v>
      </c>
      <c r="DL163" t="s">
        <v>6</v>
      </c>
      <c r="DM163">
        <v>0</v>
      </c>
      <c r="DN163" t="s">
        <v>6</v>
      </c>
      <c r="DO163">
        <v>0</v>
      </c>
      <c r="GP163">
        <v>1</v>
      </c>
      <c r="GQ163">
        <v>-1</v>
      </c>
      <c r="GR163">
        <v>-1</v>
      </c>
    </row>
    <row r="164" spans="1:200" x14ac:dyDescent="0.2">
      <c r="A164">
        <f>ROW(Source!A143)</f>
        <v>143</v>
      </c>
      <c r="B164">
        <v>86326987</v>
      </c>
      <c r="C164">
        <v>86327406</v>
      </c>
      <c r="D164">
        <v>69208315</v>
      </c>
      <c r="E164">
        <v>1</v>
      </c>
      <c r="F164">
        <v>1</v>
      </c>
      <c r="G164">
        <v>1</v>
      </c>
      <c r="H164">
        <v>3</v>
      </c>
      <c r="I164" t="s">
        <v>117</v>
      </c>
      <c r="J164" t="s">
        <v>119</v>
      </c>
      <c r="K164" t="s">
        <v>118</v>
      </c>
      <c r="L164">
        <v>1348</v>
      </c>
      <c r="N164">
        <v>1009</v>
      </c>
      <c r="O164" t="s">
        <v>33</v>
      </c>
      <c r="P164" t="s">
        <v>33</v>
      </c>
      <c r="Q164">
        <v>1000</v>
      </c>
      <c r="W164">
        <v>0</v>
      </c>
      <c r="X164">
        <v>772407484</v>
      </c>
      <c r="Y164">
        <f t="shared" si="54"/>
        <v>9.5100000000000002E-4</v>
      </c>
      <c r="AA164">
        <v>10633.86</v>
      </c>
      <c r="AB164">
        <v>0</v>
      </c>
      <c r="AC164">
        <v>0</v>
      </c>
      <c r="AD164">
        <v>0</v>
      </c>
      <c r="AE164">
        <v>10633.86</v>
      </c>
      <c r="AF164">
        <v>0</v>
      </c>
      <c r="AG164">
        <v>0</v>
      </c>
      <c r="AH164">
        <v>0</v>
      </c>
      <c r="AI164">
        <v>1</v>
      </c>
      <c r="AJ164">
        <v>1</v>
      </c>
      <c r="AK164">
        <v>1</v>
      </c>
      <c r="AL164">
        <v>1</v>
      </c>
      <c r="AM164">
        <v>0</v>
      </c>
      <c r="AN164">
        <v>0</v>
      </c>
      <c r="AO164">
        <v>0</v>
      </c>
      <c r="AP164">
        <v>1</v>
      </c>
      <c r="AQ164">
        <v>0</v>
      </c>
      <c r="AR164">
        <v>0</v>
      </c>
      <c r="AS164" t="s">
        <v>6</v>
      </c>
      <c r="AT164">
        <v>9.5100000000000002E-4</v>
      </c>
      <c r="AU164" t="s">
        <v>6</v>
      </c>
      <c r="AV164">
        <v>0</v>
      </c>
      <c r="AW164">
        <v>1</v>
      </c>
      <c r="AX164">
        <v>-1</v>
      </c>
      <c r="AY164">
        <v>0</v>
      </c>
      <c r="AZ164">
        <v>0</v>
      </c>
      <c r="BA164" t="s">
        <v>6</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CV164">
        <v>0</v>
      </c>
      <c r="CW164">
        <v>0</v>
      </c>
      <c r="CX164">
        <f>ROUND(Y164*Source!I143,9)</f>
        <v>4.7079260000000003E-3</v>
      </c>
      <c r="CY164">
        <f t="shared" si="55"/>
        <v>10633.86</v>
      </c>
      <c r="CZ164">
        <f t="shared" si="56"/>
        <v>10633.86</v>
      </c>
      <c r="DA164">
        <f t="shared" si="57"/>
        <v>1</v>
      </c>
      <c r="DB164">
        <f t="shared" si="58"/>
        <v>10.11</v>
      </c>
      <c r="DC164">
        <f t="shared" si="59"/>
        <v>0</v>
      </c>
      <c r="DD164" t="s">
        <v>6</v>
      </c>
      <c r="DE164" t="s">
        <v>6</v>
      </c>
      <c r="DF164">
        <f t="shared" si="53"/>
        <v>50</v>
      </c>
      <c r="DG164">
        <f t="shared" si="52"/>
        <v>0</v>
      </c>
      <c r="DH164">
        <f>Source!I143*SmtRes!Y164</f>
        <v>4.7079254999999997E-3</v>
      </c>
      <c r="DI164">
        <f t="shared" si="60"/>
        <v>10633.86</v>
      </c>
      <c r="DJ164">
        <f t="shared" si="61"/>
        <v>50</v>
      </c>
      <c r="DK164">
        <f>Source!BC143</f>
        <v>1</v>
      </c>
      <c r="DL164" t="s">
        <v>6</v>
      </c>
      <c r="DM164">
        <v>0</v>
      </c>
      <c r="DN164" t="s">
        <v>6</v>
      </c>
      <c r="DO164">
        <v>0</v>
      </c>
      <c r="GP164">
        <v>1</v>
      </c>
      <c r="GQ164">
        <v>-1</v>
      </c>
      <c r="GR164">
        <v>-1</v>
      </c>
    </row>
    <row r="165" spans="1:200" x14ac:dyDescent="0.2">
      <c r="A165">
        <f>ROW(Source!A143)</f>
        <v>143</v>
      </c>
      <c r="B165">
        <v>86326987</v>
      </c>
      <c r="C165">
        <v>86327406</v>
      </c>
      <c r="D165">
        <v>69408587</v>
      </c>
      <c r="E165">
        <v>1</v>
      </c>
      <c r="F165">
        <v>1</v>
      </c>
      <c r="G165">
        <v>1</v>
      </c>
      <c r="H165">
        <v>3</v>
      </c>
      <c r="I165" t="s">
        <v>87</v>
      </c>
      <c r="J165" t="s">
        <v>89</v>
      </c>
      <c r="K165" t="s">
        <v>88</v>
      </c>
      <c r="L165">
        <v>1339</v>
      </c>
      <c r="N165">
        <v>1007</v>
      </c>
      <c r="O165" t="s">
        <v>44</v>
      </c>
      <c r="P165" t="s">
        <v>44</v>
      </c>
      <c r="Q165">
        <v>1</v>
      </c>
      <c r="W165">
        <v>0</v>
      </c>
      <c r="X165">
        <v>-183216560</v>
      </c>
      <c r="Y165">
        <f t="shared" si="54"/>
        <v>1.8022119000000001</v>
      </c>
      <c r="AA165">
        <v>878.79</v>
      </c>
      <c r="AB165">
        <v>0</v>
      </c>
      <c r="AC165">
        <v>0</v>
      </c>
      <c r="AD165">
        <v>0</v>
      </c>
      <c r="AE165">
        <v>878.79</v>
      </c>
      <c r="AF165">
        <v>0</v>
      </c>
      <c r="AG165">
        <v>0</v>
      </c>
      <c r="AH165">
        <v>0</v>
      </c>
      <c r="AI165">
        <v>1</v>
      </c>
      <c r="AJ165">
        <v>1</v>
      </c>
      <c r="AK165">
        <v>1</v>
      </c>
      <c r="AL165">
        <v>1</v>
      </c>
      <c r="AM165">
        <v>0</v>
      </c>
      <c r="AN165">
        <v>0</v>
      </c>
      <c r="AO165">
        <v>0</v>
      </c>
      <c r="AP165">
        <v>1</v>
      </c>
      <c r="AQ165">
        <v>0</v>
      </c>
      <c r="AR165">
        <v>0</v>
      </c>
      <c r="AS165" t="s">
        <v>6</v>
      </c>
      <c r="AT165">
        <v>1.8022119000000001</v>
      </c>
      <c r="AU165" t="s">
        <v>6</v>
      </c>
      <c r="AV165">
        <v>0</v>
      </c>
      <c r="AW165">
        <v>1</v>
      </c>
      <c r="AX165">
        <v>-1</v>
      </c>
      <c r="AY165">
        <v>0</v>
      </c>
      <c r="AZ165">
        <v>0</v>
      </c>
      <c r="BA165" t="s">
        <v>6</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CV165">
        <v>0</v>
      </c>
      <c r="CW165">
        <v>0</v>
      </c>
      <c r="CX165">
        <f>ROUND(Y165*Source!I143,9)</f>
        <v>8.9218500110000001</v>
      </c>
      <c r="CY165">
        <f t="shared" si="55"/>
        <v>878.79</v>
      </c>
      <c r="CZ165">
        <f t="shared" si="56"/>
        <v>878.79</v>
      </c>
      <c r="DA165">
        <f t="shared" si="57"/>
        <v>1</v>
      </c>
      <c r="DB165">
        <f t="shared" si="58"/>
        <v>1583.77</v>
      </c>
      <c r="DC165">
        <f t="shared" si="59"/>
        <v>0</v>
      </c>
      <c r="DD165" t="s">
        <v>6</v>
      </c>
      <c r="DE165" t="s">
        <v>6</v>
      </c>
      <c r="DF165">
        <f t="shared" si="53"/>
        <v>7842</v>
      </c>
      <c r="DG165">
        <f t="shared" si="52"/>
        <v>0</v>
      </c>
      <c r="DH165">
        <f>Source!I143*SmtRes!Y165</f>
        <v>8.921850010950001</v>
      </c>
      <c r="DI165">
        <f t="shared" si="60"/>
        <v>878.79</v>
      </c>
      <c r="DJ165">
        <f t="shared" si="61"/>
        <v>7842</v>
      </c>
      <c r="DK165">
        <f>Source!BC143</f>
        <v>1</v>
      </c>
      <c r="DL165" t="s">
        <v>6</v>
      </c>
      <c r="DM165">
        <v>0</v>
      </c>
      <c r="DN165" t="s">
        <v>6</v>
      </c>
      <c r="DO165">
        <v>0</v>
      </c>
      <c r="GP165">
        <v>1</v>
      </c>
      <c r="GQ165">
        <v>-1</v>
      </c>
      <c r="GR165">
        <v>-1</v>
      </c>
    </row>
    <row r="166" spans="1:200" x14ac:dyDescent="0.2">
      <c r="A166">
        <f>ROW(Source!A144)</f>
        <v>144</v>
      </c>
      <c r="B166">
        <v>86326988</v>
      </c>
      <c r="C166">
        <v>86327406</v>
      </c>
      <c r="D166">
        <v>27497778</v>
      </c>
      <c r="E166">
        <v>1</v>
      </c>
      <c r="F166">
        <v>1</v>
      </c>
      <c r="G166">
        <v>1</v>
      </c>
      <c r="H166">
        <v>1</v>
      </c>
      <c r="I166" t="s">
        <v>647</v>
      </c>
      <c r="J166" t="s">
        <v>6</v>
      </c>
      <c r="K166" t="s">
        <v>648</v>
      </c>
      <c r="L166">
        <v>1369</v>
      </c>
      <c r="N166">
        <v>1013</v>
      </c>
      <c r="O166" t="s">
        <v>625</v>
      </c>
      <c r="P166" t="s">
        <v>625</v>
      </c>
      <c r="Q166">
        <v>1</v>
      </c>
      <c r="W166">
        <v>0</v>
      </c>
      <c r="X166">
        <v>-160844189</v>
      </c>
      <c r="Y166">
        <f>(AT166*1.05)</f>
        <v>3.9375</v>
      </c>
      <c r="AA166">
        <v>0</v>
      </c>
      <c r="AB166">
        <v>0</v>
      </c>
      <c r="AC166">
        <v>0</v>
      </c>
      <c r="AD166">
        <v>314.17</v>
      </c>
      <c r="AE166">
        <v>0</v>
      </c>
      <c r="AF166">
        <v>0</v>
      </c>
      <c r="AG166">
        <v>0</v>
      </c>
      <c r="AH166">
        <v>8.7100000000000009</v>
      </c>
      <c r="AI166">
        <v>1</v>
      </c>
      <c r="AJ166">
        <v>1</v>
      </c>
      <c r="AK166">
        <v>1</v>
      </c>
      <c r="AL166">
        <v>36.07</v>
      </c>
      <c r="AM166">
        <v>5</v>
      </c>
      <c r="AN166">
        <v>0</v>
      </c>
      <c r="AO166">
        <v>1</v>
      </c>
      <c r="AP166">
        <v>1</v>
      </c>
      <c r="AQ166">
        <v>0</v>
      </c>
      <c r="AR166">
        <v>0</v>
      </c>
      <c r="AS166" t="s">
        <v>6</v>
      </c>
      <c r="AT166">
        <v>3.75</v>
      </c>
      <c r="AU166" t="s">
        <v>25</v>
      </c>
      <c r="AV166">
        <v>1</v>
      </c>
      <c r="AW166">
        <v>2</v>
      </c>
      <c r="AX166">
        <v>86327420</v>
      </c>
      <c r="AY166">
        <v>1</v>
      </c>
      <c r="AZ166">
        <v>0</v>
      </c>
      <c r="BA166">
        <v>140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CU166">
        <f>ROUND(AT166*Source!I144*AH166*AL166,0)</f>
        <v>5832</v>
      </c>
      <c r="CV166">
        <f>ROUND(Y166*Source!I144,9)</f>
        <v>19.492593750000001</v>
      </c>
      <c r="CW166">
        <v>0</v>
      </c>
      <c r="CX166">
        <f>ROUND(Y166*Source!I144,9)</f>
        <v>19.492593750000001</v>
      </c>
      <c r="CY166">
        <f>AD166</f>
        <v>314.17</v>
      </c>
      <c r="CZ166">
        <f>AH166</f>
        <v>8.7100000000000009</v>
      </c>
      <c r="DA166">
        <f>AL166</f>
        <v>36.07</v>
      </c>
      <c r="DB166">
        <f>ROUND((ROUND(AT166*CZ166,2)*1.05),2)</f>
        <v>34.29</v>
      </c>
      <c r="DC166">
        <f>ROUND((ROUND(AT166*AG166,2)*1.05),2)</f>
        <v>0</v>
      </c>
      <c r="DD166" t="s">
        <v>6</v>
      </c>
      <c r="DE166" t="s">
        <v>6</v>
      </c>
      <c r="DF166">
        <f t="shared" si="53"/>
        <v>0</v>
      </c>
      <c r="DG166">
        <f t="shared" si="52"/>
        <v>0</v>
      </c>
      <c r="DH166">
        <f>Source!I144*SmtRes!Y166</f>
        <v>19.492593750000001</v>
      </c>
      <c r="DI166">
        <f>AD166</f>
        <v>314.17</v>
      </c>
      <c r="DJ166">
        <f>EtalonRes!AB140</f>
        <v>8.7100000000000009</v>
      </c>
      <c r="DK166">
        <f>Source!BA144</f>
        <v>36.07</v>
      </c>
      <c r="DL166" t="s">
        <v>6</v>
      </c>
      <c r="DM166">
        <v>0</v>
      </c>
      <c r="DN166" t="s">
        <v>6</v>
      </c>
      <c r="DO166">
        <v>0</v>
      </c>
      <c r="GQ166">
        <v>-1</v>
      </c>
      <c r="GR166">
        <v>-1</v>
      </c>
    </row>
    <row r="167" spans="1:200" x14ac:dyDescent="0.2">
      <c r="A167">
        <f>ROW(Source!A144)</f>
        <v>144</v>
      </c>
      <c r="B167">
        <v>86326988</v>
      </c>
      <c r="C167">
        <v>86327406</v>
      </c>
      <c r="D167">
        <v>121548</v>
      </c>
      <c r="E167">
        <v>1</v>
      </c>
      <c r="F167">
        <v>1</v>
      </c>
      <c r="G167">
        <v>1</v>
      </c>
      <c r="H167">
        <v>1</v>
      </c>
      <c r="I167" t="s">
        <v>40</v>
      </c>
      <c r="J167" t="s">
        <v>6</v>
      </c>
      <c r="K167" t="s">
        <v>626</v>
      </c>
      <c r="L167">
        <v>608254</v>
      </c>
      <c r="N167">
        <v>1013</v>
      </c>
      <c r="O167" t="s">
        <v>627</v>
      </c>
      <c r="P167" t="s">
        <v>627</v>
      </c>
      <c r="Q167">
        <v>1</v>
      </c>
      <c r="W167">
        <v>0</v>
      </c>
      <c r="X167">
        <v>-185737400</v>
      </c>
      <c r="Y167">
        <f>(AT167*1.12)</f>
        <v>1.6576000000000002</v>
      </c>
      <c r="AA167">
        <v>0</v>
      </c>
      <c r="AB167">
        <v>0</v>
      </c>
      <c r="AC167">
        <v>0</v>
      </c>
      <c r="AD167">
        <v>0</v>
      </c>
      <c r="AE167">
        <v>0</v>
      </c>
      <c r="AF167">
        <v>0</v>
      </c>
      <c r="AG167">
        <v>0</v>
      </c>
      <c r="AH167">
        <v>0</v>
      </c>
      <c r="AI167">
        <v>1</v>
      </c>
      <c r="AJ167">
        <v>1</v>
      </c>
      <c r="AK167">
        <v>19.8</v>
      </c>
      <c r="AL167">
        <v>1</v>
      </c>
      <c r="AM167">
        <v>5</v>
      </c>
      <c r="AN167">
        <v>0</v>
      </c>
      <c r="AO167">
        <v>1</v>
      </c>
      <c r="AP167">
        <v>1</v>
      </c>
      <c r="AQ167">
        <v>0</v>
      </c>
      <c r="AR167">
        <v>0</v>
      </c>
      <c r="AS167" t="s">
        <v>6</v>
      </c>
      <c r="AT167">
        <v>1.48</v>
      </c>
      <c r="AU167" t="s">
        <v>24</v>
      </c>
      <c r="AV167">
        <v>2</v>
      </c>
      <c r="AW167">
        <v>2</v>
      </c>
      <c r="AX167">
        <v>86327421</v>
      </c>
      <c r="AY167">
        <v>1</v>
      </c>
      <c r="AZ167">
        <v>0</v>
      </c>
      <c r="BA167">
        <v>141</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CV167">
        <v>0</v>
      </c>
      <c r="CW167">
        <v>0</v>
      </c>
      <c r="CX167">
        <f>ROUND(Y167*Source!I144,9)</f>
        <v>8.2059487999999998</v>
      </c>
      <c r="CY167">
        <f>AD167</f>
        <v>0</v>
      </c>
      <c r="CZ167">
        <f>AH167</f>
        <v>0</v>
      </c>
      <c r="DA167">
        <f>AL167</f>
        <v>1</v>
      </c>
      <c r="DB167">
        <f>ROUND((ROUND(AT167*CZ167,2)*1.12),2)</f>
        <v>0</v>
      </c>
      <c r="DC167">
        <f>ROUND((ROUND(AT167*AG167,2)*1.12),2)</f>
        <v>0</v>
      </c>
      <c r="DD167" t="s">
        <v>6</v>
      </c>
      <c r="DE167" t="s">
        <v>6</v>
      </c>
      <c r="DF167">
        <f t="shared" si="53"/>
        <v>0</v>
      </c>
      <c r="DG167">
        <f t="shared" si="52"/>
        <v>0</v>
      </c>
      <c r="DH167">
        <f>Source!I144*SmtRes!Y167</f>
        <v>8.2059488000000016</v>
      </c>
      <c r="DI167">
        <f>AD167</f>
        <v>0</v>
      </c>
      <c r="DJ167">
        <f>EtalonRes!AB141</f>
        <v>0</v>
      </c>
      <c r="DK167">
        <f>Source!BA144</f>
        <v>36.07</v>
      </c>
      <c r="DL167" t="s">
        <v>6</v>
      </c>
      <c r="DM167">
        <v>0</v>
      </c>
      <c r="DN167" t="s">
        <v>6</v>
      </c>
      <c r="DO167">
        <v>0</v>
      </c>
      <c r="GQ167">
        <v>-1</v>
      </c>
      <c r="GR167">
        <v>-1</v>
      </c>
    </row>
    <row r="168" spans="1:200" x14ac:dyDescent="0.2">
      <c r="A168">
        <f>ROW(Source!A144)</f>
        <v>144</v>
      </c>
      <c r="B168">
        <v>86326988</v>
      </c>
      <c r="C168">
        <v>86327406</v>
      </c>
      <c r="D168">
        <v>27439418</v>
      </c>
      <c r="E168">
        <v>1</v>
      </c>
      <c r="F168">
        <v>1</v>
      </c>
      <c r="G168">
        <v>1</v>
      </c>
      <c r="H168">
        <v>2</v>
      </c>
      <c r="I168" t="s">
        <v>652</v>
      </c>
      <c r="J168" t="s">
        <v>653</v>
      </c>
      <c r="K168" t="s">
        <v>654</v>
      </c>
      <c r="L168">
        <v>1368</v>
      </c>
      <c r="N168">
        <v>1011</v>
      </c>
      <c r="O168" t="s">
        <v>137</v>
      </c>
      <c r="P168" t="s">
        <v>137</v>
      </c>
      <c r="Q168">
        <v>1</v>
      </c>
      <c r="W168">
        <v>0</v>
      </c>
      <c r="X168">
        <v>674127709</v>
      </c>
      <c r="Y168">
        <f>(AT168*1.12)</f>
        <v>1.6576000000000002</v>
      </c>
      <c r="AA168">
        <v>0</v>
      </c>
      <c r="AB168">
        <v>852.72</v>
      </c>
      <c r="AC168">
        <v>269.48</v>
      </c>
      <c r="AD168">
        <v>0</v>
      </c>
      <c r="AE168">
        <v>0</v>
      </c>
      <c r="AF168">
        <v>91.69</v>
      </c>
      <c r="AG168">
        <v>13.61</v>
      </c>
      <c r="AH168">
        <v>0</v>
      </c>
      <c r="AI168">
        <v>1</v>
      </c>
      <c r="AJ168">
        <v>9.3000000000000007</v>
      </c>
      <c r="AK168">
        <v>19.8</v>
      </c>
      <c r="AL168">
        <v>1</v>
      </c>
      <c r="AM168">
        <v>5</v>
      </c>
      <c r="AN168">
        <v>0</v>
      </c>
      <c r="AO168">
        <v>1</v>
      </c>
      <c r="AP168">
        <v>1</v>
      </c>
      <c r="AQ168">
        <v>0</v>
      </c>
      <c r="AR168">
        <v>0</v>
      </c>
      <c r="AS168" t="s">
        <v>6</v>
      </c>
      <c r="AT168">
        <v>1.48</v>
      </c>
      <c r="AU168" t="s">
        <v>24</v>
      </c>
      <c r="AV168">
        <v>0</v>
      </c>
      <c r="AW168">
        <v>2</v>
      </c>
      <c r="AX168">
        <v>86327422</v>
      </c>
      <c r="AY168">
        <v>1</v>
      </c>
      <c r="AZ168">
        <v>0</v>
      </c>
      <c r="BA168">
        <v>142</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CV168">
        <v>0</v>
      </c>
      <c r="CW168">
        <f>ROUND(Y168*Source!I144*DO168,9)</f>
        <v>0</v>
      </c>
      <c r="CX168">
        <f>ROUND(Y168*Source!I144,9)</f>
        <v>8.2059487999999998</v>
      </c>
      <c r="CY168">
        <f>AB168</f>
        <v>852.72</v>
      </c>
      <c r="CZ168">
        <f>AF168</f>
        <v>91.69</v>
      </c>
      <c r="DA168">
        <f>AJ168</f>
        <v>9.3000000000000007</v>
      </c>
      <c r="DB168">
        <f>ROUND((ROUND(AT168*CZ168,2)*1.12),2)</f>
        <v>151.97999999999999</v>
      </c>
      <c r="DC168">
        <f>ROUND((ROUND(AT168*AG168,2)*1.12),2)</f>
        <v>22.56</v>
      </c>
      <c r="DD168" t="s">
        <v>6</v>
      </c>
      <c r="DE168" t="s">
        <v>6</v>
      </c>
      <c r="DF168">
        <f t="shared" si="53"/>
        <v>0</v>
      </c>
      <c r="DG168">
        <f>ROUND(ROUND(AF168*AJ168,0)*CX168,0)</f>
        <v>7000</v>
      </c>
      <c r="DH168">
        <f>Source!I144*SmtRes!Y168</f>
        <v>8.2059488000000016</v>
      </c>
      <c r="DI168">
        <f>AB168</f>
        <v>852.72</v>
      </c>
      <c r="DJ168">
        <f>EtalonRes!Z142</f>
        <v>91.69</v>
      </c>
      <c r="DK168">
        <f>Source!BB144</f>
        <v>9.3000000000000007</v>
      </c>
      <c r="DL168" t="s">
        <v>6</v>
      </c>
      <c r="DM168">
        <v>0</v>
      </c>
      <c r="DN168" t="s">
        <v>6</v>
      </c>
      <c r="DO168">
        <v>0</v>
      </c>
      <c r="GQ168">
        <v>-1</v>
      </c>
      <c r="GR168">
        <v>-1</v>
      </c>
    </row>
    <row r="169" spans="1:200" x14ac:dyDescent="0.2">
      <c r="A169">
        <f>ROW(Source!A144)</f>
        <v>144</v>
      </c>
      <c r="B169">
        <v>86326988</v>
      </c>
      <c r="C169">
        <v>86327406</v>
      </c>
      <c r="D169">
        <v>27440039</v>
      </c>
      <c r="E169">
        <v>1</v>
      </c>
      <c r="F169">
        <v>1</v>
      </c>
      <c r="G169">
        <v>1</v>
      </c>
      <c r="H169">
        <v>2</v>
      </c>
      <c r="I169" t="s">
        <v>649</v>
      </c>
      <c r="J169" t="s">
        <v>650</v>
      </c>
      <c r="K169" t="s">
        <v>651</v>
      </c>
      <c r="L169">
        <v>1368</v>
      </c>
      <c r="N169">
        <v>1011</v>
      </c>
      <c r="O169" t="s">
        <v>137</v>
      </c>
      <c r="P169" t="s">
        <v>137</v>
      </c>
      <c r="Q169">
        <v>1</v>
      </c>
      <c r="W169">
        <v>0</v>
      </c>
      <c r="X169">
        <v>389347920</v>
      </c>
      <c r="Y169">
        <f>(AT169*1.12)</f>
        <v>1.4672000000000003</v>
      </c>
      <c r="AA169">
        <v>0</v>
      </c>
      <c r="AB169">
        <v>17.02</v>
      </c>
      <c r="AC169">
        <v>0</v>
      </c>
      <c r="AD169">
        <v>0</v>
      </c>
      <c r="AE169">
        <v>0</v>
      </c>
      <c r="AF169">
        <v>1.83</v>
      </c>
      <c r="AG169">
        <v>0</v>
      </c>
      <c r="AH169">
        <v>0</v>
      </c>
      <c r="AI169">
        <v>1</v>
      </c>
      <c r="AJ169">
        <v>9.3000000000000007</v>
      </c>
      <c r="AK169">
        <v>19.8</v>
      </c>
      <c r="AL169">
        <v>1</v>
      </c>
      <c r="AM169">
        <v>5</v>
      </c>
      <c r="AN169">
        <v>0</v>
      </c>
      <c r="AO169">
        <v>1</v>
      </c>
      <c r="AP169">
        <v>1</v>
      </c>
      <c r="AQ169">
        <v>0</v>
      </c>
      <c r="AR169">
        <v>0</v>
      </c>
      <c r="AS169" t="s">
        <v>6</v>
      </c>
      <c r="AT169">
        <v>1.31</v>
      </c>
      <c r="AU169" t="s">
        <v>24</v>
      </c>
      <c r="AV169">
        <v>0</v>
      </c>
      <c r="AW169">
        <v>2</v>
      </c>
      <c r="AX169">
        <v>86327423</v>
      </c>
      <c r="AY169">
        <v>1</v>
      </c>
      <c r="AZ169">
        <v>0</v>
      </c>
      <c r="BA169">
        <v>143</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CV169">
        <v>0</v>
      </c>
      <c r="CW169">
        <f>ROUND(Y169*Source!I144*DO169,9)</f>
        <v>0</v>
      </c>
      <c r="CX169">
        <f>ROUND(Y169*Source!I144,9)</f>
        <v>7.2633736000000004</v>
      </c>
      <c r="CY169">
        <f>AB169</f>
        <v>17.02</v>
      </c>
      <c r="CZ169">
        <f>AF169</f>
        <v>1.83</v>
      </c>
      <c r="DA169">
        <f>AJ169</f>
        <v>9.3000000000000007</v>
      </c>
      <c r="DB169">
        <f>ROUND((ROUND(AT169*CZ169,2)*1.12),2)</f>
        <v>2.69</v>
      </c>
      <c r="DC169">
        <f>ROUND((ROUND(AT169*AG169,2)*1.12),2)</f>
        <v>0</v>
      </c>
      <c r="DD169" t="s">
        <v>6</v>
      </c>
      <c r="DE169" t="s">
        <v>6</v>
      </c>
      <c r="DF169">
        <f t="shared" si="53"/>
        <v>0</v>
      </c>
      <c r="DG169">
        <f>ROUND(ROUND(AF169*AJ169,0)*CX169,0)</f>
        <v>123</v>
      </c>
      <c r="DH169">
        <f>Source!I144*SmtRes!Y169</f>
        <v>7.2633736000000013</v>
      </c>
      <c r="DI169">
        <f>AB169</f>
        <v>17.02</v>
      </c>
      <c r="DJ169">
        <f>EtalonRes!Z143</f>
        <v>1.83</v>
      </c>
      <c r="DK169">
        <f>Source!BB144</f>
        <v>9.3000000000000007</v>
      </c>
      <c r="DL169" t="s">
        <v>6</v>
      </c>
      <c r="DM169">
        <v>0</v>
      </c>
      <c r="DN169" t="s">
        <v>6</v>
      </c>
      <c r="DO169">
        <v>0</v>
      </c>
      <c r="GQ169">
        <v>-1</v>
      </c>
      <c r="GR169">
        <v>-1</v>
      </c>
    </row>
    <row r="170" spans="1:200" x14ac:dyDescent="0.2">
      <c r="A170">
        <f>ROW(Source!A144)</f>
        <v>144</v>
      </c>
      <c r="B170">
        <v>86326988</v>
      </c>
      <c r="C170">
        <v>86327406</v>
      </c>
      <c r="D170">
        <v>27371200</v>
      </c>
      <c r="E170">
        <v>1</v>
      </c>
      <c r="F170">
        <v>1</v>
      </c>
      <c r="G170">
        <v>1</v>
      </c>
      <c r="H170">
        <v>3</v>
      </c>
      <c r="I170" t="s">
        <v>71</v>
      </c>
      <c r="J170" t="s">
        <v>73</v>
      </c>
      <c r="K170" t="s">
        <v>72</v>
      </c>
      <c r="L170">
        <v>1348</v>
      </c>
      <c r="N170">
        <v>1009</v>
      </c>
      <c r="O170" t="s">
        <v>33</v>
      </c>
      <c r="P170" t="s">
        <v>33</v>
      </c>
      <c r="Q170">
        <v>1000</v>
      </c>
      <c r="W170">
        <v>0</v>
      </c>
      <c r="X170">
        <v>-81122142</v>
      </c>
      <c r="Y170">
        <f t="shared" ref="Y170:Y178" si="62">AT170</f>
        <v>4.1999999999999997E-3</v>
      </c>
      <c r="AA170">
        <v>82500</v>
      </c>
      <c r="AB170">
        <v>0</v>
      </c>
      <c r="AC170">
        <v>0</v>
      </c>
      <c r="AD170">
        <v>0</v>
      </c>
      <c r="AE170">
        <v>11576.19</v>
      </c>
      <c r="AF170">
        <v>0</v>
      </c>
      <c r="AG170">
        <v>0</v>
      </c>
      <c r="AH170">
        <v>0</v>
      </c>
      <c r="AI170">
        <v>7.56</v>
      </c>
      <c r="AJ170">
        <v>1</v>
      </c>
      <c r="AK170">
        <v>1</v>
      </c>
      <c r="AL170">
        <v>1</v>
      </c>
      <c r="AM170">
        <v>0</v>
      </c>
      <c r="AN170">
        <v>0</v>
      </c>
      <c r="AO170">
        <v>0</v>
      </c>
      <c r="AP170">
        <v>1</v>
      </c>
      <c r="AQ170">
        <v>0</v>
      </c>
      <c r="AR170">
        <v>0</v>
      </c>
      <c r="AS170" t="s">
        <v>6</v>
      </c>
      <c r="AT170">
        <v>4.1999999999999997E-3</v>
      </c>
      <c r="AU170" t="s">
        <v>6</v>
      </c>
      <c r="AV170">
        <v>0</v>
      </c>
      <c r="AW170">
        <v>2</v>
      </c>
      <c r="AX170">
        <v>86327424</v>
      </c>
      <c r="AY170">
        <v>1</v>
      </c>
      <c r="AZ170">
        <v>16384</v>
      </c>
      <c r="BA170">
        <v>144</v>
      </c>
      <c r="BB170">
        <v>3</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CV170">
        <v>0</v>
      </c>
      <c r="CW170">
        <v>0</v>
      </c>
      <c r="CX170">
        <f>ROUND(Y170*Source!I144,9)</f>
        <v>2.0792100000000001E-2</v>
      </c>
      <c r="CY170">
        <f t="shared" ref="CY170:CY178" si="63">AA170</f>
        <v>82500</v>
      </c>
      <c r="CZ170">
        <f t="shared" ref="CZ170:CZ178" si="64">AE170</f>
        <v>11576.19</v>
      </c>
      <c r="DA170">
        <f t="shared" ref="DA170:DA178" si="65">AI170</f>
        <v>7.56</v>
      </c>
      <c r="DB170">
        <f t="shared" ref="DB170:DB178" si="66">ROUND(ROUND(AT170*CZ170,2),2)</f>
        <v>48.62</v>
      </c>
      <c r="DC170">
        <f t="shared" ref="DC170:DC178" si="67">ROUND(ROUND(AT170*AG170,2),2)</f>
        <v>0</v>
      </c>
      <c r="DD170" t="s">
        <v>6</v>
      </c>
      <c r="DE170" t="s">
        <v>6</v>
      </c>
      <c r="DF170">
        <f t="shared" ref="DF170:DF178" si="68">ROUND(ROUND(AE170*AI170,0)*CX170,0)</f>
        <v>1820</v>
      </c>
      <c r="DG170">
        <f t="shared" ref="DG170:DG193" si="69">ROUND(ROUND(AF170,0)*CX170,0)</f>
        <v>0</v>
      </c>
      <c r="DH170">
        <f>Source!I144*SmtRes!Y170</f>
        <v>2.0792099999999997E-2</v>
      </c>
      <c r="DI170">
        <f t="shared" ref="DI170:DI178" si="70">AA170</f>
        <v>82500</v>
      </c>
      <c r="DJ170">
        <f>EtalonRes!Y144</f>
        <v>1696.01</v>
      </c>
      <c r="DK170">
        <f>Source!BC144</f>
        <v>7.56</v>
      </c>
      <c r="DL170" t="s">
        <v>6</v>
      </c>
      <c r="DM170">
        <v>0</v>
      </c>
      <c r="DN170" t="s">
        <v>6</v>
      </c>
      <c r="DO170">
        <v>0</v>
      </c>
      <c r="GP170">
        <v>1</v>
      </c>
      <c r="GQ170">
        <v>-1</v>
      </c>
      <c r="GR170">
        <v>-1</v>
      </c>
    </row>
    <row r="171" spans="1:200" x14ac:dyDescent="0.2">
      <c r="A171">
        <f>ROW(Source!A144)</f>
        <v>144</v>
      </c>
      <c r="B171">
        <v>86326988</v>
      </c>
      <c r="C171">
        <v>86327406</v>
      </c>
      <c r="D171">
        <v>11618017</v>
      </c>
      <c r="E171">
        <v>1</v>
      </c>
      <c r="F171">
        <v>1</v>
      </c>
      <c r="G171">
        <v>1</v>
      </c>
      <c r="H171">
        <v>3</v>
      </c>
      <c r="I171" t="s">
        <v>107</v>
      </c>
      <c r="J171" t="s">
        <v>109</v>
      </c>
      <c r="K171" t="s">
        <v>108</v>
      </c>
      <c r="L171">
        <v>1371</v>
      </c>
      <c r="N171">
        <v>1013</v>
      </c>
      <c r="O171" t="s">
        <v>103</v>
      </c>
      <c r="P171" t="s">
        <v>103</v>
      </c>
      <c r="Q171">
        <v>1</v>
      </c>
      <c r="W171">
        <v>0</v>
      </c>
      <c r="X171">
        <v>-1648273723</v>
      </c>
      <c r="Y171">
        <f t="shared" si="62"/>
        <v>12</v>
      </c>
      <c r="AA171">
        <v>0.62</v>
      </c>
      <c r="AB171">
        <v>0</v>
      </c>
      <c r="AC171">
        <v>0</v>
      </c>
      <c r="AD171">
        <v>0</v>
      </c>
      <c r="AE171">
        <v>0.08</v>
      </c>
      <c r="AF171">
        <v>0</v>
      </c>
      <c r="AG171">
        <v>0</v>
      </c>
      <c r="AH171">
        <v>0</v>
      </c>
      <c r="AI171">
        <v>7.56</v>
      </c>
      <c r="AJ171">
        <v>1</v>
      </c>
      <c r="AK171">
        <v>1</v>
      </c>
      <c r="AL171">
        <v>1</v>
      </c>
      <c r="AM171">
        <v>0</v>
      </c>
      <c r="AN171">
        <v>0</v>
      </c>
      <c r="AO171">
        <v>0</v>
      </c>
      <c r="AP171">
        <v>0</v>
      </c>
      <c r="AQ171">
        <v>0</v>
      </c>
      <c r="AR171">
        <v>0</v>
      </c>
      <c r="AS171" t="s">
        <v>6</v>
      </c>
      <c r="AT171">
        <v>12</v>
      </c>
      <c r="AU171" t="s">
        <v>6</v>
      </c>
      <c r="AV171">
        <v>0</v>
      </c>
      <c r="AW171">
        <v>1</v>
      </c>
      <c r="AX171">
        <v>-1</v>
      </c>
      <c r="AY171">
        <v>0</v>
      </c>
      <c r="AZ171">
        <v>0</v>
      </c>
      <c r="BA171" t="s">
        <v>6</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CV171">
        <v>0</v>
      </c>
      <c r="CW171">
        <v>0</v>
      </c>
      <c r="CX171">
        <f>ROUND(Y171*Source!I144,9)</f>
        <v>59.405999999999999</v>
      </c>
      <c r="CY171">
        <f t="shared" si="63"/>
        <v>0.62</v>
      </c>
      <c r="CZ171">
        <f t="shared" si="64"/>
        <v>0.08</v>
      </c>
      <c r="DA171">
        <f t="shared" si="65"/>
        <v>7.56</v>
      </c>
      <c r="DB171">
        <f t="shared" si="66"/>
        <v>0.96</v>
      </c>
      <c r="DC171">
        <f t="shared" si="67"/>
        <v>0</v>
      </c>
      <c r="DD171" t="s">
        <v>6</v>
      </c>
      <c r="DE171" t="s">
        <v>6</v>
      </c>
      <c r="DF171">
        <f t="shared" si="68"/>
        <v>59</v>
      </c>
      <c r="DG171">
        <f t="shared" si="69"/>
        <v>0</v>
      </c>
      <c r="DH171">
        <f>Source!I144*SmtRes!Y171</f>
        <v>59.405999999999999</v>
      </c>
      <c r="DI171">
        <f t="shared" si="70"/>
        <v>0.62</v>
      </c>
      <c r="DJ171">
        <f t="shared" ref="DJ171:DJ178" si="71">DF171</f>
        <v>59</v>
      </c>
      <c r="DK171">
        <f>Source!BC144</f>
        <v>7.56</v>
      </c>
      <c r="DL171" t="s">
        <v>6</v>
      </c>
      <c r="DM171">
        <v>0</v>
      </c>
      <c r="DN171" t="s">
        <v>6</v>
      </c>
      <c r="DO171">
        <v>0</v>
      </c>
      <c r="GP171">
        <v>1</v>
      </c>
      <c r="GQ171">
        <v>-1</v>
      </c>
      <c r="GR171">
        <v>-1</v>
      </c>
    </row>
    <row r="172" spans="1:200" x14ac:dyDescent="0.2">
      <c r="A172">
        <f>ROW(Source!A144)</f>
        <v>144</v>
      </c>
      <c r="B172">
        <v>86326988</v>
      </c>
      <c r="C172">
        <v>86327406</v>
      </c>
      <c r="D172">
        <v>11618018</v>
      </c>
      <c r="E172">
        <v>1</v>
      </c>
      <c r="F172">
        <v>1</v>
      </c>
      <c r="G172">
        <v>1</v>
      </c>
      <c r="H172">
        <v>3</v>
      </c>
      <c r="I172" t="s">
        <v>112</v>
      </c>
      <c r="J172" t="s">
        <v>114</v>
      </c>
      <c r="K172" t="s">
        <v>113</v>
      </c>
      <c r="L172">
        <v>1371</v>
      </c>
      <c r="N172">
        <v>1013</v>
      </c>
      <c r="O172" t="s">
        <v>103</v>
      </c>
      <c r="P172" t="s">
        <v>103</v>
      </c>
      <c r="Q172">
        <v>1</v>
      </c>
      <c r="W172">
        <v>0</v>
      </c>
      <c r="X172">
        <v>1900494391</v>
      </c>
      <c r="Y172">
        <f t="shared" si="62"/>
        <v>12</v>
      </c>
      <c r="AA172">
        <v>1.02</v>
      </c>
      <c r="AB172">
        <v>0</v>
      </c>
      <c r="AC172">
        <v>0</v>
      </c>
      <c r="AD172">
        <v>0</v>
      </c>
      <c r="AE172">
        <v>0.14000000000000001</v>
      </c>
      <c r="AF172">
        <v>0</v>
      </c>
      <c r="AG172">
        <v>0</v>
      </c>
      <c r="AH172">
        <v>0</v>
      </c>
      <c r="AI172">
        <v>7.56</v>
      </c>
      <c r="AJ172">
        <v>1</v>
      </c>
      <c r="AK172">
        <v>1</v>
      </c>
      <c r="AL172">
        <v>1</v>
      </c>
      <c r="AM172">
        <v>0</v>
      </c>
      <c r="AN172">
        <v>0</v>
      </c>
      <c r="AO172">
        <v>0</v>
      </c>
      <c r="AP172">
        <v>0</v>
      </c>
      <c r="AQ172">
        <v>0</v>
      </c>
      <c r="AR172">
        <v>0</v>
      </c>
      <c r="AS172" t="s">
        <v>6</v>
      </c>
      <c r="AT172">
        <v>12</v>
      </c>
      <c r="AU172" t="s">
        <v>6</v>
      </c>
      <c r="AV172">
        <v>0</v>
      </c>
      <c r="AW172">
        <v>1</v>
      </c>
      <c r="AX172">
        <v>-1</v>
      </c>
      <c r="AY172">
        <v>0</v>
      </c>
      <c r="AZ172">
        <v>0</v>
      </c>
      <c r="BA172" t="s">
        <v>6</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CV172">
        <v>0</v>
      </c>
      <c r="CW172">
        <v>0</v>
      </c>
      <c r="CX172">
        <f>ROUND(Y172*Source!I144,9)</f>
        <v>59.405999999999999</v>
      </c>
      <c r="CY172">
        <f t="shared" si="63"/>
        <v>1.02</v>
      </c>
      <c r="CZ172">
        <f t="shared" si="64"/>
        <v>0.14000000000000001</v>
      </c>
      <c r="DA172">
        <f t="shared" si="65"/>
        <v>7.56</v>
      </c>
      <c r="DB172">
        <f t="shared" si="66"/>
        <v>1.68</v>
      </c>
      <c r="DC172">
        <f t="shared" si="67"/>
        <v>0</v>
      </c>
      <c r="DD172" t="s">
        <v>6</v>
      </c>
      <c r="DE172" t="s">
        <v>6</v>
      </c>
      <c r="DF172">
        <f t="shared" si="68"/>
        <v>59</v>
      </c>
      <c r="DG172">
        <f t="shared" si="69"/>
        <v>0</v>
      </c>
      <c r="DH172">
        <f>Source!I144*SmtRes!Y172</f>
        <v>59.405999999999999</v>
      </c>
      <c r="DI172">
        <f t="shared" si="70"/>
        <v>1.02</v>
      </c>
      <c r="DJ172">
        <f t="shared" si="71"/>
        <v>59</v>
      </c>
      <c r="DK172">
        <f>Source!BC144</f>
        <v>7.56</v>
      </c>
      <c r="DL172" t="s">
        <v>6</v>
      </c>
      <c r="DM172">
        <v>0</v>
      </c>
      <c r="DN172" t="s">
        <v>6</v>
      </c>
      <c r="DO172">
        <v>0</v>
      </c>
      <c r="GP172">
        <v>1</v>
      </c>
      <c r="GQ172">
        <v>-1</v>
      </c>
      <c r="GR172">
        <v>-1</v>
      </c>
    </row>
    <row r="173" spans="1:200" x14ac:dyDescent="0.2">
      <c r="A173">
        <f>ROW(Source!A144)</f>
        <v>144</v>
      </c>
      <c r="B173">
        <v>86326988</v>
      </c>
      <c r="C173">
        <v>86327406</v>
      </c>
      <c r="D173">
        <v>11618019</v>
      </c>
      <c r="E173">
        <v>1</v>
      </c>
      <c r="F173">
        <v>1</v>
      </c>
      <c r="G173">
        <v>1</v>
      </c>
      <c r="H173">
        <v>3</v>
      </c>
      <c r="I173" t="s">
        <v>101</v>
      </c>
      <c r="J173" t="s">
        <v>104</v>
      </c>
      <c r="K173" t="s">
        <v>102</v>
      </c>
      <c r="L173">
        <v>1371</v>
      </c>
      <c r="N173">
        <v>1013</v>
      </c>
      <c r="O173" t="s">
        <v>103</v>
      </c>
      <c r="P173" t="s">
        <v>103</v>
      </c>
      <c r="Q173">
        <v>1</v>
      </c>
      <c r="W173">
        <v>0</v>
      </c>
      <c r="X173">
        <v>-504018761</v>
      </c>
      <c r="Y173">
        <f t="shared" si="62"/>
        <v>23</v>
      </c>
      <c r="AA173">
        <v>1.1299999999999999</v>
      </c>
      <c r="AB173">
        <v>0</v>
      </c>
      <c r="AC173">
        <v>0</v>
      </c>
      <c r="AD173">
        <v>0</v>
      </c>
      <c r="AE173">
        <v>0.16</v>
      </c>
      <c r="AF173">
        <v>0</v>
      </c>
      <c r="AG173">
        <v>0</v>
      </c>
      <c r="AH173">
        <v>0</v>
      </c>
      <c r="AI173">
        <v>7.56</v>
      </c>
      <c r="AJ173">
        <v>1</v>
      </c>
      <c r="AK173">
        <v>1</v>
      </c>
      <c r="AL173">
        <v>1</v>
      </c>
      <c r="AM173">
        <v>0</v>
      </c>
      <c r="AN173">
        <v>0</v>
      </c>
      <c r="AO173">
        <v>0</v>
      </c>
      <c r="AP173">
        <v>0</v>
      </c>
      <c r="AQ173">
        <v>0</v>
      </c>
      <c r="AR173">
        <v>0</v>
      </c>
      <c r="AS173" t="s">
        <v>6</v>
      </c>
      <c r="AT173">
        <v>23</v>
      </c>
      <c r="AU173" t="s">
        <v>6</v>
      </c>
      <c r="AV173">
        <v>0</v>
      </c>
      <c r="AW173">
        <v>1</v>
      </c>
      <c r="AX173">
        <v>-1</v>
      </c>
      <c r="AY173">
        <v>0</v>
      </c>
      <c r="AZ173">
        <v>0</v>
      </c>
      <c r="BA173" t="s">
        <v>6</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CV173">
        <v>0</v>
      </c>
      <c r="CW173">
        <v>0</v>
      </c>
      <c r="CX173">
        <f>ROUND(Y173*Source!I144,9)</f>
        <v>113.86150000000001</v>
      </c>
      <c r="CY173">
        <f t="shared" si="63"/>
        <v>1.1299999999999999</v>
      </c>
      <c r="CZ173">
        <f t="shared" si="64"/>
        <v>0.16</v>
      </c>
      <c r="DA173">
        <f t="shared" si="65"/>
        <v>7.56</v>
      </c>
      <c r="DB173">
        <f t="shared" si="66"/>
        <v>3.68</v>
      </c>
      <c r="DC173">
        <f t="shared" si="67"/>
        <v>0</v>
      </c>
      <c r="DD173" t="s">
        <v>6</v>
      </c>
      <c r="DE173" t="s">
        <v>6</v>
      </c>
      <c r="DF173">
        <f t="shared" si="68"/>
        <v>114</v>
      </c>
      <c r="DG173">
        <f t="shared" si="69"/>
        <v>0</v>
      </c>
      <c r="DH173">
        <f>Source!I144*SmtRes!Y173</f>
        <v>113.86149999999999</v>
      </c>
      <c r="DI173">
        <f t="shared" si="70"/>
        <v>1.1299999999999999</v>
      </c>
      <c r="DJ173">
        <f t="shared" si="71"/>
        <v>114</v>
      </c>
      <c r="DK173">
        <f>Source!BC144</f>
        <v>7.56</v>
      </c>
      <c r="DL173" t="s">
        <v>6</v>
      </c>
      <c r="DM173">
        <v>0</v>
      </c>
      <c r="DN173" t="s">
        <v>6</v>
      </c>
      <c r="DO173">
        <v>0</v>
      </c>
      <c r="GP173">
        <v>1</v>
      </c>
      <c r="GQ173">
        <v>-1</v>
      </c>
      <c r="GR173">
        <v>-1</v>
      </c>
    </row>
    <row r="174" spans="1:200" x14ac:dyDescent="0.2">
      <c r="A174">
        <f>ROW(Source!A144)</f>
        <v>144</v>
      </c>
      <c r="B174">
        <v>86326988</v>
      </c>
      <c r="C174">
        <v>86327406</v>
      </c>
      <c r="D174">
        <v>35950821</v>
      </c>
      <c r="E174">
        <v>1</v>
      </c>
      <c r="F174">
        <v>1</v>
      </c>
      <c r="G174">
        <v>1</v>
      </c>
      <c r="H174">
        <v>3</v>
      </c>
      <c r="I174" t="s">
        <v>76</v>
      </c>
      <c r="J174" t="s">
        <v>79</v>
      </c>
      <c r="K174" t="s">
        <v>245</v>
      </c>
      <c r="L174">
        <v>1391</v>
      </c>
      <c r="N174">
        <v>1013</v>
      </c>
      <c r="O174" t="s">
        <v>78</v>
      </c>
      <c r="P174" t="s">
        <v>78</v>
      </c>
      <c r="Q174">
        <v>1</v>
      </c>
      <c r="W174">
        <v>0</v>
      </c>
      <c r="X174">
        <v>1869088844</v>
      </c>
      <c r="Y174">
        <f t="shared" si="62"/>
        <v>1.7755782</v>
      </c>
      <c r="AA174">
        <v>333.45</v>
      </c>
      <c r="AB174">
        <v>0</v>
      </c>
      <c r="AC174">
        <v>0</v>
      </c>
      <c r="AD174">
        <v>0</v>
      </c>
      <c r="AE174">
        <v>46.21</v>
      </c>
      <c r="AF174">
        <v>0</v>
      </c>
      <c r="AG174">
        <v>0</v>
      </c>
      <c r="AH174">
        <v>0</v>
      </c>
      <c r="AI174">
        <v>7.56</v>
      </c>
      <c r="AJ174">
        <v>1</v>
      </c>
      <c r="AK174">
        <v>1</v>
      </c>
      <c r="AL174">
        <v>1</v>
      </c>
      <c r="AM174">
        <v>0</v>
      </c>
      <c r="AN174">
        <v>0</v>
      </c>
      <c r="AO174">
        <v>0</v>
      </c>
      <c r="AP174">
        <v>0</v>
      </c>
      <c r="AQ174">
        <v>0</v>
      </c>
      <c r="AR174">
        <v>0</v>
      </c>
      <c r="AS174" t="s">
        <v>6</v>
      </c>
      <c r="AT174">
        <v>1.7755782</v>
      </c>
      <c r="AU174" t="s">
        <v>6</v>
      </c>
      <c r="AV174">
        <v>0</v>
      </c>
      <c r="AW174">
        <v>1</v>
      </c>
      <c r="AX174">
        <v>-1</v>
      </c>
      <c r="AY174">
        <v>0</v>
      </c>
      <c r="AZ174">
        <v>0</v>
      </c>
      <c r="BA174" t="s">
        <v>6</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CV174">
        <v>0</v>
      </c>
      <c r="CW174">
        <v>0</v>
      </c>
      <c r="CX174">
        <f>ROUND(Y174*Source!I144,9)</f>
        <v>8.7899998789999998</v>
      </c>
      <c r="CY174">
        <f t="shared" si="63"/>
        <v>333.45</v>
      </c>
      <c r="CZ174">
        <f t="shared" si="64"/>
        <v>46.21</v>
      </c>
      <c r="DA174">
        <f t="shared" si="65"/>
        <v>7.56</v>
      </c>
      <c r="DB174">
        <f t="shared" si="66"/>
        <v>82.05</v>
      </c>
      <c r="DC174">
        <f t="shared" si="67"/>
        <v>0</v>
      </c>
      <c r="DD174" t="s">
        <v>6</v>
      </c>
      <c r="DE174" t="s">
        <v>6</v>
      </c>
      <c r="DF174">
        <f t="shared" si="68"/>
        <v>3068</v>
      </c>
      <c r="DG174">
        <f t="shared" si="69"/>
        <v>0</v>
      </c>
      <c r="DH174">
        <f>Source!I144*SmtRes!Y174</f>
        <v>8.7899998790999998</v>
      </c>
      <c r="DI174">
        <f t="shared" si="70"/>
        <v>333.45</v>
      </c>
      <c r="DJ174">
        <f t="shared" si="71"/>
        <v>3068</v>
      </c>
      <c r="DK174">
        <f>Source!BC144</f>
        <v>7.56</v>
      </c>
      <c r="DL174" t="s">
        <v>6</v>
      </c>
      <c r="DM174">
        <v>0</v>
      </c>
      <c r="DN174" t="s">
        <v>6</v>
      </c>
      <c r="DO174">
        <v>0</v>
      </c>
      <c r="GP174">
        <v>1</v>
      </c>
      <c r="GQ174">
        <v>-1</v>
      </c>
      <c r="GR174">
        <v>-1</v>
      </c>
    </row>
    <row r="175" spans="1:200" x14ac:dyDescent="0.2">
      <c r="A175">
        <f>ROW(Source!A144)</f>
        <v>144</v>
      </c>
      <c r="B175">
        <v>86326988</v>
      </c>
      <c r="C175">
        <v>86327406</v>
      </c>
      <c r="D175">
        <v>35950824</v>
      </c>
      <c r="E175">
        <v>1</v>
      </c>
      <c r="F175">
        <v>1</v>
      </c>
      <c r="G175">
        <v>1</v>
      </c>
      <c r="H175">
        <v>3</v>
      </c>
      <c r="I175" t="s">
        <v>82</v>
      </c>
      <c r="J175" t="s">
        <v>84</v>
      </c>
      <c r="K175" t="s">
        <v>247</v>
      </c>
      <c r="L175">
        <v>1391</v>
      </c>
      <c r="N175">
        <v>1013</v>
      </c>
      <c r="O175" t="s">
        <v>78</v>
      </c>
      <c r="P175" t="s">
        <v>78</v>
      </c>
      <c r="Q175">
        <v>1</v>
      </c>
      <c r="W175">
        <v>0</v>
      </c>
      <c r="X175">
        <v>-1555597847</v>
      </c>
      <c r="Y175">
        <f t="shared" si="62"/>
        <v>1.7755782</v>
      </c>
      <c r="AA175">
        <v>215.4</v>
      </c>
      <c r="AB175">
        <v>0</v>
      </c>
      <c r="AC175">
        <v>0</v>
      </c>
      <c r="AD175">
        <v>0</v>
      </c>
      <c r="AE175">
        <v>30.22</v>
      </c>
      <c r="AF175">
        <v>0</v>
      </c>
      <c r="AG175">
        <v>0</v>
      </c>
      <c r="AH175">
        <v>0</v>
      </c>
      <c r="AI175">
        <v>7.56</v>
      </c>
      <c r="AJ175">
        <v>1</v>
      </c>
      <c r="AK175">
        <v>1</v>
      </c>
      <c r="AL175">
        <v>1</v>
      </c>
      <c r="AM175">
        <v>0</v>
      </c>
      <c r="AN175">
        <v>0</v>
      </c>
      <c r="AO175">
        <v>0</v>
      </c>
      <c r="AP175">
        <v>0</v>
      </c>
      <c r="AQ175">
        <v>0</v>
      </c>
      <c r="AR175">
        <v>0</v>
      </c>
      <c r="AS175" t="s">
        <v>6</v>
      </c>
      <c r="AT175">
        <v>1.7755782</v>
      </c>
      <c r="AU175" t="s">
        <v>6</v>
      </c>
      <c r="AV175">
        <v>0</v>
      </c>
      <c r="AW175">
        <v>1</v>
      </c>
      <c r="AX175">
        <v>-1</v>
      </c>
      <c r="AY175">
        <v>0</v>
      </c>
      <c r="AZ175">
        <v>0</v>
      </c>
      <c r="BA175" t="s">
        <v>6</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CV175">
        <v>0</v>
      </c>
      <c r="CW175">
        <v>0</v>
      </c>
      <c r="CX175">
        <f>ROUND(Y175*Source!I144,9)</f>
        <v>8.7899998789999998</v>
      </c>
      <c r="CY175">
        <f t="shared" si="63"/>
        <v>215.4</v>
      </c>
      <c r="CZ175">
        <f t="shared" si="64"/>
        <v>30.22</v>
      </c>
      <c r="DA175">
        <f t="shared" si="65"/>
        <v>7.56</v>
      </c>
      <c r="DB175">
        <f t="shared" si="66"/>
        <v>53.66</v>
      </c>
      <c r="DC175">
        <f t="shared" si="67"/>
        <v>0</v>
      </c>
      <c r="DD175" t="s">
        <v>6</v>
      </c>
      <c r="DE175" t="s">
        <v>6</v>
      </c>
      <c r="DF175">
        <f t="shared" si="68"/>
        <v>2004</v>
      </c>
      <c r="DG175">
        <f t="shared" si="69"/>
        <v>0</v>
      </c>
      <c r="DH175">
        <f>Source!I144*SmtRes!Y175</f>
        <v>8.7899998790999998</v>
      </c>
      <c r="DI175">
        <f t="shared" si="70"/>
        <v>215.4</v>
      </c>
      <c r="DJ175">
        <f t="shared" si="71"/>
        <v>2004</v>
      </c>
      <c r="DK175">
        <f>Source!BC144</f>
        <v>7.56</v>
      </c>
      <c r="DL175" t="s">
        <v>6</v>
      </c>
      <c r="DM175">
        <v>0</v>
      </c>
      <c r="DN175" t="s">
        <v>6</v>
      </c>
      <c r="DO175">
        <v>0</v>
      </c>
      <c r="GP175">
        <v>1</v>
      </c>
      <c r="GQ175">
        <v>-1</v>
      </c>
      <c r="GR175">
        <v>-1</v>
      </c>
    </row>
    <row r="176" spans="1:200" x14ac:dyDescent="0.2">
      <c r="A176">
        <f>ROW(Source!A144)</f>
        <v>144</v>
      </c>
      <c r="B176">
        <v>86326988</v>
      </c>
      <c r="C176">
        <v>86327406</v>
      </c>
      <c r="D176">
        <v>27425862</v>
      </c>
      <c r="E176">
        <v>1</v>
      </c>
      <c r="F176">
        <v>1</v>
      </c>
      <c r="G176">
        <v>1</v>
      </c>
      <c r="H176">
        <v>3</v>
      </c>
      <c r="I176" t="s">
        <v>92</v>
      </c>
      <c r="J176" t="s">
        <v>95</v>
      </c>
      <c r="K176" t="s">
        <v>93</v>
      </c>
      <c r="L176">
        <v>1301</v>
      </c>
      <c r="N176">
        <v>1003</v>
      </c>
      <c r="O176" t="s">
        <v>94</v>
      </c>
      <c r="P176" t="s">
        <v>94</v>
      </c>
      <c r="Q176">
        <v>1</v>
      </c>
      <c r="W176">
        <v>0</v>
      </c>
      <c r="X176">
        <v>-1608277363</v>
      </c>
      <c r="Y176">
        <f t="shared" si="62"/>
        <v>5.3879999999999999</v>
      </c>
      <c r="AA176">
        <v>30.51</v>
      </c>
      <c r="AB176">
        <v>0</v>
      </c>
      <c r="AC176">
        <v>0</v>
      </c>
      <c r="AD176">
        <v>0</v>
      </c>
      <c r="AE176">
        <v>4.28</v>
      </c>
      <c r="AF176">
        <v>0</v>
      </c>
      <c r="AG176">
        <v>0</v>
      </c>
      <c r="AH176">
        <v>0</v>
      </c>
      <c r="AI176">
        <v>7.56</v>
      </c>
      <c r="AJ176">
        <v>1</v>
      </c>
      <c r="AK176">
        <v>1</v>
      </c>
      <c r="AL176">
        <v>1</v>
      </c>
      <c r="AM176">
        <v>0</v>
      </c>
      <c r="AN176">
        <v>0</v>
      </c>
      <c r="AO176">
        <v>0</v>
      </c>
      <c r="AP176">
        <v>0</v>
      </c>
      <c r="AQ176">
        <v>0</v>
      </c>
      <c r="AR176">
        <v>0</v>
      </c>
      <c r="AS176" t="s">
        <v>6</v>
      </c>
      <c r="AT176">
        <v>5.3879999999999999</v>
      </c>
      <c r="AU176" t="s">
        <v>6</v>
      </c>
      <c r="AV176">
        <v>0</v>
      </c>
      <c r="AW176">
        <v>1</v>
      </c>
      <c r="AX176">
        <v>-1</v>
      </c>
      <c r="AY176">
        <v>0</v>
      </c>
      <c r="AZ176">
        <v>0</v>
      </c>
      <c r="BA176" t="s">
        <v>6</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CV176">
        <v>0</v>
      </c>
      <c r="CW176">
        <v>0</v>
      </c>
      <c r="CX176">
        <f>ROUND(Y176*Source!I144,9)</f>
        <v>26.673293999999999</v>
      </c>
      <c r="CY176">
        <f t="shared" si="63"/>
        <v>30.51</v>
      </c>
      <c r="CZ176">
        <f t="shared" si="64"/>
        <v>4.28</v>
      </c>
      <c r="DA176">
        <f t="shared" si="65"/>
        <v>7.56</v>
      </c>
      <c r="DB176">
        <f t="shared" si="66"/>
        <v>23.06</v>
      </c>
      <c r="DC176">
        <f t="shared" si="67"/>
        <v>0</v>
      </c>
      <c r="DD176" t="s">
        <v>6</v>
      </c>
      <c r="DE176" t="s">
        <v>6</v>
      </c>
      <c r="DF176">
        <f t="shared" si="68"/>
        <v>854</v>
      </c>
      <c r="DG176">
        <f t="shared" si="69"/>
        <v>0</v>
      </c>
      <c r="DH176">
        <f>Source!I144*SmtRes!Y176</f>
        <v>26.673293999999999</v>
      </c>
      <c r="DI176">
        <f t="shared" si="70"/>
        <v>30.51</v>
      </c>
      <c r="DJ176">
        <f t="shared" si="71"/>
        <v>854</v>
      </c>
      <c r="DK176">
        <f>Source!BC144</f>
        <v>7.56</v>
      </c>
      <c r="DL176" t="s">
        <v>6</v>
      </c>
      <c r="DM176">
        <v>0</v>
      </c>
      <c r="DN176" t="s">
        <v>6</v>
      </c>
      <c r="DO176">
        <v>0</v>
      </c>
      <c r="GP176">
        <v>1</v>
      </c>
      <c r="GQ176">
        <v>-1</v>
      </c>
      <c r="GR176">
        <v>-1</v>
      </c>
    </row>
    <row r="177" spans="1:200" x14ac:dyDescent="0.2">
      <c r="A177">
        <f>ROW(Source!A144)</f>
        <v>144</v>
      </c>
      <c r="B177">
        <v>86326988</v>
      </c>
      <c r="C177">
        <v>86327406</v>
      </c>
      <c r="D177">
        <v>69208315</v>
      </c>
      <c r="E177">
        <v>1</v>
      </c>
      <c r="F177">
        <v>1</v>
      </c>
      <c r="G177">
        <v>1</v>
      </c>
      <c r="H177">
        <v>3</v>
      </c>
      <c r="I177" t="s">
        <v>117</v>
      </c>
      <c r="J177" t="s">
        <v>119</v>
      </c>
      <c r="K177" t="s">
        <v>118</v>
      </c>
      <c r="L177">
        <v>1348</v>
      </c>
      <c r="N177">
        <v>1009</v>
      </c>
      <c r="O177" t="s">
        <v>33</v>
      </c>
      <c r="P177" t="s">
        <v>33</v>
      </c>
      <c r="Q177">
        <v>1000</v>
      </c>
      <c r="W177">
        <v>0</v>
      </c>
      <c r="X177">
        <v>772407484</v>
      </c>
      <c r="Y177">
        <f t="shared" si="62"/>
        <v>9.5100000000000002E-4</v>
      </c>
      <c r="AA177">
        <v>80392</v>
      </c>
      <c r="AB177">
        <v>0</v>
      </c>
      <c r="AC177">
        <v>0</v>
      </c>
      <c r="AD177">
        <v>0</v>
      </c>
      <c r="AE177">
        <v>11142.150000000001</v>
      </c>
      <c r="AF177">
        <v>0</v>
      </c>
      <c r="AG177">
        <v>0</v>
      </c>
      <c r="AH177">
        <v>0</v>
      </c>
      <c r="AI177">
        <v>7.56</v>
      </c>
      <c r="AJ177">
        <v>1</v>
      </c>
      <c r="AK177">
        <v>1</v>
      </c>
      <c r="AL177">
        <v>1</v>
      </c>
      <c r="AM177">
        <v>0</v>
      </c>
      <c r="AN177">
        <v>0</v>
      </c>
      <c r="AO177">
        <v>0</v>
      </c>
      <c r="AP177">
        <v>1</v>
      </c>
      <c r="AQ177">
        <v>0</v>
      </c>
      <c r="AR177">
        <v>0</v>
      </c>
      <c r="AS177" t="s">
        <v>6</v>
      </c>
      <c r="AT177">
        <v>9.5100000000000002E-4</v>
      </c>
      <c r="AU177" t="s">
        <v>6</v>
      </c>
      <c r="AV177">
        <v>0</v>
      </c>
      <c r="AW177">
        <v>1</v>
      </c>
      <c r="AX177">
        <v>-1</v>
      </c>
      <c r="AY177">
        <v>0</v>
      </c>
      <c r="AZ177">
        <v>0</v>
      </c>
      <c r="BA177" t="s">
        <v>6</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CV177">
        <v>0</v>
      </c>
      <c r="CW177">
        <v>0</v>
      </c>
      <c r="CX177">
        <f>ROUND(Y177*Source!I144,9)</f>
        <v>4.7079260000000003E-3</v>
      </c>
      <c r="CY177">
        <f t="shared" si="63"/>
        <v>80392</v>
      </c>
      <c r="CZ177">
        <f t="shared" si="64"/>
        <v>11142.150000000001</v>
      </c>
      <c r="DA177">
        <f t="shared" si="65"/>
        <v>7.56</v>
      </c>
      <c r="DB177">
        <f t="shared" si="66"/>
        <v>10.6</v>
      </c>
      <c r="DC177">
        <f t="shared" si="67"/>
        <v>0</v>
      </c>
      <c r="DD177" t="s">
        <v>6</v>
      </c>
      <c r="DE177" t="s">
        <v>6</v>
      </c>
      <c r="DF177">
        <f t="shared" si="68"/>
        <v>397</v>
      </c>
      <c r="DG177">
        <f t="shared" si="69"/>
        <v>0</v>
      </c>
      <c r="DH177">
        <f>Source!I144*SmtRes!Y177</f>
        <v>4.7079254999999997E-3</v>
      </c>
      <c r="DI177">
        <f t="shared" si="70"/>
        <v>80392</v>
      </c>
      <c r="DJ177">
        <f t="shared" si="71"/>
        <v>397</v>
      </c>
      <c r="DK177">
        <f>Source!BC144</f>
        <v>7.56</v>
      </c>
      <c r="DL177" t="s">
        <v>6</v>
      </c>
      <c r="DM177">
        <v>0</v>
      </c>
      <c r="DN177" t="s">
        <v>6</v>
      </c>
      <c r="DO177">
        <v>0</v>
      </c>
      <c r="GP177">
        <v>1</v>
      </c>
      <c r="GQ177">
        <v>-1</v>
      </c>
      <c r="GR177">
        <v>-1</v>
      </c>
    </row>
    <row r="178" spans="1:200" x14ac:dyDescent="0.2">
      <c r="A178">
        <f>ROW(Source!A144)</f>
        <v>144</v>
      </c>
      <c r="B178">
        <v>86326988</v>
      </c>
      <c r="C178">
        <v>86327406</v>
      </c>
      <c r="D178">
        <v>69408587</v>
      </c>
      <c r="E178">
        <v>1</v>
      </c>
      <c r="F178">
        <v>1</v>
      </c>
      <c r="G178">
        <v>1</v>
      </c>
      <c r="H178">
        <v>3</v>
      </c>
      <c r="I178" t="s">
        <v>87</v>
      </c>
      <c r="J178" t="s">
        <v>89</v>
      </c>
      <c r="K178" t="s">
        <v>88</v>
      </c>
      <c r="L178">
        <v>1339</v>
      </c>
      <c r="N178">
        <v>1007</v>
      </c>
      <c r="O178" t="s">
        <v>44</v>
      </c>
      <c r="P178" t="s">
        <v>44</v>
      </c>
      <c r="Q178">
        <v>1</v>
      </c>
      <c r="W178">
        <v>0</v>
      </c>
      <c r="X178">
        <v>-183216560</v>
      </c>
      <c r="Y178">
        <f t="shared" si="62"/>
        <v>1.8022119000000001</v>
      </c>
      <c r="AA178">
        <v>6948.56</v>
      </c>
      <c r="AB178">
        <v>0</v>
      </c>
      <c r="AC178">
        <v>0</v>
      </c>
      <c r="AD178">
        <v>0</v>
      </c>
      <c r="AE178">
        <v>975</v>
      </c>
      <c r="AF178">
        <v>0</v>
      </c>
      <c r="AG178">
        <v>0</v>
      </c>
      <c r="AH178">
        <v>0</v>
      </c>
      <c r="AI178">
        <v>7.56</v>
      </c>
      <c r="AJ178">
        <v>1</v>
      </c>
      <c r="AK178">
        <v>1</v>
      </c>
      <c r="AL178">
        <v>1</v>
      </c>
      <c r="AM178">
        <v>0</v>
      </c>
      <c r="AN178">
        <v>0</v>
      </c>
      <c r="AO178">
        <v>0</v>
      </c>
      <c r="AP178">
        <v>1</v>
      </c>
      <c r="AQ178">
        <v>0</v>
      </c>
      <c r="AR178">
        <v>0</v>
      </c>
      <c r="AS178" t="s">
        <v>6</v>
      </c>
      <c r="AT178">
        <v>1.8022119000000001</v>
      </c>
      <c r="AU178" t="s">
        <v>6</v>
      </c>
      <c r="AV178">
        <v>0</v>
      </c>
      <c r="AW178">
        <v>1</v>
      </c>
      <c r="AX178">
        <v>-1</v>
      </c>
      <c r="AY178">
        <v>0</v>
      </c>
      <c r="AZ178">
        <v>0</v>
      </c>
      <c r="BA178" t="s">
        <v>6</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CV178">
        <v>0</v>
      </c>
      <c r="CW178">
        <v>0</v>
      </c>
      <c r="CX178">
        <f>ROUND(Y178*Source!I144,9)</f>
        <v>8.9218500110000001</v>
      </c>
      <c r="CY178">
        <f t="shared" si="63"/>
        <v>6948.56</v>
      </c>
      <c r="CZ178">
        <f t="shared" si="64"/>
        <v>975</v>
      </c>
      <c r="DA178">
        <f t="shared" si="65"/>
        <v>7.56</v>
      </c>
      <c r="DB178">
        <f t="shared" si="66"/>
        <v>1757.16</v>
      </c>
      <c r="DC178">
        <f t="shared" si="67"/>
        <v>0</v>
      </c>
      <c r="DD178" t="s">
        <v>6</v>
      </c>
      <c r="DE178" t="s">
        <v>6</v>
      </c>
      <c r="DF178">
        <f t="shared" si="68"/>
        <v>65763</v>
      </c>
      <c r="DG178">
        <f t="shared" si="69"/>
        <v>0</v>
      </c>
      <c r="DH178">
        <f>Source!I144*SmtRes!Y178</f>
        <v>8.921850010950001</v>
      </c>
      <c r="DI178">
        <f t="shared" si="70"/>
        <v>6948.56</v>
      </c>
      <c r="DJ178">
        <f t="shared" si="71"/>
        <v>65763</v>
      </c>
      <c r="DK178">
        <f>Source!BC144</f>
        <v>7.56</v>
      </c>
      <c r="DL178" t="s">
        <v>6</v>
      </c>
      <c r="DM178">
        <v>0</v>
      </c>
      <c r="DN178" t="s">
        <v>6</v>
      </c>
      <c r="DO178">
        <v>0</v>
      </c>
      <c r="GP178">
        <v>1</v>
      </c>
      <c r="GQ178">
        <v>-1</v>
      </c>
      <c r="GR178">
        <v>-1</v>
      </c>
    </row>
    <row r="179" spans="1:200" x14ac:dyDescent="0.2">
      <c r="A179">
        <f>ROW(Source!A163)</f>
        <v>163</v>
      </c>
      <c r="B179">
        <v>86326987</v>
      </c>
      <c r="C179">
        <v>86327436</v>
      </c>
      <c r="D179">
        <v>27497778</v>
      </c>
      <c r="E179">
        <v>1</v>
      </c>
      <c r="F179">
        <v>1</v>
      </c>
      <c r="G179">
        <v>1</v>
      </c>
      <c r="H179">
        <v>1</v>
      </c>
      <c r="I179" t="s">
        <v>647</v>
      </c>
      <c r="J179" t="s">
        <v>6</v>
      </c>
      <c r="K179" t="s">
        <v>648</v>
      </c>
      <c r="L179">
        <v>1369</v>
      </c>
      <c r="N179">
        <v>1013</v>
      </c>
      <c r="O179" t="s">
        <v>625</v>
      </c>
      <c r="P179" t="s">
        <v>625</v>
      </c>
      <c r="Q179">
        <v>1</v>
      </c>
      <c r="W179">
        <v>0</v>
      </c>
      <c r="X179">
        <v>-160844189</v>
      </c>
      <c r="Y179">
        <f>(AT179*1.05)</f>
        <v>4.5570000000000004</v>
      </c>
      <c r="AA179">
        <v>0</v>
      </c>
      <c r="AB179">
        <v>0</v>
      </c>
      <c r="AC179">
        <v>0</v>
      </c>
      <c r="AD179">
        <v>8.7100000000000009</v>
      </c>
      <c r="AE179">
        <v>0</v>
      </c>
      <c r="AF179">
        <v>0</v>
      </c>
      <c r="AG179">
        <v>0</v>
      </c>
      <c r="AH179">
        <v>8.7100000000000009</v>
      </c>
      <c r="AI179">
        <v>1</v>
      </c>
      <c r="AJ179">
        <v>1</v>
      </c>
      <c r="AK179">
        <v>1</v>
      </c>
      <c r="AL179">
        <v>1</v>
      </c>
      <c r="AM179">
        <v>-2</v>
      </c>
      <c r="AN179">
        <v>0</v>
      </c>
      <c r="AO179">
        <v>1</v>
      </c>
      <c r="AP179">
        <v>1</v>
      </c>
      <c r="AQ179">
        <v>0</v>
      </c>
      <c r="AR179">
        <v>0</v>
      </c>
      <c r="AS179" t="s">
        <v>6</v>
      </c>
      <c r="AT179">
        <v>4.34</v>
      </c>
      <c r="AU179" t="s">
        <v>25</v>
      </c>
      <c r="AV179">
        <v>1</v>
      </c>
      <c r="AW179">
        <v>2</v>
      </c>
      <c r="AX179">
        <v>86327450</v>
      </c>
      <c r="AY179">
        <v>1</v>
      </c>
      <c r="AZ179">
        <v>0</v>
      </c>
      <c r="BA179">
        <v>147</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CU179">
        <f>ROUND(AT179*Source!I163*AH179*AL179,0)</f>
        <v>13</v>
      </c>
      <c r="CV179">
        <f>ROUND(Y179*Source!I163,9)</f>
        <v>1.576722</v>
      </c>
      <c r="CW179">
        <v>0</v>
      </c>
      <c r="CX179">
        <f>ROUND(Y179*Source!I163,9)</f>
        <v>1.576722</v>
      </c>
      <c r="CY179">
        <f>AD179</f>
        <v>8.7100000000000009</v>
      </c>
      <c r="CZ179">
        <f>AH179</f>
        <v>8.7100000000000009</v>
      </c>
      <c r="DA179">
        <f>AL179</f>
        <v>1</v>
      </c>
      <c r="DB179">
        <f>ROUND((ROUND(AT179*CZ179,2)*1.05),2)</f>
        <v>39.69</v>
      </c>
      <c r="DC179">
        <f>ROUND((ROUND(AT179*AG179,2)*1.05),2)</f>
        <v>0</v>
      </c>
      <c r="DD179" t="s">
        <v>6</v>
      </c>
      <c r="DE179" t="s">
        <v>6</v>
      </c>
      <c r="DF179">
        <f t="shared" ref="DF179:DF195" si="72">ROUND(ROUND(AE179,0)*CX179,0)</f>
        <v>0</v>
      </c>
      <c r="DG179">
        <f t="shared" si="69"/>
        <v>0</v>
      </c>
      <c r="DH179">
        <f>Source!I163*SmtRes!Y179</f>
        <v>1.576722</v>
      </c>
      <c r="DI179">
        <f>AD179</f>
        <v>8.7100000000000009</v>
      </c>
      <c r="DJ179">
        <f>EtalonRes!AB147</f>
        <v>8.7100000000000009</v>
      </c>
      <c r="DK179">
        <f>Source!BA163</f>
        <v>1</v>
      </c>
      <c r="DL179" t="s">
        <v>6</v>
      </c>
      <c r="DM179">
        <v>0</v>
      </c>
      <c r="DN179" t="s">
        <v>6</v>
      </c>
      <c r="DO179">
        <v>0</v>
      </c>
      <c r="GQ179">
        <v>-1</v>
      </c>
      <c r="GR179">
        <v>-1</v>
      </c>
    </row>
    <row r="180" spans="1:200" x14ac:dyDescent="0.2">
      <c r="A180">
        <f>ROW(Source!A163)</f>
        <v>163</v>
      </c>
      <c r="B180">
        <v>86326987</v>
      </c>
      <c r="C180">
        <v>86327436</v>
      </c>
      <c r="D180">
        <v>121548</v>
      </c>
      <c r="E180">
        <v>1</v>
      </c>
      <c r="F180">
        <v>1</v>
      </c>
      <c r="G180">
        <v>1</v>
      </c>
      <c r="H180">
        <v>1</v>
      </c>
      <c r="I180" t="s">
        <v>40</v>
      </c>
      <c r="J180" t="s">
        <v>6</v>
      </c>
      <c r="K180" t="s">
        <v>626</v>
      </c>
      <c r="L180">
        <v>608254</v>
      </c>
      <c r="N180">
        <v>1013</v>
      </c>
      <c r="O180" t="s">
        <v>627</v>
      </c>
      <c r="P180" t="s">
        <v>627</v>
      </c>
      <c r="Q180">
        <v>1</v>
      </c>
      <c r="W180">
        <v>0</v>
      </c>
      <c r="X180">
        <v>-185737400</v>
      </c>
      <c r="Y180">
        <f>(AT180*1.12)</f>
        <v>1.9152000000000002</v>
      </c>
      <c r="AA180">
        <v>0</v>
      </c>
      <c r="AB180">
        <v>0</v>
      </c>
      <c r="AC180">
        <v>0</v>
      </c>
      <c r="AD180">
        <v>0</v>
      </c>
      <c r="AE180">
        <v>0</v>
      </c>
      <c r="AF180">
        <v>0</v>
      </c>
      <c r="AG180">
        <v>0</v>
      </c>
      <c r="AH180">
        <v>0</v>
      </c>
      <c r="AI180">
        <v>1</v>
      </c>
      <c r="AJ180">
        <v>1</v>
      </c>
      <c r="AK180">
        <v>1</v>
      </c>
      <c r="AL180">
        <v>1</v>
      </c>
      <c r="AM180">
        <v>-2</v>
      </c>
      <c r="AN180">
        <v>0</v>
      </c>
      <c r="AO180">
        <v>1</v>
      </c>
      <c r="AP180">
        <v>1</v>
      </c>
      <c r="AQ180">
        <v>0</v>
      </c>
      <c r="AR180">
        <v>0</v>
      </c>
      <c r="AS180" t="s">
        <v>6</v>
      </c>
      <c r="AT180">
        <v>1.71</v>
      </c>
      <c r="AU180" t="s">
        <v>24</v>
      </c>
      <c r="AV180">
        <v>2</v>
      </c>
      <c r="AW180">
        <v>2</v>
      </c>
      <c r="AX180">
        <v>86327451</v>
      </c>
      <c r="AY180">
        <v>1</v>
      </c>
      <c r="AZ180">
        <v>0</v>
      </c>
      <c r="BA180">
        <v>148</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CV180">
        <v>0</v>
      </c>
      <c r="CW180">
        <v>0</v>
      </c>
      <c r="CX180">
        <f>ROUND(Y180*Source!I163,9)</f>
        <v>0.6626592</v>
      </c>
      <c r="CY180">
        <f>AD180</f>
        <v>0</v>
      </c>
      <c r="CZ180">
        <f>AH180</f>
        <v>0</v>
      </c>
      <c r="DA180">
        <f>AL180</f>
        <v>1</v>
      </c>
      <c r="DB180">
        <f>ROUND((ROUND(AT180*CZ180,2)*1.12),2)</f>
        <v>0</v>
      </c>
      <c r="DC180">
        <f>ROUND((ROUND(AT180*AG180,2)*1.12),2)</f>
        <v>0</v>
      </c>
      <c r="DD180" t="s">
        <v>6</v>
      </c>
      <c r="DE180" t="s">
        <v>6</v>
      </c>
      <c r="DF180">
        <f t="shared" si="72"/>
        <v>0</v>
      </c>
      <c r="DG180">
        <f t="shared" si="69"/>
        <v>0</v>
      </c>
      <c r="DH180">
        <f>Source!I163*SmtRes!Y180</f>
        <v>0.6626592</v>
      </c>
      <c r="DI180">
        <f>AD180</f>
        <v>0</v>
      </c>
      <c r="DJ180">
        <f>EtalonRes!AB148</f>
        <v>0</v>
      </c>
      <c r="DK180">
        <f>Source!BA163</f>
        <v>1</v>
      </c>
      <c r="DL180" t="s">
        <v>6</v>
      </c>
      <c r="DM180">
        <v>0</v>
      </c>
      <c r="DN180" t="s">
        <v>6</v>
      </c>
      <c r="DO180">
        <v>0</v>
      </c>
      <c r="GQ180">
        <v>-1</v>
      </c>
      <c r="GR180">
        <v>-1</v>
      </c>
    </row>
    <row r="181" spans="1:200" x14ac:dyDescent="0.2">
      <c r="A181">
        <f>ROW(Source!A163)</f>
        <v>163</v>
      </c>
      <c r="B181">
        <v>86326987</v>
      </c>
      <c r="C181">
        <v>86327436</v>
      </c>
      <c r="D181">
        <v>27439418</v>
      </c>
      <c r="E181">
        <v>1</v>
      </c>
      <c r="F181">
        <v>1</v>
      </c>
      <c r="G181">
        <v>1</v>
      </c>
      <c r="H181">
        <v>2</v>
      </c>
      <c r="I181" t="s">
        <v>652</v>
      </c>
      <c r="J181" t="s">
        <v>653</v>
      </c>
      <c r="K181" t="s">
        <v>654</v>
      </c>
      <c r="L181">
        <v>1368</v>
      </c>
      <c r="N181">
        <v>1011</v>
      </c>
      <c r="O181" t="s">
        <v>137</v>
      </c>
      <c r="P181" t="s">
        <v>137</v>
      </c>
      <c r="Q181">
        <v>1</v>
      </c>
      <c r="W181">
        <v>0</v>
      </c>
      <c r="X181">
        <v>674127709</v>
      </c>
      <c r="Y181">
        <f>(AT181*1.12)</f>
        <v>1.9152000000000002</v>
      </c>
      <c r="AA181">
        <v>0</v>
      </c>
      <c r="AB181">
        <v>91.69</v>
      </c>
      <c r="AC181">
        <v>13.61</v>
      </c>
      <c r="AD181">
        <v>0</v>
      </c>
      <c r="AE181">
        <v>0</v>
      </c>
      <c r="AF181">
        <v>91.69</v>
      </c>
      <c r="AG181">
        <v>13.61</v>
      </c>
      <c r="AH181">
        <v>0</v>
      </c>
      <c r="AI181">
        <v>1</v>
      </c>
      <c r="AJ181">
        <v>1</v>
      </c>
      <c r="AK181">
        <v>1</v>
      </c>
      <c r="AL181">
        <v>1</v>
      </c>
      <c r="AM181">
        <v>-2</v>
      </c>
      <c r="AN181">
        <v>0</v>
      </c>
      <c r="AO181">
        <v>1</v>
      </c>
      <c r="AP181">
        <v>1</v>
      </c>
      <c r="AQ181">
        <v>0</v>
      </c>
      <c r="AR181">
        <v>0</v>
      </c>
      <c r="AS181" t="s">
        <v>6</v>
      </c>
      <c r="AT181">
        <v>1.71</v>
      </c>
      <c r="AU181" t="s">
        <v>24</v>
      </c>
      <c r="AV181">
        <v>0</v>
      </c>
      <c r="AW181">
        <v>2</v>
      </c>
      <c r="AX181">
        <v>86327452</v>
      </c>
      <c r="AY181">
        <v>1</v>
      </c>
      <c r="AZ181">
        <v>0</v>
      </c>
      <c r="BA181">
        <v>149</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CV181">
        <v>0</v>
      </c>
      <c r="CW181">
        <f>ROUND(Y181*Source!I163*DO181,9)</f>
        <v>0</v>
      </c>
      <c r="CX181">
        <f>ROUND(Y181*Source!I163,9)</f>
        <v>0.6626592</v>
      </c>
      <c r="CY181">
        <f>AB181</f>
        <v>91.69</v>
      </c>
      <c r="CZ181">
        <f>AF181</f>
        <v>91.69</v>
      </c>
      <c r="DA181">
        <f>AJ181</f>
        <v>1</v>
      </c>
      <c r="DB181">
        <f>ROUND((ROUND(AT181*CZ181,2)*1.12),2)</f>
        <v>175.6</v>
      </c>
      <c r="DC181">
        <f>ROUND((ROUND(AT181*AG181,2)*1.12),2)</f>
        <v>26.06</v>
      </c>
      <c r="DD181" t="s">
        <v>6</v>
      </c>
      <c r="DE181" t="s">
        <v>6</v>
      </c>
      <c r="DF181">
        <f t="shared" si="72"/>
        <v>0</v>
      </c>
      <c r="DG181">
        <f t="shared" si="69"/>
        <v>61</v>
      </c>
      <c r="DH181">
        <f>Source!I163*SmtRes!Y181</f>
        <v>0.6626592</v>
      </c>
      <c r="DI181">
        <f>AB181</f>
        <v>91.69</v>
      </c>
      <c r="DJ181">
        <f>EtalonRes!Z149</f>
        <v>91.69</v>
      </c>
      <c r="DK181">
        <f>Source!BB163</f>
        <v>1</v>
      </c>
      <c r="DL181" t="s">
        <v>6</v>
      </c>
      <c r="DM181">
        <v>0</v>
      </c>
      <c r="DN181" t="s">
        <v>6</v>
      </c>
      <c r="DO181">
        <v>0</v>
      </c>
      <c r="GQ181">
        <v>-1</v>
      </c>
      <c r="GR181">
        <v>-1</v>
      </c>
    </row>
    <row r="182" spans="1:200" x14ac:dyDescent="0.2">
      <c r="A182">
        <f>ROW(Source!A163)</f>
        <v>163</v>
      </c>
      <c r="B182">
        <v>86326987</v>
      </c>
      <c r="C182">
        <v>86327436</v>
      </c>
      <c r="D182">
        <v>27440039</v>
      </c>
      <c r="E182">
        <v>1</v>
      </c>
      <c r="F182">
        <v>1</v>
      </c>
      <c r="G182">
        <v>1</v>
      </c>
      <c r="H182">
        <v>2</v>
      </c>
      <c r="I182" t="s">
        <v>649</v>
      </c>
      <c r="J182" t="s">
        <v>650</v>
      </c>
      <c r="K182" t="s">
        <v>651</v>
      </c>
      <c r="L182">
        <v>1368</v>
      </c>
      <c r="N182">
        <v>1011</v>
      </c>
      <c r="O182" t="s">
        <v>137</v>
      </c>
      <c r="P182" t="s">
        <v>137</v>
      </c>
      <c r="Q182">
        <v>1</v>
      </c>
      <c r="W182">
        <v>0</v>
      </c>
      <c r="X182">
        <v>389347920</v>
      </c>
      <c r="Y182">
        <f>(AT182*1.12)</f>
        <v>2.2624000000000004</v>
      </c>
      <c r="AA182">
        <v>0</v>
      </c>
      <c r="AB182">
        <v>1.83</v>
      </c>
      <c r="AC182">
        <v>0</v>
      </c>
      <c r="AD182">
        <v>0</v>
      </c>
      <c r="AE182">
        <v>0</v>
      </c>
      <c r="AF182">
        <v>1.83</v>
      </c>
      <c r="AG182">
        <v>0</v>
      </c>
      <c r="AH182">
        <v>0</v>
      </c>
      <c r="AI182">
        <v>1</v>
      </c>
      <c r="AJ182">
        <v>1</v>
      </c>
      <c r="AK182">
        <v>1</v>
      </c>
      <c r="AL182">
        <v>1</v>
      </c>
      <c r="AM182">
        <v>-2</v>
      </c>
      <c r="AN182">
        <v>0</v>
      </c>
      <c r="AO182">
        <v>1</v>
      </c>
      <c r="AP182">
        <v>1</v>
      </c>
      <c r="AQ182">
        <v>0</v>
      </c>
      <c r="AR182">
        <v>0</v>
      </c>
      <c r="AS182" t="s">
        <v>6</v>
      </c>
      <c r="AT182">
        <v>2.02</v>
      </c>
      <c r="AU182" t="s">
        <v>24</v>
      </c>
      <c r="AV182">
        <v>0</v>
      </c>
      <c r="AW182">
        <v>2</v>
      </c>
      <c r="AX182">
        <v>86327453</v>
      </c>
      <c r="AY182">
        <v>1</v>
      </c>
      <c r="AZ182">
        <v>0</v>
      </c>
      <c r="BA182">
        <v>150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CV182">
        <v>0</v>
      </c>
      <c r="CW182">
        <f>ROUND(Y182*Source!I163*DO182,9)</f>
        <v>0</v>
      </c>
      <c r="CX182">
        <f>ROUND(Y182*Source!I163,9)</f>
        <v>0.7827904</v>
      </c>
      <c r="CY182">
        <f>AB182</f>
        <v>1.83</v>
      </c>
      <c r="CZ182">
        <f>AF182</f>
        <v>1.83</v>
      </c>
      <c r="DA182">
        <f>AJ182</f>
        <v>1</v>
      </c>
      <c r="DB182">
        <f>ROUND((ROUND(AT182*CZ182,2)*1.12),2)</f>
        <v>4.1399999999999997</v>
      </c>
      <c r="DC182">
        <f>ROUND((ROUND(AT182*AG182,2)*1.12),2)</f>
        <v>0</v>
      </c>
      <c r="DD182" t="s">
        <v>6</v>
      </c>
      <c r="DE182" t="s">
        <v>6</v>
      </c>
      <c r="DF182">
        <f t="shared" si="72"/>
        <v>0</v>
      </c>
      <c r="DG182">
        <f t="shared" si="69"/>
        <v>2</v>
      </c>
      <c r="DH182">
        <f>Source!I163*SmtRes!Y182</f>
        <v>0.78279040000000011</v>
      </c>
      <c r="DI182">
        <f>AB182</f>
        <v>1.83</v>
      </c>
      <c r="DJ182">
        <f>EtalonRes!Z150</f>
        <v>1.83</v>
      </c>
      <c r="DK182">
        <f>Source!BB163</f>
        <v>1</v>
      </c>
      <c r="DL182" t="s">
        <v>6</v>
      </c>
      <c r="DM182">
        <v>0</v>
      </c>
      <c r="DN182" t="s">
        <v>6</v>
      </c>
      <c r="DO182">
        <v>0</v>
      </c>
      <c r="GQ182">
        <v>-1</v>
      </c>
      <c r="GR182">
        <v>-1</v>
      </c>
    </row>
    <row r="183" spans="1:200" x14ac:dyDescent="0.2">
      <c r="A183">
        <f>ROW(Source!A163)</f>
        <v>163</v>
      </c>
      <c r="B183">
        <v>86326987</v>
      </c>
      <c r="C183">
        <v>86327436</v>
      </c>
      <c r="D183">
        <v>27371200</v>
      </c>
      <c r="E183">
        <v>1</v>
      </c>
      <c r="F183">
        <v>1</v>
      </c>
      <c r="G183">
        <v>1</v>
      </c>
      <c r="H183">
        <v>3</v>
      </c>
      <c r="I183" t="s">
        <v>71</v>
      </c>
      <c r="J183" t="s">
        <v>73</v>
      </c>
      <c r="K183" t="s">
        <v>72</v>
      </c>
      <c r="L183">
        <v>1348</v>
      </c>
      <c r="N183">
        <v>1009</v>
      </c>
      <c r="O183" t="s">
        <v>33</v>
      </c>
      <c r="P183" t="s">
        <v>33</v>
      </c>
      <c r="Q183">
        <v>1000</v>
      </c>
      <c r="W183">
        <v>0</v>
      </c>
      <c r="X183">
        <v>-81122142</v>
      </c>
      <c r="Y183">
        <f t="shared" ref="Y183:Y191" si="73">AT183</f>
        <v>4.1999999999999997E-3</v>
      </c>
      <c r="AA183">
        <v>1696.01</v>
      </c>
      <c r="AB183">
        <v>0</v>
      </c>
      <c r="AC183">
        <v>0</v>
      </c>
      <c r="AD183">
        <v>0</v>
      </c>
      <c r="AE183">
        <v>1696.01</v>
      </c>
      <c r="AF183">
        <v>0</v>
      </c>
      <c r="AG183">
        <v>0</v>
      </c>
      <c r="AH183">
        <v>0</v>
      </c>
      <c r="AI183">
        <v>1</v>
      </c>
      <c r="AJ183">
        <v>1</v>
      </c>
      <c r="AK183">
        <v>1</v>
      </c>
      <c r="AL183">
        <v>1</v>
      </c>
      <c r="AM183">
        <v>0</v>
      </c>
      <c r="AN183">
        <v>0</v>
      </c>
      <c r="AO183">
        <v>0</v>
      </c>
      <c r="AP183">
        <v>0</v>
      </c>
      <c r="AQ183">
        <v>0</v>
      </c>
      <c r="AR183">
        <v>0</v>
      </c>
      <c r="AS183" t="s">
        <v>6</v>
      </c>
      <c r="AT183">
        <v>4.1999999999999997E-3</v>
      </c>
      <c r="AU183" t="s">
        <v>6</v>
      </c>
      <c r="AV183">
        <v>0</v>
      </c>
      <c r="AW183">
        <v>2</v>
      </c>
      <c r="AX183">
        <v>86327454</v>
      </c>
      <c r="AY183">
        <v>1</v>
      </c>
      <c r="AZ183">
        <v>0</v>
      </c>
      <c r="BA183">
        <v>151</v>
      </c>
      <c r="BB183">
        <v>3</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CV183">
        <v>0</v>
      </c>
      <c r="CW183">
        <v>0</v>
      </c>
      <c r="CX183">
        <f>ROUND(Y183*Source!I163,9)</f>
        <v>1.4532E-3</v>
      </c>
      <c r="CY183">
        <f t="shared" ref="CY183:CY191" si="74">AA183</f>
        <v>1696.01</v>
      </c>
      <c r="CZ183">
        <f t="shared" ref="CZ183:CZ191" si="75">AE183</f>
        <v>1696.01</v>
      </c>
      <c r="DA183">
        <f t="shared" ref="DA183:DA191" si="76">AI183</f>
        <v>1</v>
      </c>
      <c r="DB183">
        <f t="shared" ref="DB183:DB191" si="77">ROUND(ROUND(AT183*CZ183,2),2)</f>
        <v>7.12</v>
      </c>
      <c r="DC183">
        <f t="shared" ref="DC183:DC191" si="78">ROUND(ROUND(AT183*AG183,2),2)</f>
        <v>0</v>
      </c>
      <c r="DD183" t="s">
        <v>6</v>
      </c>
      <c r="DE183" t="s">
        <v>6</v>
      </c>
      <c r="DF183">
        <f t="shared" si="72"/>
        <v>2</v>
      </c>
      <c r="DG183">
        <f t="shared" si="69"/>
        <v>0</v>
      </c>
      <c r="DH183">
        <f>Source!I163*SmtRes!Y183</f>
        <v>1.4531999999999998E-3</v>
      </c>
      <c r="DI183">
        <f t="shared" ref="DI183:DI191" si="79">AA183</f>
        <v>1696.01</v>
      </c>
      <c r="DJ183">
        <f>EtalonRes!Y151</f>
        <v>1696.01</v>
      </c>
      <c r="DK183">
        <f>Source!BC163</f>
        <v>1</v>
      </c>
      <c r="DL183" t="s">
        <v>6</v>
      </c>
      <c r="DM183">
        <v>0</v>
      </c>
      <c r="DN183" t="s">
        <v>6</v>
      </c>
      <c r="DO183">
        <v>0</v>
      </c>
      <c r="GP183">
        <v>1</v>
      </c>
      <c r="GQ183">
        <v>-1</v>
      </c>
      <c r="GR183">
        <v>-1</v>
      </c>
    </row>
    <row r="184" spans="1:200" x14ac:dyDescent="0.2">
      <c r="A184">
        <f>ROW(Source!A163)</f>
        <v>163</v>
      </c>
      <c r="B184">
        <v>86326987</v>
      </c>
      <c r="C184">
        <v>86327436</v>
      </c>
      <c r="D184">
        <v>11618017</v>
      </c>
      <c r="E184">
        <v>1</v>
      </c>
      <c r="F184">
        <v>1</v>
      </c>
      <c r="G184">
        <v>1</v>
      </c>
      <c r="H184">
        <v>3</v>
      </c>
      <c r="I184" t="s">
        <v>107</v>
      </c>
      <c r="J184" t="s">
        <v>109</v>
      </c>
      <c r="K184" t="s">
        <v>108</v>
      </c>
      <c r="L184">
        <v>1371</v>
      </c>
      <c r="N184">
        <v>1013</v>
      </c>
      <c r="O184" t="s">
        <v>103</v>
      </c>
      <c r="P184" t="s">
        <v>103</v>
      </c>
      <c r="Q184">
        <v>1</v>
      </c>
      <c r="W184">
        <v>0</v>
      </c>
      <c r="X184">
        <v>-1648273723</v>
      </c>
      <c r="Y184">
        <f t="shared" si="73"/>
        <v>12</v>
      </c>
      <c r="AA184">
        <v>0.24</v>
      </c>
      <c r="AB184">
        <v>0</v>
      </c>
      <c r="AC184">
        <v>0</v>
      </c>
      <c r="AD184">
        <v>0</v>
      </c>
      <c r="AE184">
        <v>0.24</v>
      </c>
      <c r="AF184">
        <v>0</v>
      </c>
      <c r="AG184">
        <v>0</v>
      </c>
      <c r="AH184">
        <v>0</v>
      </c>
      <c r="AI184">
        <v>1</v>
      </c>
      <c r="AJ184">
        <v>1</v>
      </c>
      <c r="AK184">
        <v>1</v>
      </c>
      <c r="AL184">
        <v>1</v>
      </c>
      <c r="AM184">
        <v>0</v>
      </c>
      <c r="AN184">
        <v>0</v>
      </c>
      <c r="AO184">
        <v>0</v>
      </c>
      <c r="AP184">
        <v>0</v>
      </c>
      <c r="AQ184">
        <v>0</v>
      </c>
      <c r="AR184">
        <v>0</v>
      </c>
      <c r="AS184" t="s">
        <v>6</v>
      </c>
      <c r="AT184">
        <v>12</v>
      </c>
      <c r="AU184" t="s">
        <v>6</v>
      </c>
      <c r="AV184">
        <v>0</v>
      </c>
      <c r="AW184">
        <v>1</v>
      </c>
      <c r="AX184">
        <v>-1</v>
      </c>
      <c r="AY184">
        <v>0</v>
      </c>
      <c r="AZ184">
        <v>0</v>
      </c>
      <c r="BA184" t="s">
        <v>6</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CV184">
        <v>0</v>
      </c>
      <c r="CW184">
        <v>0</v>
      </c>
      <c r="CX184">
        <f>ROUND(Y184*Source!I163,9)</f>
        <v>4.1520000000000001</v>
      </c>
      <c r="CY184">
        <f t="shared" si="74"/>
        <v>0.24</v>
      </c>
      <c r="CZ184">
        <f t="shared" si="75"/>
        <v>0.24</v>
      </c>
      <c r="DA184">
        <f t="shared" si="76"/>
        <v>1</v>
      </c>
      <c r="DB184">
        <f t="shared" si="77"/>
        <v>2.88</v>
      </c>
      <c r="DC184">
        <f t="shared" si="78"/>
        <v>0</v>
      </c>
      <c r="DD184" t="s">
        <v>6</v>
      </c>
      <c r="DE184" t="s">
        <v>6</v>
      </c>
      <c r="DF184">
        <f t="shared" si="72"/>
        <v>0</v>
      </c>
      <c r="DG184">
        <f t="shared" si="69"/>
        <v>0</v>
      </c>
      <c r="DH184">
        <f>Source!I163*SmtRes!Y184</f>
        <v>4.1519999999999992</v>
      </c>
      <c r="DI184">
        <f t="shared" si="79"/>
        <v>0.24</v>
      </c>
      <c r="DJ184">
        <f t="shared" ref="DJ184:DJ191" si="80">DF184</f>
        <v>0</v>
      </c>
      <c r="DK184">
        <f>Source!BC163</f>
        <v>1</v>
      </c>
      <c r="DL184" t="s">
        <v>6</v>
      </c>
      <c r="DM184">
        <v>0</v>
      </c>
      <c r="DN184" t="s">
        <v>6</v>
      </c>
      <c r="DO184">
        <v>0</v>
      </c>
      <c r="GP184">
        <v>1</v>
      </c>
      <c r="GQ184">
        <v>-1</v>
      </c>
      <c r="GR184">
        <v>-1</v>
      </c>
    </row>
    <row r="185" spans="1:200" x14ac:dyDescent="0.2">
      <c r="A185">
        <f>ROW(Source!A163)</f>
        <v>163</v>
      </c>
      <c r="B185">
        <v>86326987</v>
      </c>
      <c r="C185">
        <v>86327436</v>
      </c>
      <c r="D185">
        <v>11618018</v>
      </c>
      <c r="E185">
        <v>1</v>
      </c>
      <c r="F185">
        <v>1</v>
      </c>
      <c r="G185">
        <v>1</v>
      </c>
      <c r="H185">
        <v>3</v>
      </c>
      <c r="I185" t="s">
        <v>112</v>
      </c>
      <c r="J185" t="s">
        <v>114</v>
      </c>
      <c r="K185" t="s">
        <v>113</v>
      </c>
      <c r="L185">
        <v>1371</v>
      </c>
      <c r="N185">
        <v>1013</v>
      </c>
      <c r="O185" t="s">
        <v>103</v>
      </c>
      <c r="P185" t="s">
        <v>103</v>
      </c>
      <c r="Q185">
        <v>1</v>
      </c>
      <c r="W185">
        <v>0</v>
      </c>
      <c r="X185">
        <v>1900494391</v>
      </c>
      <c r="Y185">
        <f t="shared" si="73"/>
        <v>12</v>
      </c>
      <c r="AA185">
        <v>0.3</v>
      </c>
      <c r="AB185">
        <v>0</v>
      </c>
      <c r="AC185">
        <v>0</v>
      </c>
      <c r="AD185">
        <v>0</v>
      </c>
      <c r="AE185">
        <v>0.3</v>
      </c>
      <c r="AF185">
        <v>0</v>
      </c>
      <c r="AG185">
        <v>0</v>
      </c>
      <c r="AH185">
        <v>0</v>
      </c>
      <c r="AI185">
        <v>1</v>
      </c>
      <c r="AJ185">
        <v>1</v>
      </c>
      <c r="AK185">
        <v>1</v>
      </c>
      <c r="AL185">
        <v>1</v>
      </c>
      <c r="AM185">
        <v>0</v>
      </c>
      <c r="AN185">
        <v>0</v>
      </c>
      <c r="AO185">
        <v>0</v>
      </c>
      <c r="AP185">
        <v>0</v>
      </c>
      <c r="AQ185">
        <v>0</v>
      </c>
      <c r="AR185">
        <v>0</v>
      </c>
      <c r="AS185" t="s">
        <v>6</v>
      </c>
      <c r="AT185">
        <v>12</v>
      </c>
      <c r="AU185" t="s">
        <v>6</v>
      </c>
      <c r="AV185">
        <v>0</v>
      </c>
      <c r="AW185">
        <v>1</v>
      </c>
      <c r="AX185">
        <v>-1</v>
      </c>
      <c r="AY185">
        <v>0</v>
      </c>
      <c r="AZ185">
        <v>0</v>
      </c>
      <c r="BA185" t="s">
        <v>6</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CV185">
        <v>0</v>
      </c>
      <c r="CW185">
        <v>0</v>
      </c>
      <c r="CX185">
        <f>ROUND(Y185*Source!I163,9)</f>
        <v>4.1520000000000001</v>
      </c>
      <c r="CY185">
        <f t="shared" si="74"/>
        <v>0.3</v>
      </c>
      <c r="CZ185">
        <f t="shared" si="75"/>
        <v>0.3</v>
      </c>
      <c r="DA185">
        <f t="shared" si="76"/>
        <v>1</v>
      </c>
      <c r="DB185">
        <f t="shared" si="77"/>
        <v>3.6</v>
      </c>
      <c r="DC185">
        <f t="shared" si="78"/>
        <v>0</v>
      </c>
      <c r="DD185" t="s">
        <v>6</v>
      </c>
      <c r="DE185" t="s">
        <v>6</v>
      </c>
      <c r="DF185">
        <f t="shared" si="72"/>
        <v>0</v>
      </c>
      <c r="DG185">
        <f t="shared" si="69"/>
        <v>0</v>
      </c>
      <c r="DH185">
        <f>Source!I163*SmtRes!Y185</f>
        <v>4.1519999999999992</v>
      </c>
      <c r="DI185">
        <f t="shared" si="79"/>
        <v>0.3</v>
      </c>
      <c r="DJ185">
        <f t="shared" si="80"/>
        <v>0</v>
      </c>
      <c r="DK185">
        <f>Source!BC163</f>
        <v>1</v>
      </c>
      <c r="DL185" t="s">
        <v>6</v>
      </c>
      <c r="DM185">
        <v>0</v>
      </c>
      <c r="DN185" t="s">
        <v>6</v>
      </c>
      <c r="DO185">
        <v>0</v>
      </c>
      <c r="GP185">
        <v>1</v>
      </c>
      <c r="GQ185">
        <v>-1</v>
      </c>
      <c r="GR185">
        <v>-1</v>
      </c>
    </row>
    <row r="186" spans="1:200" x14ac:dyDescent="0.2">
      <c r="A186">
        <f>ROW(Source!A163)</f>
        <v>163</v>
      </c>
      <c r="B186">
        <v>86326987</v>
      </c>
      <c r="C186">
        <v>86327436</v>
      </c>
      <c r="D186">
        <v>11618019</v>
      </c>
      <c r="E186">
        <v>1</v>
      </c>
      <c r="F186">
        <v>1</v>
      </c>
      <c r="G186">
        <v>1</v>
      </c>
      <c r="H186">
        <v>3</v>
      </c>
      <c r="I186" t="s">
        <v>101</v>
      </c>
      <c r="J186" t="s">
        <v>104</v>
      </c>
      <c r="K186" t="s">
        <v>102</v>
      </c>
      <c r="L186">
        <v>1371</v>
      </c>
      <c r="N186">
        <v>1013</v>
      </c>
      <c r="O186" t="s">
        <v>103</v>
      </c>
      <c r="P186" t="s">
        <v>103</v>
      </c>
      <c r="Q186">
        <v>1</v>
      </c>
      <c r="W186">
        <v>0</v>
      </c>
      <c r="X186">
        <v>-504018761</v>
      </c>
      <c r="Y186">
        <f t="shared" si="73"/>
        <v>23</v>
      </c>
      <c r="AA186">
        <v>0.24</v>
      </c>
      <c r="AB186">
        <v>0</v>
      </c>
      <c r="AC186">
        <v>0</v>
      </c>
      <c r="AD186">
        <v>0</v>
      </c>
      <c r="AE186">
        <v>0.24</v>
      </c>
      <c r="AF186">
        <v>0</v>
      </c>
      <c r="AG186">
        <v>0</v>
      </c>
      <c r="AH186">
        <v>0</v>
      </c>
      <c r="AI186">
        <v>1</v>
      </c>
      <c r="AJ186">
        <v>1</v>
      </c>
      <c r="AK186">
        <v>1</v>
      </c>
      <c r="AL186">
        <v>1</v>
      </c>
      <c r="AM186">
        <v>0</v>
      </c>
      <c r="AN186">
        <v>0</v>
      </c>
      <c r="AO186">
        <v>0</v>
      </c>
      <c r="AP186">
        <v>0</v>
      </c>
      <c r="AQ186">
        <v>0</v>
      </c>
      <c r="AR186">
        <v>0</v>
      </c>
      <c r="AS186" t="s">
        <v>6</v>
      </c>
      <c r="AT186">
        <v>23</v>
      </c>
      <c r="AU186" t="s">
        <v>6</v>
      </c>
      <c r="AV186">
        <v>0</v>
      </c>
      <c r="AW186">
        <v>1</v>
      </c>
      <c r="AX186">
        <v>-1</v>
      </c>
      <c r="AY186">
        <v>0</v>
      </c>
      <c r="AZ186">
        <v>0</v>
      </c>
      <c r="BA186" t="s">
        <v>6</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CV186">
        <v>0</v>
      </c>
      <c r="CW186">
        <v>0</v>
      </c>
      <c r="CX186">
        <f>ROUND(Y186*Source!I163,9)</f>
        <v>7.9580000000000002</v>
      </c>
      <c r="CY186">
        <f t="shared" si="74"/>
        <v>0.24</v>
      </c>
      <c r="CZ186">
        <f t="shared" si="75"/>
        <v>0.24</v>
      </c>
      <c r="DA186">
        <f t="shared" si="76"/>
        <v>1</v>
      </c>
      <c r="DB186">
        <f t="shared" si="77"/>
        <v>5.52</v>
      </c>
      <c r="DC186">
        <f t="shared" si="78"/>
        <v>0</v>
      </c>
      <c r="DD186" t="s">
        <v>6</v>
      </c>
      <c r="DE186" t="s">
        <v>6</v>
      </c>
      <c r="DF186">
        <f t="shared" si="72"/>
        <v>0</v>
      </c>
      <c r="DG186">
        <f t="shared" si="69"/>
        <v>0</v>
      </c>
      <c r="DH186">
        <f>Source!I163*SmtRes!Y186</f>
        <v>7.9579999999999993</v>
      </c>
      <c r="DI186">
        <f t="shared" si="79"/>
        <v>0.24</v>
      </c>
      <c r="DJ186">
        <f t="shared" si="80"/>
        <v>0</v>
      </c>
      <c r="DK186">
        <f>Source!BC163</f>
        <v>1</v>
      </c>
      <c r="DL186" t="s">
        <v>6</v>
      </c>
      <c r="DM186">
        <v>0</v>
      </c>
      <c r="DN186" t="s">
        <v>6</v>
      </c>
      <c r="DO186">
        <v>0</v>
      </c>
      <c r="GP186">
        <v>1</v>
      </c>
      <c r="GQ186">
        <v>-1</v>
      </c>
      <c r="GR186">
        <v>-1</v>
      </c>
    </row>
    <row r="187" spans="1:200" x14ac:dyDescent="0.2">
      <c r="A187">
        <f>ROW(Source!A163)</f>
        <v>163</v>
      </c>
      <c r="B187">
        <v>86326987</v>
      </c>
      <c r="C187">
        <v>86327436</v>
      </c>
      <c r="D187">
        <v>35950821</v>
      </c>
      <c r="E187">
        <v>1</v>
      </c>
      <c r="F187">
        <v>1</v>
      </c>
      <c r="G187">
        <v>1</v>
      </c>
      <c r="H187">
        <v>3</v>
      </c>
      <c r="I187" t="s">
        <v>76</v>
      </c>
      <c r="J187" t="s">
        <v>79</v>
      </c>
      <c r="K187" t="s">
        <v>245</v>
      </c>
      <c r="L187">
        <v>1391</v>
      </c>
      <c r="N187">
        <v>1013</v>
      </c>
      <c r="O187" t="s">
        <v>78</v>
      </c>
      <c r="P187" t="s">
        <v>78</v>
      </c>
      <c r="Q187">
        <v>1</v>
      </c>
      <c r="W187">
        <v>0</v>
      </c>
      <c r="X187">
        <v>1869088844</v>
      </c>
      <c r="Y187">
        <f t="shared" si="73"/>
        <v>2.5</v>
      </c>
      <c r="AA187">
        <v>87.58</v>
      </c>
      <c r="AB187">
        <v>0</v>
      </c>
      <c r="AC187">
        <v>0</v>
      </c>
      <c r="AD187">
        <v>0</v>
      </c>
      <c r="AE187">
        <v>87.58</v>
      </c>
      <c r="AF187">
        <v>0</v>
      </c>
      <c r="AG187">
        <v>0</v>
      </c>
      <c r="AH187">
        <v>0</v>
      </c>
      <c r="AI187">
        <v>1</v>
      </c>
      <c r="AJ187">
        <v>1</v>
      </c>
      <c r="AK187">
        <v>1</v>
      </c>
      <c r="AL187">
        <v>1</v>
      </c>
      <c r="AM187">
        <v>0</v>
      </c>
      <c r="AN187">
        <v>0</v>
      </c>
      <c r="AO187">
        <v>0</v>
      </c>
      <c r="AP187">
        <v>0</v>
      </c>
      <c r="AQ187">
        <v>0</v>
      </c>
      <c r="AR187">
        <v>0</v>
      </c>
      <c r="AS187" t="s">
        <v>6</v>
      </c>
      <c r="AT187">
        <v>2.5</v>
      </c>
      <c r="AU187" t="s">
        <v>6</v>
      </c>
      <c r="AV187">
        <v>0</v>
      </c>
      <c r="AW187">
        <v>1</v>
      </c>
      <c r="AX187">
        <v>-1</v>
      </c>
      <c r="AY187">
        <v>0</v>
      </c>
      <c r="AZ187">
        <v>0</v>
      </c>
      <c r="BA187" t="s">
        <v>6</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CV187">
        <v>0</v>
      </c>
      <c r="CW187">
        <v>0</v>
      </c>
      <c r="CX187">
        <f>ROUND(Y187*Source!I163,9)</f>
        <v>0.86499999999999999</v>
      </c>
      <c r="CY187">
        <f t="shared" si="74"/>
        <v>87.58</v>
      </c>
      <c r="CZ187">
        <f t="shared" si="75"/>
        <v>87.58</v>
      </c>
      <c r="DA187">
        <f t="shared" si="76"/>
        <v>1</v>
      </c>
      <c r="DB187">
        <f t="shared" si="77"/>
        <v>218.95</v>
      </c>
      <c r="DC187">
        <f t="shared" si="78"/>
        <v>0</v>
      </c>
      <c r="DD187" t="s">
        <v>6</v>
      </c>
      <c r="DE187" t="s">
        <v>6</v>
      </c>
      <c r="DF187">
        <f t="shared" si="72"/>
        <v>76</v>
      </c>
      <c r="DG187">
        <f t="shared" si="69"/>
        <v>0</v>
      </c>
      <c r="DH187">
        <f>Source!I163*SmtRes!Y187</f>
        <v>0.86499999999999999</v>
      </c>
      <c r="DI187">
        <f t="shared" si="79"/>
        <v>87.58</v>
      </c>
      <c r="DJ187">
        <f t="shared" si="80"/>
        <v>76</v>
      </c>
      <c r="DK187">
        <f>Source!BC163</f>
        <v>1</v>
      </c>
      <c r="DL187" t="s">
        <v>6</v>
      </c>
      <c r="DM187">
        <v>0</v>
      </c>
      <c r="DN187" t="s">
        <v>6</v>
      </c>
      <c r="DO187">
        <v>0</v>
      </c>
      <c r="GP187">
        <v>1</v>
      </c>
      <c r="GQ187">
        <v>-1</v>
      </c>
      <c r="GR187">
        <v>-1</v>
      </c>
    </row>
    <row r="188" spans="1:200" x14ac:dyDescent="0.2">
      <c r="A188">
        <f>ROW(Source!A163)</f>
        <v>163</v>
      </c>
      <c r="B188">
        <v>86326987</v>
      </c>
      <c r="C188">
        <v>86327436</v>
      </c>
      <c r="D188">
        <v>35950824</v>
      </c>
      <c r="E188">
        <v>1</v>
      </c>
      <c r="F188">
        <v>1</v>
      </c>
      <c r="G188">
        <v>1</v>
      </c>
      <c r="H188">
        <v>3</v>
      </c>
      <c r="I188" t="s">
        <v>82</v>
      </c>
      <c r="J188" t="s">
        <v>84</v>
      </c>
      <c r="K188" t="s">
        <v>247</v>
      </c>
      <c r="L188">
        <v>1391</v>
      </c>
      <c r="N188">
        <v>1013</v>
      </c>
      <c r="O188" t="s">
        <v>78</v>
      </c>
      <c r="P188" t="s">
        <v>78</v>
      </c>
      <c r="Q188">
        <v>1</v>
      </c>
      <c r="W188">
        <v>0</v>
      </c>
      <c r="X188">
        <v>-1555597847</v>
      </c>
      <c r="Y188">
        <f t="shared" si="73"/>
        <v>2.5</v>
      </c>
      <c r="AA188">
        <v>56.57</v>
      </c>
      <c r="AB188">
        <v>0</v>
      </c>
      <c r="AC188">
        <v>0</v>
      </c>
      <c r="AD188">
        <v>0</v>
      </c>
      <c r="AE188">
        <v>56.57</v>
      </c>
      <c r="AF188">
        <v>0</v>
      </c>
      <c r="AG188">
        <v>0</v>
      </c>
      <c r="AH188">
        <v>0</v>
      </c>
      <c r="AI188">
        <v>1</v>
      </c>
      <c r="AJ188">
        <v>1</v>
      </c>
      <c r="AK188">
        <v>1</v>
      </c>
      <c r="AL188">
        <v>1</v>
      </c>
      <c r="AM188">
        <v>0</v>
      </c>
      <c r="AN188">
        <v>0</v>
      </c>
      <c r="AO188">
        <v>0</v>
      </c>
      <c r="AP188">
        <v>0</v>
      </c>
      <c r="AQ188">
        <v>0</v>
      </c>
      <c r="AR188">
        <v>0</v>
      </c>
      <c r="AS188" t="s">
        <v>6</v>
      </c>
      <c r="AT188">
        <v>2.5</v>
      </c>
      <c r="AU188" t="s">
        <v>6</v>
      </c>
      <c r="AV188">
        <v>0</v>
      </c>
      <c r="AW188">
        <v>1</v>
      </c>
      <c r="AX188">
        <v>-1</v>
      </c>
      <c r="AY188">
        <v>0</v>
      </c>
      <c r="AZ188">
        <v>0</v>
      </c>
      <c r="BA188" t="s">
        <v>6</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CV188">
        <v>0</v>
      </c>
      <c r="CW188">
        <v>0</v>
      </c>
      <c r="CX188">
        <f>ROUND(Y188*Source!I163,9)</f>
        <v>0.86499999999999999</v>
      </c>
      <c r="CY188">
        <f t="shared" si="74"/>
        <v>56.57</v>
      </c>
      <c r="CZ188">
        <f t="shared" si="75"/>
        <v>56.57</v>
      </c>
      <c r="DA188">
        <f t="shared" si="76"/>
        <v>1</v>
      </c>
      <c r="DB188">
        <f t="shared" si="77"/>
        <v>141.43</v>
      </c>
      <c r="DC188">
        <f t="shared" si="78"/>
        <v>0</v>
      </c>
      <c r="DD188" t="s">
        <v>6</v>
      </c>
      <c r="DE188" t="s">
        <v>6</v>
      </c>
      <c r="DF188">
        <f t="shared" si="72"/>
        <v>49</v>
      </c>
      <c r="DG188">
        <f t="shared" si="69"/>
        <v>0</v>
      </c>
      <c r="DH188">
        <f>Source!I163*SmtRes!Y188</f>
        <v>0.86499999999999999</v>
      </c>
      <c r="DI188">
        <f t="shared" si="79"/>
        <v>56.57</v>
      </c>
      <c r="DJ188">
        <f t="shared" si="80"/>
        <v>49</v>
      </c>
      <c r="DK188">
        <f>Source!BC163</f>
        <v>1</v>
      </c>
      <c r="DL188" t="s">
        <v>6</v>
      </c>
      <c r="DM188">
        <v>0</v>
      </c>
      <c r="DN188" t="s">
        <v>6</v>
      </c>
      <c r="DO188">
        <v>0</v>
      </c>
      <c r="GP188">
        <v>1</v>
      </c>
      <c r="GQ188">
        <v>-1</v>
      </c>
      <c r="GR188">
        <v>-1</v>
      </c>
    </row>
    <row r="189" spans="1:200" x14ac:dyDescent="0.2">
      <c r="A189">
        <f>ROW(Source!A163)</f>
        <v>163</v>
      </c>
      <c r="B189">
        <v>86326987</v>
      </c>
      <c r="C189">
        <v>86327436</v>
      </c>
      <c r="D189">
        <v>27425862</v>
      </c>
      <c r="E189">
        <v>1</v>
      </c>
      <c r="F189">
        <v>1</v>
      </c>
      <c r="G189">
        <v>1</v>
      </c>
      <c r="H189">
        <v>3</v>
      </c>
      <c r="I189" t="s">
        <v>92</v>
      </c>
      <c r="J189" t="s">
        <v>95</v>
      </c>
      <c r="K189" t="s">
        <v>93</v>
      </c>
      <c r="L189">
        <v>1301</v>
      </c>
      <c r="N189">
        <v>1003</v>
      </c>
      <c r="O189" t="s">
        <v>94</v>
      </c>
      <c r="P189" t="s">
        <v>94</v>
      </c>
      <c r="Q189">
        <v>1</v>
      </c>
      <c r="W189">
        <v>0</v>
      </c>
      <c r="X189">
        <v>-1608277363</v>
      </c>
      <c r="Y189">
        <f t="shared" si="73"/>
        <v>5.3879999999999999</v>
      </c>
      <c r="AA189">
        <v>4.6900000000000004</v>
      </c>
      <c r="AB189">
        <v>0</v>
      </c>
      <c r="AC189">
        <v>0</v>
      </c>
      <c r="AD189">
        <v>0</v>
      </c>
      <c r="AE189">
        <v>4.6900000000000004</v>
      </c>
      <c r="AF189">
        <v>0</v>
      </c>
      <c r="AG189">
        <v>0</v>
      </c>
      <c r="AH189">
        <v>0</v>
      </c>
      <c r="AI189">
        <v>1</v>
      </c>
      <c r="AJ189">
        <v>1</v>
      </c>
      <c r="AK189">
        <v>1</v>
      </c>
      <c r="AL189">
        <v>1</v>
      </c>
      <c r="AM189">
        <v>0</v>
      </c>
      <c r="AN189">
        <v>0</v>
      </c>
      <c r="AO189">
        <v>0</v>
      </c>
      <c r="AP189">
        <v>0</v>
      </c>
      <c r="AQ189">
        <v>0</v>
      </c>
      <c r="AR189">
        <v>0</v>
      </c>
      <c r="AS189" t="s">
        <v>6</v>
      </c>
      <c r="AT189">
        <v>5.3879999999999999</v>
      </c>
      <c r="AU189" t="s">
        <v>6</v>
      </c>
      <c r="AV189">
        <v>0</v>
      </c>
      <c r="AW189">
        <v>1</v>
      </c>
      <c r="AX189">
        <v>-1</v>
      </c>
      <c r="AY189">
        <v>0</v>
      </c>
      <c r="AZ189">
        <v>0</v>
      </c>
      <c r="BA189" t="s">
        <v>6</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CV189">
        <v>0</v>
      </c>
      <c r="CW189">
        <v>0</v>
      </c>
      <c r="CX189">
        <f>ROUND(Y189*Source!I163,9)</f>
        <v>1.8642479999999999</v>
      </c>
      <c r="CY189">
        <f t="shared" si="74"/>
        <v>4.6900000000000004</v>
      </c>
      <c r="CZ189">
        <f t="shared" si="75"/>
        <v>4.6900000000000004</v>
      </c>
      <c r="DA189">
        <f t="shared" si="76"/>
        <v>1</v>
      </c>
      <c r="DB189">
        <f t="shared" si="77"/>
        <v>25.27</v>
      </c>
      <c r="DC189">
        <f t="shared" si="78"/>
        <v>0</v>
      </c>
      <c r="DD189" t="s">
        <v>6</v>
      </c>
      <c r="DE189" t="s">
        <v>6</v>
      </c>
      <c r="DF189">
        <f t="shared" si="72"/>
        <v>9</v>
      </c>
      <c r="DG189">
        <f t="shared" si="69"/>
        <v>0</v>
      </c>
      <c r="DH189">
        <f>Source!I163*SmtRes!Y189</f>
        <v>1.8642479999999999</v>
      </c>
      <c r="DI189">
        <f t="shared" si="79"/>
        <v>4.6900000000000004</v>
      </c>
      <c r="DJ189">
        <f t="shared" si="80"/>
        <v>9</v>
      </c>
      <c r="DK189">
        <f>Source!BC163</f>
        <v>1</v>
      </c>
      <c r="DL189" t="s">
        <v>6</v>
      </c>
      <c r="DM189">
        <v>0</v>
      </c>
      <c r="DN189" t="s">
        <v>6</v>
      </c>
      <c r="DO189">
        <v>0</v>
      </c>
      <c r="GP189">
        <v>1</v>
      </c>
      <c r="GQ189">
        <v>-1</v>
      </c>
      <c r="GR189">
        <v>-1</v>
      </c>
    </row>
    <row r="190" spans="1:200" x14ac:dyDescent="0.2">
      <c r="A190">
        <f>ROW(Source!A163)</f>
        <v>163</v>
      </c>
      <c r="B190">
        <v>86326987</v>
      </c>
      <c r="C190">
        <v>86327436</v>
      </c>
      <c r="D190">
        <v>69208315</v>
      </c>
      <c r="E190">
        <v>1</v>
      </c>
      <c r="F190">
        <v>1</v>
      </c>
      <c r="G190">
        <v>1</v>
      </c>
      <c r="H190">
        <v>3</v>
      </c>
      <c r="I190" t="s">
        <v>117</v>
      </c>
      <c r="J190" t="s">
        <v>119</v>
      </c>
      <c r="K190" t="s">
        <v>118</v>
      </c>
      <c r="L190">
        <v>1348</v>
      </c>
      <c r="N190">
        <v>1009</v>
      </c>
      <c r="O190" t="s">
        <v>33</v>
      </c>
      <c r="P190" t="s">
        <v>33</v>
      </c>
      <c r="Q190">
        <v>1000</v>
      </c>
      <c r="W190">
        <v>0</v>
      </c>
      <c r="X190">
        <v>772407484</v>
      </c>
      <c r="Y190">
        <f t="shared" si="73"/>
        <v>9.5100000000000002E-4</v>
      </c>
      <c r="AA190">
        <v>10633.86</v>
      </c>
      <c r="AB190">
        <v>0</v>
      </c>
      <c r="AC190">
        <v>0</v>
      </c>
      <c r="AD190">
        <v>0</v>
      </c>
      <c r="AE190">
        <v>10633.86</v>
      </c>
      <c r="AF190">
        <v>0</v>
      </c>
      <c r="AG190">
        <v>0</v>
      </c>
      <c r="AH190">
        <v>0</v>
      </c>
      <c r="AI190">
        <v>1</v>
      </c>
      <c r="AJ190">
        <v>1</v>
      </c>
      <c r="AK190">
        <v>1</v>
      </c>
      <c r="AL190">
        <v>1</v>
      </c>
      <c r="AM190">
        <v>0</v>
      </c>
      <c r="AN190">
        <v>0</v>
      </c>
      <c r="AO190">
        <v>0</v>
      </c>
      <c r="AP190">
        <v>1</v>
      </c>
      <c r="AQ190">
        <v>0</v>
      </c>
      <c r="AR190">
        <v>0</v>
      </c>
      <c r="AS190" t="s">
        <v>6</v>
      </c>
      <c r="AT190">
        <v>9.5100000000000002E-4</v>
      </c>
      <c r="AU190" t="s">
        <v>6</v>
      </c>
      <c r="AV190">
        <v>0</v>
      </c>
      <c r="AW190">
        <v>1</v>
      </c>
      <c r="AX190">
        <v>-1</v>
      </c>
      <c r="AY190">
        <v>0</v>
      </c>
      <c r="AZ190">
        <v>0</v>
      </c>
      <c r="BA190" t="s">
        <v>6</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CV190">
        <v>0</v>
      </c>
      <c r="CW190">
        <v>0</v>
      </c>
      <c r="CX190">
        <f>ROUND(Y190*Source!I163,9)</f>
        <v>3.2904599999999999E-4</v>
      </c>
      <c r="CY190">
        <f t="shared" si="74"/>
        <v>10633.86</v>
      </c>
      <c r="CZ190">
        <f t="shared" si="75"/>
        <v>10633.86</v>
      </c>
      <c r="DA190">
        <f t="shared" si="76"/>
        <v>1</v>
      </c>
      <c r="DB190">
        <f t="shared" si="77"/>
        <v>10.11</v>
      </c>
      <c r="DC190">
        <f t="shared" si="78"/>
        <v>0</v>
      </c>
      <c r="DD190" t="s">
        <v>6</v>
      </c>
      <c r="DE190" t="s">
        <v>6</v>
      </c>
      <c r="DF190">
        <f t="shared" si="72"/>
        <v>3</v>
      </c>
      <c r="DG190">
        <f t="shared" si="69"/>
        <v>0</v>
      </c>
      <c r="DH190">
        <f>Source!I163*SmtRes!Y190</f>
        <v>3.2904599999999999E-4</v>
      </c>
      <c r="DI190">
        <f t="shared" si="79"/>
        <v>10633.86</v>
      </c>
      <c r="DJ190">
        <f t="shared" si="80"/>
        <v>3</v>
      </c>
      <c r="DK190">
        <f>Source!BC163</f>
        <v>1</v>
      </c>
      <c r="DL190" t="s">
        <v>6</v>
      </c>
      <c r="DM190">
        <v>0</v>
      </c>
      <c r="DN190" t="s">
        <v>6</v>
      </c>
      <c r="DO190">
        <v>0</v>
      </c>
      <c r="GP190">
        <v>1</v>
      </c>
      <c r="GQ190">
        <v>-1</v>
      </c>
      <c r="GR190">
        <v>-1</v>
      </c>
    </row>
    <row r="191" spans="1:200" x14ac:dyDescent="0.2">
      <c r="A191">
        <f>ROW(Source!A163)</f>
        <v>163</v>
      </c>
      <c r="B191">
        <v>86326987</v>
      </c>
      <c r="C191">
        <v>86327436</v>
      </c>
      <c r="D191">
        <v>69408587</v>
      </c>
      <c r="E191">
        <v>1</v>
      </c>
      <c r="F191">
        <v>1</v>
      </c>
      <c r="G191">
        <v>1</v>
      </c>
      <c r="H191">
        <v>3</v>
      </c>
      <c r="I191" t="s">
        <v>87</v>
      </c>
      <c r="J191" t="s">
        <v>89</v>
      </c>
      <c r="K191" t="s">
        <v>88</v>
      </c>
      <c r="L191">
        <v>1339</v>
      </c>
      <c r="N191">
        <v>1007</v>
      </c>
      <c r="O191" t="s">
        <v>44</v>
      </c>
      <c r="P191" t="s">
        <v>44</v>
      </c>
      <c r="Q191">
        <v>1</v>
      </c>
      <c r="W191">
        <v>0</v>
      </c>
      <c r="X191">
        <v>-183216560</v>
      </c>
      <c r="Y191">
        <f t="shared" si="73"/>
        <v>2.5375000000000001</v>
      </c>
      <c r="AA191">
        <v>878.79</v>
      </c>
      <c r="AB191">
        <v>0</v>
      </c>
      <c r="AC191">
        <v>0</v>
      </c>
      <c r="AD191">
        <v>0</v>
      </c>
      <c r="AE191">
        <v>878.79</v>
      </c>
      <c r="AF191">
        <v>0</v>
      </c>
      <c r="AG191">
        <v>0</v>
      </c>
      <c r="AH191">
        <v>0</v>
      </c>
      <c r="AI191">
        <v>1</v>
      </c>
      <c r="AJ191">
        <v>1</v>
      </c>
      <c r="AK191">
        <v>1</v>
      </c>
      <c r="AL191">
        <v>1</v>
      </c>
      <c r="AM191">
        <v>0</v>
      </c>
      <c r="AN191">
        <v>0</v>
      </c>
      <c r="AO191">
        <v>0</v>
      </c>
      <c r="AP191">
        <v>1</v>
      </c>
      <c r="AQ191">
        <v>0</v>
      </c>
      <c r="AR191">
        <v>0</v>
      </c>
      <c r="AS191" t="s">
        <v>6</v>
      </c>
      <c r="AT191">
        <v>2.5375000000000001</v>
      </c>
      <c r="AU191" t="s">
        <v>6</v>
      </c>
      <c r="AV191">
        <v>0</v>
      </c>
      <c r="AW191">
        <v>1</v>
      </c>
      <c r="AX191">
        <v>-1</v>
      </c>
      <c r="AY191">
        <v>0</v>
      </c>
      <c r="AZ191">
        <v>0</v>
      </c>
      <c r="BA191" t="s">
        <v>6</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CV191">
        <v>0</v>
      </c>
      <c r="CW191">
        <v>0</v>
      </c>
      <c r="CX191">
        <f>ROUND(Y191*Source!I163,9)</f>
        <v>0.87797499999999995</v>
      </c>
      <c r="CY191">
        <f t="shared" si="74"/>
        <v>878.79</v>
      </c>
      <c r="CZ191">
        <f t="shared" si="75"/>
        <v>878.79</v>
      </c>
      <c r="DA191">
        <f t="shared" si="76"/>
        <v>1</v>
      </c>
      <c r="DB191">
        <f t="shared" si="77"/>
        <v>2229.9299999999998</v>
      </c>
      <c r="DC191">
        <f t="shared" si="78"/>
        <v>0</v>
      </c>
      <c r="DD191" t="s">
        <v>6</v>
      </c>
      <c r="DE191" t="s">
        <v>6</v>
      </c>
      <c r="DF191">
        <f t="shared" si="72"/>
        <v>772</v>
      </c>
      <c r="DG191">
        <f t="shared" si="69"/>
        <v>0</v>
      </c>
      <c r="DH191">
        <f>Source!I163*SmtRes!Y191</f>
        <v>0.87797499999999995</v>
      </c>
      <c r="DI191">
        <f t="shared" si="79"/>
        <v>878.79</v>
      </c>
      <c r="DJ191">
        <f t="shared" si="80"/>
        <v>772</v>
      </c>
      <c r="DK191">
        <f>Source!BC163</f>
        <v>1</v>
      </c>
      <c r="DL191" t="s">
        <v>6</v>
      </c>
      <c r="DM191">
        <v>0</v>
      </c>
      <c r="DN191" t="s">
        <v>6</v>
      </c>
      <c r="DO191">
        <v>0</v>
      </c>
      <c r="GP191">
        <v>1</v>
      </c>
      <c r="GQ191">
        <v>-1</v>
      </c>
      <c r="GR191">
        <v>-1</v>
      </c>
    </row>
    <row r="192" spans="1:200" x14ac:dyDescent="0.2">
      <c r="A192">
        <f>ROW(Source!A164)</f>
        <v>164</v>
      </c>
      <c r="B192">
        <v>86326988</v>
      </c>
      <c r="C192">
        <v>86327436</v>
      </c>
      <c r="D192">
        <v>27497778</v>
      </c>
      <c r="E192">
        <v>1</v>
      </c>
      <c r="F192">
        <v>1</v>
      </c>
      <c r="G192">
        <v>1</v>
      </c>
      <c r="H192">
        <v>1</v>
      </c>
      <c r="I192" t="s">
        <v>647</v>
      </c>
      <c r="J192" t="s">
        <v>6</v>
      </c>
      <c r="K192" t="s">
        <v>648</v>
      </c>
      <c r="L192">
        <v>1369</v>
      </c>
      <c r="N192">
        <v>1013</v>
      </c>
      <c r="O192" t="s">
        <v>625</v>
      </c>
      <c r="P192" t="s">
        <v>625</v>
      </c>
      <c r="Q192">
        <v>1</v>
      </c>
      <c r="W192">
        <v>0</v>
      </c>
      <c r="X192">
        <v>-160844189</v>
      </c>
      <c r="Y192">
        <f>(AT192*1.05)</f>
        <v>4.5570000000000004</v>
      </c>
      <c r="AA192">
        <v>0</v>
      </c>
      <c r="AB192">
        <v>0</v>
      </c>
      <c r="AC192">
        <v>0</v>
      </c>
      <c r="AD192">
        <v>314.17</v>
      </c>
      <c r="AE192">
        <v>0</v>
      </c>
      <c r="AF192">
        <v>0</v>
      </c>
      <c r="AG192">
        <v>0</v>
      </c>
      <c r="AH192">
        <v>8.7100000000000009</v>
      </c>
      <c r="AI192">
        <v>1</v>
      </c>
      <c r="AJ192">
        <v>1</v>
      </c>
      <c r="AK192">
        <v>1</v>
      </c>
      <c r="AL192">
        <v>36.07</v>
      </c>
      <c r="AM192">
        <v>5</v>
      </c>
      <c r="AN192">
        <v>0</v>
      </c>
      <c r="AO192">
        <v>1</v>
      </c>
      <c r="AP192">
        <v>1</v>
      </c>
      <c r="AQ192">
        <v>0</v>
      </c>
      <c r="AR192">
        <v>0</v>
      </c>
      <c r="AS192" t="s">
        <v>6</v>
      </c>
      <c r="AT192">
        <v>4.34</v>
      </c>
      <c r="AU192" t="s">
        <v>25</v>
      </c>
      <c r="AV192">
        <v>1</v>
      </c>
      <c r="AW192">
        <v>2</v>
      </c>
      <c r="AX192">
        <v>86327450</v>
      </c>
      <c r="AY192">
        <v>1</v>
      </c>
      <c r="AZ192">
        <v>0</v>
      </c>
      <c r="BA192">
        <v>154</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CU192">
        <f>ROUND(AT192*Source!I164*AH192*AL192,0)</f>
        <v>472</v>
      </c>
      <c r="CV192">
        <f>ROUND(Y192*Source!I164,9)</f>
        <v>1.576722</v>
      </c>
      <c r="CW192">
        <v>0</v>
      </c>
      <c r="CX192">
        <f>ROUND(Y192*Source!I164,9)</f>
        <v>1.576722</v>
      </c>
      <c r="CY192">
        <f>AD192</f>
        <v>314.17</v>
      </c>
      <c r="CZ192">
        <f>AH192</f>
        <v>8.7100000000000009</v>
      </c>
      <c r="DA192">
        <f>AL192</f>
        <v>36.07</v>
      </c>
      <c r="DB192">
        <f>ROUND((ROUND(AT192*CZ192,2)*1.05),2)</f>
        <v>39.69</v>
      </c>
      <c r="DC192">
        <f>ROUND((ROUND(AT192*AG192,2)*1.05),2)</f>
        <v>0</v>
      </c>
      <c r="DD192" t="s">
        <v>6</v>
      </c>
      <c r="DE192" t="s">
        <v>6</v>
      </c>
      <c r="DF192">
        <f t="shared" si="72"/>
        <v>0</v>
      </c>
      <c r="DG192">
        <f t="shared" si="69"/>
        <v>0</v>
      </c>
      <c r="DH192">
        <f>Source!I164*SmtRes!Y192</f>
        <v>1.576722</v>
      </c>
      <c r="DI192">
        <f>AD192</f>
        <v>314.17</v>
      </c>
      <c r="DJ192">
        <f>EtalonRes!AB154</f>
        <v>8.7100000000000009</v>
      </c>
      <c r="DK192">
        <f>Source!BA164</f>
        <v>36.07</v>
      </c>
      <c r="DL192" t="s">
        <v>6</v>
      </c>
      <c r="DM192">
        <v>0</v>
      </c>
      <c r="DN192" t="s">
        <v>6</v>
      </c>
      <c r="DO192">
        <v>0</v>
      </c>
      <c r="GQ192">
        <v>-1</v>
      </c>
      <c r="GR192">
        <v>-1</v>
      </c>
    </row>
    <row r="193" spans="1:200" x14ac:dyDescent="0.2">
      <c r="A193">
        <f>ROW(Source!A164)</f>
        <v>164</v>
      </c>
      <c r="B193">
        <v>86326988</v>
      </c>
      <c r="C193">
        <v>86327436</v>
      </c>
      <c r="D193">
        <v>121548</v>
      </c>
      <c r="E193">
        <v>1</v>
      </c>
      <c r="F193">
        <v>1</v>
      </c>
      <c r="G193">
        <v>1</v>
      </c>
      <c r="H193">
        <v>1</v>
      </c>
      <c r="I193" t="s">
        <v>40</v>
      </c>
      <c r="J193" t="s">
        <v>6</v>
      </c>
      <c r="K193" t="s">
        <v>626</v>
      </c>
      <c r="L193">
        <v>608254</v>
      </c>
      <c r="N193">
        <v>1013</v>
      </c>
      <c r="O193" t="s">
        <v>627</v>
      </c>
      <c r="P193" t="s">
        <v>627</v>
      </c>
      <c r="Q193">
        <v>1</v>
      </c>
      <c r="W193">
        <v>0</v>
      </c>
      <c r="X193">
        <v>-185737400</v>
      </c>
      <c r="Y193">
        <f>(AT193*1.12)</f>
        <v>1.9152000000000002</v>
      </c>
      <c r="AA193">
        <v>0</v>
      </c>
      <c r="AB193">
        <v>0</v>
      </c>
      <c r="AC193">
        <v>0</v>
      </c>
      <c r="AD193">
        <v>0</v>
      </c>
      <c r="AE193">
        <v>0</v>
      </c>
      <c r="AF193">
        <v>0</v>
      </c>
      <c r="AG193">
        <v>0</v>
      </c>
      <c r="AH193">
        <v>0</v>
      </c>
      <c r="AI193">
        <v>1</v>
      </c>
      <c r="AJ193">
        <v>1</v>
      </c>
      <c r="AK193">
        <v>19.8</v>
      </c>
      <c r="AL193">
        <v>1</v>
      </c>
      <c r="AM193">
        <v>5</v>
      </c>
      <c r="AN193">
        <v>0</v>
      </c>
      <c r="AO193">
        <v>1</v>
      </c>
      <c r="AP193">
        <v>1</v>
      </c>
      <c r="AQ193">
        <v>0</v>
      </c>
      <c r="AR193">
        <v>0</v>
      </c>
      <c r="AS193" t="s">
        <v>6</v>
      </c>
      <c r="AT193">
        <v>1.71</v>
      </c>
      <c r="AU193" t="s">
        <v>24</v>
      </c>
      <c r="AV193">
        <v>2</v>
      </c>
      <c r="AW193">
        <v>2</v>
      </c>
      <c r="AX193">
        <v>86327451</v>
      </c>
      <c r="AY193">
        <v>1</v>
      </c>
      <c r="AZ193">
        <v>0</v>
      </c>
      <c r="BA193">
        <v>155</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CV193">
        <v>0</v>
      </c>
      <c r="CW193">
        <v>0</v>
      </c>
      <c r="CX193">
        <f>ROUND(Y193*Source!I164,9)</f>
        <v>0.6626592</v>
      </c>
      <c r="CY193">
        <f>AD193</f>
        <v>0</v>
      </c>
      <c r="CZ193">
        <f>AH193</f>
        <v>0</v>
      </c>
      <c r="DA193">
        <f>AL193</f>
        <v>1</v>
      </c>
      <c r="DB193">
        <f>ROUND((ROUND(AT193*CZ193,2)*1.12),2)</f>
        <v>0</v>
      </c>
      <c r="DC193">
        <f>ROUND((ROUND(AT193*AG193,2)*1.12),2)</f>
        <v>0</v>
      </c>
      <c r="DD193" t="s">
        <v>6</v>
      </c>
      <c r="DE193" t="s">
        <v>6</v>
      </c>
      <c r="DF193">
        <f t="shared" si="72"/>
        <v>0</v>
      </c>
      <c r="DG193">
        <f t="shared" si="69"/>
        <v>0</v>
      </c>
      <c r="DH193">
        <f>Source!I164*SmtRes!Y193</f>
        <v>0.6626592</v>
      </c>
      <c r="DI193">
        <f>AD193</f>
        <v>0</v>
      </c>
      <c r="DJ193">
        <f>EtalonRes!AB155</f>
        <v>0</v>
      </c>
      <c r="DK193">
        <f>Source!BA164</f>
        <v>36.07</v>
      </c>
      <c r="DL193" t="s">
        <v>6</v>
      </c>
      <c r="DM193">
        <v>0</v>
      </c>
      <c r="DN193" t="s">
        <v>6</v>
      </c>
      <c r="DO193">
        <v>0</v>
      </c>
      <c r="GQ193">
        <v>-1</v>
      </c>
      <c r="GR193">
        <v>-1</v>
      </c>
    </row>
    <row r="194" spans="1:200" x14ac:dyDescent="0.2">
      <c r="A194">
        <f>ROW(Source!A164)</f>
        <v>164</v>
      </c>
      <c r="B194">
        <v>86326988</v>
      </c>
      <c r="C194">
        <v>86327436</v>
      </c>
      <c r="D194">
        <v>27439418</v>
      </c>
      <c r="E194">
        <v>1</v>
      </c>
      <c r="F194">
        <v>1</v>
      </c>
      <c r="G194">
        <v>1</v>
      </c>
      <c r="H194">
        <v>2</v>
      </c>
      <c r="I194" t="s">
        <v>652</v>
      </c>
      <c r="J194" t="s">
        <v>653</v>
      </c>
      <c r="K194" t="s">
        <v>654</v>
      </c>
      <c r="L194">
        <v>1368</v>
      </c>
      <c r="N194">
        <v>1011</v>
      </c>
      <c r="O194" t="s">
        <v>137</v>
      </c>
      <c r="P194" t="s">
        <v>137</v>
      </c>
      <c r="Q194">
        <v>1</v>
      </c>
      <c r="W194">
        <v>0</v>
      </c>
      <c r="X194">
        <v>674127709</v>
      </c>
      <c r="Y194">
        <f>(AT194*1.12)</f>
        <v>1.9152000000000002</v>
      </c>
      <c r="AA194">
        <v>0</v>
      </c>
      <c r="AB194">
        <v>852.72</v>
      </c>
      <c r="AC194">
        <v>269.48</v>
      </c>
      <c r="AD194">
        <v>0</v>
      </c>
      <c r="AE194">
        <v>0</v>
      </c>
      <c r="AF194">
        <v>91.69</v>
      </c>
      <c r="AG194">
        <v>13.61</v>
      </c>
      <c r="AH194">
        <v>0</v>
      </c>
      <c r="AI194">
        <v>1</v>
      </c>
      <c r="AJ194">
        <v>9.3000000000000007</v>
      </c>
      <c r="AK194">
        <v>19.8</v>
      </c>
      <c r="AL194">
        <v>1</v>
      </c>
      <c r="AM194">
        <v>5</v>
      </c>
      <c r="AN194">
        <v>0</v>
      </c>
      <c r="AO194">
        <v>1</v>
      </c>
      <c r="AP194">
        <v>1</v>
      </c>
      <c r="AQ194">
        <v>0</v>
      </c>
      <c r="AR194">
        <v>0</v>
      </c>
      <c r="AS194" t="s">
        <v>6</v>
      </c>
      <c r="AT194">
        <v>1.71</v>
      </c>
      <c r="AU194" t="s">
        <v>24</v>
      </c>
      <c r="AV194">
        <v>0</v>
      </c>
      <c r="AW194">
        <v>2</v>
      </c>
      <c r="AX194">
        <v>86327452</v>
      </c>
      <c r="AY194">
        <v>1</v>
      </c>
      <c r="AZ194">
        <v>0</v>
      </c>
      <c r="BA194">
        <v>156</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CV194">
        <v>0</v>
      </c>
      <c r="CW194">
        <f>ROUND(Y194*Source!I164*DO194,9)</f>
        <v>0</v>
      </c>
      <c r="CX194">
        <f>ROUND(Y194*Source!I164,9)</f>
        <v>0.6626592</v>
      </c>
      <c r="CY194">
        <f>AB194</f>
        <v>852.72</v>
      </c>
      <c r="CZ194">
        <f>AF194</f>
        <v>91.69</v>
      </c>
      <c r="DA194">
        <f>AJ194</f>
        <v>9.3000000000000007</v>
      </c>
      <c r="DB194">
        <f>ROUND((ROUND(AT194*CZ194,2)*1.12),2)</f>
        <v>175.6</v>
      </c>
      <c r="DC194">
        <f>ROUND((ROUND(AT194*AG194,2)*1.12),2)</f>
        <v>26.06</v>
      </c>
      <c r="DD194" t="s">
        <v>6</v>
      </c>
      <c r="DE194" t="s">
        <v>6</v>
      </c>
      <c r="DF194">
        <f t="shared" si="72"/>
        <v>0</v>
      </c>
      <c r="DG194">
        <f>ROUND(ROUND(AF194*AJ194,0)*CX194,0)</f>
        <v>565</v>
      </c>
      <c r="DH194">
        <f>Source!I164*SmtRes!Y194</f>
        <v>0.6626592</v>
      </c>
      <c r="DI194">
        <f>AB194</f>
        <v>852.72</v>
      </c>
      <c r="DJ194">
        <f>EtalonRes!Z156</f>
        <v>91.69</v>
      </c>
      <c r="DK194">
        <f>Source!BB164</f>
        <v>9.3000000000000007</v>
      </c>
      <c r="DL194" t="s">
        <v>6</v>
      </c>
      <c r="DM194">
        <v>0</v>
      </c>
      <c r="DN194" t="s">
        <v>6</v>
      </c>
      <c r="DO194">
        <v>0</v>
      </c>
      <c r="GQ194">
        <v>-1</v>
      </c>
      <c r="GR194">
        <v>-1</v>
      </c>
    </row>
    <row r="195" spans="1:200" x14ac:dyDescent="0.2">
      <c r="A195">
        <f>ROW(Source!A164)</f>
        <v>164</v>
      </c>
      <c r="B195">
        <v>86326988</v>
      </c>
      <c r="C195">
        <v>86327436</v>
      </c>
      <c r="D195">
        <v>27440039</v>
      </c>
      <c r="E195">
        <v>1</v>
      </c>
      <c r="F195">
        <v>1</v>
      </c>
      <c r="G195">
        <v>1</v>
      </c>
      <c r="H195">
        <v>2</v>
      </c>
      <c r="I195" t="s">
        <v>649</v>
      </c>
      <c r="J195" t="s">
        <v>650</v>
      </c>
      <c r="K195" t="s">
        <v>651</v>
      </c>
      <c r="L195">
        <v>1368</v>
      </c>
      <c r="N195">
        <v>1011</v>
      </c>
      <c r="O195" t="s">
        <v>137</v>
      </c>
      <c r="P195" t="s">
        <v>137</v>
      </c>
      <c r="Q195">
        <v>1</v>
      </c>
      <c r="W195">
        <v>0</v>
      </c>
      <c r="X195">
        <v>389347920</v>
      </c>
      <c r="Y195">
        <f>(AT195*1.12)</f>
        <v>2.2624000000000004</v>
      </c>
      <c r="AA195">
        <v>0</v>
      </c>
      <c r="AB195">
        <v>17.02</v>
      </c>
      <c r="AC195">
        <v>0</v>
      </c>
      <c r="AD195">
        <v>0</v>
      </c>
      <c r="AE195">
        <v>0</v>
      </c>
      <c r="AF195">
        <v>1.83</v>
      </c>
      <c r="AG195">
        <v>0</v>
      </c>
      <c r="AH195">
        <v>0</v>
      </c>
      <c r="AI195">
        <v>1</v>
      </c>
      <c r="AJ195">
        <v>9.3000000000000007</v>
      </c>
      <c r="AK195">
        <v>19.8</v>
      </c>
      <c r="AL195">
        <v>1</v>
      </c>
      <c r="AM195">
        <v>5</v>
      </c>
      <c r="AN195">
        <v>0</v>
      </c>
      <c r="AO195">
        <v>1</v>
      </c>
      <c r="AP195">
        <v>1</v>
      </c>
      <c r="AQ195">
        <v>0</v>
      </c>
      <c r="AR195">
        <v>0</v>
      </c>
      <c r="AS195" t="s">
        <v>6</v>
      </c>
      <c r="AT195">
        <v>2.02</v>
      </c>
      <c r="AU195" t="s">
        <v>24</v>
      </c>
      <c r="AV195">
        <v>0</v>
      </c>
      <c r="AW195">
        <v>2</v>
      </c>
      <c r="AX195">
        <v>86327453</v>
      </c>
      <c r="AY195">
        <v>1</v>
      </c>
      <c r="AZ195">
        <v>0</v>
      </c>
      <c r="BA195">
        <v>157</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CV195">
        <v>0</v>
      </c>
      <c r="CW195">
        <f>ROUND(Y195*Source!I164*DO195,9)</f>
        <v>0</v>
      </c>
      <c r="CX195">
        <f>ROUND(Y195*Source!I164,9)</f>
        <v>0.7827904</v>
      </c>
      <c r="CY195">
        <f>AB195</f>
        <v>17.02</v>
      </c>
      <c r="CZ195">
        <f>AF195</f>
        <v>1.83</v>
      </c>
      <c r="DA195">
        <f>AJ195</f>
        <v>9.3000000000000007</v>
      </c>
      <c r="DB195">
        <f>ROUND((ROUND(AT195*CZ195,2)*1.12),2)</f>
        <v>4.1399999999999997</v>
      </c>
      <c r="DC195">
        <f>ROUND((ROUND(AT195*AG195,2)*1.12),2)</f>
        <v>0</v>
      </c>
      <c r="DD195" t="s">
        <v>6</v>
      </c>
      <c r="DE195" t="s">
        <v>6</v>
      </c>
      <c r="DF195">
        <f t="shared" si="72"/>
        <v>0</v>
      </c>
      <c r="DG195">
        <f>ROUND(ROUND(AF195*AJ195,0)*CX195,0)</f>
        <v>13</v>
      </c>
      <c r="DH195">
        <f>Source!I164*SmtRes!Y195</f>
        <v>0.78279040000000011</v>
      </c>
      <c r="DI195">
        <f>AB195</f>
        <v>17.02</v>
      </c>
      <c r="DJ195">
        <f>EtalonRes!Z157</f>
        <v>1.83</v>
      </c>
      <c r="DK195">
        <f>Source!BB164</f>
        <v>9.3000000000000007</v>
      </c>
      <c r="DL195" t="s">
        <v>6</v>
      </c>
      <c r="DM195">
        <v>0</v>
      </c>
      <c r="DN195" t="s">
        <v>6</v>
      </c>
      <c r="DO195">
        <v>0</v>
      </c>
      <c r="GQ195">
        <v>-1</v>
      </c>
      <c r="GR195">
        <v>-1</v>
      </c>
    </row>
    <row r="196" spans="1:200" x14ac:dyDescent="0.2">
      <c r="A196">
        <f>ROW(Source!A164)</f>
        <v>164</v>
      </c>
      <c r="B196">
        <v>86326988</v>
      </c>
      <c r="C196">
        <v>86327436</v>
      </c>
      <c r="D196">
        <v>27371200</v>
      </c>
      <c r="E196">
        <v>1</v>
      </c>
      <c r="F196">
        <v>1</v>
      </c>
      <c r="G196">
        <v>1</v>
      </c>
      <c r="H196">
        <v>3</v>
      </c>
      <c r="I196" t="s">
        <v>71</v>
      </c>
      <c r="J196" t="s">
        <v>73</v>
      </c>
      <c r="K196" t="s">
        <v>72</v>
      </c>
      <c r="L196">
        <v>1348</v>
      </c>
      <c r="N196">
        <v>1009</v>
      </c>
      <c r="O196" t="s">
        <v>33</v>
      </c>
      <c r="P196" t="s">
        <v>33</v>
      </c>
      <c r="Q196">
        <v>1000</v>
      </c>
      <c r="W196">
        <v>0</v>
      </c>
      <c r="X196">
        <v>-81122142</v>
      </c>
      <c r="Y196">
        <f t="shared" ref="Y196:Y204" si="81">AT196</f>
        <v>4.1999999999999997E-3</v>
      </c>
      <c r="AA196">
        <v>82500</v>
      </c>
      <c r="AB196">
        <v>0</v>
      </c>
      <c r="AC196">
        <v>0</v>
      </c>
      <c r="AD196">
        <v>0</v>
      </c>
      <c r="AE196">
        <v>11576.19</v>
      </c>
      <c r="AF196">
        <v>0</v>
      </c>
      <c r="AG196">
        <v>0</v>
      </c>
      <c r="AH196">
        <v>0</v>
      </c>
      <c r="AI196">
        <v>7.56</v>
      </c>
      <c r="AJ196">
        <v>1</v>
      </c>
      <c r="AK196">
        <v>1</v>
      </c>
      <c r="AL196">
        <v>1</v>
      </c>
      <c r="AM196">
        <v>0</v>
      </c>
      <c r="AN196">
        <v>0</v>
      </c>
      <c r="AO196">
        <v>0</v>
      </c>
      <c r="AP196">
        <v>0</v>
      </c>
      <c r="AQ196">
        <v>0</v>
      </c>
      <c r="AR196">
        <v>0</v>
      </c>
      <c r="AS196" t="s">
        <v>6</v>
      </c>
      <c r="AT196">
        <v>4.1999999999999997E-3</v>
      </c>
      <c r="AU196" t="s">
        <v>6</v>
      </c>
      <c r="AV196">
        <v>0</v>
      </c>
      <c r="AW196">
        <v>2</v>
      </c>
      <c r="AX196">
        <v>86327454</v>
      </c>
      <c r="AY196">
        <v>1</v>
      </c>
      <c r="AZ196">
        <v>16384</v>
      </c>
      <c r="BA196">
        <v>158</v>
      </c>
      <c r="BB196">
        <v>3</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CV196">
        <v>0</v>
      </c>
      <c r="CW196">
        <v>0</v>
      </c>
      <c r="CX196">
        <f>ROUND(Y196*Source!I164,9)</f>
        <v>1.4532E-3</v>
      </c>
      <c r="CY196">
        <f t="shared" ref="CY196:CY204" si="82">AA196</f>
        <v>82500</v>
      </c>
      <c r="CZ196">
        <f t="shared" ref="CZ196:CZ204" si="83">AE196</f>
        <v>11576.19</v>
      </c>
      <c r="DA196">
        <f t="shared" ref="DA196:DA204" si="84">AI196</f>
        <v>7.56</v>
      </c>
      <c r="DB196">
        <f t="shared" ref="DB196:DB204" si="85">ROUND(ROUND(AT196*CZ196,2),2)</f>
        <v>48.62</v>
      </c>
      <c r="DC196">
        <f t="shared" ref="DC196:DC204" si="86">ROUND(ROUND(AT196*AG196,2),2)</f>
        <v>0</v>
      </c>
      <c r="DD196" t="s">
        <v>6</v>
      </c>
      <c r="DE196" t="s">
        <v>6</v>
      </c>
      <c r="DF196">
        <f t="shared" ref="DF196:DF204" si="87">ROUND(ROUND(AE196*AI196,0)*CX196,0)</f>
        <v>127</v>
      </c>
      <c r="DG196">
        <f t="shared" ref="DG196:DG219" si="88">ROUND(ROUND(AF196,0)*CX196,0)</f>
        <v>0</v>
      </c>
      <c r="DH196">
        <f>Source!I164*SmtRes!Y196</f>
        <v>1.4531999999999998E-3</v>
      </c>
      <c r="DI196">
        <f t="shared" ref="DI196:DI204" si="89">AA196</f>
        <v>82500</v>
      </c>
      <c r="DJ196">
        <f>EtalonRes!Y158</f>
        <v>1696.01</v>
      </c>
      <c r="DK196">
        <f>Source!BC164</f>
        <v>7.56</v>
      </c>
      <c r="DL196" t="s">
        <v>6</v>
      </c>
      <c r="DM196">
        <v>0</v>
      </c>
      <c r="DN196" t="s">
        <v>6</v>
      </c>
      <c r="DO196">
        <v>0</v>
      </c>
      <c r="GP196">
        <v>1</v>
      </c>
      <c r="GQ196">
        <v>-1</v>
      </c>
      <c r="GR196">
        <v>-1</v>
      </c>
    </row>
    <row r="197" spans="1:200" x14ac:dyDescent="0.2">
      <c r="A197">
        <f>ROW(Source!A164)</f>
        <v>164</v>
      </c>
      <c r="B197">
        <v>86326988</v>
      </c>
      <c r="C197">
        <v>86327436</v>
      </c>
      <c r="D197">
        <v>11618017</v>
      </c>
      <c r="E197">
        <v>1</v>
      </c>
      <c r="F197">
        <v>1</v>
      </c>
      <c r="G197">
        <v>1</v>
      </c>
      <c r="H197">
        <v>3</v>
      </c>
      <c r="I197" t="s">
        <v>107</v>
      </c>
      <c r="J197" t="s">
        <v>109</v>
      </c>
      <c r="K197" t="s">
        <v>108</v>
      </c>
      <c r="L197">
        <v>1371</v>
      </c>
      <c r="N197">
        <v>1013</v>
      </c>
      <c r="O197" t="s">
        <v>103</v>
      </c>
      <c r="P197" t="s">
        <v>103</v>
      </c>
      <c r="Q197">
        <v>1</v>
      </c>
      <c r="W197">
        <v>0</v>
      </c>
      <c r="X197">
        <v>-1648273723</v>
      </c>
      <c r="Y197">
        <f t="shared" si="81"/>
        <v>12</v>
      </c>
      <c r="AA197">
        <v>0.62</v>
      </c>
      <c r="AB197">
        <v>0</v>
      </c>
      <c r="AC197">
        <v>0</v>
      </c>
      <c r="AD197">
        <v>0</v>
      </c>
      <c r="AE197">
        <v>0.08</v>
      </c>
      <c r="AF197">
        <v>0</v>
      </c>
      <c r="AG197">
        <v>0</v>
      </c>
      <c r="AH197">
        <v>0</v>
      </c>
      <c r="AI197">
        <v>7.56</v>
      </c>
      <c r="AJ197">
        <v>1</v>
      </c>
      <c r="AK197">
        <v>1</v>
      </c>
      <c r="AL197">
        <v>1</v>
      </c>
      <c r="AM197">
        <v>0</v>
      </c>
      <c r="AN197">
        <v>0</v>
      </c>
      <c r="AO197">
        <v>0</v>
      </c>
      <c r="AP197">
        <v>0</v>
      </c>
      <c r="AQ197">
        <v>0</v>
      </c>
      <c r="AR197">
        <v>0</v>
      </c>
      <c r="AS197" t="s">
        <v>6</v>
      </c>
      <c r="AT197">
        <v>12</v>
      </c>
      <c r="AU197" t="s">
        <v>6</v>
      </c>
      <c r="AV197">
        <v>0</v>
      </c>
      <c r="AW197">
        <v>1</v>
      </c>
      <c r="AX197">
        <v>-1</v>
      </c>
      <c r="AY197">
        <v>0</v>
      </c>
      <c r="AZ197">
        <v>0</v>
      </c>
      <c r="BA197" t="s">
        <v>6</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CV197">
        <v>0</v>
      </c>
      <c r="CW197">
        <v>0</v>
      </c>
      <c r="CX197">
        <f>ROUND(Y197*Source!I164,9)</f>
        <v>4.1520000000000001</v>
      </c>
      <c r="CY197">
        <f t="shared" si="82"/>
        <v>0.62</v>
      </c>
      <c r="CZ197">
        <f t="shared" si="83"/>
        <v>0.08</v>
      </c>
      <c r="DA197">
        <f t="shared" si="84"/>
        <v>7.56</v>
      </c>
      <c r="DB197">
        <f t="shared" si="85"/>
        <v>0.96</v>
      </c>
      <c r="DC197">
        <f t="shared" si="86"/>
        <v>0</v>
      </c>
      <c r="DD197" t="s">
        <v>6</v>
      </c>
      <c r="DE197" t="s">
        <v>6</v>
      </c>
      <c r="DF197">
        <f t="shared" si="87"/>
        <v>4</v>
      </c>
      <c r="DG197">
        <f t="shared" si="88"/>
        <v>0</v>
      </c>
      <c r="DH197">
        <f>Source!I164*SmtRes!Y197</f>
        <v>4.1519999999999992</v>
      </c>
      <c r="DI197">
        <f t="shared" si="89"/>
        <v>0.62</v>
      </c>
      <c r="DJ197">
        <f t="shared" ref="DJ197:DJ204" si="90">DF197</f>
        <v>4</v>
      </c>
      <c r="DK197">
        <f>Source!BC164</f>
        <v>7.56</v>
      </c>
      <c r="DL197" t="s">
        <v>6</v>
      </c>
      <c r="DM197">
        <v>0</v>
      </c>
      <c r="DN197" t="s">
        <v>6</v>
      </c>
      <c r="DO197">
        <v>0</v>
      </c>
      <c r="GP197">
        <v>1</v>
      </c>
      <c r="GQ197">
        <v>-1</v>
      </c>
      <c r="GR197">
        <v>-1</v>
      </c>
    </row>
    <row r="198" spans="1:200" x14ac:dyDescent="0.2">
      <c r="A198">
        <f>ROW(Source!A164)</f>
        <v>164</v>
      </c>
      <c r="B198">
        <v>86326988</v>
      </c>
      <c r="C198">
        <v>86327436</v>
      </c>
      <c r="D198">
        <v>11618018</v>
      </c>
      <c r="E198">
        <v>1</v>
      </c>
      <c r="F198">
        <v>1</v>
      </c>
      <c r="G198">
        <v>1</v>
      </c>
      <c r="H198">
        <v>3</v>
      </c>
      <c r="I198" t="s">
        <v>112</v>
      </c>
      <c r="J198" t="s">
        <v>114</v>
      </c>
      <c r="K198" t="s">
        <v>113</v>
      </c>
      <c r="L198">
        <v>1371</v>
      </c>
      <c r="N198">
        <v>1013</v>
      </c>
      <c r="O198" t="s">
        <v>103</v>
      </c>
      <c r="P198" t="s">
        <v>103</v>
      </c>
      <c r="Q198">
        <v>1</v>
      </c>
      <c r="W198">
        <v>0</v>
      </c>
      <c r="X198">
        <v>1900494391</v>
      </c>
      <c r="Y198">
        <f t="shared" si="81"/>
        <v>12</v>
      </c>
      <c r="AA198">
        <v>1.02</v>
      </c>
      <c r="AB198">
        <v>0</v>
      </c>
      <c r="AC198">
        <v>0</v>
      </c>
      <c r="AD198">
        <v>0</v>
      </c>
      <c r="AE198">
        <v>0.14000000000000001</v>
      </c>
      <c r="AF198">
        <v>0</v>
      </c>
      <c r="AG198">
        <v>0</v>
      </c>
      <c r="AH198">
        <v>0</v>
      </c>
      <c r="AI198">
        <v>7.56</v>
      </c>
      <c r="AJ198">
        <v>1</v>
      </c>
      <c r="AK198">
        <v>1</v>
      </c>
      <c r="AL198">
        <v>1</v>
      </c>
      <c r="AM198">
        <v>0</v>
      </c>
      <c r="AN198">
        <v>0</v>
      </c>
      <c r="AO198">
        <v>0</v>
      </c>
      <c r="AP198">
        <v>0</v>
      </c>
      <c r="AQ198">
        <v>0</v>
      </c>
      <c r="AR198">
        <v>0</v>
      </c>
      <c r="AS198" t="s">
        <v>6</v>
      </c>
      <c r="AT198">
        <v>12</v>
      </c>
      <c r="AU198" t="s">
        <v>6</v>
      </c>
      <c r="AV198">
        <v>0</v>
      </c>
      <c r="AW198">
        <v>1</v>
      </c>
      <c r="AX198">
        <v>-1</v>
      </c>
      <c r="AY198">
        <v>0</v>
      </c>
      <c r="AZ198">
        <v>0</v>
      </c>
      <c r="BA198" t="s">
        <v>6</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CV198">
        <v>0</v>
      </c>
      <c r="CW198">
        <v>0</v>
      </c>
      <c r="CX198">
        <f>ROUND(Y198*Source!I164,9)</f>
        <v>4.1520000000000001</v>
      </c>
      <c r="CY198">
        <f t="shared" si="82"/>
        <v>1.02</v>
      </c>
      <c r="CZ198">
        <f t="shared" si="83"/>
        <v>0.14000000000000001</v>
      </c>
      <c r="DA198">
        <f t="shared" si="84"/>
        <v>7.56</v>
      </c>
      <c r="DB198">
        <f t="shared" si="85"/>
        <v>1.68</v>
      </c>
      <c r="DC198">
        <f t="shared" si="86"/>
        <v>0</v>
      </c>
      <c r="DD198" t="s">
        <v>6</v>
      </c>
      <c r="DE198" t="s">
        <v>6</v>
      </c>
      <c r="DF198">
        <f t="shared" si="87"/>
        <v>4</v>
      </c>
      <c r="DG198">
        <f t="shared" si="88"/>
        <v>0</v>
      </c>
      <c r="DH198">
        <f>Source!I164*SmtRes!Y198</f>
        <v>4.1519999999999992</v>
      </c>
      <c r="DI198">
        <f t="shared" si="89"/>
        <v>1.02</v>
      </c>
      <c r="DJ198">
        <f t="shared" si="90"/>
        <v>4</v>
      </c>
      <c r="DK198">
        <f>Source!BC164</f>
        <v>7.56</v>
      </c>
      <c r="DL198" t="s">
        <v>6</v>
      </c>
      <c r="DM198">
        <v>0</v>
      </c>
      <c r="DN198" t="s">
        <v>6</v>
      </c>
      <c r="DO198">
        <v>0</v>
      </c>
      <c r="GP198">
        <v>1</v>
      </c>
      <c r="GQ198">
        <v>-1</v>
      </c>
      <c r="GR198">
        <v>-1</v>
      </c>
    </row>
    <row r="199" spans="1:200" x14ac:dyDescent="0.2">
      <c r="A199">
        <f>ROW(Source!A164)</f>
        <v>164</v>
      </c>
      <c r="B199">
        <v>86326988</v>
      </c>
      <c r="C199">
        <v>86327436</v>
      </c>
      <c r="D199">
        <v>11618019</v>
      </c>
      <c r="E199">
        <v>1</v>
      </c>
      <c r="F199">
        <v>1</v>
      </c>
      <c r="G199">
        <v>1</v>
      </c>
      <c r="H199">
        <v>3</v>
      </c>
      <c r="I199" t="s">
        <v>101</v>
      </c>
      <c r="J199" t="s">
        <v>104</v>
      </c>
      <c r="K199" t="s">
        <v>102</v>
      </c>
      <c r="L199">
        <v>1371</v>
      </c>
      <c r="N199">
        <v>1013</v>
      </c>
      <c r="O199" t="s">
        <v>103</v>
      </c>
      <c r="P199" t="s">
        <v>103</v>
      </c>
      <c r="Q199">
        <v>1</v>
      </c>
      <c r="W199">
        <v>0</v>
      </c>
      <c r="X199">
        <v>-504018761</v>
      </c>
      <c r="Y199">
        <f t="shared" si="81"/>
        <v>23</v>
      </c>
      <c r="AA199">
        <v>1.1299999999999999</v>
      </c>
      <c r="AB199">
        <v>0</v>
      </c>
      <c r="AC199">
        <v>0</v>
      </c>
      <c r="AD199">
        <v>0</v>
      </c>
      <c r="AE199">
        <v>0.16</v>
      </c>
      <c r="AF199">
        <v>0</v>
      </c>
      <c r="AG199">
        <v>0</v>
      </c>
      <c r="AH199">
        <v>0</v>
      </c>
      <c r="AI199">
        <v>7.56</v>
      </c>
      <c r="AJ199">
        <v>1</v>
      </c>
      <c r="AK199">
        <v>1</v>
      </c>
      <c r="AL199">
        <v>1</v>
      </c>
      <c r="AM199">
        <v>0</v>
      </c>
      <c r="AN199">
        <v>0</v>
      </c>
      <c r="AO199">
        <v>0</v>
      </c>
      <c r="AP199">
        <v>0</v>
      </c>
      <c r="AQ199">
        <v>0</v>
      </c>
      <c r="AR199">
        <v>0</v>
      </c>
      <c r="AS199" t="s">
        <v>6</v>
      </c>
      <c r="AT199">
        <v>23</v>
      </c>
      <c r="AU199" t="s">
        <v>6</v>
      </c>
      <c r="AV199">
        <v>0</v>
      </c>
      <c r="AW199">
        <v>1</v>
      </c>
      <c r="AX199">
        <v>-1</v>
      </c>
      <c r="AY199">
        <v>0</v>
      </c>
      <c r="AZ199">
        <v>0</v>
      </c>
      <c r="BA199" t="s">
        <v>6</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CV199">
        <v>0</v>
      </c>
      <c r="CW199">
        <v>0</v>
      </c>
      <c r="CX199">
        <f>ROUND(Y199*Source!I164,9)</f>
        <v>7.9580000000000002</v>
      </c>
      <c r="CY199">
        <f t="shared" si="82"/>
        <v>1.1299999999999999</v>
      </c>
      <c r="CZ199">
        <f t="shared" si="83"/>
        <v>0.16</v>
      </c>
      <c r="DA199">
        <f t="shared" si="84"/>
        <v>7.56</v>
      </c>
      <c r="DB199">
        <f t="shared" si="85"/>
        <v>3.68</v>
      </c>
      <c r="DC199">
        <f t="shared" si="86"/>
        <v>0</v>
      </c>
      <c r="DD199" t="s">
        <v>6</v>
      </c>
      <c r="DE199" t="s">
        <v>6</v>
      </c>
      <c r="DF199">
        <f t="shared" si="87"/>
        <v>8</v>
      </c>
      <c r="DG199">
        <f t="shared" si="88"/>
        <v>0</v>
      </c>
      <c r="DH199">
        <f>Source!I164*SmtRes!Y199</f>
        <v>7.9579999999999993</v>
      </c>
      <c r="DI199">
        <f t="shared" si="89"/>
        <v>1.1299999999999999</v>
      </c>
      <c r="DJ199">
        <f t="shared" si="90"/>
        <v>8</v>
      </c>
      <c r="DK199">
        <f>Source!BC164</f>
        <v>7.56</v>
      </c>
      <c r="DL199" t="s">
        <v>6</v>
      </c>
      <c r="DM199">
        <v>0</v>
      </c>
      <c r="DN199" t="s">
        <v>6</v>
      </c>
      <c r="DO199">
        <v>0</v>
      </c>
      <c r="GP199">
        <v>1</v>
      </c>
      <c r="GQ199">
        <v>-1</v>
      </c>
      <c r="GR199">
        <v>-1</v>
      </c>
    </row>
    <row r="200" spans="1:200" x14ac:dyDescent="0.2">
      <c r="A200">
        <f>ROW(Source!A164)</f>
        <v>164</v>
      </c>
      <c r="B200">
        <v>86326988</v>
      </c>
      <c r="C200">
        <v>86327436</v>
      </c>
      <c r="D200">
        <v>35950821</v>
      </c>
      <c r="E200">
        <v>1</v>
      </c>
      <c r="F200">
        <v>1</v>
      </c>
      <c r="G200">
        <v>1</v>
      </c>
      <c r="H200">
        <v>3</v>
      </c>
      <c r="I200" t="s">
        <v>76</v>
      </c>
      <c r="J200" t="s">
        <v>79</v>
      </c>
      <c r="K200" t="s">
        <v>245</v>
      </c>
      <c r="L200">
        <v>1391</v>
      </c>
      <c r="N200">
        <v>1013</v>
      </c>
      <c r="O200" t="s">
        <v>78</v>
      </c>
      <c r="P200" t="s">
        <v>78</v>
      </c>
      <c r="Q200">
        <v>1</v>
      </c>
      <c r="W200">
        <v>0</v>
      </c>
      <c r="X200">
        <v>1869088844</v>
      </c>
      <c r="Y200">
        <f t="shared" si="81"/>
        <v>2.5</v>
      </c>
      <c r="AA200">
        <v>333.45</v>
      </c>
      <c r="AB200">
        <v>0</v>
      </c>
      <c r="AC200">
        <v>0</v>
      </c>
      <c r="AD200">
        <v>0</v>
      </c>
      <c r="AE200">
        <v>46.21</v>
      </c>
      <c r="AF200">
        <v>0</v>
      </c>
      <c r="AG200">
        <v>0</v>
      </c>
      <c r="AH200">
        <v>0</v>
      </c>
      <c r="AI200">
        <v>7.56</v>
      </c>
      <c r="AJ200">
        <v>1</v>
      </c>
      <c r="AK200">
        <v>1</v>
      </c>
      <c r="AL200">
        <v>1</v>
      </c>
      <c r="AM200">
        <v>0</v>
      </c>
      <c r="AN200">
        <v>0</v>
      </c>
      <c r="AO200">
        <v>0</v>
      </c>
      <c r="AP200">
        <v>0</v>
      </c>
      <c r="AQ200">
        <v>0</v>
      </c>
      <c r="AR200">
        <v>0</v>
      </c>
      <c r="AS200" t="s">
        <v>6</v>
      </c>
      <c r="AT200">
        <v>2.5</v>
      </c>
      <c r="AU200" t="s">
        <v>6</v>
      </c>
      <c r="AV200">
        <v>0</v>
      </c>
      <c r="AW200">
        <v>1</v>
      </c>
      <c r="AX200">
        <v>-1</v>
      </c>
      <c r="AY200">
        <v>0</v>
      </c>
      <c r="AZ200">
        <v>0</v>
      </c>
      <c r="BA200" t="s">
        <v>6</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CV200">
        <v>0</v>
      </c>
      <c r="CW200">
        <v>0</v>
      </c>
      <c r="CX200">
        <f>ROUND(Y200*Source!I164,9)</f>
        <v>0.86499999999999999</v>
      </c>
      <c r="CY200">
        <f t="shared" si="82"/>
        <v>333.45</v>
      </c>
      <c r="CZ200">
        <f t="shared" si="83"/>
        <v>46.21</v>
      </c>
      <c r="DA200">
        <f t="shared" si="84"/>
        <v>7.56</v>
      </c>
      <c r="DB200">
        <f t="shared" si="85"/>
        <v>115.53</v>
      </c>
      <c r="DC200">
        <f t="shared" si="86"/>
        <v>0</v>
      </c>
      <c r="DD200" t="s">
        <v>6</v>
      </c>
      <c r="DE200" t="s">
        <v>6</v>
      </c>
      <c r="DF200">
        <f t="shared" si="87"/>
        <v>302</v>
      </c>
      <c r="DG200">
        <f t="shared" si="88"/>
        <v>0</v>
      </c>
      <c r="DH200">
        <f>Source!I164*SmtRes!Y200</f>
        <v>0.86499999999999999</v>
      </c>
      <c r="DI200">
        <f t="shared" si="89"/>
        <v>333.45</v>
      </c>
      <c r="DJ200">
        <f t="shared" si="90"/>
        <v>302</v>
      </c>
      <c r="DK200">
        <f>Source!BC164</f>
        <v>7.56</v>
      </c>
      <c r="DL200" t="s">
        <v>6</v>
      </c>
      <c r="DM200">
        <v>0</v>
      </c>
      <c r="DN200" t="s">
        <v>6</v>
      </c>
      <c r="DO200">
        <v>0</v>
      </c>
      <c r="GP200">
        <v>1</v>
      </c>
      <c r="GQ200">
        <v>-1</v>
      </c>
      <c r="GR200">
        <v>-1</v>
      </c>
    </row>
    <row r="201" spans="1:200" x14ac:dyDescent="0.2">
      <c r="A201">
        <f>ROW(Source!A164)</f>
        <v>164</v>
      </c>
      <c r="B201">
        <v>86326988</v>
      </c>
      <c r="C201">
        <v>86327436</v>
      </c>
      <c r="D201">
        <v>35950824</v>
      </c>
      <c r="E201">
        <v>1</v>
      </c>
      <c r="F201">
        <v>1</v>
      </c>
      <c r="G201">
        <v>1</v>
      </c>
      <c r="H201">
        <v>3</v>
      </c>
      <c r="I201" t="s">
        <v>82</v>
      </c>
      <c r="J201" t="s">
        <v>84</v>
      </c>
      <c r="K201" t="s">
        <v>247</v>
      </c>
      <c r="L201">
        <v>1391</v>
      </c>
      <c r="N201">
        <v>1013</v>
      </c>
      <c r="O201" t="s">
        <v>78</v>
      </c>
      <c r="P201" t="s">
        <v>78</v>
      </c>
      <c r="Q201">
        <v>1</v>
      </c>
      <c r="W201">
        <v>0</v>
      </c>
      <c r="X201">
        <v>-1555597847</v>
      </c>
      <c r="Y201">
        <f t="shared" si="81"/>
        <v>2.5</v>
      </c>
      <c r="AA201">
        <v>215.4</v>
      </c>
      <c r="AB201">
        <v>0</v>
      </c>
      <c r="AC201">
        <v>0</v>
      </c>
      <c r="AD201">
        <v>0</v>
      </c>
      <c r="AE201">
        <v>30.22</v>
      </c>
      <c r="AF201">
        <v>0</v>
      </c>
      <c r="AG201">
        <v>0</v>
      </c>
      <c r="AH201">
        <v>0</v>
      </c>
      <c r="AI201">
        <v>7.56</v>
      </c>
      <c r="AJ201">
        <v>1</v>
      </c>
      <c r="AK201">
        <v>1</v>
      </c>
      <c r="AL201">
        <v>1</v>
      </c>
      <c r="AM201">
        <v>0</v>
      </c>
      <c r="AN201">
        <v>0</v>
      </c>
      <c r="AO201">
        <v>0</v>
      </c>
      <c r="AP201">
        <v>0</v>
      </c>
      <c r="AQ201">
        <v>0</v>
      </c>
      <c r="AR201">
        <v>0</v>
      </c>
      <c r="AS201" t="s">
        <v>6</v>
      </c>
      <c r="AT201">
        <v>2.5</v>
      </c>
      <c r="AU201" t="s">
        <v>6</v>
      </c>
      <c r="AV201">
        <v>0</v>
      </c>
      <c r="AW201">
        <v>1</v>
      </c>
      <c r="AX201">
        <v>-1</v>
      </c>
      <c r="AY201">
        <v>0</v>
      </c>
      <c r="AZ201">
        <v>0</v>
      </c>
      <c r="BA201" t="s">
        <v>6</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CV201">
        <v>0</v>
      </c>
      <c r="CW201">
        <v>0</v>
      </c>
      <c r="CX201">
        <f>ROUND(Y201*Source!I164,9)</f>
        <v>0.86499999999999999</v>
      </c>
      <c r="CY201">
        <f t="shared" si="82"/>
        <v>215.4</v>
      </c>
      <c r="CZ201">
        <f t="shared" si="83"/>
        <v>30.22</v>
      </c>
      <c r="DA201">
        <f t="shared" si="84"/>
        <v>7.56</v>
      </c>
      <c r="DB201">
        <f t="shared" si="85"/>
        <v>75.55</v>
      </c>
      <c r="DC201">
        <f t="shared" si="86"/>
        <v>0</v>
      </c>
      <c r="DD201" t="s">
        <v>6</v>
      </c>
      <c r="DE201" t="s">
        <v>6</v>
      </c>
      <c r="DF201">
        <f t="shared" si="87"/>
        <v>197</v>
      </c>
      <c r="DG201">
        <f t="shared" si="88"/>
        <v>0</v>
      </c>
      <c r="DH201">
        <f>Source!I164*SmtRes!Y201</f>
        <v>0.86499999999999999</v>
      </c>
      <c r="DI201">
        <f t="shared" si="89"/>
        <v>215.4</v>
      </c>
      <c r="DJ201">
        <f t="shared" si="90"/>
        <v>197</v>
      </c>
      <c r="DK201">
        <f>Source!BC164</f>
        <v>7.56</v>
      </c>
      <c r="DL201" t="s">
        <v>6</v>
      </c>
      <c r="DM201">
        <v>0</v>
      </c>
      <c r="DN201" t="s">
        <v>6</v>
      </c>
      <c r="DO201">
        <v>0</v>
      </c>
      <c r="GP201">
        <v>1</v>
      </c>
      <c r="GQ201">
        <v>-1</v>
      </c>
      <c r="GR201">
        <v>-1</v>
      </c>
    </row>
    <row r="202" spans="1:200" x14ac:dyDescent="0.2">
      <c r="A202">
        <f>ROW(Source!A164)</f>
        <v>164</v>
      </c>
      <c r="B202">
        <v>86326988</v>
      </c>
      <c r="C202">
        <v>86327436</v>
      </c>
      <c r="D202">
        <v>27425862</v>
      </c>
      <c r="E202">
        <v>1</v>
      </c>
      <c r="F202">
        <v>1</v>
      </c>
      <c r="G202">
        <v>1</v>
      </c>
      <c r="H202">
        <v>3</v>
      </c>
      <c r="I202" t="s">
        <v>92</v>
      </c>
      <c r="J202" t="s">
        <v>95</v>
      </c>
      <c r="K202" t="s">
        <v>93</v>
      </c>
      <c r="L202">
        <v>1301</v>
      </c>
      <c r="N202">
        <v>1003</v>
      </c>
      <c r="O202" t="s">
        <v>94</v>
      </c>
      <c r="P202" t="s">
        <v>94</v>
      </c>
      <c r="Q202">
        <v>1</v>
      </c>
      <c r="W202">
        <v>0</v>
      </c>
      <c r="X202">
        <v>-1608277363</v>
      </c>
      <c r="Y202">
        <f t="shared" si="81"/>
        <v>5.3879999999999999</v>
      </c>
      <c r="AA202">
        <v>30.51</v>
      </c>
      <c r="AB202">
        <v>0</v>
      </c>
      <c r="AC202">
        <v>0</v>
      </c>
      <c r="AD202">
        <v>0</v>
      </c>
      <c r="AE202">
        <v>4.28</v>
      </c>
      <c r="AF202">
        <v>0</v>
      </c>
      <c r="AG202">
        <v>0</v>
      </c>
      <c r="AH202">
        <v>0</v>
      </c>
      <c r="AI202">
        <v>7.56</v>
      </c>
      <c r="AJ202">
        <v>1</v>
      </c>
      <c r="AK202">
        <v>1</v>
      </c>
      <c r="AL202">
        <v>1</v>
      </c>
      <c r="AM202">
        <v>0</v>
      </c>
      <c r="AN202">
        <v>0</v>
      </c>
      <c r="AO202">
        <v>0</v>
      </c>
      <c r="AP202">
        <v>0</v>
      </c>
      <c r="AQ202">
        <v>0</v>
      </c>
      <c r="AR202">
        <v>0</v>
      </c>
      <c r="AS202" t="s">
        <v>6</v>
      </c>
      <c r="AT202">
        <v>5.3879999999999999</v>
      </c>
      <c r="AU202" t="s">
        <v>6</v>
      </c>
      <c r="AV202">
        <v>0</v>
      </c>
      <c r="AW202">
        <v>1</v>
      </c>
      <c r="AX202">
        <v>-1</v>
      </c>
      <c r="AY202">
        <v>0</v>
      </c>
      <c r="AZ202">
        <v>0</v>
      </c>
      <c r="BA202" t="s">
        <v>6</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CV202">
        <v>0</v>
      </c>
      <c r="CW202">
        <v>0</v>
      </c>
      <c r="CX202">
        <f>ROUND(Y202*Source!I164,9)</f>
        <v>1.8642479999999999</v>
      </c>
      <c r="CY202">
        <f t="shared" si="82"/>
        <v>30.51</v>
      </c>
      <c r="CZ202">
        <f t="shared" si="83"/>
        <v>4.28</v>
      </c>
      <c r="DA202">
        <f t="shared" si="84"/>
        <v>7.56</v>
      </c>
      <c r="DB202">
        <f t="shared" si="85"/>
        <v>23.06</v>
      </c>
      <c r="DC202">
        <f t="shared" si="86"/>
        <v>0</v>
      </c>
      <c r="DD202" t="s">
        <v>6</v>
      </c>
      <c r="DE202" t="s">
        <v>6</v>
      </c>
      <c r="DF202">
        <f t="shared" si="87"/>
        <v>60</v>
      </c>
      <c r="DG202">
        <f t="shared" si="88"/>
        <v>0</v>
      </c>
      <c r="DH202">
        <f>Source!I164*SmtRes!Y202</f>
        <v>1.8642479999999999</v>
      </c>
      <c r="DI202">
        <f t="shared" si="89"/>
        <v>30.51</v>
      </c>
      <c r="DJ202">
        <f t="shared" si="90"/>
        <v>60</v>
      </c>
      <c r="DK202">
        <f>Source!BC164</f>
        <v>7.56</v>
      </c>
      <c r="DL202" t="s">
        <v>6</v>
      </c>
      <c r="DM202">
        <v>0</v>
      </c>
      <c r="DN202" t="s">
        <v>6</v>
      </c>
      <c r="DO202">
        <v>0</v>
      </c>
      <c r="GP202">
        <v>1</v>
      </c>
      <c r="GQ202">
        <v>-1</v>
      </c>
      <c r="GR202">
        <v>-1</v>
      </c>
    </row>
    <row r="203" spans="1:200" x14ac:dyDescent="0.2">
      <c r="A203">
        <f>ROW(Source!A164)</f>
        <v>164</v>
      </c>
      <c r="B203">
        <v>86326988</v>
      </c>
      <c r="C203">
        <v>86327436</v>
      </c>
      <c r="D203">
        <v>69208315</v>
      </c>
      <c r="E203">
        <v>1</v>
      </c>
      <c r="F203">
        <v>1</v>
      </c>
      <c r="G203">
        <v>1</v>
      </c>
      <c r="H203">
        <v>3</v>
      </c>
      <c r="I203" t="s">
        <v>117</v>
      </c>
      <c r="J203" t="s">
        <v>119</v>
      </c>
      <c r="K203" t="s">
        <v>118</v>
      </c>
      <c r="L203">
        <v>1348</v>
      </c>
      <c r="N203">
        <v>1009</v>
      </c>
      <c r="O203" t="s">
        <v>33</v>
      </c>
      <c r="P203" t="s">
        <v>33</v>
      </c>
      <c r="Q203">
        <v>1000</v>
      </c>
      <c r="W203">
        <v>0</v>
      </c>
      <c r="X203">
        <v>772407484</v>
      </c>
      <c r="Y203">
        <f t="shared" si="81"/>
        <v>9.5100000000000002E-4</v>
      </c>
      <c r="AA203">
        <v>80392</v>
      </c>
      <c r="AB203">
        <v>0</v>
      </c>
      <c r="AC203">
        <v>0</v>
      </c>
      <c r="AD203">
        <v>0</v>
      </c>
      <c r="AE203">
        <v>11142.150000000001</v>
      </c>
      <c r="AF203">
        <v>0</v>
      </c>
      <c r="AG203">
        <v>0</v>
      </c>
      <c r="AH203">
        <v>0</v>
      </c>
      <c r="AI203">
        <v>7.56</v>
      </c>
      <c r="AJ203">
        <v>1</v>
      </c>
      <c r="AK203">
        <v>1</v>
      </c>
      <c r="AL203">
        <v>1</v>
      </c>
      <c r="AM203">
        <v>0</v>
      </c>
      <c r="AN203">
        <v>0</v>
      </c>
      <c r="AO203">
        <v>0</v>
      </c>
      <c r="AP203">
        <v>1</v>
      </c>
      <c r="AQ203">
        <v>0</v>
      </c>
      <c r="AR203">
        <v>0</v>
      </c>
      <c r="AS203" t="s">
        <v>6</v>
      </c>
      <c r="AT203">
        <v>9.5100000000000002E-4</v>
      </c>
      <c r="AU203" t="s">
        <v>6</v>
      </c>
      <c r="AV203">
        <v>0</v>
      </c>
      <c r="AW203">
        <v>1</v>
      </c>
      <c r="AX203">
        <v>-1</v>
      </c>
      <c r="AY203">
        <v>0</v>
      </c>
      <c r="AZ203">
        <v>0</v>
      </c>
      <c r="BA203" t="s">
        <v>6</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CV203">
        <v>0</v>
      </c>
      <c r="CW203">
        <v>0</v>
      </c>
      <c r="CX203">
        <f>ROUND(Y203*Source!I164,9)</f>
        <v>3.2904599999999999E-4</v>
      </c>
      <c r="CY203">
        <f t="shared" si="82"/>
        <v>80392</v>
      </c>
      <c r="CZ203">
        <f t="shared" si="83"/>
        <v>11142.150000000001</v>
      </c>
      <c r="DA203">
        <f t="shared" si="84"/>
        <v>7.56</v>
      </c>
      <c r="DB203">
        <f t="shared" si="85"/>
        <v>10.6</v>
      </c>
      <c r="DC203">
        <f t="shared" si="86"/>
        <v>0</v>
      </c>
      <c r="DD203" t="s">
        <v>6</v>
      </c>
      <c r="DE203" t="s">
        <v>6</v>
      </c>
      <c r="DF203">
        <f t="shared" si="87"/>
        <v>28</v>
      </c>
      <c r="DG203">
        <f t="shared" si="88"/>
        <v>0</v>
      </c>
      <c r="DH203">
        <f>Source!I164*SmtRes!Y203</f>
        <v>3.2904599999999999E-4</v>
      </c>
      <c r="DI203">
        <f t="shared" si="89"/>
        <v>80392</v>
      </c>
      <c r="DJ203">
        <f t="shared" si="90"/>
        <v>28</v>
      </c>
      <c r="DK203">
        <f>Source!BC164</f>
        <v>7.56</v>
      </c>
      <c r="DL203" t="s">
        <v>6</v>
      </c>
      <c r="DM203">
        <v>0</v>
      </c>
      <c r="DN203" t="s">
        <v>6</v>
      </c>
      <c r="DO203">
        <v>0</v>
      </c>
      <c r="GP203">
        <v>1</v>
      </c>
      <c r="GQ203">
        <v>-1</v>
      </c>
      <c r="GR203">
        <v>-1</v>
      </c>
    </row>
    <row r="204" spans="1:200" x14ac:dyDescent="0.2">
      <c r="A204">
        <f>ROW(Source!A164)</f>
        <v>164</v>
      </c>
      <c r="B204">
        <v>86326988</v>
      </c>
      <c r="C204">
        <v>86327436</v>
      </c>
      <c r="D204">
        <v>69408587</v>
      </c>
      <c r="E204">
        <v>1</v>
      </c>
      <c r="F204">
        <v>1</v>
      </c>
      <c r="G204">
        <v>1</v>
      </c>
      <c r="H204">
        <v>3</v>
      </c>
      <c r="I204" t="s">
        <v>87</v>
      </c>
      <c r="J204" t="s">
        <v>89</v>
      </c>
      <c r="K204" t="s">
        <v>88</v>
      </c>
      <c r="L204">
        <v>1339</v>
      </c>
      <c r="N204">
        <v>1007</v>
      </c>
      <c r="O204" t="s">
        <v>44</v>
      </c>
      <c r="P204" t="s">
        <v>44</v>
      </c>
      <c r="Q204">
        <v>1</v>
      </c>
      <c r="W204">
        <v>0</v>
      </c>
      <c r="X204">
        <v>-183216560</v>
      </c>
      <c r="Y204">
        <f t="shared" si="81"/>
        <v>2.5375000000000001</v>
      </c>
      <c r="AA204">
        <v>6948.56</v>
      </c>
      <c r="AB204">
        <v>0</v>
      </c>
      <c r="AC204">
        <v>0</v>
      </c>
      <c r="AD204">
        <v>0</v>
      </c>
      <c r="AE204">
        <v>975</v>
      </c>
      <c r="AF204">
        <v>0</v>
      </c>
      <c r="AG204">
        <v>0</v>
      </c>
      <c r="AH204">
        <v>0</v>
      </c>
      <c r="AI204">
        <v>7.56</v>
      </c>
      <c r="AJ204">
        <v>1</v>
      </c>
      <c r="AK204">
        <v>1</v>
      </c>
      <c r="AL204">
        <v>1</v>
      </c>
      <c r="AM204">
        <v>0</v>
      </c>
      <c r="AN204">
        <v>0</v>
      </c>
      <c r="AO204">
        <v>0</v>
      </c>
      <c r="AP204">
        <v>1</v>
      </c>
      <c r="AQ204">
        <v>0</v>
      </c>
      <c r="AR204">
        <v>0</v>
      </c>
      <c r="AS204" t="s">
        <v>6</v>
      </c>
      <c r="AT204">
        <v>2.5375000000000001</v>
      </c>
      <c r="AU204" t="s">
        <v>6</v>
      </c>
      <c r="AV204">
        <v>0</v>
      </c>
      <c r="AW204">
        <v>1</v>
      </c>
      <c r="AX204">
        <v>-1</v>
      </c>
      <c r="AY204">
        <v>0</v>
      </c>
      <c r="AZ204">
        <v>0</v>
      </c>
      <c r="BA204" t="s">
        <v>6</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CV204">
        <v>0</v>
      </c>
      <c r="CW204">
        <v>0</v>
      </c>
      <c r="CX204">
        <f>ROUND(Y204*Source!I164,9)</f>
        <v>0.87797499999999995</v>
      </c>
      <c r="CY204">
        <f t="shared" si="82"/>
        <v>6948.56</v>
      </c>
      <c r="CZ204">
        <f t="shared" si="83"/>
        <v>975</v>
      </c>
      <c r="DA204">
        <f t="shared" si="84"/>
        <v>7.56</v>
      </c>
      <c r="DB204">
        <f t="shared" si="85"/>
        <v>2474.06</v>
      </c>
      <c r="DC204">
        <f t="shared" si="86"/>
        <v>0</v>
      </c>
      <c r="DD204" t="s">
        <v>6</v>
      </c>
      <c r="DE204" t="s">
        <v>6</v>
      </c>
      <c r="DF204">
        <f t="shared" si="87"/>
        <v>6472</v>
      </c>
      <c r="DG204">
        <f t="shared" si="88"/>
        <v>0</v>
      </c>
      <c r="DH204">
        <f>Source!I164*SmtRes!Y204</f>
        <v>0.87797499999999995</v>
      </c>
      <c r="DI204">
        <f t="shared" si="89"/>
        <v>6948.56</v>
      </c>
      <c r="DJ204">
        <f t="shared" si="90"/>
        <v>6472</v>
      </c>
      <c r="DK204">
        <f>Source!BC164</f>
        <v>7.56</v>
      </c>
      <c r="DL204" t="s">
        <v>6</v>
      </c>
      <c r="DM204">
        <v>0</v>
      </c>
      <c r="DN204" t="s">
        <v>6</v>
      </c>
      <c r="DO204">
        <v>0</v>
      </c>
      <c r="GP204">
        <v>1</v>
      </c>
      <c r="GQ204">
        <v>-1</v>
      </c>
      <c r="GR204">
        <v>-1</v>
      </c>
    </row>
    <row r="205" spans="1:200" x14ac:dyDescent="0.2">
      <c r="A205">
        <f>ROW(Source!A183)</f>
        <v>183</v>
      </c>
      <c r="B205">
        <v>86326987</v>
      </c>
      <c r="C205">
        <v>86327466</v>
      </c>
      <c r="D205">
        <v>27497778</v>
      </c>
      <c r="E205">
        <v>1</v>
      </c>
      <c r="F205">
        <v>1</v>
      </c>
      <c r="G205">
        <v>1</v>
      </c>
      <c r="H205">
        <v>1</v>
      </c>
      <c r="I205" t="s">
        <v>647</v>
      </c>
      <c r="J205" t="s">
        <v>6</v>
      </c>
      <c r="K205" t="s">
        <v>648</v>
      </c>
      <c r="L205">
        <v>1369</v>
      </c>
      <c r="N205">
        <v>1013</v>
      </c>
      <c r="O205" t="s">
        <v>625</v>
      </c>
      <c r="P205" t="s">
        <v>625</v>
      </c>
      <c r="Q205">
        <v>1</v>
      </c>
      <c r="W205">
        <v>0</v>
      </c>
      <c r="X205">
        <v>-160844189</v>
      </c>
      <c r="Y205">
        <f>(AT205*1.05)</f>
        <v>4.6620000000000008</v>
      </c>
      <c r="AA205">
        <v>0</v>
      </c>
      <c r="AB205">
        <v>0</v>
      </c>
      <c r="AC205">
        <v>0</v>
      </c>
      <c r="AD205">
        <v>8.7100000000000009</v>
      </c>
      <c r="AE205">
        <v>0</v>
      </c>
      <c r="AF205">
        <v>0</v>
      </c>
      <c r="AG205">
        <v>0</v>
      </c>
      <c r="AH205">
        <v>8.7100000000000009</v>
      </c>
      <c r="AI205">
        <v>1</v>
      </c>
      <c r="AJ205">
        <v>1</v>
      </c>
      <c r="AK205">
        <v>1</v>
      </c>
      <c r="AL205">
        <v>1</v>
      </c>
      <c r="AM205">
        <v>0</v>
      </c>
      <c r="AN205">
        <v>0</v>
      </c>
      <c r="AO205">
        <v>1</v>
      </c>
      <c r="AP205">
        <v>1</v>
      </c>
      <c r="AQ205">
        <v>0</v>
      </c>
      <c r="AR205">
        <v>0</v>
      </c>
      <c r="AS205" t="s">
        <v>6</v>
      </c>
      <c r="AT205">
        <v>4.4400000000000004</v>
      </c>
      <c r="AU205" t="s">
        <v>25</v>
      </c>
      <c r="AV205">
        <v>1</v>
      </c>
      <c r="AW205">
        <v>2</v>
      </c>
      <c r="AX205">
        <v>86327480</v>
      </c>
      <c r="AY205">
        <v>1</v>
      </c>
      <c r="AZ205">
        <v>0</v>
      </c>
      <c r="BA205">
        <v>161</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CU205">
        <f>ROUND(AT205*Source!I183*AH205*AL205,0)</f>
        <v>241</v>
      </c>
      <c r="CV205">
        <f>ROUND(Y205*Source!I183,9)</f>
        <v>29.0244465</v>
      </c>
      <c r="CW205">
        <v>0</v>
      </c>
      <c r="CX205">
        <f>ROUND(Y205*Source!I183,9)</f>
        <v>29.0244465</v>
      </c>
      <c r="CY205">
        <f>AD205</f>
        <v>8.7100000000000009</v>
      </c>
      <c r="CZ205">
        <f>AH205</f>
        <v>8.7100000000000009</v>
      </c>
      <c r="DA205">
        <f>AL205</f>
        <v>1</v>
      </c>
      <c r="DB205">
        <f>ROUND((ROUND(AT205*CZ205,2)*1.05),2)</f>
        <v>40.6</v>
      </c>
      <c r="DC205">
        <f>ROUND((ROUND(AT205*AG205,2)*1.05),2)</f>
        <v>0</v>
      </c>
      <c r="DD205" t="s">
        <v>6</v>
      </c>
      <c r="DE205" t="s">
        <v>6</v>
      </c>
      <c r="DF205">
        <f t="shared" ref="DF205:DF221" si="91">ROUND(ROUND(AE205,0)*CX205,0)</f>
        <v>0</v>
      </c>
      <c r="DG205">
        <f t="shared" si="88"/>
        <v>0</v>
      </c>
      <c r="DH205">
        <f>Source!I183*SmtRes!Y205</f>
        <v>29.024446500000003</v>
      </c>
      <c r="DI205">
        <f>AD205</f>
        <v>8.7100000000000009</v>
      </c>
      <c r="DJ205">
        <f>EtalonRes!AB161</f>
        <v>8.7100000000000009</v>
      </c>
      <c r="DK205">
        <f>Source!BA183</f>
        <v>1</v>
      </c>
      <c r="DL205" t="s">
        <v>6</v>
      </c>
      <c r="DM205">
        <v>0</v>
      </c>
      <c r="DN205" t="s">
        <v>6</v>
      </c>
      <c r="DO205">
        <v>0</v>
      </c>
      <c r="GQ205">
        <v>-1</v>
      </c>
      <c r="GR205">
        <v>-1</v>
      </c>
    </row>
    <row r="206" spans="1:200" x14ac:dyDescent="0.2">
      <c r="A206">
        <f>ROW(Source!A183)</f>
        <v>183</v>
      </c>
      <c r="B206">
        <v>86326987</v>
      </c>
      <c r="C206">
        <v>86327466</v>
      </c>
      <c r="D206">
        <v>121548</v>
      </c>
      <c r="E206">
        <v>1</v>
      </c>
      <c r="F206">
        <v>1</v>
      </c>
      <c r="G206">
        <v>1</v>
      </c>
      <c r="H206">
        <v>1</v>
      </c>
      <c r="I206" t="s">
        <v>40</v>
      </c>
      <c r="J206" t="s">
        <v>6</v>
      </c>
      <c r="K206" t="s">
        <v>626</v>
      </c>
      <c r="L206">
        <v>608254</v>
      </c>
      <c r="N206">
        <v>1013</v>
      </c>
      <c r="O206" t="s">
        <v>627</v>
      </c>
      <c r="P206" t="s">
        <v>627</v>
      </c>
      <c r="Q206">
        <v>1</v>
      </c>
      <c r="W206">
        <v>0</v>
      </c>
      <c r="X206">
        <v>-185737400</v>
      </c>
      <c r="Y206">
        <f>(AT206*1.12)</f>
        <v>1.9376000000000002</v>
      </c>
      <c r="AA206">
        <v>0</v>
      </c>
      <c r="AB206">
        <v>0</v>
      </c>
      <c r="AC206">
        <v>0</v>
      </c>
      <c r="AD206">
        <v>0</v>
      </c>
      <c r="AE206">
        <v>0</v>
      </c>
      <c r="AF206">
        <v>0</v>
      </c>
      <c r="AG206">
        <v>0</v>
      </c>
      <c r="AH206">
        <v>0</v>
      </c>
      <c r="AI206">
        <v>1</v>
      </c>
      <c r="AJ206">
        <v>1</v>
      </c>
      <c r="AK206">
        <v>1</v>
      </c>
      <c r="AL206">
        <v>1</v>
      </c>
      <c r="AM206">
        <v>0</v>
      </c>
      <c r="AN206">
        <v>0</v>
      </c>
      <c r="AO206">
        <v>1</v>
      </c>
      <c r="AP206">
        <v>1</v>
      </c>
      <c r="AQ206">
        <v>0</v>
      </c>
      <c r="AR206">
        <v>0</v>
      </c>
      <c r="AS206" t="s">
        <v>6</v>
      </c>
      <c r="AT206">
        <v>1.73</v>
      </c>
      <c r="AU206" t="s">
        <v>24</v>
      </c>
      <c r="AV206">
        <v>2</v>
      </c>
      <c r="AW206">
        <v>2</v>
      </c>
      <c r="AX206">
        <v>86327481</v>
      </c>
      <c r="AY206">
        <v>1</v>
      </c>
      <c r="AZ206">
        <v>0</v>
      </c>
      <c r="BA206">
        <v>162</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CV206">
        <v>0</v>
      </c>
      <c r="CW206">
        <v>0</v>
      </c>
      <c r="CX206">
        <f>ROUND(Y206*Source!I183,9)</f>
        <v>12.0630132</v>
      </c>
      <c r="CY206">
        <f>AD206</f>
        <v>0</v>
      </c>
      <c r="CZ206">
        <f>AH206</f>
        <v>0</v>
      </c>
      <c r="DA206">
        <f>AL206</f>
        <v>1</v>
      </c>
      <c r="DB206">
        <f>ROUND((ROUND(AT206*CZ206,2)*1.12),2)</f>
        <v>0</v>
      </c>
      <c r="DC206">
        <f>ROUND((ROUND(AT206*AG206,2)*1.12),2)</f>
        <v>0</v>
      </c>
      <c r="DD206" t="s">
        <v>6</v>
      </c>
      <c r="DE206" t="s">
        <v>6</v>
      </c>
      <c r="DF206">
        <f t="shared" si="91"/>
        <v>0</v>
      </c>
      <c r="DG206">
        <f t="shared" si="88"/>
        <v>0</v>
      </c>
      <c r="DH206">
        <f>Source!I183*SmtRes!Y206</f>
        <v>12.0630132</v>
      </c>
      <c r="DI206">
        <f>AD206</f>
        <v>0</v>
      </c>
      <c r="DJ206">
        <f>EtalonRes!AB162</f>
        <v>0</v>
      </c>
      <c r="DK206">
        <f>Source!BA183</f>
        <v>1</v>
      </c>
      <c r="DL206" t="s">
        <v>6</v>
      </c>
      <c r="DM206">
        <v>0</v>
      </c>
      <c r="DN206" t="s">
        <v>6</v>
      </c>
      <c r="DO206">
        <v>0</v>
      </c>
      <c r="GQ206">
        <v>-1</v>
      </c>
      <c r="GR206">
        <v>-1</v>
      </c>
    </row>
    <row r="207" spans="1:200" x14ac:dyDescent="0.2">
      <c r="A207">
        <f>ROW(Source!A183)</f>
        <v>183</v>
      </c>
      <c r="B207">
        <v>86326987</v>
      </c>
      <c r="C207">
        <v>86327466</v>
      </c>
      <c r="D207">
        <v>27439419</v>
      </c>
      <c r="E207">
        <v>1</v>
      </c>
      <c r="F207">
        <v>1</v>
      </c>
      <c r="G207">
        <v>1</v>
      </c>
      <c r="H207">
        <v>2</v>
      </c>
      <c r="I207" t="s">
        <v>628</v>
      </c>
      <c r="J207" t="s">
        <v>629</v>
      </c>
      <c r="K207" t="s">
        <v>630</v>
      </c>
      <c r="L207">
        <v>1368</v>
      </c>
      <c r="N207">
        <v>1011</v>
      </c>
      <c r="O207" t="s">
        <v>137</v>
      </c>
      <c r="P207" t="s">
        <v>137</v>
      </c>
      <c r="Q207">
        <v>1</v>
      </c>
      <c r="W207">
        <v>0</v>
      </c>
      <c r="X207">
        <v>1804162481</v>
      </c>
      <c r="Y207">
        <f>(AT207*1.12)</f>
        <v>1.9376000000000002</v>
      </c>
      <c r="AA207">
        <v>0</v>
      </c>
      <c r="AB207">
        <v>115.64</v>
      </c>
      <c r="AC207">
        <v>13.61</v>
      </c>
      <c r="AD207">
        <v>0</v>
      </c>
      <c r="AE207">
        <v>0</v>
      </c>
      <c r="AF207">
        <v>115.64</v>
      </c>
      <c r="AG207">
        <v>13.61</v>
      </c>
      <c r="AH207">
        <v>0</v>
      </c>
      <c r="AI207">
        <v>1</v>
      </c>
      <c r="AJ207">
        <v>1</v>
      </c>
      <c r="AK207">
        <v>1</v>
      </c>
      <c r="AL207">
        <v>1</v>
      </c>
      <c r="AM207">
        <v>0</v>
      </c>
      <c r="AN207">
        <v>0</v>
      </c>
      <c r="AO207">
        <v>1</v>
      </c>
      <c r="AP207">
        <v>1</v>
      </c>
      <c r="AQ207">
        <v>0</v>
      </c>
      <c r="AR207">
        <v>0</v>
      </c>
      <c r="AS207" t="s">
        <v>6</v>
      </c>
      <c r="AT207">
        <v>1.73</v>
      </c>
      <c r="AU207" t="s">
        <v>24</v>
      </c>
      <c r="AV207">
        <v>0</v>
      </c>
      <c r="AW207">
        <v>1</v>
      </c>
      <c r="AX207">
        <v>-1</v>
      </c>
      <c r="AY207">
        <v>0</v>
      </c>
      <c r="AZ207">
        <v>0</v>
      </c>
      <c r="BA207" t="s">
        <v>6</v>
      </c>
      <c r="BB207">
        <v>5</v>
      </c>
      <c r="BC207">
        <v>0</v>
      </c>
      <c r="BD207">
        <v>224.06406400000003</v>
      </c>
      <c r="BE207">
        <v>26.370736000000001</v>
      </c>
      <c r="BF207">
        <v>0</v>
      </c>
      <c r="BG207">
        <v>0</v>
      </c>
      <c r="BH207">
        <v>0</v>
      </c>
      <c r="BI207">
        <v>1</v>
      </c>
      <c r="BJ207">
        <v>0</v>
      </c>
      <c r="BK207">
        <v>0</v>
      </c>
      <c r="BL207">
        <v>0</v>
      </c>
      <c r="BM207">
        <v>0</v>
      </c>
      <c r="BN207">
        <v>0</v>
      </c>
      <c r="BO207">
        <v>0</v>
      </c>
      <c r="BP207">
        <v>0</v>
      </c>
      <c r="BQ207">
        <v>0</v>
      </c>
      <c r="BR207">
        <v>0</v>
      </c>
      <c r="BS207">
        <v>0</v>
      </c>
      <c r="BT207">
        <v>0</v>
      </c>
      <c r="BU207">
        <v>0</v>
      </c>
      <c r="BV207">
        <v>0</v>
      </c>
      <c r="BW207">
        <v>0</v>
      </c>
      <c r="CV207">
        <v>0</v>
      </c>
      <c r="CW207">
        <f>ROUND(Y207*Source!I183*DO207,9)</f>
        <v>0</v>
      </c>
      <c r="CX207">
        <f>ROUND(Y207*Source!I183,9)</f>
        <v>12.0630132</v>
      </c>
      <c r="CY207">
        <f>AB207</f>
        <v>115.64</v>
      </c>
      <c r="CZ207">
        <f>AF207</f>
        <v>115.64</v>
      </c>
      <c r="DA207">
        <f>AJ207</f>
        <v>1</v>
      </c>
      <c r="DB207">
        <f>ROUND((ROUND(AT207*CZ207,2)*1.12),2)</f>
        <v>224.07</v>
      </c>
      <c r="DC207">
        <f>ROUND((ROUND(AT207*AG207,2)*1.12),2)</f>
        <v>26.38</v>
      </c>
      <c r="DD207" t="s">
        <v>6</v>
      </c>
      <c r="DE207" t="s">
        <v>6</v>
      </c>
      <c r="DF207">
        <f t="shared" si="91"/>
        <v>0</v>
      </c>
      <c r="DG207">
        <f t="shared" si="88"/>
        <v>1399</v>
      </c>
      <c r="DH207">
        <f>Source!I183*SmtRes!Y207</f>
        <v>12.0630132</v>
      </c>
      <c r="DI207">
        <f>AB207</f>
        <v>115.64</v>
      </c>
      <c r="DJ207">
        <f>DG207</f>
        <v>1399</v>
      </c>
      <c r="DK207">
        <f>Source!BB183</f>
        <v>1</v>
      </c>
      <c r="DL207" t="s">
        <v>6</v>
      </c>
      <c r="DM207">
        <v>0</v>
      </c>
      <c r="DN207" t="s">
        <v>6</v>
      </c>
      <c r="DO207">
        <v>0</v>
      </c>
      <c r="GQ207">
        <v>-1</v>
      </c>
      <c r="GR207">
        <v>-1</v>
      </c>
    </row>
    <row r="208" spans="1:200" x14ac:dyDescent="0.2">
      <c r="A208">
        <f>ROW(Source!A183)</f>
        <v>183</v>
      </c>
      <c r="B208">
        <v>86326987</v>
      </c>
      <c r="C208">
        <v>86327466</v>
      </c>
      <c r="D208">
        <v>27440039</v>
      </c>
      <c r="E208">
        <v>1</v>
      </c>
      <c r="F208">
        <v>1</v>
      </c>
      <c r="G208">
        <v>1</v>
      </c>
      <c r="H208">
        <v>2</v>
      </c>
      <c r="I208" t="s">
        <v>649</v>
      </c>
      <c r="J208" t="s">
        <v>650</v>
      </c>
      <c r="K208" t="s">
        <v>651</v>
      </c>
      <c r="L208">
        <v>1368</v>
      </c>
      <c r="N208">
        <v>1011</v>
      </c>
      <c r="O208" t="s">
        <v>137</v>
      </c>
      <c r="P208" t="s">
        <v>137</v>
      </c>
      <c r="Q208">
        <v>1</v>
      </c>
      <c r="W208">
        <v>0</v>
      </c>
      <c r="X208">
        <v>389347920</v>
      </c>
      <c r="Y208">
        <f>(AT208*1.12)</f>
        <v>1.3440000000000001</v>
      </c>
      <c r="AA208">
        <v>0</v>
      </c>
      <c r="AB208">
        <v>1.83</v>
      </c>
      <c r="AC208">
        <v>0</v>
      </c>
      <c r="AD208">
        <v>0</v>
      </c>
      <c r="AE208">
        <v>0</v>
      </c>
      <c r="AF208">
        <v>1.83</v>
      </c>
      <c r="AG208">
        <v>0</v>
      </c>
      <c r="AH208">
        <v>0</v>
      </c>
      <c r="AI208">
        <v>1</v>
      </c>
      <c r="AJ208">
        <v>1</v>
      </c>
      <c r="AK208">
        <v>1</v>
      </c>
      <c r="AL208">
        <v>1</v>
      </c>
      <c r="AM208">
        <v>0</v>
      </c>
      <c r="AN208">
        <v>0</v>
      </c>
      <c r="AO208">
        <v>1</v>
      </c>
      <c r="AP208">
        <v>1</v>
      </c>
      <c r="AQ208">
        <v>0</v>
      </c>
      <c r="AR208">
        <v>0</v>
      </c>
      <c r="AS208" t="s">
        <v>6</v>
      </c>
      <c r="AT208">
        <v>1.2</v>
      </c>
      <c r="AU208" t="s">
        <v>24</v>
      </c>
      <c r="AV208">
        <v>0</v>
      </c>
      <c r="AW208">
        <v>2</v>
      </c>
      <c r="AX208">
        <v>86327483</v>
      </c>
      <c r="AY208">
        <v>1</v>
      </c>
      <c r="AZ208">
        <v>0</v>
      </c>
      <c r="BA208">
        <v>164</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CV208">
        <v>0</v>
      </c>
      <c r="CW208">
        <f>ROUND(Y208*Source!I183*DO208,9)</f>
        <v>0</v>
      </c>
      <c r="CX208">
        <f>ROUND(Y208*Source!I183,9)</f>
        <v>8.3674079999999993</v>
      </c>
      <c r="CY208">
        <f>AB208</f>
        <v>1.83</v>
      </c>
      <c r="CZ208">
        <f>AF208</f>
        <v>1.83</v>
      </c>
      <c r="DA208">
        <f>AJ208</f>
        <v>1</v>
      </c>
      <c r="DB208">
        <f>ROUND((ROUND(AT208*CZ208,2)*1.12),2)</f>
        <v>2.46</v>
      </c>
      <c r="DC208">
        <f>ROUND((ROUND(AT208*AG208,2)*1.12),2)</f>
        <v>0</v>
      </c>
      <c r="DD208" t="s">
        <v>6</v>
      </c>
      <c r="DE208" t="s">
        <v>6</v>
      </c>
      <c r="DF208">
        <f t="shared" si="91"/>
        <v>0</v>
      </c>
      <c r="DG208">
        <f t="shared" si="88"/>
        <v>17</v>
      </c>
      <c r="DH208">
        <f>Source!I183*SmtRes!Y208</f>
        <v>8.3674079999999993</v>
      </c>
      <c r="DI208">
        <f>AB208</f>
        <v>1.83</v>
      </c>
      <c r="DJ208">
        <f>EtalonRes!Z164</f>
        <v>1.83</v>
      </c>
      <c r="DK208">
        <f>Source!BB183</f>
        <v>1</v>
      </c>
      <c r="DL208" t="s">
        <v>6</v>
      </c>
      <c r="DM208">
        <v>0</v>
      </c>
      <c r="DN208" t="s">
        <v>6</v>
      </c>
      <c r="DO208">
        <v>0</v>
      </c>
      <c r="GQ208">
        <v>-1</v>
      </c>
      <c r="GR208">
        <v>-1</v>
      </c>
    </row>
    <row r="209" spans="1:200" x14ac:dyDescent="0.2">
      <c r="A209">
        <f>ROW(Source!A183)</f>
        <v>183</v>
      </c>
      <c r="B209">
        <v>86326987</v>
      </c>
      <c r="C209">
        <v>86327466</v>
      </c>
      <c r="D209">
        <v>27371200</v>
      </c>
      <c r="E209">
        <v>1</v>
      </c>
      <c r="F209">
        <v>1</v>
      </c>
      <c r="G209">
        <v>1</v>
      </c>
      <c r="H209">
        <v>3</v>
      </c>
      <c r="I209" t="s">
        <v>71</v>
      </c>
      <c r="J209" t="s">
        <v>73</v>
      </c>
      <c r="K209" t="s">
        <v>72</v>
      </c>
      <c r="L209">
        <v>1348</v>
      </c>
      <c r="N209">
        <v>1009</v>
      </c>
      <c r="O209" t="s">
        <v>33</v>
      </c>
      <c r="P209" t="s">
        <v>33</v>
      </c>
      <c r="Q209">
        <v>1000</v>
      </c>
      <c r="W209">
        <v>0</v>
      </c>
      <c r="X209">
        <v>-81122142</v>
      </c>
      <c r="Y209">
        <f t="shared" ref="Y209:Y217" si="92">AT209</f>
        <v>4.1999999999999997E-3</v>
      </c>
      <c r="AA209">
        <v>1696.01</v>
      </c>
      <c r="AB209">
        <v>0</v>
      </c>
      <c r="AC209">
        <v>0</v>
      </c>
      <c r="AD209">
        <v>0</v>
      </c>
      <c r="AE209">
        <v>1696.01</v>
      </c>
      <c r="AF209">
        <v>0</v>
      </c>
      <c r="AG209">
        <v>0</v>
      </c>
      <c r="AH209">
        <v>0</v>
      </c>
      <c r="AI209">
        <v>1</v>
      </c>
      <c r="AJ209">
        <v>1</v>
      </c>
      <c r="AK209">
        <v>1</v>
      </c>
      <c r="AL209">
        <v>1</v>
      </c>
      <c r="AM209">
        <v>0</v>
      </c>
      <c r="AN209">
        <v>0</v>
      </c>
      <c r="AO209">
        <v>0</v>
      </c>
      <c r="AP209">
        <v>1</v>
      </c>
      <c r="AQ209">
        <v>0</v>
      </c>
      <c r="AR209">
        <v>0</v>
      </c>
      <c r="AS209" t="s">
        <v>6</v>
      </c>
      <c r="AT209">
        <v>4.1999999999999997E-3</v>
      </c>
      <c r="AU209" t="s">
        <v>6</v>
      </c>
      <c r="AV209">
        <v>0</v>
      </c>
      <c r="AW209">
        <v>2</v>
      </c>
      <c r="AX209">
        <v>86327484</v>
      </c>
      <c r="AY209">
        <v>1</v>
      </c>
      <c r="AZ209">
        <v>0</v>
      </c>
      <c r="BA209">
        <v>165</v>
      </c>
      <c r="BB209">
        <v>3</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CV209">
        <v>0</v>
      </c>
      <c r="CW209">
        <v>0</v>
      </c>
      <c r="CX209">
        <f>ROUND(Y209*Source!I183,9)</f>
        <v>2.6148149999999998E-2</v>
      </c>
      <c r="CY209">
        <f t="shared" ref="CY209:CY217" si="93">AA209</f>
        <v>1696.01</v>
      </c>
      <c r="CZ209">
        <f t="shared" ref="CZ209:CZ217" si="94">AE209</f>
        <v>1696.01</v>
      </c>
      <c r="DA209">
        <f t="shared" ref="DA209:DA217" si="95">AI209</f>
        <v>1</v>
      </c>
      <c r="DB209">
        <f t="shared" ref="DB209:DB217" si="96">ROUND(ROUND(AT209*CZ209,2),2)</f>
        <v>7.12</v>
      </c>
      <c r="DC209">
        <f t="shared" ref="DC209:DC217" si="97">ROUND(ROUND(AT209*AG209,2),2)</f>
        <v>0</v>
      </c>
      <c r="DD209" t="s">
        <v>6</v>
      </c>
      <c r="DE209" t="s">
        <v>6</v>
      </c>
      <c r="DF209">
        <f t="shared" si="91"/>
        <v>44</v>
      </c>
      <c r="DG209">
        <f t="shared" si="88"/>
        <v>0</v>
      </c>
      <c r="DH209">
        <f>Source!I183*SmtRes!Y209</f>
        <v>2.6148149999999998E-2</v>
      </c>
      <c r="DI209">
        <f t="shared" ref="DI209:DI217" si="98">AA209</f>
        <v>1696.01</v>
      </c>
      <c r="DJ209">
        <f>EtalonRes!Y165</f>
        <v>1696.01</v>
      </c>
      <c r="DK209">
        <f>Source!BC183</f>
        <v>1</v>
      </c>
      <c r="DL209" t="s">
        <v>6</v>
      </c>
      <c r="DM209">
        <v>0</v>
      </c>
      <c r="DN209" t="s">
        <v>6</v>
      </c>
      <c r="DO209">
        <v>0</v>
      </c>
      <c r="GP209">
        <v>1</v>
      </c>
      <c r="GQ209">
        <v>-1</v>
      </c>
      <c r="GR209">
        <v>-1</v>
      </c>
    </row>
    <row r="210" spans="1:200" x14ac:dyDescent="0.2">
      <c r="A210">
        <f>ROW(Source!A183)</f>
        <v>183</v>
      </c>
      <c r="B210">
        <v>86326987</v>
      </c>
      <c r="C210">
        <v>86327466</v>
      </c>
      <c r="D210">
        <v>11618017</v>
      </c>
      <c r="E210">
        <v>1</v>
      </c>
      <c r="F210">
        <v>1</v>
      </c>
      <c r="G210">
        <v>1</v>
      </c>
      <c r="H210">
        <v>3</v>
      </c>
      <c r="I210" t="s">
        <v>107</v>
      </c>
      <c r="J210" t="s">
        <v>109</v>
      </c>
      <c r="K210" t="s">
        <v>108</v>
      </c>
      <c r="L210">
        <v>1371</v>
      </c>
      <c r="N210">
        <v>1013</v>
      </c>
      <c r="O210" t="s">
        <v>103</v>
      </c>
      <c r="P210" t="s">
        <v>103</v>
      </c>
      <c r="Q210">
        <v>1</v>
      </c>
      <c r="W210">
        <v>0</v>
      </c>
      <c r="X210">
        <v>-1648273723</v>
      </c>
      <c r="Y210">
        <f t="shared" si="92"/>
        <v>12</v>
      </c>
      <c r="AA210">
        <v>0.24</v>
      </c>
      <c r="AB210">
        <v>0</v>
      </c>
      <c r="AC210">
        <v>0</v>
      </c>
      <c r="AD210">
        <v>0</v>
      </c>
      <c r="AE210">
        <v>0.24</v>
      </c>
      <c r="AF210">
        <v>0</v>
      </c>
      <c r="AG210">
        <v>0</v>
      </c>
      <c r="AH210">
        <v>0</v>
      </c>
      <c r="AI210">
        <v>1</v>
      </c>
      <c r="AJ210">
        <v>1</v>
      </c>
      <c r="AK210">
        <v>1</v>
      </c>
      <c r="AL210">
        <v>1</v>
      </c>
      <c r="AM210">
        <v>0</v>
      </c>
      <c r="AN210">
        <v>0</v>
      </c>
      <c r="AO210">
        <v>0</v>
      </c>
      <c r="AP210">
        <v>1</v>
      </c>
      <c r="AQ210">
        <v>0</v>
      </c>
      <c r="AR210">
        <v>0</v>
      </c>
      <c r="AS210" t="s">
        <v>6</v>
      </c>
      <c r="AT210">
        <v>12</v>
      </c>
      <c r="AU210" t="s">
        <v>6</v>
      </c>
      <c r="AV210">
        <v>0</v>
      </c>
      <c r="AW210">
        <v>1</v>
      </c>
      <c r="AX210">
        <v>-1</v>
      </c>
      <c r="AY210">
        <v>0</v>
      </c>
      <c r="AZ210">
        <v>0</v>
      </c>
      <c r="BA210" t="s">
        <v>6</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CV210">
        <v>0</v>
      </c>
      <c r="CW210">
        <v>0</v>
      </c>
      <c r="CX210">
        <f>ROUND(Y210*Source!I183,9)</f>
        <v>74.709000000000003</v>
      </c>
      <c r="CY210">
        <f t="shared" si="93"/>
        <v>0.24</v>
      </c>
      <c r="CZ210">
        <f t="shared" si="94"/>
        <v>0.24</v>
      </c>
      <c r="DA210">
        <f t="shared" si="95"/>
        <v>1</v>
      </c>
      <c r="DB210">
        <f t="shared" si="96"/>
        <v>2.88</v>
      </c>
      <c r="DC210">
        <f t="shared" si="97"/>
        <v>0</v>
      </c>
      <c r="DD210" t="s">
        <v>6</v>
      </c>
      <c r="DE210" t="s">
        <v>6</v>
      </c>
      <c r="DF210">
        <f t="shared" si="91"/>
        <v>0</v>
      </c>
      <c r="DG210">
        <f t="shared" si="88"/>
        <v>0</v>
      </c>
      <c r="DH210">
        <f>Source!I183*SmtRes!Y210</f>
        <v>74.709000000000003</v>
      </c>
      <c r="DI210">
        <f t="shared" si="98"/>
        <v>0.24</v>
      </c>
      <c r="DJ210">
        <f t="shared" ref="DJ210:DJ217" si="99">DF210</f>
        <v>0</v>
      </c>
      <c r="DK210">
        <f>Source!BC183</f>
        <v>1</v>
      </c>
      <c r="DL210" t="s">
        <v>6</v>
      </c>
      <c r="DM210">
        <v>0</v>
      </c>
      <c r="DN210" t="s">
        <v>6</v>
      </c>
      <c r="DO210">
        <v>0</v>
      </c>
      <c r="GP210">
        <v>1</v>
      </c>
      <c r="GQ210">
        <v>-1</v>
      </c>
      <c r="GR210">
        <v>-1</v>
      </c>
    </row>
    <row r="211" spans="1:200" x14ac:dyDescent="0.2">
      <c r="A211">
        <f>ROW(Source!A183)</f>
        <v>183</v>
      </c>
      <c r="B211">
        <v>86326987</v>
      </c>
      <c r="C211">
        <v>86327466</v>
      </c>
      <c r="D211">
        <v>11618018</v>
      </c>
      <c r="E211">
        <v>1</v>
      </c>
      <c r="F211">
        <v>1</v>
      </c>
      <c r="G211">
        <v>1</v>
      </c>
      <c r="H211">
        <v>3</v>
      </c>
      <c r="I211" t="s">
        <v>112</v>
      </c>
      <c r="J211" t="s">
        <v>114</v>
      </c>
      <c r="K211" t="s">
        <v>113</v>
      </c>
      <c r="L211">
        <v>1371</v>
      </c>
      <c r="N211">
        <v>1013</v>
      </c>
      <c r="O211" t="s">
        <v>103</v>
      </c>
      <c r="P211" t="s">
        <v>103</v>
      </c>
      <c r="Q211">
        <v>1</v>
      </c>
      <c r="W211">
        <v>0</v>
      </c>
      <c r="X211">
        <v>1900494391</v>
      </c>
      <c r="Y211">
        <f t="shared" si="92"/>
        <v>12</v>
      </c>
      <c r="AA211">
        <v>0.3</v>
      </c>
      <c r="AB211">
        <v>0</v>
      </c>
      <c r="AC211">
        <v>0</v>
      </c>
      <c r="AD211">
        <v>0</v>
      </c>
      <c r="AE211">
        <v>0.3</v>
      </c>
      <c r="AF211">
        <v>0</v>
      </c>
      <c r="AG211">
        <v>0</v>
      </c>
      <c r="AH211">
        <v>0</v>
      </c>
      <c r="AI211">
        <v>1</v>
      </c>
      <c r="AJ211">
        <v>1</v>
      </c>
      <c r="AK211">
        <v>1</v>
      </c>
      <c r="AL211">
        <v>1</v>
      </c>
      <c r="AM211">
        <v>0</v>
      </c>
      <c r="AN211">
        <v>0</v>
      </c>
      <c r="AO211">
        <v>0</v>
      </c>
      <c r="AP211">
        <v>1</v>
      </c>
      <c r="AQ211">
        <v>0</v>
      </c>
      <c r="AR211">
        <v>0</v>
      </c>
      <c r="AS211" t="s">
        <v>6</v>
      </c>
      <c r="AT211">
        <v>12</v>
      </c>
      <c r="AU211" t="s">
        <v>6</v>
      </c>
      <c r="AV211">
        <v>0</v>
      </c>
      <c r="AW211">
        <v>1</v>
      </c>
      <c r="AX211">
        <v>-1</v>
      </c>
      <c r="AY211">
        <v>0</v>
      </c>
      <c r="AZ211">
        <v>0</v>
      </c>
      <c r="BA211" t="s">
        <v>6</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CV211">
        <v>0</v>
      </c>
      <c r="CW211">
        <v>0</v>
      </c>
      <c r="CX211">
        <f>ROUND(Y211*Source!I183,9)</f>
        <v>74.709000000000003</v>
      </c>
      <c r="CY211">
        <f t="shared" si="93"/>
        <v>0.3</v>
      </c>
      <c r="CZ211">
        <f t="shared" si="94"/>
        <v>0.3</v>
      </c>
      <c r="DA211">
        <f t="shared" si="95"/>
        <v>1</v>
      </c>
      <c r="DB211">
        <f t="shared" si="96"/>
        <v>3.6</v>
      </c>
      <c r="DC211">
        <f t="shared" si="97"/>
        <v>0</v>
      </c>
      <c r="DD211" t="s">
        <v>6</v>
      </c>
      <c r="DE211" t="s">
        <v>6</v>
      </c>
      <c r="DF211">
        <f t="shared" si="91"/>
        <v>0</v>
      </c>
      <c r="DG211">
        <f t="shared" si="88"/>
        <v>0</v>
      </c>
      <c r="DH211">
        <f>Source!I183*SmtRes!Y211</f>
        <v>74.709000000000003</v>
      </c>
      <c r="DI211">
        <f t="shared" si="98"/>
        <v>0.3</v>
      </c>
      <c r="DJ211">
        <f t="shared" si="99"/>
        <v>0</v>
      </c>
      <c r="DK211">
        <f>Source!BC183</f>
        <v>1</v>
      </c>
      <c r="DL211" t="s">
        <v>6</v>
      </c>
      <c r="DM211">
        <v>0</v>
      </c>
      <c r="DN211" t="s">
        <v>6</v>
      </c>
      <c r="DO211">
        <v>0</v>
      </c>
      <c r="GP211">
        <v>1</v>
      </c>
      <c r="GQ211">
        <v>-1</v>
      </c>
      <c r="GR211">
        <v>-1</v>
      </c>
    </row>
    <row r="212" spans="1:200" x14ac:dyDescent="0.2">
      <c r="A212">
        <f>ROW(Source!A183)</f>
        <v>183</v>
      </c>
      <c r="B212">
        <v>86326987</v>
      </c>
      <c r="C212">
        <v>86327466</v>
      </c>
      <c r="D212">
        <v>11618019</v>
      </c>
      <c r="E212">
        <v>1</v>
      </c>
      <c r="F212">
        <v>1</v>
      </c>
      <c r="G212">
        <v>1</v>
      </c>
      <c r="H212">
        <v>3</v>
      </c>
      <c r="I212" t="s">
        <v>101</v>
      </c>
      <c r="J212" t="s">
        <v>104</v>
      </c>
      <c r="K212" t="s">
        <v>102</v>
      </c>
      <c r="L212">
        <v>1371</v>
      </c>
      <c r="N212">
        <v>1013</v>
      </c>
      <c r="O212" t="s">
        <v>103</v>
      </c>
      <c r="P212" t="s">
        <v>103</v>
      </c>
      <c r="Q212">
        <v>1</v>
      </c>
      <c r="W212">
        <v>0</v>
      </c>
      <c r="X212">
        <v>-504018761</v>
      </c>
      <c r="Y212">
        <f t="shared" si="92"/>
        <v>23</v>
      </c>
      <c r="AA212">
        <v>0.24</v>
      </c>
      <c r="AB212">
        <v>0</v>
      </c>
      <c r="AC212">
        <v>0</v>
      </c>
      <c r="AD212">
        <v>0</v>
      </c>
      <c r="AE212">
        <v>0.24</v>
      </c>
      <c r="AF212">
        <v>0</v>
      </c>
      <c r="AG212">
        <v>0</v>
      </c>
      <c r="AH212">
        <v>0</v>
      </c>
      <c r="AI212">
        <v>1</v>
      </c>
      <c r="AJ212">
        <v>1</v>
      </c>
      <c r="AK212">
        <v>1</v>
      </c>
      <c r="AL212">
        <v>1</v>
      </c>
      <c r="AM212">
        <v>0</v>
      </c>
      <c r="AN212">
        <v>0</v>
      </c>
      <c r="AO212">
        <v>0</v>
      </c>
      <c r="AP212">
        <v>1</v>
      </c>
      <c r="AQ212">
        <v>0</v>
      </c>
      <c r="AR212">
        <v>0</v>
      </c>
      <c r="AS212" t="s">
        <v>6</v>
      </c>
      <c r="AT212">
        <v>23</v>
      </c>
      <c r="AU212" t="s">
        <v>6</v>
      </c>
      <c r="AV212">
        <v>0</v>
      </c>
      <c r="AW212">
        <v>1</v>
      </c>
      <c r="AX212">
        <v>-1</v>
      </c>
      <c r="AY212">
        <v>0</v>
      </c>
      <c r="AZ212">
        <v>0</v>
      </c>
      <c r="BA212" t="s">
        <v>6</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CV212">
        <v>0</v>
      </c>
      <c r="CW212">
        <v>0</v>
      </c>
      <c r="CX212">
        <f>ROUND(Y212*Source!I183,9)</f>
        <v>143.19225</v>
      </c>
      <c r="CY212">
        <f t="shared" si="93"/>
        <v>0.24</v>
      </c>
      <c r="CZ212">
        <f t="shared" si="94"/>
        <v>0.24</v>
      </c>
      <c r="DA212">
        <f t="shared" si="95"/>
        <v>1</v>
      </c>
      <c r="DB212">
        <f t="shared" si="96"/>
        <v>5.52</v>
      </c>
      <c r="DC212">
        <f t="shared" si="97"/>
        <v>0</v>
      </c>
      <c r="DD212" t="s">
        <v>6</v>
      </c>
      <c r="DE212" t="s">
        <v>6</v>
      </c>
      <c r="DF212">
        <f t="shared" si="91"/>
        <v>0</v>
      </c>
      <c r="DG212">
        <f t="shared" si="88"/>
        <v>0</v>
      </c>
      <c r="DH212">
        <f>Source!I183*SmtRes!Y212</f>
        <v>143.19225</v>
      </c>
      <c r="DI212">
        <f t="shared" si="98"/>
        <v>0.24</v>
      </c>
      <c r="DJ212">
        <f t="shared" si="99"/>
        <v>0</v>
      </c>
      <c r="DK212">
        <f>Source!BC183</f>
        <v>1</v>
      </c>
      <c r="DL212" t="s">
        <v>6</v>
      </c>
      <c r="DM212">
        <v>0</v>
      </c>
      <c r="DN212" t="s">
        <v>6</v>
      </c>
      <c r="DO212">
        <v>0</v>
      </c>
      <c r="GP212">
        <v>1</v>
      </c>
      <c r="GQ212">
        <v>-1</v>
      </c>
      <c r="GR212">
        <v>-1</v>
      </c>
    </row>
    <row r="213" spans="1:200" x14ac:dyDescent="0.2">
      <c r="A213">
        <f>ROW(Source!A183)</f>
        <v>183</v>
      </c>
      <c r="B213">
        <v>86326987</v>
      </c>
      <c r="C213">
        <v>86327466</v>
      </c>
      <c r="D213">
        <v>35950821</v>
      </c>
      <c r="E213">
        <v>1</v>
      </c>
      <c r="F213">
        <v>1</v>
      </c>
      <c r="G213">
        <v>1</v>
      </c>
      <c r="H213">
        <v>3</v>
      </c>
      <c r="I213" t="s">
        <v>76</v>
      </c>
      <c r="J213" t="s">
        <v>79</v>
      </c>
      <c r="K213" t="s">
        <v>271</v>
      </c>
      <c r="L213">
        <v>1391</v>
      </c>
      <c r="N213">
        <v>1013</v>
      </c>
      <c r="O213" t="s">
        <v>78</v>
      </c>
      <c r="P213" t="s">
        <v>78</v>
      </c>
      <c r="Q213">
        <v>1</v>
      </c>
      <c r="W213">
        <v>0</v>
      </c>
      <c r="X213">
        <v>861347200</v>
      </c>
      <c r="Y213">
        <f t="shared" si="92"/>
        <v>0.91812229999999995</v>
      </c>
      <c r="AA213">
        <v>87.58</v>
      </c>
      <c r="AB213">
        <v>0</v>
      </c>
      <c r="AC213">
        <v>0</v>
      </c>
      <c r="AD213">
        <v>0</v>
      </c>
      <c r="AE213">
        <v>87.58</v>
      </c>
      <c r="AF213">
        <v>0</v>
      </c>
      <c r="AG213">
        <v>0</v>
      </c>
      <c r="AH213">
        <v>0</v>
      </c>
      <c r="AI213">
        <v>1</v>
      </c>
      <c r="AJ213">
        <v>1</v>
      </c>
      <c r="AK213">
        <v>1</v>
      </c>
      <c r="AL213">
        <v>1</v>
      </c>
      <c r="AM213">
        <v>0</v>
      </c>
      <c r="AN213">
        <v>0</v>
      </c>
      <c r="AO213">
        <v>0</v>
      </c>
      <c r="AP213">
        <v>1</v>
      </c>
      <c r="AQ213">
        <v>0</v>
      </c>
      <c r="AR213">
        <v>0</v>
      </c>
      <c r="AS213" t="s">
        <v>6</v>
      </c>
      <c r="AT213">
        <v>0.91812229999999995</v>
      </c>
      <c r="AU213" t="s">
        <v>6</v>
      </c>
      <c r="AV213">
        <v>0</v>
      </c>
      <c r="AW213">
        <v>1</v>
      </c>
      <c r="AX213">
        <v>-1</v>
      </c>
      <c r="AY213">
        <v>0</v>
      </c>
      <c r="AZ213">
        <v>0</v>
      </c>
      <c r="BA213" t="s">
        <v>6</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CV213">
        <v>0</v>
      </c>
      <c r="CW213">
        <v>0</v>
      </c>
      <c r="CX213">
        <f>ROUND(Y213*Source!I183,9)</f>
        <v>5.7159999089999998</v>
      </c>
      <c r="CY213">
        <f t="shared" si="93"/>
        <v>87.58</v>
      </c>
      <c r="CZ213">
        <f t="shared" si="94"/>
        <v>87.58</v>
      </c>
      <c r="DA213">
        <f t="shared" si="95"/>
        <v>1</v>
      </c>
      <c r="DB213">
        <f t="shared" si="96"/>
        <v>80.41</v>
      </c>
      <c r="DC213">
        <f t="shared" si="97"/>
        <v>0</v>
      </c>
      <c r="DD213" t="s">
        <v>6</v>
      </c>
      <c r="DE213" t="s">
        <v>6</v>
      </c>
      <c r="DF213">
        <f t="shared" si="91"/>
        <v>503</v>
      </c>
      <c r="DG213">
        <f t="shared" si="88"/>
        <v>0</v>
      </c>
      <c r="DH213">
        <f>Source!I183*SmtRes!Y213</f>
        <v>5.7159999092249993</v>
      </c>
      <c r="DI213">
        <f t="shared" si="98"/>
        <v>87.58</v>
      </c>
      <c r="DJ213">
        <f t="shared" si="99"/>
        <v>503</v>
      </c>
      <c r="DK213">
        <f>Source!BC183</f>
        <v>1</v>
      </c>
      <c r="DL213" t="s">
        <v>6</v>
      </c>
      <c r="DM213">
        <v>0</v>
      </c>
      <c r="DN213" t="s">
        <v>6</v>
      </c>
      <c r="DO213">
        <v>0</v>
      </c>
      <c r="GP213">
        <v>1</v>
      </c>
      <c r="GQ213">
        <v>-1</v>
      </c>
      <c r="GR213">
        <v>-1</v>
      </c>
    </row>
    <row r="214" spans="1:200" x14ac:dyDescent="0.2">
      <c r="A214">
        <f>ROW(Source!A183)</f>
        <v>183</v>
      </c>
      <c r="B214">
        <v>86326987</v>
      </c>
      <c r="C214">
        <v>86327466</v>
      </c>
      <c r="D214">
        <v>35950824</v>
      </c>
      <c r="E214">
        <v>1</v>
      </c>
      <c r="F214">
        <v>1</v>
      </c>
      <c r="G214">
        <v>1</v>
      </c>
      <c r="H214">
        <v>3</v>
      </c>
      <c r="I214" t="s">
        <v>82</v>
      </c>
      <c r="J214" t="s">
        <v>84</v>
      </c>
      <c r="K214" t="s">
        <v>273</v>
      </c>
      <c r="L214">
        <v>1391</v>
      </c>
      <c r="N214">
        <v>1013</v>
      </c>
      <c r="O214" t="s">
        <v>78</v>
      </c>
      <c r="P214" t="s">
        <v>78</v>
      </c>
      <c r="Q214">
        <v>1</v>
      </c>
      <c r="W214">
        <v>0</v>
      </c>
      <c r="X214">
        <v>-1286139580</v>
      </c>
      <c r="Y214">
        <f t="shared" si="92"/>
        <v>0.91812229999999995</v>
      </c>
      <c r="AA214">
        <v>56.57</v>
      </c>
      <c r="AB214">
        <v>0</v>
      </c>
      <c r="AC214">
        <v>0</v>
      </c>
      <c r="AD214">
        <v>0</v>
      </c>
      <c r="AE214">
        <v>56.57</v>
      </c>
      <c r="AF214">
        <v>0</v>
      </c>
      <c r="AG214">
        <v>0</v>
      </c>
      <c r="AH214">
        <v>0</v>
      </c>
      <c r="AI214">
        <v>1</v>
      </c>
      <c r="AJ214">
        <v>1</v>
      </c>
      <c r="AK214">
        <v>1</v>
      </c>
      <c r="AL214">
        <v>1</v>
      </c>
      <c r="AM214">
        <v>0</v>
      </c>
      <c r="AN214">
        <v>0</v>
      </c>
      <c r="AO214">
        <v>0</v>
      </c>
      <c r="AP214">
        <v>1</v>
      </c>
      <c r="AQ214">
        <v>0</v>
      </c>
      <c r="AR214">
        <v>0</v>
      </c>
      <c r="AS214" t="s">
        <v>6</v>
      </c>
      <c r="AT214">
        <v>0.91812229999999995</v>
      </c>
      <c r="AU214" t="s">
        <v>6</v>
      </c>
      <c r="AV214">
        <v>0</v>
      </c>
      <c r="AW214">
        <v>1</v>
      </c>
      <c r="AX214">
        <v>-1</v>
      </c>
      <c r="AY214">
        <v>0</v>
      </c>
      <c r="AZ214">
        <v>0</v>
      </c>
      <c r="BA214" t="s">
        <v>6</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CV214">
        <v>0</v>
      </c>
      <c r="CW214">
        <v>0</v>
      </c>
      <c r="CX214">
        <f>ROUND(Y214*Source!I183,9)</f>
        <v>5.7159999089999998</v>
      </c>
      <c r="CY214">
        <f t="shared" si="93"/>
        <v>56.57</v>
      </c>
      <c r="CZ214">
        <f t="shared" si="94"/>
        <v>56.57</v>
      </c>
      <c r="DA214">
        <f t="shared" si="95"/>
        <v>1</v>
      </c>
      <c r="DB214">
        <f t="shared" si="96"/>
        <v>51.94</v>
      </c>
      <c r="DC214">
        <f t="shared" si="97"/>
        <v>0</v>
      </c>
      <c r="DD214" t="s">
        <v>6</v>
      </c>
      <c r="DE214" t="s">
        <v>6</v>
      </c>
      <c r="DF214">
        <f t="shared" si="91"/>
        <v>326</v>
      </c>
      <c r="DG214">
        <f t="shared" si="88"/>
        <v>0</v>
      </c>
      <c r="DH214">
        <f>Source!I183*SmtRes!Y214</f>
        <v>5.7159999092249993</v>
      </c>
      <c r="DI214">
        <f t="shared" si="98"/>
        <v>56.57</v>
      </c>
      <c r="DJ214">
        <f t="shared" si="99"/>
        <v>326</v>
      </c>
      <c r="DK214">
        <f>Source!BC183</f>
        <v>1</v>
      </c>
      <c r="DL214" t="s">
        <v>6</v>
      </c>
      <c r="DM214">
        <v>0</v>
      </c>
      <c r="DN214" t="s">
        <v>6</v>
      </c>
      <c r="DO214">
        <v>0</v>
      </c>
      <c r="GP214">
        <v>1</v>
      </c>
      <c r="GQ214">
        <v>-1</v>
      </c>
      <c r="GR214">
        <v>-1</v>
      </c>
    </row>
    <row r="215" spans="1:200" x14ac:dyDescent="0.2">
      <c r="A215">
        <f>ROW(Source!A183)</f>
        <v>183</v>
      </c>
      <c r="B215">
        <v>86326987</v>
      </c>
      <c r="C215">
        <v>86327466</v>
      </c>
      <c r="D215">
        <v>27425862</v>
      </c>
      <c r="E215">
        <v>1</v>
      </c>
      <c r="F215">
        <v>1</v>
      </c>
      <c r="G215">
        <v>1</v>
      </c>
      <c r="H215">
        <v>3</v>
      </c>
      <c r="I215" t="s">
        <v>92</v>
      </c>
      <c r="J215" t="s">
        <v>95</v>
      </c>
      <c r="K215" t="s">
        <v>93</v>
      </c>
      <c r="L215">
        <v>1301</v>
      </c>
      <c r="N215">
        <v>1003</v>
      </c>
      <c r="O215" t="s">
        <v>94</v>
      </c>
      <c r="P215" t="s">
        <v>94</v>
      </c>
      <c r="Q215">
        <v>1</v>
      </c>
      <c r="W215">
        <v>0</v>
      </c>
      <c r="X215">
        <v>-1608277363</v>
      </c>
      <c r="Y215">
        <f t="shared" si="92"/>
        <v>5.3879999999999999</v>
      </c>
      <c r="AA215">
        <v>4.6900000000000004</v>
      </c>
      <c r="AB215">
        <v>0</v>
      </c>
      <c r="AC215">
        <v>0</v>
      </c>
      <c r="AD215">
        <v>0</v>
      </c>
      <c r="AE215">
        <v>4.6900000000000004</v>
      </c>
      <c r="AF215">
        <v>0</v>
      </c>
      <c r="AG215">
        <v>0</v>
      </c>
      <c r="AH215">
        <v>0</v>
      </c>
      <c r="AI215">
        <v>1</v>
      </c>
      <c r="AJ215">
        <v>1</v>
      </c>
      <c r="AK215">
        <v>1</v>
      </c>
      <c r="AL215">
        <v>1</v>
      </c>
      <c r="AM215">
        <v>0</v>
      </c>
      <c r="AN215">
        <v>0</v>
      </c>
      <c r="AO215">
        <v>0</v>
      </c>
      <c r="AP215">
        <v>1</v>
      </c>
      <c r="AQ215">
        <v>0</v>
      </c>
      <c r="AR215">
        <v>0</v>
      </c>
      <c r="AS215" t="s">
        <v>6</v>
      </c>
      <c r="AT215">
        <v>5.3879999999999999</v>
      </c>
      <c r="AU215" t="s">
        <v>6</v>
      </c>
      <c r="AV215">
        <v>0</v>
      </c>
      <c r="AW215">
        <v>1</v>
      </c>
      <c r="AX215">
        <v>-1</v>
      </c>
      <c r="AY215">
        <v>0</v>
      </c>
      <c r="AZ215">
        <v>0</v>
      </c>
      <c r="BA215" t="s">
        <v>6</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CV215">
        <v>0</v>
      </c>
      <c r="CW215">
        <v>0</v>
      </c>
      <c r="CX215">
        <f>ROUND(Y215*Source!I183,9)</f>
        <v>33.544341000000003</v>
      </c>
      <c r="CY215">
        <f t="shared" si="93"/>
        <v>4.6900000000000004</v>
      </c>
      <c r="CZ215">
        <f t="shared" si="94"/>
        <v>4.6900000000000004</v>
      </c>
      <c r="DA215">
        <f t="shared" si="95"/>
        <v>1</v>
      </c>
      <c r="DB215">
        <f t="shared" si="96"/>
        <v>25.27</v>
      </c>
      <c r="DC215">
        <f t="shared" si="97"/>
        <v>0</v>
      </c>
      <c r="DD215" t="s">
        <v>6</v>
      </c>
      <c r="DE215" t="s">
        <v>6</v>
      </c>
      <c r="DF215">
        <f t="shared" si="91"/>
        <v>168</v>
      </c>
      <c r="DG215">
        <f t="shared" si="88"/>
        <v>0</v>
      </c>
      <c r="DH215">
        <f>Source!I183*SmtRes!Y215</f>
        <v>33.544340999999996</v>
      </c>
      <c r="DI215">
        <f t="shared" si="98"/>
        <v>4.6900000000000004</v>
      </c>
      <c r="DJ215">
        <f t="shared" si="99"/>
        <v>168</v>
      </c>
      <c r="DK215">
        <f>Source!BC183</f>
        <v>1</v>
      </c>
      <c r="DL215" t="s">
        <v>6</v>
      </c>
      <c r="DM215">
        <v>0</v>
      </c>
      <c r="DN215" t="s">
        <v>6</v>
      </c>
      <c r="DO215">
        <v>0</v>
      </c>
      <c r="GP215">
        <v>1</v>
      </c>
      <c r="GQ215">
        <v>-1</v>
      </c>
      <c r="GR215">
        <v>-1</v>
      </c>
    </row>
    <row r="216" spans="1:200" x14ac:dyDescent="0.2">
      <c r="A216">
        <f>ROW(Source!A183)</f>
        <v>183</v>
      </c>
      <c r="B216">
        <v>86326987</v>
      </c>
      <c r="C216">
        <v>86327466</v>
      </c>
      <c r="D216">
        <v>69208315</v>
      </c>
      <c r="E216">
        <v>1</v>
      </c>
      <c r="F216">
        <v>1</v>
      </c>
      <c r="G216">
        <v>1</v>
      </c>
      <c r="H216">
        <v>3</v>
      </c>
      <c r="I216" t="s">
        <v>117</v>
      </c>
      <c r="J216" t="s">
        <v>119</v>
      </c>
      <c r="K216" t="s">
        <v>118</v>
      </c>
      <c r="L216">
        <v>1348</v>
      </c>
      <c r="N216">
        <v>1009</v>
      </c>
      <c r="O216" t="s">
        <v>33</v>
      </c>
      <c r="P216" t="s">
        <v>33</v>
      </c>
      <c r="Q216">
        <v>1000</v>
      </c>
      <c r="W216">
        <v>0</v>
      </c>
      <c r="X216">
        <v>772407484</v>
      </c>
      <c r="Y216">
        <f t="shared" si="92"/>
        <v>9.5100000000000002E-4</v>
      </c>
      <c r="AA216">
        <v>10633.86</v>
      </c>
      <c r="AB216">
        <v>0</v>
      </c>
      <c r="AC216">
        <v>0</v>
      </c>
      <c r="AD216">
        <v>0</v>
      </c>
      <c r="AE216">
        <v>10633.86</v>
      </c>
      <c r="AF216">
        <v>0</v>
      </c>
      <c r="AG216">
        <v>0</v>
      </c>
      <c r="AH216">
        <v>0</v>
      </c>
      <c r="AI216">
        <v>1</v>
      </c>
      <c r="AJ216">
        <v>1</v>
      </c>
      <c r="AK216">
        <v>1</v>
      </c>
      <c r="AL216">
        <v>1</v>
      </c>
      <c r="AM216">
        <v>0</v>
      </c>
      <c r="AN216">
        <v>0</v>
      </c>
      <c r="AO216">
        <v>0</v>
      </c>
      <c r="AP216">
        <v>1</v>
      </c>
      <c r="AQ216">
        <v>0</v>
      </c>
      <c r="AR216">
        <v>0</v>
      </c>
      <c r="AS216" t="s">
        <v>6</v>
      </c>
      <c r="AT216">
        <v>9.5100000000000002E-4</v>
      </c>
      <c r="AU216" t="s">
        <v>6</v>
      </c>
      <c r="AV216">
        <v>0</v>
      </c>
      <c r="AW216">
        <v>1</v>
      </c>
      <c r="AX216">
        <v>-1</v>
      </c>
      <c r="AY216">
        <v>0</v>
      </c>
      <c r="AZ216">
        <v>0</v>
      </c>
      <c r="BA216" t="s">
        <v>6</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CV216">
        <v>0</v>
      </c>
      <c r="CW216">
        <v>0</v>
      </c>
      <c r="CX216">
        <f>ROUND(Y216*Source!I183,9)</f>
        <v>5.9206880000000003E-3</v>
      </c>
      <c r="CY216">
        <f t="shared" si="93"/>
        <v>10633.86</v>
      </c>
      <c r="CZ216">
        <f t="shared" si="94"/>
        <v>10633.86</v>
      </c>
      <c r="DA216">
        <f t="shared" si="95"/>
        <v>1</v>
      </c>
      <c r="DB216">
        <f t="shared" si="96"/>
        <v>10.11</v>
      </c>
      <c r="DC216">
        <f t="shared" si="97"/>
        <v>0</v>
      </c>
      <c r="DD216" t="s">
        <v>6</v>
      </c>
      <c r="DE216" t="s">
        <v>6</v>
      </c>
      <c r="DF216">
        <f t="shared" si="91"/>
        <v>63</v>
      </c>
      <c r="DG216">
        <f t="shared" si="88"/>
        <v>0</v>
      </c>
      <c r="DH216">
        <f>Source!I183*SmtRes!Y216</f>
        <v>5.9206882500000002E-3</v>
      </c>
      <c r="DI216">
        <f t="shared" si="98"/>
        <v>10633.86</v>
      </c>
      <c r="DJ216">
        <f t="shared" si="99"/>
        <v>63</v>
      </c>
      <c r="DK216">
        <f>Source!BC183</f>
        <v>1</v>
      </c>
      <c r="DL216" t="s">
        <v>6</v>
      </c>
      <c r="DM216">
        <v>0</v>
      </c>
      <c r="DN216" t="s">
        <v>6</v>
      </c>
      <c r="DO216">
        <v>0</v>
      </c>
      <c r="GP216">
        <v>1</v>
      </c>
      <c r="GQ216">
        <v>-1</v>
      </c>
      <c r="GR216">
        <v>-1</v>
      </c>
    </row>
    <row r="217" spans="1:200" x14ac:dyDescent="0.2">
      <c r="A217">
        <f>ROW(Source!A183)</f>
        <v>183</v>
      </c>
      <c r="B217">
        <v>86326987</v>
      </c>
      <c r="C217">
        <v>86327466</v>
      </c>
      <c r="D217">
        <v>69408587</v>
      </c>
      <c r="E217">
        <v>1</v>
      </c>
      <c r="F217">
        <v>1</v>
      </c>
      <c r="G217">
        <v>1</v>
      </c>
      <c r="H217">
        <v>3</v>
      </c>
      <c r="I217" t="s">
        <v>87</v>
      </c>
      <c r="J217" t="s">
        <v>89</v>
      </c>
      <c r="K217" t="s">
        <v>88</v>
      </c>
      <c r="L217">
        <v>1339</v>
      </c>
      <c r="N217">
        <v>1007</v>
      </c>
      <c r="O217" t="s">
        <v>44</v>
      </c>
      <c r="P217" t="s">
        <v>44</v>
      </c>
      <c r="Q217">
        <v>1</v>
      </c>
      <c r="W217">
        <v>0</v>
      </c>
      <c r="X217">
        <v>-183216560</v>
      </c>
      <c r="Y217">
        <f t="shared" si="92"/>
        <v>1.4640324499999999</v>
      </c>
      <c r="AA217">
        <v>878.79</v>
      </c>
      <c r="AB217">
        <v>0</v>
      </c>
      <c r="AC217">
        <v>0</v>
      </c>
      <c r="AD217">
        <v>0</v>
      </c>
      <c r="AE217">
        <v>878.79</v>
      </c>
      <c r="AF217">
        <v>0</v>
      </c>
      <c r="AG217">
        <v>0</v>
      </c>
      <c r="AH217">
        <v>0</v>
      </c>
      <c r="AI217">
        <v>1</v>
      </c>
      <c r="AJ217">
        <v>1</v>
      </c>
      <c r="AK217">
        <v>1</v>
      </c>
      <c r="AL217">
        <v>1</v>
      </c>
      <c r="AM217">
        <v>0</v>
      </c>
      <c r="AN217">
        <v>0</v>
      </c>
      <c r="AO217">
        <v>0</v>
      </c>
      <c r="AP217">
        <v>1</v>
      </c>
      <c r="AQ217">
        <v>0</v>
      </c>
      <c r="AR217">
        <v>0</v>
      </c>
      <c r="AS217" t="s">
        <v>6</v>
      </c>
      <c r="AT217">
        <v>1.4640324499999999</v>
      </c>
      <c r="AU217" t="s">
        <v>6</v>
      </c>
      <c r="AV217">
        <v>0</v>
      </c>
      <c r="AW217">
        <v>1</v>
      </c>
      <c r="AX217">
        <v>-1</v>
      </c>
      <c r="AY217">
        <v>0</v>
      </c>
      <c r="AZ217">
        <v>0</v>
      </c>
      <c r="BA217" t="s">
        <v>6</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CV217">
        <v>0</v>
      </c>
      <c r="CW217">
        <v>0</v>
      </c>
      <c r="CX217">
        <f>ROUND(Y217*Source!I183,9)</f>
        <v>9.1147000259999995</v>
      </c>
      <c r="CY217">
        <f t="shared" si="93"/>
        <v>878.79</v>
      </c>
      <c r="CZ217">
        <f t="shared" si="94"/>
        <v>878.79</v>
      </c>
      <c r="DA217">
        <f t="shared" si="95"/>
        <v>1</v>
      </c>
      <c r="DB217">
        <f t="shared" si="96"/>
        <v>1286.58</v>
      </c>
      <c r="DC217">
        <f t="shared" si="97"/>
        <v>0</v>
      </c>
      <c r="DD217" t="s">
        <v>6</v>
      </c>
      <c r="DE217" t="s">
        <v>6</v>
      </c>
      <c r="DF217">
        <f t="shared" si="91"/>
        <v>8012</v>
      </c>
      <c r="DG217">
        <f t="shared" si="88"/>
        <v>0</v>
      </c>
      <c r="DH217">
        <f>Source!I183*SmtRes!Y217</f>
        <v>9.1147000255874993</v>
      </c>
      <c r="DI217">
        <f t="shared" si="98"/>
        <v>878.79</v>
      </c>
      <c r="DJ217">
        <f t="shared" si="99"/>
        <v>8012</v>
      </c>
      <c r="DK217">
        <f>Source!BC183</f>
        <v>1</v>
      </c>
      <c r="DL217" t="s">
        <v>6</v>
      </c>
      <c r="DM217">
        <v>0</v>
      </c>
      <c r="DN217" t="s">
        <v>6</v>
      </c>
      <c r="DO217">
        <v>0</v>
      </c>
      <c r="GP217">
        <v>1</v>
      </c>
      <c r="GQ217">
        <v>-1</v>
      </c>
      <c r="GR217">
        <v>-1</v>
      </c>
    </row>
    <row r="218" spans="1:200" x14ac:dyDescent="0.2">
      <c r="A218">
        <f>ROW(Source!A184)</f>
        <v>184</v>
      </c>
      <c r="B218">
        <v>86326988</v>
      </c>
      <c r="C218">
        <v>86327466</v>
      </c>
      <c r="D218">
        <v>27497778</v>
      </c>
      <c r="E218">
        <v>1</v>
      </c>
      <c r="F218">
        <v>1</v>
      </c>
      <c r="G218">
        <v>1</v>
      </c>
      <c r="H218">
        <v>1</v>
      </c>
      <c r="I218" t="s">
        <v>647</v>
      </c>
      <c r="J218" t="s">
        <v>6</v>
      </c>
      <c r="K218" t="s">
        <v>648</v>
      </c>
      <c r="L218">
        <v>1369</v>
      </c>
      <c r="N218">
        <v>1013</v>
      </c>
      <c r="O218" t="s">
        <v>625</v>
      </c>
      <c r="P218" t="s">
        <v>625</v>
      </c>
      <c r="Q218">
        <v>1</v>
      </c>
      <c r="W218">
        <v>0</v>
      </c>
      <c r="X218">
        <v>-160844189</v>
      </c>
      <c r="Y218">
        <f>(AT218*1.05)</f>
        <v>4.6620000000000008</v>
      </c>
      <c r="AA218">
        <v>0</v>
      </c>
      <c r="AB218">
        <v>0</v>
      </c>
      <c r="AC218">
        <v>0</v>
      </c>
      <c r="AD218">
        <v>314.17</v>
      </c>
      <c r="AE218">
        <v>0</v>
      </c>
      <c r="AF218">
        <v>0</v>
      </c>
      <c r="AG218">
        <v>0</v>
      </c>
      <c r="AH218">
        <v>8.7100000000000009</v>
      </c>
      <c r="AI218">
        <v>1</v>
      </c>
      <c r="AJ218">
        <v>1</v>
      </c>
      <c r="AK218">
        <v>1</v>
      </c>
      <c r="AL218">
        <v>36.07</v>
      </c>
      <c r="AM218">
        <v>5</v>
      </c>
      <c r="AN218">
        <v>0</v>
      </c>
      <c r="AO218">
        <v>1</v>
      </c>
      <c r="AP218">
        <v>1</v>
      </c>
      <c r="AQ218">
        <v>0</v>
      </c>
      <c r="AR218">
        <v>0</v>
      </c>
      <c r="AS218" t="s">
        <v>6</v>
      </c>
      <c r="AT218">
        <v>4.4400000000000004</v>
      </c>
      <c r="AU218" t="s">
        <v>25</v>
      </c>
      <c r="AV218">
        <v>1</v>
      </c>
      <c r="AW218">
        <v>2</v>
      </c>
      <c r="AX218">
        <v>86327480</v>
      </c>
      <c r="AY218">
        <v>1</v>
      </c>
      <c r="AZ218">
        <v>0</v>
      </c>
      <c r="BA218">
        <v>168</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CU218">
        <f>ROUND(AT218*Source!I184*AH218*AL218,0)</f>
        <v>8684</v>
      </c>
      <c r="CV218">
        <f>ROUND(Y218*Source!I184,9)</f>
        <v>29.0244465</v>
      </c>
      <c r="CW218">
        <v>0</v>
      </c>
      <c r="CX218">
        <f>ROUND(Y218*Source!I184,9)</f>
        <v>29.0244465</v>
      </c>
      <c r="CY218">
        <f>AD218</f>
        <v>314.17</v>
      </c>
      <c r="CZ218">
        <f>AH218</f>
        <v>8.7100000000000009</v>
      </c>
      <c r="DA218">
        <f>AL218</f>
        <v>36.07</v>
      </c>
      <c r="DB218">
        <f>ROUND((ROUND(AT218*CZ218,2)*1.05),2)</f>
        <v>40.6</v>
      </c>
      <c r="DC218">
        <f>ROUND((ROUND(AT218*AG218,2)*1.05),2)</f>
        <v>0</v>
      </c>
      <c r="DD218" t="s">
        <v>6</v>
      </c>
      <c r="DE218" t="s">
        <v>6</v>
      </c>
      <c r="DF218">
        <f t="shared" si="91"/>
        <v>0</v>
      </c>
      <c r="DG218">
        <f t="shared" si="88"/>
        <v>0</v>
      </c>
      <c r="DH218">
        <f>Source!I184*SmtRes!Y218</f>
        <v>29.024446500000003</v>
      </c>
      <c r="DI218">
        <f>AD218</f>
        <v>314.17</v>
      </c>
      <c r="DJ218">
        <f>EtalonRes!AB168</f>
        <v>8.7100000000000009</v>
      </c>
      <c r="DK218">
        <f>Source!BA184</f>
        <v>36.07</v>
      </c>
      <c r="DL218" t="s">
        <v>6</v>
      </c>
      <c r="DM218">
        <v>0</v>
      </c>
      <c r="DN218" t="s">
        <v>6</v>
      </c>
      <c r="DO218">
        <v>0</v>
      </c>
      <c r="GQ218">
        <v>-1</v>
      </c>
      <c r="GR218">
        <v>-1</v>
      </c>
    </row>
    <row r="219" spans="1:200" x14ac:dyDescent="0.2">
      <c r="A219">
        <f>ROW(Source!A184)</f>
        <v>184</v>
      </c>
      <c r="B219">
        <v>86326988</v>
      </c>
      <c r="C219">
        <v>86327466</v>
      </c>
      <c r="D219">
        <v>121548</v>
      </c>
      <c r="E219">
        <v>1</v>
      </c>
      <c r="F219">
        <v>1</v>
      </c>
      <c r="G219">
        <v>1</v>
      </c>
      <c r="H219">
        <v>1</v>
      </c>
      <c r="I219" t="s">
        <v>40</v>
      </c>
      <c r="J219" t="s">
        <v>6</v>
      </c>
      <c r="K219" t="s">
        <v>626</v>
      </c>
      <c r="L219">
        <v>608254</v>
      </c>
      <c r="N219">
        <v>1013</v>
      </c>
      <c r="O219" t="s">
        <v>627</v>
      </c>
      <c r="P219" t="s">
        <v>627</v>
      </c>
      <c r="Q219">
        <v>1</v>
      </c>
      <c r="W219">
        <v>0</v>
      </c>
      <c r="X219">
        <v>-185737400</v>
      </c>
      <c r="Y219">
        <f>(AT219*1.12)</f>
        <v>1.9376000000000002</v>
      </c>
      <c r="AA219">
        <v>0</v>
      </c>
      <c r="AB219">
        <v>0</v>
      </c>
      <c r="AC219">
        <v>0</v>
      </c>
      <c r="AD219">
        <v>0</v>
      </c>
      <c r="AE219">
        <v>0</v>
      </c>
      <c r="AF219">
        <v>0</v>
      </c>
      <c r="AG219">
        <v>0</v>
      </c>
      <c r="AH219">
        <v>0</v>
      </c>
      <c r="AI219">
        <v>1</v>
      </c>
      <c r="AJ219">
        <v>1</v>
      </c>
      <c r="AK219">
        <v>19.8</v>
      </c>
      <c r="AL219">
        <v>1</v>
      </c>
      <c r="AM219">
        <v>5</v>
      </c>
      <c r="AN219">
        <v>0</v>
      </c>
      <c r="AO219">
        <v>1</v>
      </c>
      <c r="AP219">
        <v>1</v>
      </c>
      <c r="AQ219">
        <v>0</v>
      </c>
      <c r="AR219">
        <v>0</v>
      </c>
      <c r="AS219" t="s">
        <v>6</v>
      </c>
      <c r="AT219">
        <v>1.73</v>
      </c>
      <c r="AU219" t="s">
        <v>24</v>
      </c>
      <c r="AV219">
        <v>2</v>
      </c>
      <c r="AW219">
        <v>2</v>
      </c>
      <c r="AX219">
        <v>86327481</v>
      </c>
      <c r="AY219">
        <v>1</v>
      </c>
      <c r="AZ219">
        <v>0</v>
      </c>
      <c r="BA219">
        <v>169</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CV219">
        <v>0</v>
      </c>
      <c r="CW219">
        <v>0</v>
      </c>
      <c r="CX219">
        <f>ROUND(Y219*Source!I184,9)</f>
        <v>12.0630132</v>
      </c>
      <c r="CY219">
        <f>AD219</f>
        <v>0</v>
      </c>
      <c r="CZ219">
        <f>AH219</f>
        <v>0</v>
      </c>
      <c r="DA219">
        <f>AL219</f>
        <v>1</v>
      </c>
      <c r="DB219">
        <f>ROUND((ROUND(AT219*CZ219,2)*1.12),2)</f>
        <v>0</v>
      </c>
      <c r="DC219">
        <f>ROUND((ROUND(AT219*AG219,2)*1.12),2)</f>
        <v>0</v>
      </c>
      <c r="DD219" t="s">
        <v>6</v>
      </c>
      <c r="DE219" t="s">
        <v>6</v>
      </c>
      <c r="DF219">
        <f t="shared" si="91"/>
        <v>0</v>
      </c>
      <c r="DG219">
        <f t="shared" si="88"/>
        <v>0</v>
      </c>
      <c r="DH219">
        <f>Source!I184*SmtRes!Y219</f>
        <v>12.0630132</v>
      </c>
      <c r="DI219">
        <f>AD219</f>
        <v>0</v>
      </c>
      <c r="DJ219">
        <f>EtalonRes!AB169</f>
        <v>0</v>
      </c>
      <c r="DK219">
        <f>Source!BA184</f>
        <v>36.07</v>
      </c>
      <c r="DL219" t="s">
        <v>6</v>
      </c>
      <c r="DM219">
        <v>0</v>
      </c>
      <c r="DN219" t="s">
        <v>6</v>
      </c>
      <c r="DO219">
        <v>0</v>
      </c>
      <c r="GQ219">
        <v>-1</v>
      </c>
      <c r="GR219">
        <v>-1</v>
      </c>
    </row>
    <row r="220" spans="1:200" x14ac:dyDescent="0.2">
      <c r="A220">
        <f>ROW(Source!A184)</f>
        <v>184</v>
      </c>
      <c r="B220">
        <v>86326988</v>
      </c>
      <c r="C220">
        <v>86327466</v>
      </c>
      <c r="D220">
        <v>27439419</v>
      </c>
      <c r="E220">
        <v>1</v>
      </c>
      <c r="F220">
        <v>1</v>
      </c>
      <c r="G220">
        <v>1</v>
      </c>
      <c r="H220">
        <v>2</v>
      </c>
      <c r="I220" t="s">
        <v>628</v>
      </c>
      <c r="J220" t="s">
        <v>629</v>
      </c>
      <c r="K220" t="s">
        <v>630</v>
      </c>
      <c r="L220">
        <v>1368</v>
      </c>
      <c r="N220">
        <v>1011</v>
      </c>
      <c r="O220" t="s">
        <v>137</v>
      </c>
      <c r="P220" t="s">
        <v>137</v>
      </c>
      <c r="Q220">
        <v>1</v>
      </c>
      <c r="W220">
        <v>0</v>
      </c>
      <c r="X220">
        <v>1804162481</v>
      </c>
      <c r="Y220">
        <f>(AT220*1.12)</f>
        <v>1.9376000000000002</v>
      </c>
      <c r="AA220">
        <v>0</v>
      </c>
      <c r="AB220">
        <v>1075.45</v>
      </c>
      <c r="AC220">
        <v>269.48</v>
      </c>
      <c r="AD220">
        <v>0</v>
      </c>
      <c r="AE220">
        <v>0</v>
      </c>
      <c r="AF220">
        <v>115.64</v>
      </c>
      <c r="AG220">
        <v>13.61</v>
      </c>
      <c r="AH220">
        <v>0</v>
      </c>
      <c r="AI220">
        <v>1</v>
      </c>
      <c r="AJ220">
        <v>9.3000000000000007</v>
      </c>
      <c r="AK220">
        <v>19.8</v>
      </c>
      <c r="AL220">
        <v>1</v>
      </c>
      <c r="AM220">
        <v>5</v>
      </c>
      <c r="AN220">
        <v>0</v>
      </c>
      <c r="AO220">
        <v>1</v>
      </c>
      <c r="AP220">
        <v>1</v>
      </c>
      <c r="AQ220">
        <v>0</v>
      </c>
      <c r="AR220">
        <v>0</v>
      </c>
      <c r="AS220" t="s">
        <v>6</v>
      </c>
      <c r="AT220">
        <v>1.73</v>
      </c>
      <c r="AU220" t="s">
        <v>24</v>
      </c>
      <c r="AV220">
        <v>0</v>
      </c>
      <c r="AW220">
        <v>1</v>
      </c>
      <c r="AX220">
        <v>-1</v>
      </c>
      <c r="AY220">
        <v>0</v>
      </c>
      <c r="AZ220">
        <v>0</v>
      </c>
      <c r="BA220" t="s">
        <v>6</v>
      </c>
      <c r="BB220">
        <v>5</v>
      </c>
      <c r="BC220">
        <v>0</v>
      </c>
      <c r="BD220">
        <v>224.06406400000003</v>
      </c>
      <c r="BE220">
        <v>26.370736000000001</v>
      </c>
      <c r="BF220">
        <v>0</v>
      </c>
      <c r="BG220">
        <v>0</v>
      </c>
      <c r="BH220">
        <v>0</v>
      </c>
      <c r="BI220">
        <v>1</v>
      </c>
      <c r="BJ220">
        <v>0</v>
      </c>
      <c r="BK220">
        <v>0</v>
      </c>
      <c r="BL220">
        <v>0</v>
      </c>
      <c r="BM220">
        <v>0</v>
      </c>
      <c r="BN220">
        <v>0</v>
      </c>
      <c r="BO220">
        <v>0</v>
      </c>
      <c r="BP220">
        <v>0</v>
      </c>
      <c r="BQ220">
        <v>0</v>
      </c>
      <c r="BR220">
        <v>0</v>
      </c>
      <c r="BS220">
        <v>0</v>
      </c>
      <c r="BT220">
        <v>0</v>
      </c>
      <c r="BU220">
        <v>0</v>
      </c>
      <c r="BV220">
        <v>0</v>
      </c>
      <c r="BW220">
        <v>0</v>
      </c>
      <c r="CV220">
        <v>0</v>
      </c>
      <c r="CW220">
        <f>ROUND(Y220*Source!I184*DO220,9)</f>
        <v>0</v>
      </c>
      <c r="CX220">
        <f>ROUND(Y220*Source!I184,9)</f>
        <v>12.0630132</v>
      </c>
      <c r="CY220">
        <f>AB220</f>
        <v>1075.45</v>
      </c>
      <c r="CZ220">
        <f>AF220</f>
        <v>115.64</v>
      </c>
      <c r="DA220">
        <f>AJ220</f>
        <v>9.3000000000000007</v>
      </c>
      <c r="DB220">
        <f>ROUND((ROUND(AT220*CZ220,2)*1.12),2)</f>
        <v>224.07</v>
      </c>
      <c r="DC220">
        <f>ROUND((ROUND(AT220*AG220,2)*1.12),2)</f>
        <v>26.38</v>
      </c>
      <c r="DD220" t="s">
        <v>6</v>
      </c>
      <c r="DE220" t="s">
        <v>6</v>
      </c>
      <c r="DF220">
        <f t="shared" si="91"/>
        <v>0</v>
      </c>
      <c r="DG220">
        <f>ROUND(ROUND(AF220*AJ220,0)*CX220,0)</f>
        <v>12968</v>
      </c>
      <c r="DH220">
        <f>Source!I184*SmtRes!Y220</f>
        <v>12.0630132</v>
      </c>
      <c r="DI220">
        <f>AB220</f>
        <v>1075.45</v>
      </c>
      <c r="DJ220">
        <f>DG220</f>
        <v>12968</v>
      </c>
      <c r="DK220">
        <f>Source!BB184</f>
        <v>9.3000000000000007</v>
      </c>
      <c r="DL220" t="s">
        <v>6</v>
      </c>
      <c r="DM220">
        <v>0</v>
      </c>
      <c r="DN220" t="s">
        <v>6</v>
      </c>
      <c r="DO220">
        <v>0</v>
      </c>
      <c r="GQ220">
        <v>-1</v>
      </c>
      <c r="GR220">
        <v>-1</v>
      </c>
    </row>
    <row r="221" spans="1:200" x14ac:dyDescent="0.2">
      <c r="A221">
        <f>ROW(Source!A184)</f>
        <v>184</v>
      </c>
      <c r="B221">
        <v>86326988</v>
      </c>
      <c r="C221">
        <v>86327466</v>
      </c>
      <c r="D221">
        <v>27440039</v>
      </c>
      <c r="E221">
        <v>1</v>
      </c>
      <c r="F221">
        <v>1</v>
      </c>
      <c r="G221">
        <v>1</v>
      </c>
      <c r="H221">
        <v>2</v>
      </c>
      <c r="I221" t="s">
        <v>649</v>
      </c>
      <c r="J221" t="s">
        <v>650</v>
      </c>
      <c r="K221" t="s">
        <v>651</v>
      </c>
      <c r="L221">
        <v>1368</v>
      </c>
      <c r="N221">
        <v>1011</v>
      </c>
      <c r="O221" t="s">
        <v>137</v>
      </c>
      <c r="P221" t="s">
        <v>137</v>
      </c>
      <c r="Q221">
        <v>1</v>
      </c>
      <c r="W221">
        <v>0</v>
      </c>
      <c r="X221">
        <v>389347920</v>
      </c>
      <c r="Y221">
        <f>(AT221*1.12)</f>
        <v>1.3440000000000001</v>
      </c>
      <c r="AA221">
        <v>0</v>
      </c>
      <c r="AB221">
        <v>17.02</v>
      </c>
      <c r="AC221">
        <v>0</v>
      </c>
      <c r="AD221">
        <v>0</v>
      </c>
      <c r="AE221">
        <v>0</v>
      </c>
      <c r="AF221">
        <v>1.83</v>
      </c>
      <c r="AG221">
        <v>0</v>
      </c>
      <c r="AH221">
        <v>0</v>
      </c>
      <c r="AI221">
        <v>1</v>
      </c>
      <c r="AJ221">
        <v>9.3000000000000007</v>
      </c>
      <c r="AK221">
        <v>19.8</v>
      </c>
      <c r="AL221">
        <v>1</v>
      </c>
      <c r="AM221">
        <v>5</v>
      </c>
      <c r="AN221">
        <v>0</v>
      </c>
      <c r="AO221">
        <v>1</v>
      </c>
      <c r="AP221">
        <v>1</v>
      </c>
      <c r="AQ221">
        <v>0</v>
      </c>
      <c r="AR221">
        <v>0</v>
      </c>
      <c r="AS221" t="s">
        <v>6</v>
      </c>
      <c r="AT221">
        <v>1.2</v>
      </c>
      <c r="AU221" t="s">
        <v>24</v>
      </c>
      <c r="AV221">
        <v>0</v>
      </c>
      <c r="AW221">
        <v>2</v>
      </c>
      <c r="AX221">
        <v>86327483</v>
      </c>
      <c r="AY221">
        <v>1</v>
      </c>
      <c r="AZ221">
        <v>0</v>
      </c>
      <c r="BA221">
        <v>171</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CV221">
        <v>0</v>
      </c>
      <c r="CW221">
        <f>ROUND(Y221*Source!I184*DO221,9)</f>
        <v>0</v>
      </c>
      <c r="CX221">
        <f>ROUND(Y221*Source!I184,9)</f>
        <v>8.3674079999999993</v>
      </c>
      <c r="CY221">
        <f>AB221</f>
        <v>17.02</v>
      </c>
      <c r="CZ221">
        <f>AF221</f>
        <v>1.83</v>
      </c>
      <c r="DA221">
        <f>AJ221</f>
        <v>9.3000000000000007</v>
      </c>
      <c r="DB221">
        <f>ROUND((ROUND(AT221*CZ221,2)*1.12),2)</f>
        <v>2.46</v>
      </c>
      <c r="DC221">
        <f>ROUND((ROUND(AT221*AG221,2)*1.12),2)</f>
        <v>0</v>
      </c>
      <c r="DD221" t="s">
        <v>6</v>
      </c>
      <c r="DE221" t="s">
        <v>6</v>
      </c>
      <c r="DF221">
        <f t="shared" si="91"/>
        <v>0</v>
      </c>
      <c r="DG221">
        <f>ROUND(ROUND(AF221*AJ221,0)*CX221,0)</f>
        <v>142</v>
      </c>
      <c r="DH221">
        <f>Source!I184*SmtRes!Y221</f>
        <v>8.3674079999999993</v>
      </c>
      <c r="DI221">
        <f>AB221</f>
        <v>17.02</v>
      </c>
      <c r="DJ221">
        <f>EtalonRes!Z171</f>
        <v>1.83</v>
      </c>
      <c r="DK221">
        <f>Source!BB184</f>
        <v>9.3000000000000007</v>
      </c>
      <c r="DL221" t="s">
        <v>6</v>
      </c>
      <c r="DM221">
        <v>0</v>
      </c>
      <c r="DN221" t="s">
        <v>6</v>
      </c>
      <c r="DO221">
        <v>0</v>
      </c>
      <c r="GQ221">
        <v>-1</v>
      </c>
      <c r="GR221">
        <v>-1</v>
      </c>
    </row>
    <row r="222" spans="1:200" x14ac:dyDescent="0.2">
      <c r="A222">
        <f>ROW(Source!A184)</f>
        <v>184</v>
      </c>
      <c r="B222">
        <v>86326988</v>
      </c>
      <c r="C222">
        <v>86327466</v>
      </c>
      <c r="D222">
        <v>27371200</v>
      </c>
      <c r="E222">
        <v>1</v>
      </c>
      <c r="F222">
        <v>1</v>
      </c>
      <c r="G222">
        <v>1</v>
      </c>
      <c r="H222">
        <v>3</v>
      </c>
      <c r="I222" t="s">
        <v>71</v>
      </c>
      <c r="J222" t="s">
        <v>73</v>
      </c>
      <c r="K222" t="s">
        <v>72</v>
      </c>
      <c r="L222">
        <v>1348</v>
      </c>
      <c r="N222">
        <v>1009</v>
      </c>
      <c r="O222" t="s">
        <v>33</v>
      </c>
      <c r="P222" t="s">
        <v>33</v>
      </c>
      <c r="Q222">
        <v>1000</v>
      </c>
      <c r="W222">
        <v>0</v>
      </c>
      <c r="X222">
        <v>-81122142</v>
      </c>
      <c r="Y222">
        <f t="shared" ref="Y222:Y230" si="100">AT222</f>
        <v>4.1999999999999997E-3</v>
      </c>
      <c r="AA222">
        <v>82500</v>
      </c>
      <c r="AB222">
        <v>0</v>
      </c>
      <c r="AC222">
        <v>0</v>
      </c>
      <c r="AD222">
        <v>0</v>
      </c>
      <c r="AE222">
        <v>11576.19</v>
      </c>
      <c r="AF222">
        <v>0</v>
      </c>
      <c r="AG222">
        <v>0</v>
      </c>
      <c r="AH222">
        <v>0</v>
      </c>
      <c r="AI222">
        <v>7.56</v>
      </c>
      <c r="AJ222">
        <v>1</v>
      </c>
      <c r="AK222">
        <v>1</v>
      </c>
      <c r="AL222">
        <v>1</v>
      </c>
      <c r="AM222">
        <v>0</v>
      </c>
      <c r="AN222">
        <v>0</v>
      </c>
      <c r="AO222">
        <v>0</v>
      </c>
      <c r="AP222">
        <v>1</v>
      </c>
      <c r="AQ222">
        <v>0</v>
      </c>
      <c r="AR222">
        <v>0</v>
      </c>
      <c r="AS222" t="s">
        <v>6</v>
      </c>
      <c r="AT222">
        <v>4.1999999999999997E-3</v>
      </c>
      <c r="AU222" t="s">
        <v>6</v>
      </c>
      <c r="AV222">
        <v>0</v>
      </c>
      <c r="AW222">
        <v>2</v>
      </c>
      <c r="AX222">
        <v>86327484</v>
      </c>
      <c r="AY222">
        <v>1</v>
      </c>
      <c r="AZ222">
        <v>16384</v>
      </c>
      <c r="BA222">
        <v>172</v>
      </c>
      <c r="BB222">
        <v>3</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CV222">
        <v>0</v>
      </c>
      <c r="CW222">
        <v>0</v>
      </c>
      <c r="CX222">
        <f>ROUND(Y222*Source!I184,9)</f>
        <v>2.6148149999999998E-2</v>
      </c>
      <c r="CY222">
        <f t="shared" ref="CY222:CY230" si="101">AA222</f>
        <v>82500</v>
      </c>
      <c r="CZ222">
        <f t="shared" ref="CZ222:CZ230" si="102">AE222</f>
        <v>11576.19</v>
      </c>
      <c r="DA222">
        <f t="shared" ref="DA222:DA230" si="103">AI222</f>
        <v>7.56</v>
      </c>
      <c r="DB222">
        <f t="shared" ref="DB222:DB230" si="104">ROUND(ROUND(AT222*CZ222,2),2)</f>
        <v>48.62</v>
      </c>
      <c r="DC222">
        <f t="shared" ref="DC222:DC230" si="105">ROUND(ROUND(AT222*AG222,2),2)</f>
        <v>0</v>
      </c>
      <c r="DD222" t="s">
        <v>6</v>
      </c>
      <c r="DE222" t="s">
        <v>6</v>
      </c>
      <c r="DF222">
        <f t="shared" ref="DF222:DF230" si="106">ROUND(ROUND(AE222*AI222,0)*CX222,0)</f>
        <v>2288</v>
      </c>
      <c r="DG222">
        <f t="shared" ref="DG222:DG245" si="107">ROUND(ROUND(AF222,0)*CX222,0)</f>
        <v>0</v>
      </c>
      <c r="DH222">
        <f>Source!I184*SmtRes!Y222</f>
        <v>2.6148149999999998E-2</v>
      </c>
      <c r="DI222">
        <f t="shared" ref="DI222:DI230" si="108">AA222</f>
        <v>82500</v>
      </c>
      <c r="DJ222">
        <f>EtalonRes!Y172</f>
        <v>1696.01</v>
      </c>
      <c r="DK222">
        <f>Source!BC184</f>
        <v>7.56</v>
      </c>
      <c r="DL222" t="s">
        <v>6</v>
      </c>
      <c r="DM222">
        <v>0</v>
      </c>
      <c r="DN222" t="s">
        <v>6</v>
      </c>
      <c r="DO222">
        <v>0</v>
      </c>
      <c r="GP222">
        <v>1</v>
      </c>
      <c r="GQ222">
        <v>-1</v>
      </c>
      <c r="GR222">
        <v>-1</v>
      </c>
    </row>
    <row r="223" spans="1:200" x14ac:dyDescent="0.2">
      <c r="A223">
        <f>ROW(Source!A184)</f>
        <v>184</v>
      </c>
      <c r="B223">
        <v>86326988</v>
      </c>
      <c r="C223">
        <v>86327466</v>
      </c>
      <c r="D223">
        <v>11618017</v>
      </c>
      <c r="E223">
        <v>1</v>
      </c>
      <c r="F223">
        <v>1</v>
      </c>
      <c r="G223">
        <v>1</v>
      </c>
      <c r="H223">
        <v>3</v>
      </c>
      <c r="I223" t="s">
        <v>107</v>
      </c>
      <c r="J223" t="s">
        <v>109</v>
      </c>
      <c r="K223" t="s">
        <v>108</v>
      </c>
      <c r="L223">
        <v>1371</v>
      </c>
      <c r="N223">
        <v>1013</v>
      </c>
      <c r="O223" t="s">
        <v>103</v>
      </c>
      <c r="P223" t="s">
        <v>103</v>
      </c>
      <c r="Q223">
        <v>1</v>
      </c>
      <c r="W223">
        <v>0</v>
      </c>
      <c r="X223">
        <v>-1648273723</v>
      </c>
      <c r="Y223">
        <f t="shared" si="100"/>
        <v>12</v>
      </c>
      <c r="AA223">
        <v>0.62</v>
      </c>
      <c r="AB223">
        <v>0</v>
      </c>
      <c r="AC223">
        <v>0</v>
      </c>
      <c r="AD223">
        <v>0</v>
      </c>
      <c r="AE223">
        <v>0.08</v>
      </c>
      <c r="AF223">
        <v>0</v>
      </c>
      <c r="AG223">
        <v>0</v>
      </c>
      <c r="AH223">
        <v>0</v>
      </c>
      <c r="AI223">
        <v>7.56</v>
      </c>
      <c r="AJ223">
        <v>1</v>
      </c>
      <c r="AK223">
        <v>1</v>
      </c>
      <c r="AL223">
        <v>1</v>
      </c>
      <c r="AM223">
        <v>0</v>
      </c>
      <c r="AN223">
        <v>0</v>
      </c>
      <c r="AO223">
        <v>0</v>
      </c>
      <c r="AP223">
        <v>1</v>
      </c>
      <c r="AQ223">
        <v>0</v>
      </c>
      <c r="AR223">
        <v>0</v>
      </c>
      <c r="AS223" t="s">
        <v>6</v>
      </c>
      <c r="AT223">
        <v>12</v>
      </c>
      <c r="AU223" t="s">
        <v>6</v>
      </c>
      <c r="AV223">
        <v>0</v>
      </c>
      <c r="AW223">
        <v>1</v>
      </c>
      <c r="AX223">
        <v>-1</v>
      </c>
      <c r="AY223">
        <v>0</v>
      </c>
      <c r="AZ223">
        <v>0</v>
      </c>
      <c r="BA223" t="s">
        <v>6</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CV223">
        <v>0</v>
      </c>
      <c r="CW223">
        <v>0</v>
      </c>
      <c r="CX223">
        <f>ROUND(Y223*Source!I184,9)</f>
        <v>74.709000000000003</v>
      </c>
      <c r="CY223">
        <f t="shared" si="101"/>
        <v>0.62</v>
      </c>
      <c r="CZ223">
        <f t="shared" si="102"/>
        <v>0.08</v>
      </c>
      <c r="DA223">
        <f t="shared" si="103"/>
        <v>7.56</v>
      </c>
      <c r="DB223">
        <f t="shared" si="104"/>
        <v>0.96</v>
      </c>
      <c r="DC223">
        <f t="shared" si="105"/>
        <v>0</v>
      </c>
      <c r="DD223" t="s">
        <v>6</v>
      </c>
      <c r="DE223" t="s">
        <v>6</v>
      </c>
      <c r="DF223">
        <f t="shared" si="106"/>
        <v>75</v>
      </c>
      <c r="DG223">
        <f t="shared" si="107"/>
        <v>0</v>
      </c>
      <c r="DH223">
        <f>Source!I184*SmtRes!Y223</f>
        <v>74.709000000000003</v>
      </c>
      <c r="DI223">
        <f t="shared" si="108"/>
        <v>0.62</v>
      </c>
      <c r="DJ223">
        <f t="shared" ref="DJ223:DJ230" si="109">DF223</f>
        <v>75</v>
      </c>
      <c r="DK223">
        <f>Source!BC184</f>
        <v>7.56</v>
      </c>
      <c r="DL223" t="s">
        <v>6</v>
      </c>
      <c r="DM223">
        <v>0</v>
      </c>
      <c r="DN223" t="s">
        <v>6</v>
      </c>
      <c r="DO223">
        <v>0</v>
      </c>
      <c r="GP223">
        <v>1</v>
      </c>
      <c r="GQ223">
        <v>-1</v>
      </c>
      <c r="GR223">
        <v>-1</v>
      </c>
    </row>
    <row r="224" spans="1:200" x14ac:dyDescent="0.2">
      <c r="A224">
        <f>ROW(Source!A184)</f>
        <v>184</v>
      </c>
      <c r="B224">
        <v>86326988</v>
      </c>
      <c r="C224">
        <v>86327466</v>
      </c>
      <c r="D224">
        <v>11618018</v>
      </c>
      <c r="E224">
        <v>1</v>
      </c>
      <c r="F224">
        <v>1</v>
      </c>
      <c r="G224">
        <v>1</v>
      </c>
      <c r="H224">
        <v>3</v>
      </c>
      <c r="I224" t="s">
        <v>112</v>
      </c>
      <c r="J224" t="s">
        <v>114</v>
      </c>
      <c r="K224" t="s">
        <v>113</v>
      </c>
      <c r="L224">
        <v>1371</v>
      </c>
      <c r="N224">
        <v>1013</v>
      </c>
      <c r="O224" t="s">
        <v>103</v>
      </c>
      <c r="P224" t="s">
        <v>103</v>
      </c>
      <c r="Q224">
        <v>1</v>
      </c>
      <c r="W224">
        <v>0</v>
      </c>
      <c r="X224">
        <v>1900494391</v>
      </c>
      <c r="Y224">
        <f t="shared" si="100"/>
        <v>12</v>
      </c>
      <c r="AA224">
        <v>1.02</v>
      </c>
      <c r="AB224">
        <v>0</v>
      </c>
      <c r="AC224">
        <v>0</v>
      </c>
      <c r="AD224">
        <v>0</v>
      </c>
      <c r="AE224">
        <v>0.14000000000000001</v>
      </c>
      <c r="AF224">
        <v>0</v>
      </c>
      <c r="AG224">
        <v>0</v>
      </c>
      <c r="AH224">
        <v>0</v>
      </c>
      <c r="AI224">
        <v>7.56</v>
      </c>
      <c r="AJ224">
        <v>1</v>
      </c>
      <c r="AK224">
        <v>1</v>
      </c>
      <c r="AL224">
        <v>1</v>
      </c>
      <c r="AM224">
        <v>0</v>
      </c>
      <c r="AN224">
        <v>0</v>
      </c>
      <c r="AO224">
        <v>0</v>
      </c>
      <c r="AP224">
        <v>1</v>
      </c>
      <c r="AQ224">
        <v>0</v>
      </c>
      <c r="AR224">
        <v>0</v>
      </c>
      <c r="AS224" t="s">
        <v>6</v>
      </c>
      <c r="AT224">
        <v>12</v>
      </c>
      <c r="AU224" t="s">
        <v>6</v>
      </c>
      <c r="AV224">
        <v>0</v>
      </c>
      <c r="AW224">
        <v>1</v>
      </c>
      <c r="AX224">
        <v>-1</v>
      </c>
      <c r="AY224">
        <v>0</v>
      </c>
      <c r="AZ224">
        <v>0</v>
      </c>
      <c r="BA224" t="s">
        <v>6</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CV224">
        <v>0</v>
      </c>
      <c r="CW224">
        <v>0</v>
      </c>
      <c r="CX224">
        <f>ROUND(Y224*Source!I184,9)</f>
        <v>74.709000000000003</v>
      </c>
      <c r="CY224">
        <f t="shared" si="101"/>
        <v>1.02</v>
      </c>
      <c r="CZ224">
        <f t="shared" si="102"/>
        <v>0.14000000000000001</v>
      </c>
      <c r="DA224">
        <f t="shared" si="103"/>
        <v>7.56</v>
      </c>
      <c r="DB224">
        <f t="shared" si="104"/>
        <v>1.68</v>
      </c>
      <c r="DC224">
        <f t="shared" si="105"/>
        <v>0</v>
      </c>
      <c r="DD224" t="s">
        <v>6</v>
      </c>
      <c r="DE224" t="s">
        <v>6</v>
      </c>
      <c r="DF224">
        <f t="shared" si="106"/>
        <v>75</v>
      </c>
      <c r="DG224">
        <f t="shared" si="107"/>
        <v>0</v>
      </c>
      <c r="DH224">
        <f>Source!I184*SmtRes!Y224</f>
        <v>74.709000000000003</v>
      </c>
      <c r="DI224">
        <f t="shared" si="108"/>
        <v>1.02</v>
      </c>
      <c r="DJ224">
        <f t="shared" si="109"/>
        <v>75</v>
      </c>
      <c r="DK224">
        <f>Source!BC184</f>
        <v>7.56</v>
      </c>
      <c r="DL224" t="s">
        <v>6</v>
      </c>
      <c r="DM224">
        <v>0</v>
      </c>
      <c r="DN224" t="s">
        <v>6</v>
      </c>
      <c r="DO224">
        <v>0</v>
      </c>
      <c r="GP224">
        <v>1</v>
      </c>
      <c r="GQ224">
        <v>-1</v>
      </c>
      <c r="GR224">
        <v>-1</v>
      </c>
    </row>
    <row r="225" spans="1:200" x14ac:dyDescent="0.2">
      <c r="A225">
        <f>ROW(Source!A184)</f>
        <v>184</v>
      </c>
      <c r="B225">
        <v>86326988</v>
      </c>
      <c r="C225">
        <v>86327466</v>
      </c>
      <c r="D225">
        <v>11618019</v>
      </c>
      <c r="E225">
        <v>1</v>
      </c>
      <c r="F225">
        <v>1</v>
      </c>
      <c r="G225">
        <v>1</v>
      </c>
      <c r="H225">
        <v>3</v>
      </c>
      <c r="I225" t="s">
        <v>101</v>
      </c>
      <c r="J225" t="s">
        <v>104</v>
      </c>
      <c r="K225" t="s">
        <v>102</v>
      </c>
      <c r="L225">
        <v>1371</v>
      </c>
      <c r="N225">
        <v>1013</v>
      </c>
      <c r="O225" t="s">
        <v>103</v>
      </c>
      <c r="P225" t="s">
        <v>103</v>
      </c>
      <c r="Q225">
        <v>1</v>
      </c>
      <c r="W225">
        <v>0</v>
      </c>
      <c r="X225">
        <v>-504018761</v>
      </c>
      <c r="Y225">
        <f t="shared" si="100"/>
        <v>23</v>
      </c>
      <c r="AA225">
        <v>1.1299999999999999</v>
      </c>
      <c r="AB225">
        <v>0</v>
      </c>
      <c r="AC225">
        <v>0</v>
      </c>
      <c r="AD225">
        <v>0</v>
      </c>
      <c r="AE225">
        <v>0.16</v>
      </c>
      <c r="AF225">
        <v>0</v>
      </c>
      <c r="AG225">
        <v>0</v>
      </c>
      <c r="AH225">
        <v>0</v>
      </c>
      <c r="AI225">
        <v>7.56</v>
      </c>
      <c r="AJ225">
        <v>1</v>
      </c>
      <c r="AK225">
        <v>1</v>
      </c>
      <c r="AL225">
        <v>1</v>
      </c>
      <c r="AM225">
        <v>0</v>
      </c>
      <c r="AN225">
        <v>0</v>
      </c>
      <c r="AO225">
        <v>0</v>
      </c>
      <c r="AP225">
        <v>1</v>
      </c>
      <c r="AQ225">
        <v>0</v>
      </c>
      <c r="AR225">
        <v>0</v>
      </c>
      <c r="AS225" t="s">
        <v>6</v>
      </c>
      <c r="AT225">
        <v>23</v>
      </c>
      <c r="AU225" t="s">
        <v>6</v>
      </c>
      <c r="AV225">
        <v>0</v>
      </c>
      <c r="AW225">
        <v>1</v>
      </c>
      <c r="AX225">
        <v>-1</v>
      </c>
      <c r="AY225">
        <v>0</v>
      </c>
      <c r="AZ225">
        <v>0</v>
      </c>
      <c r="BA225" t="s">
        <v>6</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CV225">
        <v>0</v>
      </c>
      <c r="CW225">
        <v>0</v>
      </c>
      <c r="CX225">
        <f>ROUND(Y225*Source!I184,9)</f>
        <v>143.19225</v>
      </c>
      <c r="CY225">
        <f t="shared" si="101"/>
        <v>1.1299999999999999</v>
      </c>
      <c r="CZ225">
        <f t="shared" si="102"/>
        <v>0.16</v>
      </c>
      <c r="DA225">
        <f t="shared" si="103"/>
        <v>7.56</v>
      </c>
      <c r="DB225">
        <f t="shared" si="104"/>
        <v>3.68</v>
      </c>
      <c r="DC225">
        <f t="shared" si="105"/>
        <v>0</v>
      </c>
      <c r="DD225" t="s">
        <v>6</v>
      </c>
      <c r="DE225" t="s">
        <v>6</v>
      </c>
      <c r="DF225">
        <f t="shared" si="106"/>
        <v>143</v>
      </c>
      <c r="DG225">
        <f t="shared" si="107"/>
        <v>0</v>
      </c>
      <c r="DH225">
        <f>Source!I184*SmtRes!Y225</f>
        <v>143.19225</v>
      </c>
      <c r="DI225">
        <f t="shared" si="108"/>
        <v>1.1299999999999999</v>
      </c>
      <c r="DJ225">
        <f t="shared" si="109"/>
        <v>143</v>
      </c>
      <c r="DK225">
        <f>Source!BC184</f>
        <v>7.56</v>
      </c>
      <c r="DL225" t="s">
        <v>6</v>
      </c>
      <c r="DM225">
        <v>0</v>
      </c>
      <c r="DN225" t="s">
        <v>6</v>
      </c>
      <c r="DO225">
        <v>0</v>
      </c>
      <c r="GP225">
        <v>1</v>
      </c>
      <c r="GQ225">
        <v>-1</v>
      </c>
      <c r="GR225">
        <v>-1</v>
      </c>
    </row>
    <row r="226" spans="1:200" x14ac:dyDescent="0.2">
      <c r="A226">
        <f>ROW(Source!A184)</f>
        <v>184</v>
      </c>
      <c r="B226">
        <v>86326988</v>
      </c>
      <c r="C226">
        <v>86327466</v>
      </c>
      <c r="D226">
        <v>35950821</v>
      </c>
      <c r="E226">
        <v>1</v>
      </c>
      <c r="F226">
        <v>1</v>
      </c>
      <c r="G226">
        <v>1</v>
      </c>
      <c r="H226">
        <v>3</v>
      </c>
      <c r="I226" t="s">
        <v>76</v>
      </c>
      <c r="J226" t="s">
        <v>79</v>
      </c>
      <c r="K226" t="s">
        <v>271</v>
      </c>
      <c r="L226">
        <v>1391</v>
      </c>
      <c r="N226">
        <v>1013</v>
      </c>
      <c r="O226" t="s">
        <v>78</v>
      </c>
      <c r="P226" t="s">
        <v>78</v>
      </c>
      <c r="Q226">
        <v>1</v>
      </c>
      <c r="W226">
        <v>0</v>
      </c>
      <c r="X226">
        <v>861347200</v>
      </c>
      <c r="Y226">
        <f t="shared" si="100"/>
        <v>0.91812229999999995</v>
      </c>
      <c r="AA226">
        <v>333.45</v>
      </c>
      <c r="AB226">
        <v>0</v>
      </c>
      <c r="AC226">
        <v>0</v>
      </c>
      <c r="AD226">
        <v>0</v>
      </c>
      <c r="AE226">
        <v>46.21</v>
      </c>
      <c r="AF226">
        <v>0</v>
      </c>
      <c r="AG226">
        <v>0</v>
      </c>
      <c r="AH226">
        <v>0</v>
      </c>
      <c r="AI226">
        <v>7.56</v>
      </c>
      <c r="AJ226">
        <v>1</v>
      </c>
      <c r="AK226">
        <v>1</v>
      </c>
      <c r="AL226">
        <v>1</v>
      </c>
      <c r="AM226">
        <v>0</v>
      </c>
      <c r="AN226">
        <v>0</v>
      </c>
      <c r="AO226">
        <v>0</v>
      </c>
      <c r="AP226">
        <v>1</v>
      </c>
      <c r="AQ226">
        <v>0</v>
      </c>
      <c r="AR226">
        <v>0</v>
      </c>
      <c r="AS226" t="s">
        <v>6</v>
      </c>
      <c r="AT226">
        <v>0.91812229999999995</v>
      </c>
      <c r="AU226" t="s">
        <v>6</v>
      </c>
      <c r="AV226">
        <v>0</v>
      </c>
      <c r="AW226">
        <v>1</v>
      </c>
      <c r="AX226">
        <v>-1</v>
      </c>
      <c r="AY226">
        <v>0</v>
      </c>
      <c r="AZ226">
        <v>0</v>
      </c>
      <c r="BA226" t="s">
        <v>6</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CV226">
        <v>0</v>
      </c>
      <c r="CW226">
        <v>0</v>
      </c>
      <c r="CX226">
        <f>ROUND(Y226*Source!I184,9)</f>
        <v>5.7159999089999998</v>
      </c>
      <c r="CY226">
        <f t="shared" si="101"/>
        <v>333.45</v>
      </c>
      <c r="CZ226">
        <f t="shared" si="102"/>
        <v>46.21</v>
      </c>
      <c r="DA226">
        <f t="shared" si="103"/>
        <v>7.56</v>
      </c>
      <c r="DB226">
        <f t="shared" si="104"/>
        <v>42.43</v>
      </c>
      <c r="DC226">
        <f t="shared" si="105"/>
        <v>0</v>
      </c>
      <c r="DD226" t="s">
        <v>6</v>
      </c>
      <c r="DE226" t="s">
        <v>6</v>
      </c>
      <c r="DF226">
        <f t="shared" si="106"/>
        <v>1995</v>
      </c>
      <c r="DG226">
        <f t="shared" si="107"/>
        <v>0</v>
      </c>
      <c r="DH226">
        <f>Source!I184*SmtRes!Y226</f>
        <v>5.7159999092249993</v>
      </c>
      <c r="DI226">
        <f t="shared" si="108"/>
        <v>333.45</v>
      </c>
      <c r="DJ226">
        <f t="shared" si="109"/>
        <v>1995</v>
      </c>
      <c r="DK226">
        <f>Source!BC184</f>
        <v>7.56</v>
      </c>
      <c r="DL226" t="s">
        <v>6</v>
      </c>
      <c r="DM226">
        <v>0</v>
      </c>
      <c r="DN226" t="s">
        <v>6</v>
      </c>
      <c r="DO226">
        <v>0</v>
      </c>
      <c r="GP226">
        <v>1</v>
      </c>
      <c r="GQ226">
        <v>-1</v>
      </c>
      <c r="GR226">
        <v>-1</v>
      </c>
    </row>
    <row r="227" spans="1:200" x14ac:dyDescent="0.2">
      <c r="A227">
        <f>ROW(Source!A184)</f>
        <v>184</v>
      </c>
      <c r="B227">
        <v>86326988</v>
      </c>
      <c r="C227">
        <v>86327466</v>
      </c>
      <c r="D227">
        <v>35950824</v>
      </c>
      <c r="E227">
        <v>1</v>
      </c>
      <c r="F227">
        <v>1</v>
      </c>
      <c r="G227">
        <v>1</v>
      </c>
      <c r="H227">
        <v>3</v>
      </c>
      <c r="I227" t="s">
        <v>82</v>
      </c>
      <c r="J227" t="s">
        <v>84</v>
      </c>
      <c r="K227" t="s">
        <v>273</v>
      </c>
      <c r="L227">
        <v>1391</v>
      </c>
      <c r="N227">
        <v>1013</v>
      </c>
      <c r="O227" t="s">
        <v>78</v>
      </c>
      <c r="P227" t="s">
        <v>78</v>
      </c>
      <c r="Q227">
        <v>1</v>
      </c>
      <c r="W227">
        <v>0</v>
      </c>
      <c r="X227">
        <v>-1286139580</v>
      </c>
      <c r="Y227">
        <f t="shared" si="100"/>
        <v>0.91812229999999995</v>
      </c>
      <c r="AA227">
        <v>215.4</v>
      </c>
      <c r="AB227">
        <v>0</v>
      </c>
      <c r="AC227">
        <v>0</v>
      </c>
      <c r="AD227">
        <v>0</v>
      </c>
      <c r="AE227">
        <v>30.22</v>
      </c>
      <c r="AF227">
        <v>0</v>
      </c>
      <c r="AG227">
        <v>0</v>
      </c>
      <c r="AH227">
        <v>0</v>
      </c>
      <c r="AI227">
        <v>7.56</v>
      </c>
      <c r="AJ227">
        <v>1</v>
      </c>
      <c r="AK227">
        <v>1</v>
      </c>
      <c r="AL227">
        <v>1</v>
      </c>
      <c r="AM227">
        <v>0</v>
      </c>
      <c r="AN227">
        <v>0</v>
      </c>
      <c r="AO227">
        <v>0</v>
      </c>
      <c r="AP227">
        <v>1</v>
      </c>
      <c r="AQ227">
        <v>0</v>
      </c>
      <c r="AR227">
        <v>0</v>
      </c>
      <c r="AS227" t="s">
        <v>6</v>
      </c>
      <c r="AT227">
        <v>0.91812229999999995</v>
      </c>
      <c r="AU227" t="s">
        <v>6</v>
      </c>
      <c r="AV227">
        <v>0</v>
      </c>
      <c r="AW227">
        <v>1</v>
      </c>
      <c r="AX227">
        <v>-1</v>
      </c>
      <c r="AY227">
        <v>0</v>
      </c>
      <c r="AZ227">
        <v>0</v>
      </c>
      <c r="BA227" t="s">
        <v>6</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CV227">
        <v>0</v>
      </c>
      <c r="CW227">
        <v>0</v>
      </c>
      <c r="CX227">
        <f>ROUND(Y227*Source!I184,9)</f>
        <v>5.7159999089999998</v>
      </c>
      <c r="CY227">
        <f t="shared" si="101"/>
        <v>215.4</v>
      </c>
      <c r="CZ227">
        <f t="shared" si="102"/>
        <v>30.22</v>
      </c>
      <c r="DA227">
        <f t="shared" si="103"/>
        <v>7.56</v>
      </c>
      <c r="DB227">
        <f t="shared" si="104"/>
        <v>27.75</v>
      </c>
      <c r="DC227">
        <f t="shared" si="105"/>
        <v>0</v>
      </c>
      <c r="DD227" t="s">
        <v>6</v>
      </c>
      <c r="DE227" t="s">
        <v>6</v>
      </c>
      <c r="DF227">
        <f t="shared" si="106"/>
        <v>1303</v>
      </c>
      <c r="DG227">
        <f t="shared" si="107"/>
        <v>0</v>
      </c>
      <c r="DH227">
        <f>Source!I184*SmtRes!Y227</f>
        <v>5.7159999092249993</v>
      </c>
      <c r="DI227">
        <f t="shared" si="108"/>
        <v>215.4</v>
      </c>
      <c r="DJ227">
        <f t="shared" si="109"/>
        <v>1303</v>
      </c>
      <c r="DK227">
        <f>Source!BC184</f>
        <v>7.56</v>
      </c>
      <c r="DL227" t="s">
        <v>6</v>
      </c>
      <c r="DM227">
        <v>0</v>
      </c>
      <c r="DN227" t="s">
        <v>6</v>
      </c>
      <c r="DO227">
        <v>0</v>
      </c>
      <c r="GP227">
        <v>1</v>
      </c>
      <c r="GQ227">
        <v>-1</v>
      </c>
      <c r="GR227">
        <v>-1</v>
      </c>
    </row>
    <row r="228" spans="1:200" x14ac:dyDescent="0.2">
      <c r="A228">
        <f>ROW(Source!A184)</f>
        <v>184</v>
      </c>
      <c r="B228">
        <v>86326988</v>
      </c>
      <c r="C228">
        <v>86327466</v>
      </c>
      <c r="D228">
        <v>27425862</v>
      </c>
      <c r="E228">
        <v>1</v>
      </c>
      <c r="F228">
        <v>1</v>
      </c>
      <c r="G228">
        <v>1</v>
      </c>
      <c r="H228">
        <v>3</v>
      </c>
      <c r="I228" t="s">
        <v>92</v>
      </c>
      <c r="J228" t="s">
        <v>95</v>
      </c>
      <c r="K228" t="s">
        <v>93</v>
      </c>
      <c r="L228">
        <v>1301</v>
      </c>
      <c r="N228">
        <v>1003</v>
      </c>
      <c r="O228" t="s">
        <v>94</v>
      </c>
      <c r="P228" t="s">
        <v>94</v>
      </c>
      <c r="Q228">
        <v>1</v>
      </c>
      <c r="W228">
        <v>0</v>
      </c>
      <c r="X228">
        <v>-1608277363</v>
      </c>
      <c r="Y228">
        <f t="shared" si="100"/>
        <v>5.3879999999999999</v>
      </c>
      <c r="AA228">
        <v>30.51</v>
      </c>
      <c r="AB228">
        <v>0</v>
      </c>
      <c r="AC228">
        <v>0</v>
      </c>
      <c r="AD228">
        <v>0</v>
      </c>
      <c r="AE228">
        <v>4.28</v>
      </c>
      <c r="AF228">
        <v>0</v>
      </c>
      <c r="AG228">
        <v>0</v>
      </c>
      <c r="AH228">
        <v>0</v>
      </c>
      <c r="AI228">
        <v>7.56</v>
      </c>
      <c r="AJ228">
        <v>1</v>
      </c>
      <c r="AK228">
        <v>1</v>
      </c>
      <c r="AL228">
        <v>1</v>
      </c>
      <c r="AM228">
        <v>0</v>
      </c>
      <c r="AN228">
        <v>0</v>
      </c>
      <c r="AO228">
        <v>0</v>
      </c>
      <c r="AP228">
        <v>1</v>
      </c>
      <c r="AQ228">
        <v>0</v>
      </c>
      <c r="AR228">
        <v>0</v>
      </c>
      <c r="AS228" t="s">
        <v>6</v>
      </c>
      <c r="AT228">
        <v>5.3879999999999999</v>
      </c>
      <c r="AU228" t="s">
        <v>6</v>
      </c>
      <c r="AV228">
        <v>0</v>
      </c>
      <c r="AW228">
        <v>1</v>
      </c>
      <c r="AX228">
        <v>-1</v>
      </c>
      <c r="AY228">
        <v>0</v>
      </c>
      <c r="AZ228">
        <v>0</v>
      </c>
      <c r="BA228" t="s">
        <v>6</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CV228">
        <v>0</v>
      </c>
      <c r="CW228">
        <v>0</v>
      </c>
      <c r="CX228">
        <f>ROUND(Y228*Source!I184,9)</f>
        <v>33.544341000000003</v>
      </c>
      <c r="CY228">
        <f t="shared" si="101"/>
        <v>30.51</v>
      </c>
      <c r="CZ228">
        <f t="shared" si="102"/>
        <v>4.28</v>
      </c>
      <c r="DA228">
        <f t="shared" si="103"/>
        <v>7.56</v>
      </c>
      <c r="DB228">
        <f t="shared" si="104"/>
        <v>23.06</v>
      </c>
      <c r="DC228">
        <f t="shared" si="105"/>
        <v>0</v>
      </c>
      <c r="DD228" t="s">
        <v>6</v>
      </c>
      <c r="DE228" t="s">
        <v>6</v>
      </c>
      <c r="DF228">
        <f t="shared" si="106"/>
        <v>1073</v>
      </c>
      <c r="DG228">
        <f t="shared" si="107"/>
        <v>0</v>
      </c>
      <c r="DH228">
        <f>Source!I184*SmtRes!Y228</f>
        <v>33.544340999999996</v>
      </c>
      <c r="DI228">
        <f t="shared" si="108"/>
        <v>30.51</v>
      </c>
      <c r="DJ228">
        <f t="shared" si="109"/>
        <v>1073</v>
      </c>
      <c r="DK228">
        <f>Source!BC184</f>
        <v>7.56</v>
      </c>
      <c r="DL228" t="s">
        <v>6</v>
      </c>
      <c r="DM228">
        <v>0</v>
      </c>
      <c r="DN228" t="s">
        <v>6</v>
      </c>
      <c r="DO228">
        <v>0</v>
      </c>
      <c r="GP228">
        <v>1</v>
      </c>
      <c r="GQ228">
        <v>-1</v>
      </c>
      <c r="GR228">
        <v>-1</v>
      </c>
    </row>
    <row r="229" spans="1:200" x14ac:dyDescent="0.2">
      <c r="A229">
        <f>ROW(Source!A184)</f>
        <v>184</v>
      </c>
      <c r="B229">
        <v>86326988</v>
      </c>
      <c r="C229">
        <v>86327466</v>
      </c>
      <c r="D229">
        <v>69208315</v>
      </c>
      <c r="E229">
        <v>1</v>
      </c>
      <c r="F229">
        <v>1</v>
      </c>
      <c r="G229">
        <v>1</v>
      </c>
      <c r="H229">
        <v>3</v>
      </c>
      <c r="I229" t="s">
        <v>117</v>
      </c>
      <c r="J229" t="s">
        <v>119</v>
      </c>
      <c r="K229" t="s">
        <v>118</v>
      </c>
      <c r="L229">
        <v>1348</v>
      </c>
      <c r="N229">
        <v>1009</v>
      </c>
      <c r="O229" t="s">
        <v>33</v>
      </c>
      <c r="P229" t="s">
        <v>33</v>
      </c>
      <c r="Q229">
        <v>1000</v>
      </c>
      <c r="W229">
        <v>0</v>
      </c>
      <c r="X229">
        <v>772407484</v>
      </c>
      <c r="Y229">
        <f t="shared" si="100"/>
        <v>9.5100000000000002E-4</v>
      </c>
      <c r="AA229">
        <v>80392</v>
      </c>
      <c r="AB229">
        <v>0</v>
      </c>
      <c r="AC229">
        <v>0</v>
      </c>
      <c r="AD229">
        <v>0</v>
      </c>
      <c r="AE229">
        <v>11142.150000000001</v>
      </c>
      <c r="AF229">
        <v>0</v>
      </c>
      <c r="AG229">
        <v>0</v>
      </c>
      <c r="AH229">
        <v>0</v>
      </c>
      <c r="AI229">
        <v>7.56</v>
      </c>
      <c r="AJ229">
        <v>1</v>
      </c>
      <c r="AK229">
        <v>1</v>
      </c>
      <c r="AL229">
        <v>1</v>
      </c>
      <c r="AM229">
        <v>0</v>
      </c>
      <c r="AN229">
        <v>0</v>
      </c>
      <c r="AO229">
        <v>0</v>
      </c>
      <c r="AP229">
        <v>1</v>
      </c>
      <c r="AQ229">
        <v>0</v>
      </c>
      <c r="AR229">
        <v>0</v>
      </c>
      <c r="AS229" t="s">
        <v>6</v>
      </c>
      <c r="AT229">
        <v>9.5100000000000002E-4</v>
      </c>
      <c r="AU229" t="s">
        <v>6</v>
      </c>
      <c r="AV229">
        <v>0</v>
      </c>
      <c r="AW229">
        <v>1</v>
      </c>
      <c r="AX229">
        <v>-1</v>
      </c>
      <c r="AY229">
        <v>0</v>
      </c>
      <c r="AZ229">
        <v>0</v>
      </c>
      <c r="BA229" t="s">
        <v>6</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CV229">
        <v>0</v>
      </c>
      <c r="CW229">
        <v>0</v>
      </c>
      <c r="CX229">
        <f>ROUND(Y229*Source!I184,9)</f>
        <v>5.9206880000000003E-3</v>
      </c>
      <c r="CY229">
        <f t="shared" si="101"/>
        <v>80392</v>
      </c>
      <c r="CZ229">
        <f t="shared" si="102"/>
        <v>11142.150000000001</v>
      </c>
      <c r="DA229">
        <f t="shared" si="103"/>
        <v>7.56</v>
      </c>
      <c r="DB229">
        <f t="shared" si="104"/>
        <v>10.6</v>
      </c>
      <c r="DC229">
        <f t="shared" si="105"/>
        <v>0</v>
      </c>
      <c r="DD229" t="s">
        <v>6</v>
      </c>
      <c r="DE229" t="s">
        <v>6</v>
      </c>
      <c r="DF229">
        <f t="shared" si="106"/>
        <v>499</v>
      </c>
      <c r="DG229">
        <f t="shared" si="107"/>
        <v>0</v>
      </c>
      <c r="DH229">
        <f>Source!I184*SmtRes!Y229</f>
        <v>5.9206882500000002E-3</v>
      </c>
      <c r="DI229">
        <f t="shared" si="108"/>
        <v>80392</v>
      </c>
      <c r="DJ229">
        <f t="shared" si="109"/>
        <v>499</v>
      </c>
      <c r="DK229">
        <f>Source!BC184</f>
        <v>7.56</v>
      </c>
      <c r="DL229" t="s">
        <v>6</v>
      </c>
      <c r="DM229">
        <v>0</v>
      </c>
      <c r="DN229" t="s">
        <v>6</v>
      </c>
      <c r="DO229">
        <v>0</v>
      </c>
      <c r="GP229">
        <v>1</v>
      </c>
      <c r="GQ229">
        <v>-1</v>
      </c>
      <c r="GR229">
        <v>-1</v>
      </c>
    </row>
    <row r="230" spans="1:200" x14ac:dyDescent="0.2">
      <c r="A230">
        <f>ROW(Source!A184)</f>
        <v>184</v>
      </c>
      <c r="B230">
        <v>86326988</v>
      </c>
      <c r="C230">
        <v>86327466</v>
      </c>
      <c r="D230">
        <v>69408587</v>
      </c>
      <c r="E230">
        <v>1</v>
      </c>
      <c r="F230">
        <v>1</v>
      </c>
      <c r="G230">
        <v>1</v>
      </c>
      <c r="H230">
        <v>3</v>
      </c>
      <c r="I230" t="s">
        <v>87</v>
      </c>
      <c r="J230" t="s">
        <v>89</v>
      </c>
      <c r="K230" t="s">
        <v>88</v>
      </c>
      <c r="L230">
        <v>1339</v>
      </c>
      <c r="N230">
        <v>1007</v>
      </c>
      <c r="O230" t="s">
        <v>44</v>
      </c>
      <c r="P230" t="s">
        <v>44</v>
      </c>
      <c r="Q230">
        <v>1</v>
      </c>
      <c r="W230">
        <v>0</v>
      </c>
      <c r="X230">
        <v>-183216560</v>
      </c>
      <c r="Y230">
        <f t="shared" si="100"/>
        <v>1.4640324499999999</v>
      </c>
      <c r="AA230">
        <v>6948.56</v>
      </c>
      <c r="AB230">
        <v>0</v>
      </c>
      <c r="AC230">
        <v>0</v>
      </c>
      <c r="AD230">
        <v>0</v>
      </c>
      <c r="AE230">
        <v>975</v>
      </c>
      <c r="AF230">
        <v>0</v>
      </c>
      <c r="AG230">
        <v>0</v>
      </c>
      <c r="AH230">
        <v>0</v>
      </c>
      <c r="AI230">
        <v>7.56</v>
      </c>
      <c r="AJ230">
        <v>1</v>
      </c>
      <c r="AK230">
        <v>1</v>
      </c>
      <c r="AL230">
        <v>1</v>
      </c>
      <c r="AM230">
        <v>0</v>
      </c>
      <c r="AN230">
        <v>0</v>
      </c>
      <c r="AO230">
        <v>0</v>
      </c>
      <c r="AP230">
        <v>1</v>
      </c>
      <c r="AQ230">
        <v>0</v>
      </c>
      <c r="AR230">
        <v>0</v>
      </c>
      <c r="AS230" t="s">
        <v>6</v>
      </c>
      <c r="AT230">
        <v>1.4640324499999999</v>
      </c>
      <c r="AU230" t="s">
        <v>6</v>
      </c>
      <c r="AV230">
        <v>0</v>
      </c>
      <c r="AW230">
        <v>1</v>
      </c>
      <c r="AX230">
        <v>-1</v>
      </c>
      <c r="AY230">
        <v>0</v>
      </c>
      <c r="AZ230">
        <v>0</v>
      </c>
      <c r="BA230" t="s">
        <v>6</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CV230">
        <v>0</v>
      </c>
      <c r="CW230">
        <v>0</v>
      </c>
      <c r="CX230">
        <f>ROUND(Y230*Source!I184,9)</f>
        <v>9.1147000259999995</v>
      </c>
      <c r="CY230">
        <f t="shared" si="101"/>
        <v>6948.56</v>
      </c>
      <c r="CZ230">
        <f t="shared" si="102"/>
        <v>975</v>
      </c>
      <c r="DA230">
        <f t="shared" si="103"/>
        <v>7.56</v>
      </c>
      <c r="DB230">
        <f t="shared" si="104"/>
        <v>1427.43</v>
      </c>
      <c r="DC230">
        <f t="shared" si="105"/>
        <v>0</v>
      </c>
      <c r="DD230" t="s">
        <v>6</v>
      </c>
      <c r="DE230" t="s">
        <v>6</v>
      </c>
      <c r="DF230">
        <f t="shared" si="106"/>
        <v>67184</v>
      </c>
      <c r="DG230">
        <f t="shared" si="107"/>
        <v>0</v>
      </c>
      <c r="DH230">
        <f>Source!I184*SmtRes!Y230</f>
        <v>9.1147000255874993</v>
      </c>
      <c r="DI230">
        <f t="shared" si="108"/>
        <v>6948.56</v>
      </c>
      <c r="DJ230">
        <f t="shared" si="109"/>
        <v>67184</v>
      </c>
      <c r="DK230">
        <f>Source!BC184</f>
        <v>7.56</v>
      </c>
      <c r="DL230" t="s">
        <v>6</v>
      </c>
      <c r="DM230">
        <v>0</v>
      </c>
      <c r="DN230" t="s">
        <v>6</v>
      </c>
      <c r="DO230">
        <v>0</v>
      </c>
      <c r="GP230">
        <v>1</v>
      </c>
      <c r="GQ230">
        <v>-1</v>
      </c>
      <c r="GR230">
        <v>-1</v>
      </c>
    </row>
    <row r="231" spans="1:200" x14ac:dyDescent="0.2">
      <c r="A231">
        <f>ROW(Source!A203)</f>
        <v>203</v>
      </c>
      <c r="B231">
        <v>86326987</v>
      </c>
      <c r="C231">
        <v>86327496</v>
      </c>
      <c r="D231">
        <v>27497778</v>
      </c>
      <c r="E231">
        <v>1</v>
      </c>
      <c r="F231">
        <v>1</v>
      </c>
      <c r="G231">
        <v>1</v>
      </c>
      <c r="H231">
        <v>1</v>
      </c>
      <c r="I231" t="s">
        <v>647</v>
      </c>
      <c r="J231" t="s">
        <v>6</v>
      </c>
      <c r="K231" t="s">
        <v>648</v>
      </c>
      <c r="L231">
        <v>1369</v>
      </c>
      <c r="N231">
        <v>1013</v>
      </c>
      <c r="O231" t="s">
        <v>625</v>
      </c>
      <c r="P231" t="s">
        <v>625</v>
      </c>
      <c r="Q231">
        <v>1</v>
      </c>
      <c r="W231">
        <v>0</v>
      </c>
      <c r="X231">
        <v>-160844189</v>
      </c>
      <c r="Y231">
        <f>(AT231*1.05)</f>
        <v>4.4205000000000005</v>
      </c>
      <c r="AA231">
        <v>0</v>
      </c>
      <c r="AB231">
        <v>0</v>
      </c>
      <c r="AC231">
        <v>0</v>
      </c>
      <c r="AD231">
        <v>8.7100000000000009</v>
      </c>
      <c r="AE231">
        <v>0</v>
      </c>
      <c r="AF231">
        <v>0</v>
      </c>
      <c r="AG231">
        <v>0</v>
      </c>
      <c r="AH231">
        <v>8.7100000000000009</v>
      </c>
      <c r="AI231">
        <v>1</v>
      </c>
      <c r="AJ231">
        <v>1</v>
      </c>
      <c r="AK231">
        <v>1</v>
      </c>
      <c r="AL231">
        <v>1</v>
      </c>
      <c r="AM231">
        <v>0</v>
      </c>
      <c r="AN231">
        <v>0</v>
      </c>
      <c r="AO231">
        <v>1</v>
      </c>
      <c r="AP231">
        <v>1</v>
      </c>
      <c r="AQ231">
        <v>0</v>
      </c>
      <c r="AR231">
        <v>0</v>
      </c>
      <c r="AS231" t="s">
        <v>6</v>
      </c>
      <c r="AT231">
        <v>4.21</v>
      </c>
      <c r="AU231" t="s">
        <v>25</v>
      </c>
      <c r="AV231">
        <v>1</v>
      </c>
      <c r="AW231">
        <v>2</v>
      </c>
      <c r="AX231">
        <v>86327510</v>
      </c>
      <c r="AY231">
        <v>1</v>
      </c>
      <c r="AZ231">
        <v>0</v>
      </c>
      <c r="BA231">
        <v>175</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CU231">
        <f>ROUND(AT231*Source!I203*AH231*AL231,0)</f>
        <v>1075</v>
      </c>
      <c r="CV231">
        <f>ROUND(Y231*Source!I203,9)</f>
        <v>129.61127024999999</v>
      </c>
      <c r="CW231">
        <v>0</v>
      </c>
      <c r="CX231">
        <f>ROUND(Y231*Source!I203,9)</f>
        <v>129.61127024999999</v>
      </c>
      <c r="CY231">
        <f>AD231</f>
        <v>8.7100000000000009</v>
      </c>
      <c r="CZ231">
        <f>AH231</f>
        <v>8.7100000000000009</v>
      </c>
      <c r="DA231">
        <f>AL231</f>
        <v>1</v>
      </c>
      <c r="DB231">
        <f>ROUND((ROUND(AT231*CZ231,2)*1.05),2)</f>
        <v>38.5</v>
      </c>
      <c r="DC231">
        <f>ROUND((ROUND(AT231*AG231,2)*1.05),2)</f>
        <v>0</v>
      </c>
      <c r="DD231" t="s">
        <v>6</v>
      </c>
      <c r="DE231" t="s">
        <v>6</v>
      </c>
      <c r="DF231">
        <f t="shared" ref="DF231:DF247" si="110">ROUND(ROUND(AE231,0)*CX231,0)</f>
        <v>0</v>
      </c>
      <c r="DG231">
        <f t="shared" si="107"/>
        <v>0</v>
      </c>
      <c r="DH231">
        <f>Source!I203*SmtRes!Y231</f>
        <v>129.61127025000002</v>
      </c>
      <c r="DI231">
        <f>AD231</f>
        <v>8.7100000000000009</v>
      </c>
      <c r="DJ231">
        <f>EtalonRes!AB175</f>
        <v>8.7100000000000009</v>
      </c>
      <c r="DK231">
        <f>Source!BA203</f>
        <v>1</v>
      </c>
      <c r="DL231" t="s">
        <v>6</v>
      </c>
      <c r="DM231">
        <v>0</v>
      </c>
      <c r="DN231" t="s">
        <v>6</v>
      </c>
      <c r="DO231">
        <v>0</v>
      </c>
      <c r="GQ231">
        <v>-1</v>
      </c>
      <c r="GR231">
        <v>-1</v>
      </c>
    </row>
    <row r="232" spans="1:200" x14ac:dyDescent="0.2">
      <c r="A232">
        <f>ROW(Source!A203)</f>
        <v>203</v>
      </c>
      <c r="B232">
        <v>86326987</v>
      </c>
      <c r="C232">
        <v>86327496</v>
      </c>
      <c r="D232">
        <v>121548</v>
      </c>
      <c r="E232">
        <v>1</v>
      </c>
      <c r="F232">
        <v>1</v>
      </c>
      <c r="G232">
        <v>1</v>
      </c>
      <c r="H232">
        <v>1</v>
      </c>
      <c r="I232" t="s">
        <v>40</v>
      </c>
      <c r="J232" t="s">
        <v>6</v>
      </c>
      <c r="K232" t="s">
        <v>626</v>
      </c>
      <c r="L232">
        <v>608254</v>
      </c>
      <c r="N232">
        <v>1013</v>
      </c>
      <c r="O232" t="s">
        <v>627</v>
      </c>
      <c r="P232" t="s">
        <v>627</v>
      </c>
      <c r="Q232">
        <v>1</v>
      </c>
      <c r="W232">
        <v>0</v>
      </c>
      <c r="X232">
        <v>-185737400</v>
      </c>
      <c r="Y232">
        <f>(AT232*1.12)</f>
        <v>1.8480000000000001</v>
      </c>
      <c r="AA232">
        <v>0</v>
      </c>
      <c r="AB232">
        <v>0</v>
      </c>
      <c r="AC232">
        <v>0</v>
      </c>
      <c r="AD232">
        <v>0</v>
      </c>
      <c r="AE232">
        <v>0</v>
      </c>
      <c r="AF232">
        <v>0</v>
      </c>
      <c r="AG232">
        <v>0</v>
      </c>
      <c r="AH232">
        <v>0</v>
      </c>
      <c r="AI232">
        <v>1</v>
      </c>
      <c r="AJ232">
        <v>1</v>
      </c>
      <c r="AK232">
        <v>1</v>
      </c>
      <c r="AL232">
        <v>1</v>
      </c>
      <c r="AM232">
        <v>0</v>
      </c>
      <c r="AN232">
        <v>0</v>
      </c>
      <c r="AO232">
        <v>1</v>
      </c>
      <c r="AP232">
        <v>1</v>
      </c>
      <c r="AQ232">
        <v>0</v>
      </c>
      <c r="AR232">
        <v>0</v>
      </c>
      <c r="AS232" t="s">
        <v>6</v>
      </c>
      <c r="AT232">
        <v>1.65</v>
      </c>
      <c r="AU232" t="s">
        <v>24</v>
      </c>
      <c r="AV232">
        <v>2</v>
      </c>
      <c r="AW232">
        <v>2</v>
      </c>
      <c r="AX232">
        <v>86327511</v>
      </c>
      <c r="AY232">
        <v>1</v>
      </c>
      <c r="AZ232">
        <v>0</v>
      </c>
      <c r="BA232">
        <v>176</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CV232">
        <v>0</v>
      </c>
      <c r="CW232">
        <v>0</v>
      </c>
      <c r="CX232">
        <f>ROUND(Y232*Source!I203,9)</f>
        <v>54.184283999999998</v>
      </c>
      <c r="CY232">
        <f>AD232</f>
        <v>0</v>
      </c>
      <c r="CZ232">
        <f>AH232</f>
        <v>0</v>
      </c>
      <c r="DA232">
        <f>AL232</f>
        <v>1</v>
      </c>
      <c r="DB232">
        <f>ROUND((ROUND(AT232*CZ232,2)*1.12),2)</f>
        <v>0</v>
      </c>
      <c r="DC232">
        <f>ROUND((ROUND(AT232*AG232,2)*1.12),2)</f>
        <v>0</v>
      </c>
      <c r="DD232" t="s">
        <v>6</v>
      </c>
      <c r="DE232" t="s">
        <v>6</v>
      </c>
      <c r="DF232">
        <f t="shared" si="110"/>
        <v>0</v>
      </c>
      <c r="DG232">
        <f t="shared" si="107"/>
        <v>0</v>
      </c>
      <c r="DH232">
        <f>Source!I203*SmtRes!Y232</f>
        <v>54.184283999999998</v>
      </c>
      <c r="DI232">
        <f>AD232</f>
        <v>0</v>
      </c>
      <c r="DJ232">
        <f>EtalonRes!AB176</f>
        <v>0</v>
      </c>
      <c r="DK232">
        <f>Source!BA203</f>
        <v>1</v>
      </c>
      <c r="DL232" t="s">
        <v>6</v>
      </c>
      <c r="DM232">
        <v>0</v>
      </c>
      <c r="DN232" t="s">
        <v>6</v>
      </c>
      <c r="DO232">
        <v>0</v>
      </c>
      <c r="GQ232">
        <v>-1</v>
      </c>
      <c r="GR232">
        <v>-1</v>
      </c>
    </row>
    <row r="233" spans="1:200" x14ac:dyDescent="0.2">
      <c r="A233">
        <f>ROW(Source!A203)</f>
        <v>203</v>
      </c>
      <c r="B233">
        <v>86326987</v>
      </c>
      <c r="C233">
        <v>86327496</v>
      </c>
      <c r="D233">
        <v>27439418</v>
      </c>
      <c r="E233">
        <v>1</v>
      </c>
      <c r="F233">
        <v>1</v>
      </c>
      <c r="G233">
        <v>1</v>
      </c>
      <c r="H233">
        <v>2</v>
      </c>
      <c r="I233" t="s">
        <v>652</v>
      </c>
      <c r="J233" t="s">
        <v>653</v>
      </c>
      <c r="K233" t="s">
        <v>654</v>
      </c>
      <c r="L233">
        <v>1368</v>
      </c>
      <c r="N233">
        <v>1011</v>
      </c>
      <c r="O233" t="s">
        <v>137</v>
      </c>
      <c r="P233" t="s">
        <v>137</v>
      </c>
      <c r="Q233">
        <v>1</v>
      </c>
      <c r="W233">
        <v>0</v>
      </c>
      <c r="X233">
        <v>674127709</v>
      </c>
      <c r="Y233">
        <f>(AT233*1.12)</f>
        <v>1.8480000000000001</v>
      </c>
      <c r="AA233">
        <v>0</v>
      </c>
      <c r="AB233">
        <v>91.69</v>
      </c>
      <c r="AC233">
        <v>13.61</v>
      </c>
      <c r="AD233">
        <v>0</v>
      </c>
      <c r="AE233">
        <v>0</v>
      </c>
      <c r="AF233">
        <v>91.69</v>
      </c>
      <c r="AG233">
        <v>13.61</v>
      </c>
      <c r="AH233">
        <v>0</v>
      </c>
      <c r="AI233">
        <v>1</v>
      </c>
      <c r="AJ233">
        <v>1</v>
      </c>
      <c r="AK233">
        <v>1</v>
      </c>
      <c r="AL233">
        <v>1</v>
      </c>
      <c r="AM233">
        <v>0</v>
      </c>
      <c r="AN233">
        <v>0</v>
      </c>
      <c r="AO233">
        <v>1</v>
      </c>
      <c r="AP233">
        <v>1</v>
      </c>
      <c r="AQ233">
        <v>0</v>
      </c>
      <c r="AR233">
        <v>0</v>
      </c>
      <c r="AS233" t="s">
        <v>6</v>
      </c>
      <c r="AT233">
        <v>1.65</v>
      </c>
      <c r="AU233" t="s">
        <v>24</v>
      </c>
      <c r="AV233">
        <v>0</v>
      </c>
      <c r="AW233">
        <v>2</v>
      </c>
      <c r="AX233">
        <v>86327512</v>
      </c>
      <c r="AY233">
        <v>1</v>
      </c>
      <c r="AZ233">
        <v>0</v>
      </c>
      <c r="BA233">
        <v>177</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CV233">
        <v>0</v>
      </c>
      <c r="CW233">
        <f>ROUND(Y233*Source!I203*DO233,9)</f>
        <v>0</v>
      </c>
      <c r="CX233">
        <f>ROUND(Y233*Source!I203,9)</f>
        <v>54.184283999999998</v>
      </c>
      <c r="CY233">
        <f>AB233</f>
        <v>91.69</v>
      </c>
      <c r="CZ233">
        <f>AF233</f>
        <v>91.69</v>
      </c>
      <c r="DA233">
        <f>AJ233</f>
        <v>1</v>
      </c>
      <c r="DB233">
        <f>ROUND((ROUND(AT233*CZ233,2)*1.12),2)</f>
        <v>169.44</v>
      </c>
      <c r="DC233">
        <f>ROUND((ROUND(AT233*AG233,2)*1.12),2)</f>
        <v>25.16</v>
      </c>
      <c r="DD233" t="s">
        <v>6</v>
      </c>
      <c r="DE233" t="s">
        <v>6</v>
      </c>
      <c r="DF233">
        <f t="shared" si="110"/>
        <v>0</v>
      </c>
      <c r="DG233">
        <f t="shared" si="107"/>
        <v>4985</v>
      </c>
      <c r="DH233">
        <f>Source!I203*SmtRes!Y233</f>
        <v>54.184283999999998</v>
      </c>
      <c r="DI233">
        <f>AB233</f>
        <v>91.69</v>
      </c>
      <c r="DJ233">
        <f>EtalonRes!Z177</f>
        <v>91.69</v>
      </c>
      <c r="DK233">
        <f>Source!BB203</f>
        <v>1</v>
      </c>
      <c r="DL233" t="s">
        <v>6</v>
      </c>
      <c r="DM233">
        <v>0</v>
      </c>
      <c r="DN233" t="s">
        <v>6</v>
      </c>
      <c r="DO233">
        <v>0</v>
      </c>
      <c r="GQ233">
        <v>-1</v>
      </c>
      <c r="GR233">
        <v>-1</v>
      </c>
    </row>
    <row r="234" spans="1:200" x14ac:dyDescent="0.2">
      <c r="A234">
        <f>ROW(Source!A203)</f>
        <v>203</v>
      </c>
      <c r="B234">
        <v>86326987</v>
      </c>
      <c r="C234">
        <v>86327496</v>
      </c>
      <c r="D234">
        <v>27440039</v>
      </c>
      <c r="E234">
        <v>1</v>
      </c>
      <c r="F234">
        <v>1</v>
      </c>
      <c r="G234">
        <v>1</v>
      </c>
      <c r="H234">
        <v>2</v>
      </c>
      <c r="I234" t="s">
        <v>649</v>
      </c>
      <c r="J234" t="s">
        <v>650</v>
      </c>
      <c r="K234" t="s">
        <v>651</v>
      </c>
      <c r="L234">
        <v>1368</v>
      </c>
      <c r="N234">
        <v>1011</v>
      </c>
      <c r="O234" t="s">
        <v>137</v>
      </c>
      <c r="P234" t="s">
        <v>137</v>
      </c>
      <c r="Q234">
        <v>1</v>
      </c>
      <c r="W234">
        <v>0</v>
      </c>
      <c r="X234">
        <v>389347920</v>
      </c>
      <c r="Y234">
        <f>(AT234*1.12)</f>
        <v>1.7360000000000002</v>
      </c>
      <c r="AA234">
        <v>0</v>
      </c>
      <c r="AB234">
        <v>1.83</v>
      </c>
      <c r="AC234">
        <v>0</v>
      </c>
      <c r="AD234">
        <v>0</v>
      </c>
      <c r="AE234">
        <v>0</v>
      </c>
      <c r="AF234">
        <v>1.83</v>
      </c>
      <c r="AG234">
        <v>0</v>
      </c>
      <c r="AH234">
        <v>0</v>
      </c>
      <c r="AI234">
        <v>1</v>
      </c>
      <c r="AJ234">
        <v>1</v>
      </c>
      <c r="AK234">
        <v>1</v>
      </c>
      <c r="AL234">
        <v>1</v>
      </c>
      <c r="AM234">
        <v>0</v>
      </c>
      <c r="AN234">
        <v>0</v>
      </c>
      <c r="AO234">
        <v>1</v>
      </c>
      <c r="AP234">
        <v>1</v>
      </c>
      <c r="AQ234">
        <v>0</v>
      </c>
      <c r="AR234">
        <v>0</v>
      </c>
      <c r="AS234" t="s">
        <v>6</v>
      </c>
      <c r="AT234">
        <v>1.55</v>
      </c>
      <c r="AU234" t="s">
        <v>24</v>
      </c>
      <c r="AV234">
        <v>0</v>
      </c>
      <c r="AW234">
        <v>2</v>
      </c>
      <c r="AX234">
        <v>86327513</v>
      </c>
      <c r="AY234">
        <v>1</v>
      </c>
      <c r="AZ234">
        <v>0</v>
      </c>
      <c r="BA234">
        <v>178</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CV234">
        <v>0</v>
      </c>
      <c r="CW234">
        <f>ROUND(Y234*Source!I203*DO234,9)</f>
        <v>0</v>
      </c>
      <c r="CX234">
        <f>ROUND(Y234*Source!I203,9)</f>
        <v>50.900388</v>
      </c>
      <c r="CY234">
        <f>AB234</f>
        <v>1.83</v>
      </c>
      <c r="CZ234">
        <f>AF234</f>
        <v>1.83</v>
      </c>
      <c r="DA234">
        <f>AJ234</f>
        <v>1</v>
      </c>
      <c r="DB234">
        <f>ROUND((ROUND(AT234*CZ234,2)*1.12),2)</f>
        <v>3.18</v>
      </c>
      <c r="DC234">
        <f>ROUND((ROUND(AT234*AG234,2)*1.12),2)</f>
        <v>0</v>
      </c>
      <c r="DD234" t="s">
        <v>6</v>
      </c>
      <c r="DE234" t="s">
        <v>6</v>
      </c>
      <c r="DF234">
        <f t="shared" si="110"/>
        <v>0</v>
      </c>
      <c r="DG234">
        <f t="shared" si="107"/>
        <v>102</v>
      </c>
      <c r="DH234">
        <f>Source!I203*SmtRes!Y234</f>
        <v>50.900388000000007</v>
      </c>
      <c r="DI234">
        <f>AB234</f>
        <v>1.83</v>
      </c>
      <c r="DJ234">
        <f>EtalonRes!Z178</f>
        <v>1.83</v>
      </c>
      <c r="DK234">
        <f>Source!BB203</f>
        <v>1</v>
      </c>
      <c r="DL234" t="s">
        <v>6</v>
      </c>
      <c r="DM234">
        <v>0</v>
      </c>
      <c r="DN234" t="s">
        <v>6</v>
      </c>
      <c r="DO234">
        <v>0</v>
      </c>
      <c r="GQ234">
        <v>-1</v>
      </c>
      <c r="GR234">
        <v>-1</v>
      </c>
    </row>
    <row r="235" spans="1:200" x14ac:dyDescent="0.2">
      <c r="A235">
        <f>ROW(Source!A203)</f>
        <v>203</v>
      </c>
      <c r="B235">
        <v>86326987</v>
      </c>
      <c r="C235">
        <v>86327496</v>
      </c>
      <c r="D235">
        <v>27371200</v>
      </c>
      <c r="E235">
        <v>1</v>
      </c>
      <c r="F235">
        <v>1</v>
      </c>
      <c r="G235">
        <v>1</v>
      </c>
      <c r="H235">
        <v>3</v>
      </c>
      <c r="I235" t="s">
        <v>71</v>
      </c>
      <c r="J235" t="s">
        <v>73</v>
      </c>
      <c r="K235" t="s">
        <v>72</v>
      </c>
      <c r="L235">
        <v>1348</v>
      </c>
      <c r="N235">
        <v>1009</v>
      </c>
      <c r="O235" t="s">
        <v>33</v>
      </c>
      <c r="P235" t="s">
        <v>33</v>
      </c>
      <c r="Q235">
        <v>1000</v>
      </c>
      <c r="W235">
        <v>0</v>
      </c>
      <c r="X235">
        <v>-81122142</v>
      </c>
      <c r="Y235">
        <f t="shared" ref="Y235:Y243" si="111">AT235</f>
        <v>4.2009999999999999E-3</v>
      </c>
      <c r="AA235">
        <v>1696.01</v>
      </c>
      <c r="AB235">
        <v>0</v>
      </c>
      <c r="AC235">
        <v>0</v>
      </c>
      <c r="AD235">
        <v>0</v>
      </c>
      <c r="AE235">
        <v>1696.01</v>
      </c>
      <c r="AF235">
        <v>0</v>
      </c>
      <c r="AG235">
        <v>0</v>
      </c>
      <c r="AH235">
        <v>0</v>
      </c>
      <c r="AI235">
        <v>1</v>
      </c>
      <c r="AJ235">
        <v>1</v>
      </c>
      <c r="AK235">
        <v>1</v>
      </c>
      <c r="AL235">
        <v>1</v>
      </c>
      <c r="AM235">
        <v>0</v>
      </c>
      <c r="AN235">
        <v>0</v>
      </c>
      <c r="AO235">
        <v>0</v>
      </c>
      <c r="AP235">
        <v>1</v>
      </c>
      <c r="AQ235">
        <v>0</v>
      </c>
      <c r="AR235">
        <v>0</v>
      </c>
      <c r="AS235" t="s">
        <v>6</v>
      </c>
      <c r="AT235">
        <v>4.2009999999999999E-3</v>
      </c>
      <c r="AU235" t="s">
        <v>6</v>
      </c>
      <c r="AV235">
        <v>0</v>
      </c>
      <c r="AW235">
        <v>2</v>
      </c>
      <c r="AX235">
        <v>86327514</v>
      </c>
      <c r="AY235">
        <v>1</v>
      </c>
      <c r="AZ235">
        <v>6144</v>
      </c>
      <c r="BA235">
        <v>179</v>
      </c>
      <c r="BB235">
        <v>3</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CV235">
        <v>0</v>
      </c>
      <c r="CW235">
        <v>0</v>
      </c>
      <c r="CX235">
        <f>ROUND(Y235*Source!I203,9)</f>
        <v>0.12317542099999999</v>
      </c>
      <c r="CY235">
        <f t="shared" ref="CY235:CY243" si="112">AA235</f>
        <v>1696.01</v>
      </c>
      <c r="CZ235">
        <f t="shared" ref="CZ235:CZ243" si="113">AE235</f>
        <v>1696.01</v>
      </c>
      <c r="DA235">
        <f t="shared" ref="DA235:DA243" si="114">AI235</f>
        <v>1</v>
      </c>
      <c r="DB235">
        <f t="shared" ref="DB235:DB243" si="115">ROUND(ROUND(AT235*CZ235,2),2)</f>
        <v>7.12</v>
      </c>
      <c r="DC235">
        <f t="shared" ref="DC235:DC243" si="116">ROUND(ROUND(AT235*AG235,2),2)</f>
        <v>0</v>
      </c>
      <c r="DD235" t="s">
        <v>6</v>
      </c>
      <c r="DE235" t="s">
        <v>6</v>
      </c>
      <c r="DF235">
        <f t="shared" si="110"/>
        <v>209</v>
      </c>
      <c r="DG235">
        <f t="shared" si="107"/>
        <v>0</v>
      </c>
      <c r="DH235">
        <f>Source!I203*SmtRes!Y235</f>
        <v>0.12317542049999999</v>
      </c>
      <c r="DI235">
        <f t="shared" ref="DI235:DI243" si="117">AA235</f>
        <v>1696.01</v>
      </c>
      <c r="DJ235">
        <f>EtalonRes!Y179</f>
        <v>1696.01</v>
      </c>
      <c r="DK235">
        <f>Source!BC203</f>
        <v>1</v>
      </c>
      <c r="DL235" t="s">
        <v>6</v>
      </c>
      <c r="DM235">
        <v>0</v>
      </c>
      <c r="DN235" t="s">
        <v>6</v>
      </c>
      <c r="DO235">
        <v>0</v>
      </c>
      <c r="GP235">
        <v>1</v>
      </c>
      <c r="GQ235">
        <v>-1</v>
      </c>
      <c r="GR235">
        <v>-1</v>
      </c>
    </row>
    <row r="236" spans="1:200" x14ac:dyDescent="0.2">
      <c r="A236">
        <f>ROW(Source!A203)</f>
        <v>203</v>
      </c>
      <c r="B236">
        <v>86326987</v>
      </c>
      <c r="C236">
        <v>86327496</v>
      </c>
      <c r="D236">
        <v>11618017</v>
      </c>
      <c r="E236">
        <v>1</v>
      </c>
      <c r="F236">
        <v>1</v>
      </c>
      <c r="G236">
        <v>1</v>
      </c>
      <c r="H236">
        <v>3</v>
      </c>
      <c r="I236" t="s">
        <v>107</v>
      </c>
      <c r="J236" t="s">
        <v>109</v>
      </c>
      <c r="K236" t="s">
        <v>108</v>
      </c>
      <c r="L236">
        <v>1371</v>
      </c>
      <c r="N236">
        <v>1013</v>
      </c>
      <c r="O236" t="s">
        <v>103</v>
      </c>
      <c r="P236" t="s">
        <v>103</v>
      </c>
      <c r="Q236">
        <v>1</v>
      </c>
      <c r="W236">
        <v>0</v>
      </c>
      <c r="X236">
        <v>-1648273723</v>
      </c>
      <c r="Y236">
        <f t="shared" si="111"/>
        <v>12</v>
      </c>
      <c r="AA236">
        <v>0.24</v>
      </c>
      <c r="AB236">
        <v>0</v>
      </c>
      <c r="AC236">
        <v>0</v>
      </c>
      <c r="AD236">
        <v>0</v>
      </c>
      <c r="AE236">
        <v>0.24</v>
      </c>
      <c r="AF236">
        <v>0</v>
      </c>
      <c r="AG236">
        <v>0</v>
      </c>
      <c r="AH236">
        <v>0</v>
      </c>
      <c r="AI236">
        <v>1</v>
      </c>
      <c r="AJ236">
        <v>1</v>
      </c>
      <c r="AK236">
        <v>1</v>
      </c>
      <c r="AL236">
        <v>1</v>
      </c>
      <c r="AM236">
        <v>0</v>
      </c>
      <c r="AN236">
        <v>0</v>
      </c>
      <c r="AO236">
        <v>0</v>
      </c>
      <c r="AP236">
        <v>0</v>
      </c>
      <c r="AQ236">
        <v>0</v>
      </c>
      <c r="AR236">
        <v>0</v>
      </c>
      <c r="AS236" t="s">
        <v>6</v>
      </c>
      <c r="AT236">
        <v>12</v>
      </c>
      <c r="AU236" t="s">
        <v>6</v>
      </c>
      <c r="AV236">
        <v>0</v>
      </c>
      <c r="AW236">
        <v>1</v>
      </c>
      <c r="AX236">
        <v>-1</v>
      </c>
      <c r="AY236">
        <v>0</v>
      </c>
      <c r="AZ236">
        <v>0</v>
      </c>
      <c r="BA236" t="s">
        <v>6</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CV236">
        <v>0</v>
      </c>
      <c r="CW236">
        <v>0</v>
      </c>
      <c r="CX236">
        <f>ROUND(Y236*Source!I203,9)</f>
        <v>351.846</v>
      </c>
      <c r="CY236">
        <f t="shared" si="112"/>
        <v>0.24</v>
      </c>
      <c r="CZ236">
        <f t="shared" si="113"/>
        <v>0.24</v>
      </c>
      <c r="DA236">
        <f t="shared" si="114"/>
        <v>1</v>
      </c>
      <c r="DB236">
        <f t="shared" si="115"/>
        <v>2.88</v>
      </c>
      <c r="DC236">
        <f t="shared" si="116"/>
        <v>0</v>
      </c>
      <c r="DD236" t="s">
        <v>6</v>
      </c>
      <c r="DE236" t="s">
        <v>6</v>
      </c>
      <c r="DF236">
        <f t="shared" si="110"/>
        <v>0</v>
      </c>
      <c r="DG236">
        <f t="shared" si="107"/>
        <v>0</v>
      </c>
      <c r="DH236">
        <f>Source!I203*SmtRes!Y236</f>
        <v>351.846</v>
      </c>
      <c r="DI236">
        <f t="shared" si="117"/>
        <v>0.24</v>
      </c>
      <c r="DJ236">
        <f t="shared" ref="DJ236:DJ243" si="118">DF236</f>
        <v>0</v>
      </c>
      <c r="DK236">
        <f>Source!BC203</f>
        <v>1</v>
      </c>
      <c r="DL236" t="s">
        <v>6</v>
      </c>
      <c r="DM236">
        <v>0</v>
      </c>
      <c r="DN236" t="s">
        <v>6</v>
      </c>
      <c r="DO236">
        <v>0</v>
      </c>
      <c r="GP236">
        <v>1</v>
      </c>
      <c r="GQ236">
        <v>-1</v>
      </c>
      <c r="GR236">
        <v>-1</v>
      </c>
    </row>
    <row r="237" spans="1:200" x14ac:dyDescent="0.2">
      <c r="A237">
        <f>ROW(Source!A203)</f>
        <v>203</v>
      </c>
      <c r="B237">
        <v>86326987</v>
      </c>
      <c r="C237">
        <v>86327496</v>
      </c>
      <c r="D237">
        <v>11618018</v>
      </c>
      <c r="E237">
        <v>1</v>
      </c>
      <c r="F237">
        <v>1</v>
      </c>
      <c r="G237">
        <v>1</v>
      </c>
      <c r="H237">
        <v>3</v>
      </c>
      <c r="I237" t="s">
        <v>112</v>
      </c>
      <c r="J237" t="s">
        <v>114</v>
      </c>
      <c r="K237" t="s">
        <v>113</v>
      </c>
      <c r="L237">
        <v>1371</v>
      </c>
      <c r="N237">
        <v>1013</v>
      </c>
      <c r="O237" t="s">
        <v>103</v>
      </c>
      <c r="P237" t="s">
        <v>103</v>
      </c>
      <c r="Q237">
        <v>1</v>
      </c>
      <c r="W237">
        <v>0</v>
      </c>
      <c r="X237">
        <v>1900494391</v>
      </c>
      <c r="Y237">
        <f t="shared" si="111"/>
        <v>12</v>
      </c>
      <c r="AA237">
        <v>0.3</v>
      </c>
      <c r="AB237">
        <v>0</v>
      </c>
      <c r="AC237">
        <v>0</v>
      </c>
      <c r="AD237">
        <v>0</v>
      </c>
      <c r="AE237">
        <v>0.3</v>
      </c>
      <c r="AF237">
        <v>0</v>
      </c>
      <c r="AG237">
        <v>0</v>
      </c>
      <c r="AH237">
        <v>0</v>
      </c>
      <c r="AI237">
        <v>1</v>
      </c>
      <c r="AJ237">
        <v>1</v>
      </c>
      <c r="AK237">
        <v>1</v>
      </c>
      <c r="AL237">
        <v>1</v>
      </c>
      <c r="AM237">
        <v>0</v>
      </c>
      <c r="AN237">
        <v>0</v>
      </c>
      <c r="AO237">
        <v>0</v>
      </c>
      <c r="AP237">
        <v>0</v>
      </c>
      <c r="AQ237">
        <v>0</v>
      </c>
      <c r="AR237">
        <v>0</v>
      </c>
      <c r="AS237" t="s">
        <v>6</v>
      </c>
      <c r="AT237">
        <v>12</v>
      </c>
      <c r="AU237" t="s">
        <v>6</v>
      </c>
      <c r="AV237">
        <v>0</v>
      </c>
      <c r="AW237">
        <v>1</v>
      </c>
      <c r="AX237">
        <v>-1</v>
      </c>
      <c r="AY237">
        <v>0</v>
      </c>
      <c r="AZ237">
        <v>0</v>
      </c>
      <c r="BA237" t="s">
        <v>6</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CV237">
        <v>0</v>
      </c>
      <c r="CW237">
        <v>0</v>
      </c>
      <c r="CX237">
        <f>ROUND(Y237*Source!I203,9)</f>
        <v>351.846</v>
      </c>
      <c r="CY237">
        <f t="shared" si="112"/>
        <v>0.3</v>
      </c>
      <c r="CZ237">
        <f t="shared" si="113"/>
        <v>0.3</v>
      </c>
      <c r="DA237">
        <f t="shared" si="114"/>
        <v>1</v>
      </c>
      <c r="DB237">
        <f t="shared" si="115"/>
        <v>3.6</v>
      </c>
      <c r="DC237">
        <f t="shared" si="116"/>
        <v>0</v>
      </c>
      <c r="DD237" t="s">
        <v>6</v>
      </c>
      <c r="DE237" t="s">
        <v>6</v>
      </c>
      <c r="DF237">
        <f t="shared" si="110"/>
        <v>0</v>
      </c>
      <c r="DG237">
        <f t="shared" si="107"/>
        <v>0</v>
      </c>
      <c r="DH237">
        <f>Source!I203*SmtRes!Y237</f>
        <v>351.846</v>
      </c>
      <c r="DI237">
        <f t="shared" si="117"/>
        <v>0.3</v>
      </c>
      <c r="DJ237">
        <f t="shared" si="118"/>
        <v>0</v>
      </c>
      <c r="DK237">
        <f>Source!BC203</f>
        <v>1</v>
      </c>
      <c r="DL237" t="s">
        <v>6</v>
      </c>
      <c r="DM237">
        <v>0</v>
      </c>
      <c r="DN237" t="s">
        <v>6</v>
      </c>
      <c r="DO237">
        <v>0</v>
      </c>
      <c r="GP237">
        <v>1</v>
      </c>
      <c r="GQ237">
        <v>-1</v>
      </c>
      <c r="GR237">
        <v>-1</v>
      </c>
    </row>
    <row r="238" spans="1:200" x14ac:dyDescent="0.2">
      <c r="A238">
        <f>ROW(Source!A203)</f>
        <v>203</v>
      </c>
      <c r="B238">
        <v>86326987</v>
      </c>
      <c r="C238">
        <v>86327496</v>
      </c>
      <c r="D238">
        <v>11618019</v>
      </c>
      <c r="E238">
        <v>1</v>
      </c>
      <c r="F238">
        <v>1</v>
      </c>
      <c r="G238">
        <v>1</v>
      </c>
      <c r="H238">
        <v>3</v>
      </c>
      <c r="I238" t="s">
        <v>101</v>
      </c>
      <c r="J238" t="s">
        <v>104</v>
      </c>
      <c r="K238" t="s">
        <v>102</v>
      </c>
      <c r="L238">
        <v>1371</v>
      </c>
      <c r="N238">
        <v>1013</v>
      </c>
      <c r="O238" t="s">
        <v>103</v>
      </c>
      <c r="P238" t="s">
        <v>103</v>
      </c>
      <c r="Q238">
        <v>1</v>
      </c>
      <c r="W238">
        <v>0</v>
      </c>
      <c r="X238">
        <v>-504018761</v>
      </c>
      <c r="Y238">
        <f t="shared" si="111"/>
        <v>23</v>
      </c>
      <c r="AA238">
        <v>0.24</v>
      </c>
      <c r="AB238">
        <v>0</v>
      </c>
      <c r="AC238">
        <v>0</v>
      </c>
      <c r="AD238">
        <v>0</v>
      </c>
      <c r="AE238">
        <v>0.24</v>
      </c>
      <c r="AF238">
        <v>0</v>
      </c>
      <c r="AG238">
        <v>0</v>
      </c>
      <c r="AH238">
        <v>0</v>
      </c>
      <c r="AI238">
        <v>1</v>
      </c>
      <c r="AJ238">
        <v>1</v>
      </c>
      <c r="AK238">
        <v>1</v>
      </c>
      <c r="AL238">
        <v>1</v>
      </c>
      <c r="AM238">
        <v>0</v>
      </c>
      <c r="AN238">
        <v>0</v>
      </c>
      <c r="AO238">
        <v>0</v>
      </c>
      <c r="AP238">
        <v>0</v>
      </c>
      <c r="AQ238">
        <v>0</v>
      </c>
      <c r="AR238">
        <v>0</v>
      </c>
      <c r="AS238" t="s">
        <v>6</v>
      </c>
      <c r="AT238">
        <v>23</v>
      </c>
      <c r="AU238" t="s">
        <v>6</v>
      </c>
      <c r="AV238">
        <v>0</v>
      </c>
      <c r="AW238">
        <v>1</v>
      </c>
      <c r="AX238">
        <v>-1</v>
      </c>
      <c r="AY238">
        <v>0</v>
      </c>
      <c r="AZ238">
        <v>0</v>
      </c>
      <c r="BA238" t="s">
        <v>6</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CV238">
        <v>0</v>
      </c>
      <c r="CW238">
        <v>0</v>
      </c>
      <c r="CX238">
        <f>ROUND(Y238*Source!I203,9)</f>
        <v>674.37149999999997</v>
      </c>
      <c r="CY238">
        <f t="shared" si="112"/>
        <v>0.24</v>
      </c>
      <c r="CZ238">
        <f t="shared" si="113"/>
        <v>0.24</v>
      </c>
      <c r="DA238">
        <f t="shared" si="114"/>
        <v>1</v>
      </c>
      <c r="DB238">
        <f t="shared" si="115"/>
        <v>5.52</v>
      </c>
      <c r="DC238">
        <f t="shared" si="116"/>
        <v>0</v>
      </c>
      <c r="DD238" t="s">
        <v>6</v>
      </c>
      <c r="DE238" t="s">
        <v>6</v>
      </c>
      <c r="DF238">
        <f t="shared" si="110"/>
        <v>0</v>
      </c>
      <c r="DG238">
        <f t="shared" si="107"/>
        <v>0</v>
      </c>
      <c r="DH238">
        <f>Source!I203*SmtRes!Y238</f>
        <v>674.37149999999997</v>
      </c>
      <c r="DI238">
        <f t="shared" si="117"/>
        <v>0.24</v>
      </c>
      <c r="DJ238">
        <f t="shared" si="118"/>
        <v>0</v>
      </c>
      <c r="DK238">
        <f>Source!BC203</f>
        <v>1</v>
      </c>
      <c r="DL238" t="s">
        <v>6</v>
      </c>
      <c r="DM238">
        <v>0</v>
      </c>
      <c r="DN238" t="s">
        <v>6</v>
      </c>
      <c r="DO238">
        <v>0</v>
      </c>
      <c r="GP238">
        <v>1</v>
      </c>
      <c r="GQ238">
        <v>-1</v>
      </c>
      <c r="GR238">
        <v>-1</v>
      </c>
    </row>
    <row r="239" spans="1:200" x14ac:dyDescent="0.2">
      <c r="A239">
        <f>ROW(Source!A203)</f>
        <v>203</v>
      </c>
      <c r="B239">
        <v>86326987</v>
      </c>
      <c r="C239">
        <v>86327496</v>
      </c>
      <c r="D239">
        <v>35950821</v>
      </c>
      <c r="E239">
        <v>1</v>
      </c>
      <c r="F239">
        <v>1</v>
      </c>
      <c r="G239">
        <v>1</v>
      </c>
      <c r="H239">
        <v>3</v>
      </c>
      <c r="I239" t="s">
        <v>76</v>
      </c>
      <c r="J239" t="s">
        <v>79</v>
      </c>
      <c r="K239" t="s">
        <v>286</v>
      </c>
      <c r="L239">
        <v>1391</v>
      </c>
      <c r="N239">
        <v>1013</v>
      </c>
      <c r="O239" t="s">
        <v>78</v>
      </c>
      <c r="P239" t="s">
        <v>78</v>
      </c>
      <c r="Q239">
        <v>1</v>
      </c>
      <c r="W239">
        <v>0</v>
      </c>
      <c r="X239">
        <v>1821058467</v>
      </c>
      <c r="Y239">
        <f t="shared" si="111"/>
        <v>1.7240497299999999</v>
      </c>
      <c r="AA239">
        <v>87.58</v>
      </c>
      <c r="AB239">
        <v>0</v>
      </c>
      <c r="AC239">
        <v>0</v>
      </c>
      <c r="AD239">
        <v>0</v>
      </c>
      <c r="AE239">
        <v>87.58</v>
      </c>
      <c r="AF239">
        <v>0</v>
      </c>
      <c r="AG239">
        <v>0</v>
      </c>
      <c r="AH239">
        <v>0</v>
      </c>
      <c r="AI239">
        <v>1</v>
      </c>
      <c r="AJ239">
        <v>1</v>
      </c>
      <c r="AK239">
        <v>1</v>
      </c>
      <c r="AL239">
        <v>1</v>
      </c>
      <c r="AM239">
        <v>0</v>
      </c>
      <c r="AN239">
        <v>0</v>
      </c>
      <c r="AO239">
        <v>0</v>
      </c>
      <c r="AP239">
        <v>0</v>
      </c>
      <c r="AQ239">
        <v>0</v>
      </c>
      <c r="AR239">
        <v>0</v>
      </c>
      <c r="AS239" t="s">
        <v>6</v>
      </c>
      <c r="AT239">
        <v>1.7240497299999999</v>
      </c>
      <c r="AU239" t="s">
        <v>6</v>
      </c>
      <c r="AV239">
        <v>0</v>
      </c>
      <c r="AW239">
        <v>1</v>
      </c>
      <c r="AX239">
        <v>-1</v>
      </c>
      <c r="AY239">
        <v>0</v>
      </c>
      <c r="AZ239">
        <v>0</v>
      </c>
      <c r="BA239" t="s">
        <v>6</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CV239">
        <v>0</v>
      </c>
      <c r="CW239">
        <v>0</v>
      </c>
      <c r="CX239">
        <f>ROUND(Y239*Source!I203,9)</f>
        <v>50.550000107999999</v>
      </c>
      <c r="CY239">
        <f t="shared" si="112"/>
        <v>87.58</v>
      </c>
      <c r="CZ239">
        <f t="shared" si="113"/>
        <v>87.58</v>
      </c>
      <c r="DA239">
        <f t="shared" si="114"/>
        <v>1</v>
      </c>
      <c r="DB239">
        <f t="shared" si="115"/>
        <v>150.99</v>
      </c>
      <c r="DC239">
        <f t="shared" si="116"/>
        <v>0</v>
      </c>
      <c r="DD239" t="s">
        <v>6</v>
      </c>
      <c r="DE239" t="s">
        <v>6</v>
      </c>
      <c r="DF239">
        <f t="shared" si="110"/>
        <v>4448</v>
      </c>
      <c r="DG239">
        <f t="shared" si="107"/>
        <v>0</v>
      </c>
      <c r="DH239">
        <f>Source!I203*SmtRes!Y239</f>
        <v>50.550000108464999</v>
      </c>
      <c r="DI239">
        <f t="shared" si="117"/>
        <v>87.58</v>
      </c>
      <c r="DJ239">
        <f t="shared" si="118"/>
        <v>4448</v>
      </c>
      <c r="DK239">
        <f>Source!BC203</f>
        <v>1</v>
      </c>
      <c r="DL239" t="s">
        <v>6</v>
      </c>
      <c r="DM239">
        <v>0</v>
      </c>
      <c r="DN239" t="s">
        <v>6</v>
      </c>
      <c r="DO239">
        <v>0</v>
      </c>
      <c r="GP239">
        <v>1</v>
      </c>
      <c r="GQ239">
        <v>-1</v>
      </c>
      <c r="GR239">
        <v>-1</v>
      </c>
    </row>
    <row r="240" spans="1:200" x14ac:dyDescent="0.2">
      <c r="A240">
        <f>ROW(Source!A203)</f>
        <v>203</v>
      </c>
      <c r="B240">
        <v>86326987</v>
      </c>
      <c r="C240">
        <v>86327496</v>
      </c>
      <c r="D240">
        <v>35950824</v>
      </c>
      <c r="E240">
        <v>1</v>
      </c>
      <c r="F240">
        <v>1</v>
      </c>
      <c r="G240">
        <v>1</v>
      </c>
      <c r="H240">
        <v>3</v>
      </c>
      <c r="I240" t="s">
        <v>82</v>
      </c>
      <c r="J240" t="s">
        <v>84</v>
      </c>
      <c r="K240" t="s">
        <v>288</v>
      </c>
      <c r="L240">
        <v>1391</v>
      </c>
      <c r="N240">
        <v>1013</v>
      </c>
      <c r="O240" t="s">
        <v>78</v>
      </c>
      <c r="P240" t="s">
        <v>78</v>
      </c>
      <c r="Q240">
        <v>1</v>
      </c>
      <c r="W240">
        <v>0</v>
      </c>
      <c r="X240">
        <v>1390445220</v>
      </c>
      <c r="Y240">
        <f t="shared" si="111"/>
        <v>1.7240497299999999</v>
      </c>
      <c r="AA240">
        <v>56.57</v>
      </c>
      <c r="AB240">
        <v>0</v>
      </c>
      <c r="AC240">
        <v>0</v>
      </c>
      <c r="AD240">
        <v>0</v>
      </c>
      <c r="AE240">
        <v>56.57</v>
      </c>
      <c r="AF240">
        <v>0</v>
      </c>
      <c r="AG240">
        <v>0</v>
      </c>
      <c r="AH240">
        <v>0</v>
      </c>
      <c r="AI240">
        <v>1</v>
      </c>
      <c r="AJ240">
        <v>1</v>
      </c>
      <c r="AK240">
        <v>1</v>
      </c>
      <c r="AL240">
        <v>1</v>
      </c>
      <c r="AM240">
        <v>0</v>
      </c>
      <c r="AN240">
        <v>0</v>
      </c>
      <c r="AO240">
        <v>0</v>
      </c>
      <c r="AP240">
        <v>1</v>
      </c>
      <c r="AQ240">
        <v>0</v>
      </c>
      <c r="AR240">
        <v>0</v>
      </c>
      <c r="AS240" t="s">
        <v>6</v>
      </c>
      <c r="AT240">
        <v>1.7240497299999999</v>
      </c>
      <c r="AU240" t="s">
        <v>6</v>
      </c>
      <c r="AV240">
        <v>0</v>
      </c>
      <c r="AW240">
        <v>1</v>
      </c>
      <c r="AX240">
        <v>-1</v>
      </c>
      <c r="AY240">
        <v>0</v>
      </c>
      <c r="AZ240">
        <v>0</v>
      </c>
      <c r="BA240" t="s">
        <v>6</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CV240">
        <v>0</v>
      </c>
      <c r="CW240">
        <v>0</v>
      </c>
      <c r="CX240">
        <f>ROUND(Y240*Source!I203,9)</f>
        <v>50.550000107999999</v>
      </c>
      <c r="CY240">
        <f t="shared" si="112"/>
        <v>56.57</v>
      </c>
      <c r="CZ240">
        <f t="shared" si="113"/>
        <v>56.57</v>
      </c>
      <c r="DA240">
        <f t="shared" si="114"/>
        <v>1</v>
      </c>
      <c r="DB240">
        <f t="shared" si="115"/>
        <v>97.53</v>
      </c>
      <c r="DC240">
        <f t="shared" si="116"/>
        <v>0</v>
      </c>
      <c r="DD240" t="s">
        <v>6</v>
      </c>
      <c r="DE240" t="s">
        <v>6</v>
      </c>
      <c r="DF240">
        <f t="shared" si="110"/>
        <v>2881</v>
      </c>
      <c r="DG240">
        <f t="shared" si="107"/>
        <v>0</v>
      </c>
      <c r="DH240">
        <f>Source!I203*SmtRes!Y240</f>
        <v>50.550000108464999</v>
      </c>
      <c r="DI240">
        <f t="shared" si="117"/>
        <v>56.57</v>
      </c>
      <c r="DJ240">
        <f t="shared" si="118"/>
        <v>2881</v>
      </c>
      <c r="DK240">
        <f>Source!BC203</f>
        <v>1</v>
      </c>
      <c r="DL240" t="s">
        <v>6</v>
      </c>
      <c r="DM240">
        <v>0</v>
      </c>
      <c r="DN240" t="s">
        <v>6</v>
      </c>
      <c r="DO240">
        <v>0</v>
      </c>
      <c r="GP240">
        <v>1</v>
      </c>
      <c r="GQ240">
        <v>-1</v>
      </c>
      <c r="GR240">
        <v>-1</v>
      </c>
    </row>
    <row r="241" spans="1:200" x14ac:dyDescent="0.2">
      <c r="A241">
        <f>ROW(Source!A203)</f>
        <v>203</v>
      </c>
      <c r="B241">
        <v>86326987</v>
      </c>
      <c r="C241">
        <v>86327496</v>
      </c>
      <c r="D241">
        <v>27425862</v>
      </c>
      <c r="E241">
        <v>1</v>
      </c>
      <c r="F241">
        <v>1</v>
      </c>
      <c r="G241">
        <v>1</v>
      </c>
      <c r="H241">
        <v>3</v>
      </c>
      <c r="I241" t="s">
        <v>92</v>
      </c>
      <c r="J241" t="s">
        <v>95</v>
      </c>
      <c r="K241" t="s">
        <v>93</v>
      </c>
      <c r="L241">
        <v>1301</v>
      </c>
      <c r="N241">
        <v>1003</v>
      </c>
      <c r="O241" t="s">
        <v>94</v>
      </c>
      <c r="P241" t="s">
        <v>94</v>
      </c>
      <c r="Q241">
        <v>1</v>
      </c>
      <c r="W241">
        <v>0</v>
      </c>
      <c r="X241">
        <v>-1608277363</v>
      </c>
      <c r="Y241">
        <f t="shared" si="111"/>
        <v>5.3879999999999999</v>
      </c>
      <c r="AA241">
        <v>4.6900000000000004</v>
      </c>
      <c r="AB241">
        <v>0</v>
      </c>
      <c r="AC241">
        <v>0</v>
      </c>
      <c r="AD241">
        <v>0</v>
      </c>
      <c r="AE241">
        <v>4.6900000000000004</v>
      </c>
      <c r="AF241">
        <v>0</v>
      </c>
      <c r="AG241">
        <v>0</v>
      </c>
      <c r="AH241">
        <v>0</v>
      </c>
      <c r="AI241">
        <v>1</v>
      </c>
      <c r="AJ241">
        <v>1</v>
      </c>
      <c r="AK241">
        <v>1</v>
      </c>
      <c r="AL241">
        <v>1</v>
      </c>
      <c r="AM241">
        <v>0</v>
      </c>
      <c r="AN241">
        <v>0</v>
      </c>
      <c r="AO241">
        <v>0</v>
      </c>
      <c r="AP241">
        <v>0</v>
      </c>
      <c r="AQ241">
        <v>0</v>
      </c>
      <c r="AR241">
        <v>0</v>
      </c>
      <c r="AS241" t="s">
        <v>6</v>
      </c>
      <c r="AT241">
        <v>5.3879999999999999</v>
      </c>
      <c r="AU241" t="s">
        <v>6</v>
      </c>
      <c r="AV241">
        <v>0</v>
      </c>
      <c r="AW241">
        <v>1</v>
      </c>
      <c r="AX241">
        <v>-1</v>
      </c>
      <c r="AY241">
        <v>0</v>
      </c>
      <c r="AZ241">
        <v>0</v>
      </c>
      <c r="BA241" t="s">
        <v>6</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CV241">
        <v>0</v>
      </c>
      <c r="CW241">
        <v>0</v>
      </c>
      <c r="CX241">
        <f>ROUND(Y241*Source!I203,9)</f>
        <v>157.97885400000001</v>
      </c>
      <c r="CY241">
        <f t="shared" si="112"/>
        <v>4.6900000000000004</v>
      </c>
      <c r="CZ241">
        <f t="shared" si="113"/>
        <v>4.6900000000000004</v>
      </c>
      <c r="DA241">
        <f t="shared" si="114"/>
        <v>1</v>
      </c>
      <c r="DB241">
        <f t="shared" si="115"/>
        <v>25.27</v>
      </c>
      <c r="DC241">
        <f t="shared" si="116"/>
        <v>0</v>
      </c>
      <c r="DD241" t="s">
        <v>6</v>
      </c>
      <c r="DE241" t="s">
        <v>6</v>
      </c>
      <c r="DF241">
        <f t="shared" si="110"/>
        <v>790</v>
      </c>
      <c r="DG241">
        <f t="shared" si="107"/>
        <v>0</v>
      </c>
      <c r="DH241">
        <f>Source!I203*SmtRes!Y241</f>
        <v>157.97885399999998</v>
      </c>
      <c r="DI241">
        <f t="shared" si="117"/>
        <v>4.6900000000000004</v>
      </c>
      <c r="DJ241">
        <f t="shared" si="118"/>
        <v>790</v>
      </c>
      <c r="DK241">
        <f>Source!BC203</f>
        <v>1</v>
      </c>
      <c r="DL241" t="s">
        <v>6</v>
      </c>
      <c r="DM241">
        <v>0</v>
      </c>
      <c r="DN241" t="s">
        <v>6</v>
      </c>
      <c r="DO241">
        <v>0</v>
      </c>
      <c r="GP241">
        <v>1</v>
      </c>
      <c r="GQ241">
        <v>-1</v>
      </c>
      <c r="GR241">
        <v>-1</v>
      </c>
    </row>
    <row r="242" spans="1:200" x14ac:dyDescent="0.2">
      <c r="A242">
        <f>ROW(Source!A203)</f>
        <v>203</v>
      </c>
      <c r="B242">
        <v>86326987</v>
      </c>
      <c r="C242">
        <v>86327496</v>
      </c>
      <c r="D242">
        <v>69208315</v>
      </c>
      <c r="E242">
        <v>1</v>
      </c>
      <c r="F242">
        <v>1</v>
      </c>
      <c r="G242">
        <v>1</v>
      </c>
      <c r="H242">
        <v>3</v>
      </c>
      <c r="I242" t="s">
        <v>117</v>
      </c>
      <c r="J242" t="s">
        <v>119</v>
      </c>
      <c r="K242" t="s">
        <v>118</v>
      </c>
      <c r="L242">
        <v>1348</v>
      </c>
      <c r="N242">
        <v>1009</v>
      </c>
      <c r="O242" t="s">
        <v>33</v>
      </c>
      <c r="P242" t="s">
        <v>33</v>
      </c>
      <c r="Q242">
        <v>1000</v>
      </c>
      <c r="W242">
        <v>0</v>
      </c>
      <c r="X242">
        <v>772407484</v>
      </c>
      <c r="Y242">
        <f t="shared" si="111"/>
        <v>9.5100000000000002E-4</v>
      </c>
      <c r="AA242">
        <v>10633.86</v>
      </c>
      <c r="AB242">
        <v>0</v>
      </c>
      <c r="AC242">
        <v>0</v>
      </c>
      <c r="AD242">
        <v>0</v>
      </c>
      <c r="AE242">
        <v>10633.86</v>
      </c>
      <c r="AF242">
        <v>0</v>
      </c>
      <c r="AG242">
        <v>0</v>
      </c>
      <c r="AH242">
        <v>0</v>
      </c>
      <c r="AI242">
        <v>1</v>
      </c>
      <c r="AJ242">
        <v>1</v>
      </c>
      <c r="AK242">
        <v>1</v>
      </c>
      <c r="AL242">
        <v>1</v>
      </c>
      <c r="AM242">
        <v>0</v>
      </c>
      <c r="AN242">
        <v>0</v>
      </c>
      <c r="AO242">
        <v>0</v>
      </c>
      <c r="AP242">
        <v>1</v>
      </c>
      <c r="AQ242">
        <v>0</v>
      </c>
      <c r="AR242">
        <v>0</v>
      </c>
      <c r="AS242" t="s">
        <v>6</v>
      </c>
      <c r="AT242">
        <v>9.5100000000000002E-4</v>
      </c>
      <c r="AU242" t="s">
        <v>6</v>
      </c>
      <c r="AV242">
        <v>0</v>
      </c>
      <c r="AW242">
        <v>1</v>
      </c>
      <c r="AX242">
        <v>-1</v>
      </c>
      <c r="AY242">
        <v>0</v>
      </c>
      <c r="AZ242">
        <v>0</v>
      </c>
      <c r="BA242" t="s">
        <v>6</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CV242">
        <v>0</v>
      </c>
      <c r="CW242">
        <v>0</v>
      </c>
      <c r="CX242">
        <f>ROUND(Y242*Source!I203,9)</f>
        <v>2.7883795999999999E-2</v>
      </c>
      <c r="CY242">
        <f t="shared" si="112"/>
        <v>10633.86</v>
      </c>
      <c r="CZ242">
        <f t="shared" si="113"/>
        <v>10633.86</v>
      </c>
      <c r="DA242">
        <f t="shared" si="114"/>
        <v>1</v>
      </c>
      <c r="DB242">
        <f t="shared" si="115"/>
        <v>10.11</v>
      </c>
      <c r="DC242">
        <f t="shared" si="116"/>
        <v>0</v>
      </c>
      <c r="DD242" t="s">
        <v>6</v>
      </c>
      <c r="DE242" t="s">
        <v>6</v>
      </c>
      <c r="DF242">
        <f t="shared" si="110"/>
        <v>297</v>
      </c>
      <c r="DG242">
        <f t="shared" si="107"/>
        <v>0</v>
      </c>
      <c r="DH242">
        <f>Source!I203*SmtRes!Y242</f>
        <v>2.7883795499999999E-2</v>
      </c>
      <c r="DI242">
        <f t="shared" si="117"/>
        <v>10633.86</v>
      </c>
      <c r="DJ242">
        <f t="shared" si="118"/>
        <v>297</v>
      </c>
      <c r="DK242">
        <f>Source!BC203</f>
        <v>1</v>
      </c>
      <c r="DL242" t="s">
        <v>6</v>
      </c>
      <c r="DM242">
        <v>0</v>
      </c>
      <c r="DN242" t="s">
        <v>6</v>
      </c>
      <c r="DO242">
        <v>0</v>
      </c>
      <c r="GP242">
        <v>1</v>
      </c>
      <c r="GQ242">
        <v>-1</v>
      </c>
      <c r="GR242">
        <v>-1</v>
      </c>
    </row>
    <row r="243" spans="1:200" x14ac:dyDescent="0.2">
      <c r="A243">
        <f>ROW(Source!A203)</f>
        <v>203</v>
      </c>
      <c r="B243">
        <v>86326987</v>
      </c>
      <c r="C243">
        <v>86327496</v>
      </c>
      <c r="D243">
        <v>69408587</v>
      </c>
      <c r="E243">
        <v>1</v>
      </c>
      <c r="F243">
        <v>1</v>
      </c>
      <c r="G243">
        <v>1</v>
      </c>
      <c r="H243">
        <v>3</v>
      </c>
      <c r="I243" t="s">
        <v>87</v>
      </c>
      <c r="J243" t="s">
        <v>89</v>
      </c>
      <c r="K243" t="s">
        <v>88</v>
      </c>
      <c r="L243">
        <v>1339</v>
      </c>
      <c r="N243">
        <v>1007</v>
      </c>
      <c r="O243" t="s">
        <v>44</v>
      </c>
      <c r="P243" t="s">
        <v>44</v>
      </c>
      <c r="Q243">
        <v>1</v>
      </c>
      <c r="W243">
        <v>0</v>
      </c>
      <c r="X243">
        <v>-183216560</v>
      </c>
      <c r="Y243">
        <f t="shared" si="111"/>
        <v>1.9299210449999999</v>
      </c>
      <c r="AA243">
        <v>878.79</v>
      </c>
      <c r="AB243">
        <v>0</v>
      </c>
      <c r="AC243">
        <v>0</v>
      </c>
      <c r="AD243">
        <v>0</v>
      </c>
      <c r="AE243">
        <v>878.79</v>
      </c>
      <c r="AF243">
        <v>0</v>
      </c>
      <c r="AG243">
        <v>0</v>
      </c>
      <c r="AH243">
        <v>0</v>
      </c>
      <c r="AI243">
        <v>1</v>
      </c>
      <c r="AJ243">
        <v>1</v>
      </c>
      <c r="AK243">
        <v>1</v>
      </c>
      <c r="AL243">
        <v>1</v>
      </c>
      <c r="AM243">
        <v>0</v>
      </c>
      <c r="AN243">
        <v>0</v>
      </c>
      <c r="AO243">
        <v>0</v>
      </c>
      <c r="AP243">
        <v>1</v>
      </c>
      <c r="AQ243">
        <v>0</v>
      </c>
      <c r="AR243">
        <v>0</v>
      </c>
      <c r="AS243" t="s">
        <v>6</v>
      </c>
      <c r="AT243">
        <v>1.9299210449999999</v>
      </c>
      <c r="AU243" t="s">
        <v>6</v>
      </c>
      <c r="AV243">
        <v>0</v>
      </c>
      <c r="AW243">
        <v>1</v>
      </c>
      <c r="AX243">
        <v>-1</v>
      </c>
      <c r="AY243">
        <v>0</v>
      </c>
      <c r="AZ243">
        <v>0</v>
      </c>
      <c r="BA243" t="s">
        <v>6</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CV243">
        <v>0</v>
      </c>
      <c r="CW243">
        <v>0</v>
      </c>
      <c r="CX243">
        <f>ROUND(Y243*Source!I203,9)</f>
        <v>56.58625</v>
      </c>
      <c r="CY243">
        <f t="shared" si="112"/>
        <v>878.79</v>
      </c>
      <c r="CZ243">
        <f t="shared" si="113"/>
        <v>878.79</v>
      </c>
      <c r="DA243">
        <f t="shared" si="114"/>
        <v>1</v>
      </c>
      <c r="DB243">
        <f t="shared" si="115"/>
        <v>1696</v>
      </c>
      <c r="DC243">
        <f t="shared" si="116"/>
        <v>0</v>
      </c>
      <c r="DD243" t="s">
        <v>6</v>
      </c>
      <c r="DE243" t="s">
        <v>6</v>
      </c>
      <c r="DF243">
        <f t="shared" si="110"/>
        <v>49739</v>
      </c>
      <c r="DG243">
        <f t="shared" si="107"/>
        <v>0</v>
      </c>
      <c r="DH243">
        <f>Source!I203*SmtRes!Y243</f>
        <v>56.586249999922494</v>
      </c>
      <c r="DI243">
        <f t="shared" si="117"/>
        <v>878.79</v>
      </c>
      <c r="DJ243">
        <f t="shared" si="118"/>
        <v>49739</v>
      </c>
      <c r="DK243">
        <f>Source!BC203</f>
        <v>1</v>
      </c>
      <c r="DL243" t="s">
        <v>6</v>
      </c>
      <c r="DM243">
        <v>0</v>
      </c>
      <c r="DN243" t="s">
        <v>6</v>
      </c>
      <c r="DO243">
        <v>0</v>
      </c>
      <c r="GP243">
        <v>1</v>
      </c>
      <c r="GQ243">
        <v>-1</v>
      </c>
      <c r="GR243">
        <v>-1</v>
      </c>
    </row>
    <row r="244" spans="1:200" x14ac:dyDescent="0.2">
      <c r="A244">
        <f>ROW(Source!A204)</f>
        <v>204</v>
      </c>
      <c r="B244">
        <v>86326988</v>
      </c>
      <c r="C244">
        <v>86327496</v>
      </c>
      <c r="D244">
        <v>27497778</v>
      </c>
      <c r="E244">
        <v>1</v>
      </c>
      <c r="F244">
        <v>1</v>
      </c>
      <c r="G244">
        <v>1</v>
      </c>
      <c r="H244">
        <v>1</v>
      </c>
      <c r="I244" t="s">
        <v>647</v>
      </c>
      <c r="J244" t="s">
        <v>6</v>
      </c>
      <c r="K244" t="s">
        <v>648</v>
      </c>
      <c r="L244">
        <v>1369</v>
      </c>
      <c r="N244">
        <v>1013</v>
      </c>
      <c r="O244" t="s">
        <v>625</v>
      </c>
      <c r="P244" t="s">
        <v>625</v>
      </c>
      <c r="Q244">
        <v>1</v>
      </c>
      <c r="W244">
        <v>0</v>
      </c>
      <c r="X244">
        <v>-160844189</v>
      </c>
      <c r="Y244">
        <f>(AT244*1.05)</f>
        <v>4.4205000000000005</v>
      </c>
      <c r="AA244">
        <v>0</v>
      </c>
      <c r="AB244">
        <v>0</v>
      </c>
      <c r="AC244">
        <v>0</v>
      </c>
      <c r="AD244">
        <v>314.17</v>
      </c>
      <c r="AE244">
        <v>0</v>
      </c>
      <c r="AF244">
        <v>0</v>
      </c>
      <c r="AG244">
        <v>0</v>
      </c>
      <c r="AH244">
        <v>8.7100000000000009</v>
      </c>
      <c r="AI244">
        <v>1</v>
      </c>
      <c r="AJ244">
        <v>1</v>
      </c>
      <c r="AK244">
        <v>1</v>
      </c>
      <c r="AL244">
        <v>36.07</v>
      </c>
      <c r="AM244">
        <v>5</v>
      </c>
      <c r="AN244">
        <v>0</v>
      </c>
      <c r="AO244">
        <v>1</v>
      </c>
      <c r="AP244">
        <v>1</v>
      </c>
      <c r="AQ244">
        <v>0</v>
      </c>
      <c r="AR244">
        <v>0</v>
      </c>
      <c r="AS244" t="s">
        <v>6</v>
      </c>
      <c r="AT244">
        <v>4.21</v>
      </c>
      <c r="AU244" t="s">
        <v>25</v>
      </c>
      <c r="AV244">
        <v>1</v>
      </c>
      <c r="AW244">
        <v>2</v>
      </c>
      <c r="AX244">
        <v>86327510</v>
      </c>
      <c r="AY244">
        <v>1</v>
      </c>
      <c r="AZ244">
        <v>0</v>
      </c>
      <c r="BA244">
        <v>182</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CU244">
        <f>ROUND(AT244*Source!I204*AH244*AL244,0)</f>
        <v>38781</v>
      </c>
      <c r="CV244">
        <f>ROUND(Y244*Source!I204,9)</f>
        <v>129.61127024999999</v>
      </c>
      <c r="CW244">
        <v>0</v>
      </c>
      <c r="CX244">
        <f>ROUND(Y244*Source!I204,9)</f>
        <v>129.61127024999999</v>
      </c>
      <c r="CY244">
        <f>AD244</f>
        <v>314.17</v>
      </c>
      <c r="CZ244">
        <f>AH244</f>
        <v>8.7100000000000009</v>
      </c>
      <c r="DA244">
        <f>AL244</f>
        <v>36.07</v>
      </c>
      <c r="DB244">
        <f>ROUND((ROUND(AT244*CZ244,2)*1.05),2)</f>
        <v>38.5</v>
      </c>
      <c r="DC244">
        <f>ROUND((ROUND(AT244*AG244,2)*1.05),2)</f>
        <v>0</v>
      </c>
      <c r="DD244" t="s">
        <v>6</v>
      </c>
      <c r="DE244" t="s">
        <v>6</v>
      </c>
      <c r="DF244">
        <f t="shared" si="110"/>
        <v>0</v>
      </c>
      <c r="DG244">
        <f t="shared" si="107"/>
        <v>0</v>
      </c>
      <c r="DH244">
        <f>Source!I204*SmtRes!Y244</f>
        <v>129.61127025000002</v>
      </c>
      <c r="DI244">
        <f>AD244</f>
        <v>314.17</v>
      </c>
      <c r="DJ244">
        <f>EtalonRes!AB182</f>
        <v>8.7100000000000009</v>
      </c>
      <c r="DK244">
        <f>Source!BA204</f>
        <v>36.07</v>
      </c>
      <c r="DL244" t="s">
        <v>6</v>
      </c>
      <c r="DM244">
        <v>0</v>
      </c>
      <c r="DN244" t="s">
        <v>6</v>
      </c>
      <c r="DO244">
        <v>0</v>
      </c>
      <c r="GQ244">
        <v>-1</v>
      </c>
      <c r="GR244">
        <v>-1</v>
      </c>
    </row>
    <row r="245" spans="1:200" x14ac:dyDescent="0.2">
      <c r="A245">
        <f>ROW(Source!A204)</f>
        <v>204</v>
      </c>
      <c r="B245">
        <v>86326988</v>
      </c>
      <c r="C245">
        <v>86327496</v>
      </c>
      <c r="D245">
        <v>121548</v>
      </c>
      <c r="E245">
        <v>1</v>
      </c>
      <c r="F245">
        <v>1</v>
      </c>
      <c r="G245">
        <v>1</v>
      </c>
      <c r="H245">
        <v>1</v>
      </c>
      <c r="I245" t="s">
        <v>40</v>
      </c>
      <c r="J245" t="s">
        <v>6</v>
      </c>
      <c r="K245" t="s">
        <v>626</v>
      </c>
      <c r="L245">
        <v>608254</v>
      </c>
      <c r="N245">
        <v>1013</v>
      </c>
      <c r="O245" t="s">
        <v>627</v>
      </c>
      <c r="P245" t="s">
        <v>627</v>
      </c>
      <c r="Q245">
        <v>1</v>
      </c>
      <c r="W245">
        <v>0</v>
      </c>
      <c r="X245">
        <v>-185737400</v>
      </c>
      <c r="Y245">
        <f>(AT245*1.12)</f>
        <v>1.8480000000000001</v>
      </c>
      <c r="AA245">
        <v>0</v>
      </c>
      <c r="AB245">
        <v>0</v>
      </c>
      <c r="AC245">
        <v>0</v>
      </c>
      <c r="AD245">
        <v>0</v>
      </c>
      <c r="AE245">
        <v>0</v>
      </c>
      <c r="AF245">
        <v>0</v>
      </c>
      <c r="AG245">
        <v>0</v>
      </c>
      <c r="AH245">
        <v>0</v>
      </c>
      <c r="AI245">
        <v>1</v>
      </c>
      <c r="AJ245">
        <v>1</v>
      </c>
      <c r="AK245">
        <v>19.8</v>
      </c>
      <c r="AL245">
        <v>1</v>
      </c>
      <c r="AM245">
        <v>5</v>
      </c>
      <c r="AN245">
        <v>0</v>
      </c>
      <c r="AO245">
        <v>1</v>
      </c>
      <c r="AP245">
        <v>1</v>
      </c>
      <c r="AQ245">
        <v>0</v>
      </c>
      <c r="AR245">
        <v>0</v>
      </c>
      <c r="AS245" t="s">
        <v>6</v>
      </c>
      <c r="AT245">
        <v>1.65</v>
      </c>
      <c r="AU245" t="s">
        <v>24</v>
      </c>
      <c r="AV245">
        <v>2</v>
      </c>
      <c r="AW245">
        <v>2</v>
      </c>
      <c r="AX245">
        <v>86327511</v>
      </c>
      <c r="AY245">
        <v>1</v>
      </c>
      <c r="AZ245">
        <v>0</v>
      </c>
      <c r="BA245">
        <v>183</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CV245">
        <v>0</v>
      </c>
      <c r="CW245">
        <v>0</v>
      </c>
      <c r="CX245">
        <f>ROUND(Y245*Source!I204,9)</f>
        <v>54.184283999999998</v>
      </c>
      <c r="CY245">
        <f>AD245</f>
        <v>0</v>
      </c>
      <c r="CZ245">
        <f>AH245</f>
        <v>0</v>
      </c>
      <c r="DA245">
        <f>AL245</f>
        <v>1</v>
      </c>
      <c r="DB245">
        <f>ROUND((ROUND(AT245*CZ245,2)*1.12),2)</f>
        <v>0</v>
      </c>
      <c r="DC245">
        <f>ROUND((ROUND(AT245*AG245,2)*1.12),2)</f>
        <v>0</v>
      </c>
      <c r="DD245" t="s">
        <v>6</v>
      </c>
      <c r="DE245" t="s">
        <v>6</v>
      </c>
      <c r="DF245">
        <f t="shared" si="110"/>
        <v>0</v>
      </c>
      <c r="DG245">
        <f t="shared" si="107"/>
        <v>0</v>
      </c>
      <c r="DH245">
        <f>Source!I204*SmtRes!Y245</f>
        <v>54.184283999999998</v>
      </c>
      <c r="DI245">
        <f>AD245</f>
        <v>0</v>
      </c>
      <c r="DJ245">
        <f>EtalonRes!AB183</f>
        <v>0</v>
      </c>
      <c r="DK245">
        <f>Source!BA204</f>
        <v>36.07</v>
      </c>
      <c r="DL245" t="s">
        <v>6</v>
      </c>
      <c r="DM245">
        <v>0</v>
      </c>
      <c r="DN245" t="s">
        <v>6</v>
      </c>
      <c r="DO245">
        <v>0</v>
      </c>
      <c r="GQ245">
        <v>-1</v>
      </c>
      <c r="GR245">
        <v>-1</v>
      </c>
    </row>
    <row r="246" spans="1:200" x14ac:dyDescent="0.2">
      <c r="A246">
        <f>ROW(Source!A204)</f>
        <v>204</v>
      </c>
      <c r="B246">
        <v>86326988</v>
      </c>
      <c r="C246">
        <v>86327496</v>
      </c>
      <c r="D246">
        <v>27439418</v>
      </c>
      <c r="E246">
        <v>1</v>
      </c>
      <c r="F246">
        <v>1</v>
      </c>
      <c r="G246">
        <v>1</v>
      </c>
      <c r="H246">
        <v>2</v>
      </c>
      <c r="I246" t="s">
        <v>652</v>
      </c>
      <c r="J246" t="s">
        <v>653</v>
      </c>
      <c r="K246" t="s">
        <v>654</v>
      </c>
      <c r="L246">
        <v>1368</v>
      </c>
      <c r="N246">
        <v>1011</v>
      </c>
      <c r="O246" t="s">
        <v>137</v>
      </c>
      <c r="P246" t="s">
        <v>137</v>
      </c>
      <c r="Q246">
        <v>1</v>
      </c>
      <c r="W246">
        <v>0</v>
      </c>
      <c r="X246">
        <v>674127709</v>
      </c>
      <c r="Y246">
        <f>(AT246*1.12)</f>
        <v>1.8480000000000001</v>
      </c>
      <c r="AA246">
        <v>0</v>
      </c>
      <c r="AB246">
        <v>852.72</v>
      </c>
      <c r="AC246">
        <v>269.48</v>
      </c>
      <c r="AD246">
        <v>0</v>
      </c>
      <c r="AE246">
        <v>0</v>
      </c>
      <c r="AF246">
        <v>91.69</v>
      </c>
      <c r="AG246">
        <v>13.61</v>
      </c>
      <c r="AH246">
        <v>0</v>
      </c>
      <c r="AI246">
        <v>1</v>
      </c>
      <c r="AJ246">
        <v>9.3000000000000007</v>
      </c>
      <c r="AK246">
        <v>19.8</v>
      </c>
      <c r="AL246">
        <v>1</v>
      </c>
      <c r="AM246">
        <v>5</v>
      </c>
      <c r="AN246">
        <v>0</v>
      </c>
      <c r="AO246">
        <v>1</v>
      </c>
      <c r="AP246">
        <v>1</v>
      </c>
      <c r="AQ246">
        <v>0</v>
      </c>
      <c r="AR246">
        <v>0</v>
      </c>
      <c r="AS246" t="s">
        <v>6</v>
      </c>
      <c r="AT246">
        <v>1.65</v>
      </c>
      <c r="AU246" t="s">
        <v>24</v>
      </c>
      <c r="AV246">
        <v>0</v>
      </c>
      <c r="AW246">
        <v>2</v>
      </c>
      <c r="AX246">
        <v>86327512</v>
      </c>
      <c r="AY246">
        <v>1</v>
      </c>
      <c r="AZ246">
        <v>0</v>
      </c>
      <c r="BA246">
        <v>184</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CV246">
        <v>0</v>
      </c>
      <c r="CW246">
        <f>ROUND(Y246*Source!I204*DO246,9)</f>
        <v>0</v>
      </c>
      <c r="CX246">
        <f>ROUND(Y246*Source!I204,9)</f>
        <v>54.184283999999998</v>
      </c>
      <c r="CY246">
        <f>AB246</f>
        <v>852.72</v>
      </c>
      <c r="CZ246">
        <f>AF246</f>
        <v>91.69</v>
      </c>
      <c r="DA246">
        <f>AJ246</f>
        <v>9.3000000000000007</v>
      </c>
      <c r="DB246">
        <f>ROUND((ROUND(AT246*CZ246,2)*1.12),2)</f>
        <v>169.44</v>
      </c>
      <c r="DC246">
        <f>ROUND((ROUND(AT246*AG246,2)*1.12),2)</f>
        <v>25.16</v>
      </c>
      <c r="DD246" t="s">
        <v>6</v>
      </c>
      <c r="DE246" t="s">
        <v>6</v>
      </c>
      <c r="DF246">
        <f t="shared" si="110"/>
        <v>0</v>
      </c>
      <c r="DG246">
        <f>ROUND(ROUND(AF246*AJ246,0)*CX246,0)</f>
        <v>46219</v>
      </c>
      <c r="DH246">
        <f>Source!I204*SmtRes!Y246</f>
        <v>54.184283999999998</v>
      </c>
      <c r="DI246">
        <f>AB246</f>
        <v>852.72</v>
      </c>
      <c r="DJ246">
        <f>EtalonRes!Z184</f>
        <v>91.69</v>
      </c>
      <c r="DK246">
        <f>Source!BB204</f>
        <v>9.3000000000000007</v>
      </c>
      <c r="DL246" t="s">
        <v>6</v>
      </c>
      <c r="DM246">
        <v>0</v>
      </c>
      <c r="DN246" t="s">
        <v>6</v>
      </c>
      <c r="DO246">
        <v>0</v>
      </c>
      <c r="GQ246">
        <v>-1</v>
      </c>
      <c r="GR246">
        <v>-1</v>
      </c>
    </row>
    <row r="247" spans="1:200" x14ac:dyDescent="0.2">
      <c r="A247">
        <f>ROW(Source!A204)</f>
        <v>204</v>
      </c>
      <c r="B247">
        <v>86326988</v>
      </c>
      <c r="C247">
        <v>86327496</v>
      </c>
      <c r="D247">
        <v>27440039</v>
      </c>
      <c r="E247">
        <v>1</v>
      </c>
      <c r="F247">
        <v>1</v>
      </c>
      <c r="G247">
        <v>1</v>
      </c>
      <c r="H247">
        <v>2</v>
      </c>
      <c r="I247" t="s">
        <v>649</v>
      </c>
      <c r="J247" t="s">
        <v>650</v>
      </c>
      <c r="K247" t="s">
        <v>651</v>
      </c>
      <c r="L247">
        <v>1368</v>
      </c>
      <c r="N247">
        <v>1011</v>
      </c>
      <c r="O247" t="s">
        <v>137</v>
      </c>
      <c r="P247" t="s">
        <v>137</v>
      </c>
      <c r="Q247">
        <v>1</v>
      </c>
      <c r="W247">
        <v>0</v>
      </c>
      <c r="X247">
        <v>389347920</v>
      </c>
      <c r="Y247">
        <f>(AT247*1.12)</f>
        <v>1.7360000000000002</v>
      </c>
      <c r="AA247">
        <v>0</v>
      </c>
      <c r="AB247">
        <v>17.02</v>
      </c>
      <c r="AC247">
        <v>0</v>
      </c>
      <c r="AD247">
        <v>0</v>
      </c>
      <c r="AE247">
        <v>0</v>
      </c>
      <c r="AF247">
        <v>1.83</v>
      </c>
      <c r="AG247">
        <v>0</v>
      </c>
      <c r="AH247">
        <v>0</v>
      </c>
      <c r="AI247">
        <v>1</v>
      </c>
      <c r="AJ247">
        <v>9.3000000000000007</v>
      </c>
      <c r="AK247">
        <v>19.8</v>
      </c>
      <c r="AL247">
        <v>1</v>
      </c>
      <c r="AM247">
        <v>5</v>
      </c>
      <c r="AN247">
        <v>0</v>
      </c>
      <c r="AO247">
        <v>1</v>
      </c>
      <c r="AP247">
        <v>1</v>
      </c>
      <c r="AQ247">
        <v>0</v>
      </c>
      <c r="AR247">
        <v>0</v>
      </c>
      <c r="AS247" t="s">
        <v>6</v>
      </c>
      <c r="AT247">
        <v>1.55</v>
      </c>
      <c r="AU247" t="s">
        <v>24</v>
      </c>
      <c r="AV247">
        <v>0</v>
      </c>
      <c r="AW247">
        <v>2</v>
      </c>
      <c r="AX247">
        <v>86327513</v>
      </c>
      <c r="AY247">
        <v>1</v>
      </c>
      <c r="AZ247">
        <v>0</v>
      </c>
      <c r="BA247">
        <v>185</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CV247">
        <v>0</v>
      </c>
      <c r="CW247">
        <f>ROUND(Y247*Source!I204*DO247,9)</f>
        <v>0</v>
      </c>
      <c r="CX247">
        <f>ROUND(Y247*Source!I204,9)</f>
        <v>50.900388</v>
      </c>
      <c r="CY247">
        <f>AB247</f>
        <v>17.02</v>
      </c>
      <c r="CZ247">
        <f>AF247</f>
        <v>1.83</v>
      </c>
      <c r="DA247">
        <f>AJ247</f>
        <v>9.3000000000000007</v>
      </c>
      <c r="DB247">
        <f>ROUND((ROUND(AT247*CZ247,2)*1.12),2)</f>
        <v>3.18</v>
      </c>
      <c r="DC247">
        <f>ROUND((ROUND(AT247*AG247,2)*1.12),2)</f>
        <v>0</v>
      </c>
      <c r="DD247" t="s">
        <v>6</v>
      </c>
      <c r="DE247" t="s">
        <v>6</v>
      </c>
      <c r="DF247">
        <f t="shared" si="110"/>
        <v>0</v>
      </c>
      <c r="DG247">
        <f>ROUND(ROUND(AF247*AJ247,0)*CX247,0)</f>
        <v>865</v>
      </c>
      <c r="DH247">
        <f>Source!I204*SmtRes!Y247</f>
        <v>50.900388000000007</v>
      </c>
      <c r="DI247">
        <f>AB247</f>
        <v>17.02</v>
      </c>
      <c r="DJ247">
        <f>EtalonRes!Z185</f>
        <v>1.83</v>
      </c>
      <c r="DK247">
        <f>Source!BB204</f>
        <v>9.3000000000000007</v>
      </c>
      <c r="DL247" t="s">
        <v>6</v>
      </c>
      <c r="DM247">
        <v>0</v>
      </c>
      <c r="DN247" t="s">
        <v>6</v>
      </c>
      <c r="DO247">
        <v>0</v>
      </c>
      <c r="GQ247">
        <v>-1</v>
      </c>
      <c r="GR247">
        <v>-1</v>
      </c>
    </row>
    <row r="248" spans="1:200" x14ac:dyDescent="0.2">
      <c r="A248">
        <f>ROW(Source!A204)</f>
        <v>204</v>
      </c>
      <c r="B248">
        <v>86326988</v>
      </c>
      <c r="C248">
        <v>86327496</v>
      </c>
      <c r="D248">
        <v>27371200</v>
      </c>
      <c r="E248">
        <v>1</v>
      </c>
      <c r="F248">
        <v>1</v>
      </c>
      <c r="G248">
        <v>1</v>
      </c>
      <c r="H248">
        <v>3</v>
      </c>
      <c r="I248" t="s">
        <v>71</v>
      </c>
      <c r="J248" t="s">
        <v>73</v>
      </c>
      <c r="K248" t="s">
        <v>72</v>
      </c>
      <c r="L248">
        <v>1348</v>
      </c>
      <c r="N248">
        <v>1009</v>
      </c>
      <c r="O248" t="s">
        <v>33</v>
      </c>
      <c r="P248" t="s">
        <v>33</v>
      </c>
      <c r="Q248">
        <v>1000</v>
      </c>
      <c r="W248">
        <v>0</v>
      </c>
      <c r="X248">
        <v>-81122142</v>
      </c>
      <c r="Y248">
        <f t="shared" ref="Y248:Y279" si="119">AT248</f>
        <v>4.2009999999999999E-3</v>
      </c>
      <c r="AA248">
        <v>82500</v>
      </c>
      <c r="AB248">
        <v>0</v>
      </c>
      <c r="AC248">
        <v>0</v>
      </c>
      <c r="AD248">
        <v>0</v>
      </c>
      <c r="AE248">
        <v>11576.19</v>
      </c>
      <c r="AF248">
        <v>0</v>
      </c>
      <c r="AG248">
        <v>0</v>
      </c>
      <c r="AH248">
        <v>0</v>
      </c>
      <c r="AI248">
        <v>7.56</v>
      </c>
      <c r="AJ248">
        <v>1</v>
      </c>
      <c r="AK248">
        <v>1</v>
      </c>
      <c r="AL248">
        <v>1</v>
      </c>
      <c r="AM248">
        <v>0</v>
      </c>
      <c r="AN248">
        <v>0</v>
      </c>
      <c r="AO248">
        <v>0</v>
      </c>
      <c r="AP248">
        <v>1</v>
      </c>
      <c r="AQ248">
        <v>0</v>
      </c>
      <c r="AR248">
        <v>0</v>
      </c>
      <c r="AS248" t="s">
        <v>6</v>
      </c>
      <c r="AT248">
        <v>4.2009999999999999E-3</v>
      </c>
      <c r="AU248" t="s">
        <v>6</v>
      </c>
      <c r="AV248">
        <v>0</v>
      </c>
      <c r="AW248">
        <v>2</v>
      </c>
      <c r="AX248">
        <v>86327514</v>
      </c>
      <c r="AY248">
        <v>1</v>
      </c>
      <c r="AZ248">
        <v>22528</v>
      </c>
      <c r="BA248">
        <v>186</v>
      </c>
      <c r="BB248">
        <v>3</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CV248">
        <v>0</v>
      </c>
      <c r="CW248">
        <v>0</v>
      </c>
      <c r="CX248">
        <f>ROUND(Y248*Source!I204,9)</f>
        <v>0.12317542099999999</v>
      </c>
      <c r="CY248">
        <f t="shared" ref="CY248:CY256" si="120">AA248</f>
        <v>82500</v>
      </c>
      <c r="CZ248">
        <f t="shared" ref="CZ248:CZ256" si="121">AE248</f>
        <v>11576.19</v>
      </c>
      <c r="DA248">
        <f t="shared" ref="DA248:DA256" si="122">AI248</f>
        <v>7.56</v>
      </c>
      <c r="DB248">
        <f t="shared" ref="DB248:DB279" si="123">ROUND(ROUND(AT248*CZ248,2),2)</f>
        <v>48.63</v>
      </c>
      <c r="DC248">
        <f t="shared" ref="DC248:DC279" si="124">ROUND(ROUND(AT248*AG248,2),2)</f>
        <v>0</v>
      </c>
      <c r="DD248" t="s">
        <v>6</v>
      </c>
      <c r="DE248" t="s">
        <v>6</v>
      </c>
      <c r="DF248">
        <f t="shared" ref="DF248:DF256" si="125">ROUND(ROUND(AE248*AI248,0)*CX248,0)</f>
        <v>10780</v>
      </c>
      <c r="DG248">
        <f t="shared" ref="DG248:DG261" si="126">ROUND(ROUND(AF248,0)*CX248,0)</f>
        <v>0</v>
      </c>
      <c r="DH248">
        <f>Source!I204*SmtRes!Y248</f>
        <v>0.12317542049999999</v>
      </c>
      <c r="DI248">
        <f t="shared" ref="DI248:DI256" si="127">AA248</f>
        <v>82500</v>
      </c>
      <c r="DJ248">
        <f>EtalonRes!Y186</f>
        <v>1696.01</v>
      </c>
      <c r="DK248">
        <f>Source!BC204</f>
        <v>7.56</v>
      </c>
      <c r="DL248" t="s">
        <v>6</v>
      </c>
      <c r="DM248">
        <v>0</v>
      </c>
      <c r="DN248" t="s">
        <v>6</v>
      </c>
      <c r="DO248">
        <v>0</v>
      </c>
      <c r="GP248">
        <v>1</v>
      </c>
      <c r="GQ248">
        <v>-1</v>
      </c>
      <c r="GR248">
        <v>-1</v>
      </c>
    </row>
    <row r="249" spans="1:200" x14ac:dyDescent="0.2">
      <c r="A249">
        <f>ROW(Source!A204)</f>
        <v>204</v>
      </c>
      <c r="B249">
        <v>86326988</v>
      </c>
      <c r="C249">
        <v>86327496</v>
      </c>
      <c r="D249">
        <v>11618017</v>
      </c>
      <c r="E249">
        <v>1</v>
      </c>
      <c r="F249">
        <v>1</v>
      </c>
      <c r="G249">
        <v>1</v>
      </c>
      <c r="H249">
        <v>3</v>
      </c>
      <c r="I249" t="s">
        <v>107</v>
      </c>
      <c r="J249" t="s">
        <v>109</v>
      </c>
      <c r="K249" t="s">
        <v>108</v>
      </c>
      <c r="L249">
        <v>1371</v>
      </c>
      <c r="N249">
        <v>1013</v>
      </c>
      <c r="O249" t="s">
        <v>103</v>
      </c>
      <c r="P249" t="s">
        <v>103</v>
      </c>
      <c r="Q249">
        <v>1</v>
      </c>
      <c r="W249">
        <v>0</v>
      </c>
      <c r="X249">
        <v>-1648273723</v>
      </c>
      <c r="Y249">
        <f t="shared" si="119"/>
        <v>12</v>
      </c>
      <c r="AA249">
        <v>0.62</v>
      </c>
      <c r="AB249">
        <v>0</v>
      </c>
      <c r="AC249">
        <v>0</v>
      </c>
      <c r="AD249">
        <v>0</v>
      </c>
      <c r="AE249">
        <v>0.08</v>
      </c>
      <c r="AF249">
        <v>0</v>
      </c>
      <c r="AG249">
        <v>0</v>
      </c>
      <c r="AH249">
        <v>0</v>
      </c>
      <c r="AI249">
        <v>7.56</v>
      </c>
      <c r="AJ249">
        <v>1</v>
      </c>
      <c r="AK249">
        <v>1</v>
      </c>
      <c r="AL249">
        <v>1</v>
      </c>
      <c r="AM249">
        <v>0</v>
      </c>
      <c r="AN249">
        <v>0</v>
      </c>
      <c r="AO249">
        <v>0</v>
      </c>
      <c r="AP249">
        <v>0</v>
      </c>
      <c r="AQ249">
        <v>0</v>
      </c>
      <c r="AR249">
        <v>0</v>
      </c>
      <c r="AS249" t="s">
        <v>6</v>
      </c>
      <c r="AT249">
        <v>12</v>
      </c>
      <c r="AU249" t="s">
        <v>6</v>
      </c>
      <c r="AV249">
        <v>0</v>
      </c>
      <c r="AW249">
        <v>1</v>
      </c>
      <c r="AX249">
        <v>-1</v>
      </c>
      <c r="AY249">
        <v>0</v>
      </c>
      <c r="AZ249">
        <v>0</v>
      </c>
      <c r="BA249" t="s">
        <v>6</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CV249">
        <v>0</v>
      </c>
      <c r="CW249">
        <v>0</v>
      </c>
      <c r="CX249">
        <f>ROUND(Y249*Source!I204,9)</f>
        <v>351.846</v>
      </c>
      <c r="CY249">
        <f t="shared" si="120"/>
        <v>0.62</v>
      </c>
      <c r="CZ249">
        <f t="shared" si="121"/>
        <v>0.08</v>
      </c>
      <c r="DA249">
        <f t="shared" si="122"/>
        <v>7.56</v>
      </c>
      <c r="DB249">
        <f t="shared" si="123"/>
        <v>0.96</v>
      </c>
      <c r="DC249">
        <f t="shared" si="124"/>
        <v>0</v>
      </c>
      <c r="DD249" t="s">
        <v>6</v>
      </c>
      <c r="DE249" t="s">
        <v>6</v>
      </c>
      <c r="DF249">
        <f t="shared" si="125"/>
        <v>352</v>
      </c>
      <c r="DG249">
        <f t="shared" si="126"/>
        <v>0</v>
      </c>
      <c r="DH249">
        <f>Source!I204*SmtRes!Y249</f>
        <v>351.846</v>
      </c>
      <c r="DI249">
        <f t="shared" si="127"/>
        <v>0.62</v>
      </c>
      <c r="DJ249">
        <f t="shared" ref="DJ249:DJ256" si="128">DF249</f>
        <v>352</v>
      </c>
      <c r="DK249">
        <f>Source!BC204</f>
        <v>7.56</v>
      </c>
      <c r="DL249" t="s">
        <v>6</v>
      </c>
      <c r="DM249">
        <v>0</v>
      </c>
      <c r="DN249" t="s">
        <v>6</v>
      </c>
      <c r="DO249">
        <v>0</v>
      </c>
      <c r="GP249">
        <v>1</v>
      </c>
      <c r="GQ249">
        <v>-1</v>
      </c>
      <c r="GR249">
        <v>-1</v>
      </c>
    </row>
    <row r="250" spans="1:200" x14ac:dyDescent="0.2">
      <c r="A250">
        <f>ROW(Source!A204)</f>
        <v>204</v>
      </c>
      <c r="B250">
        <v>86326988</v>
      </c>
      <c r="C250">
        <v>86327496</v>
      </c>
      <c r="D250">
        <v>11618018</v>
      </c>
      <c r="E250">
        <v>1</v>
      </c>
      <c r="F250">
        <v>1</v>
      </c>
      <c r="G250">
        <v>1</v>
      </c>
      <c r="H250">
        <v>3</v>
      </c>
      <c r="I250" t="s">
        <v>112</v>
      </c>
      <c r="J250" t="s">
        <v>114</v>
      </c>
      <c r="K250" t="s">
        <v>113</v>
      </c>
      <c r="L250">
        <v>1371</v>
      </c>
      <c r="N250">
        <v>1013</v>
      </c>
      <c r="O250" t="s">
        <v>103</v>
      </c>
      <c r="P250" t="s">
        <v>103</v>
      </c>
      <c r="Q250">
        <v>1</v>
      </c>
      <c r="W250">
        <v>0</v>
      </c>
      <c r="X250">
        <v>1900494391</v>
      </c>
      <c r="Y250">
        <f t="shared" si="119"/>
        <v>12</v>
      </c>
      <c r="AA250">
        <v>1.02</v>
      </c>
      <c r="AB250">
        <v>0</v>
      </c>
      <c r="AC250">
        <v>0</v>
      </c>
      <c r="AD250">
        <v>0</v>
      </c>
      <c r="AE250">
        <v>0.14000000000000001</v>
      </c>
      <c r="AF250">
        <v>0</v>
      </c>
      <c r="AG250">
        <v>0</v>
      </c>
      <c r="AH250">
        <v>0</v>
      </c>
      <c r="AI250">
        <v>7.56</v>
      </c>
      <c r="AJ250">
        <v>1</v>
      </c>
      <c r="AK250">
        <v>1</v>
      </c>
      <c r="AL250">
        <v>1</v>
      </c>
      <c r="AM250">
        <v>0</v>
      </c>
      <c r="AN250">
        <v>0</v>
      </c>
      <c r="AO250">
        <v>0</v>
      </c>
      <c r="AP250">
        <v>0</v>
      </c>
      <c r="AQ250">
        <v>0</v>
      </c>
      <c r="AR250">
        <v>0</v>
      </c>
      <c r="AS250" t="s">
        <v>6</v>
      </c>
      <c r="AT250">
        <v>12</v>
      </c>
      <c r="AU250" t="s">
        <v>6</v>
      </c>
      <c r="AV250">
        <v>0</v>
      </c>
      <c r="AW250">
        <v>1</v>
      </c>
      <c r="AX250">
        <v>-1</v>
      </c>
      <c r="AY250">
        <v>0</v>
      </c>
      <c r="AZ250">
        <v>0</v>
      </c>
      <c r="BA250" t="s">
        <v>6</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CV250">
        <v>0</v>
      </c>
      <c r="CW250">
        <v>0</v>
      </c>
      <c r="CX250">
        <f>ROUND(Y250*Source!I204,9)</f>
        <v>351.846</v>
      </c>
      <c r="CY250">
        <f t="shared" si="120"/>
        <v>1.02</v>
      </c>
      <c r="CZ250">
        <f t="shared" si="121"/>
        <v>0.14000000000000001</v>
      </c>
      <c r="DA250">
        <f t="shared" si="122"/>
        <v>7.56</v>
      </c>
      <c r="DB250">
        <f t="shared" si="123"/>
        <v>1.68</v>
      </c>
      <c r="DC250">
        <f t="shared" si="124"/>
        <v>0</v>
      </c>
      <c r="DD250" t="s">
        <v>6</v>
      </c>
      <c r="DE250" t="s">
        <v>6</v>
      </c>
      <c r="DF250">
        <f t="shared" si="125"/>
        <v>352</v>
      </c>
      <c r="DG250">
        <f t="shared" si="126"/>
        <v>0</v>
      </c>
      <c r="DH250">
        <f>Source!I204*SmtRes!Y250</f>
        <v>351.846</v>
      </c>
      <c r="DI250">
        <f t="shared" si="127"/>
        <v>1.02</v>
      </c>
      <c r="DJ250">
        <f t="shared" si="128"/>
        <v>352</v>
      </c>
      <c r="DK250">
        <f>Source!BC204</f>
        <v>7.56</v>
      </c>
      <c r="DL250" t="s">
        <v>6</v>
      </c>
      <c r="DM250">
        <v>0</v>
      </c>
      <c r="DN250" t="s">
        <v>6</v>
      </c>
      <c r="DO250">
        <v>0</v>
      </c>
      <c r="GP250">
        <v>1</v>
      </c>
      <c r="GQ250">
        <v>-1</v>
      </c>
      <c r="GR250">
        <v>-1</v>
      </c>
    </row>
    <row r="251" spans="1:200" x14ac:dyDescent="0.2">
      <c r="A251">
        <f>ROW(Source!A204)</f>
        <v>204</v>
      </c>
      <c r="B251">
        <v>86326988</v>
      </c>
      <c r="C251">
        <v>86327496</v>
      </c>
      <c r="D251">
        <v>11618019</v>
      </c>
      <c r="E251">
        <v>1</v>
      </c>
      <c r="F251">
        <v>1</v>
      </c>
      <c r="G251">
        <v>1</v>
      </c>
      <c r="H251">
        <v>3</v>
      </c>
      <c r="I251" t="s">
        <v>101</v>
      </c>
      <c r="J251" t="s">
        <v>104</v>
      </c>
      <c r="K251" t="s">
        <v>102</v>
      </c>
      <c r="L251">
        <v>1371</v>
      </c>
      <c r="N251">
        <v>1013</v>
      </c>
      <c r="O251" t="s">
        <v>103</v>
      </c>
      <c r="P251" t="s">
        <v>103</v>
      </c>
      <c r="Q251">
        <v>1</v>
      </c>
      <c r="W251">
        <v>0</v>
      </c>
      <c r="X251">
        <v>-504018761</v>
      </c>
      <c r="Y251">
        <f t="shared" si="119"/>
        <v>23</v>
      </c>
      <c r="AA251">
        <v>1.1299999999999999</v>
      </c>
      <c r="AB251">
        <v>0</v>
      </c>
      <c r="AC251">
        <v>0</v>
      </c>
      <c r="AD251">
        <v>0</v>
      </c>
      <c r="AE251">
        <v>0.16</v>
      </c>
      <c r="AF251">
        <v>0</v>
      </c>
      <c r="AG251">
        <v>0</v>
      </c>
      <c r="AH251">
        <v>0</v>
      </c>
      <c r="AI251">
        <v>7.56</v>
      </c>
      <c r="AJ251">
        <v>1</v>
      </c>
      <c r="AK251">
        <v>1</v>
      </c>
      <c r="AL251">
        <v>1</v>
      </c>
      <c r="AM251">
        <v>0</v>
      </c>
      <c r="AN251">
        <v>0</v>
      </c>
      <c r="AO251">
        <v>0</v>
      </c>
      <c r="AP251">
        <v>0</v>
      </c>
      <c r="AQ251">
        <v>0</v>
      </c>
      <c r="AR251">
        <v>0</v>
      </c>
      <c r="AS251" t="s">
        <v>6</v>
      </c>
      <c r="AT251">
        <v>23</v>
      </c>
      <c r="AU251" t="s">
        <v>6</v>
      </c>
      <c r="AV251">
        <v>0</v>
      </c>
      <c r="AW251">
        <v>1</v>
      </c>
      <c r="AX251">
        <v>-1</v>
      </c>
      <c r="AY251">
        <v>0</v>
      </c>
      <c r="AZ251">
        <v>0</v>
      </c>
      <c r="BA251" t="s">
        <v>6</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CV251">
        <v>0</v>
      </c>
      <c r="CW251">
        <v>0</v>
      </c>
      <c r="CX251">
        <f>ROUND(Y251*Source!I204,9)</f>
        <v>674.37149999999997</v>
      </c>
      <c r="CY251">
        <f t="shared" si="120"/>
        <v>1.1299999999999999</v>
      </c>
      <c r="CZ251">
        <f t="shared" si="121"/>
        <v>0.16</v>
      </c>
      <c r="DA251">
        <f t="shared" si="122"/>
        <v>7.56</v>
      </c>
      <c r="DB251">
        <f t="shared" si="123"/>
        <v>3.68</v>
      </c>
      <c r="DC251">
        <f t="shared" si="124"/>
        <v>0</v>
      </c>
      <c r="DD251" t="s">
        <v>6</v>
      </c>
      <c r="DE251" t="s">
        <v>6</v>
      </c>
      <c r="DF251">
        <f t="shared" si="125"/>
        <v>674</v>
      </c>
      <c r="DG251">
        <f t="shared" si="126"/>
        <v>0</v>
      </c>
      <c r="DH251">
        <f>Source!I204*SmtRes!Y251</f>
        <v>674.37149999999997</v>
      </c>
      <c r="DI251">
        <f t="shared" si="127"/>
        <v>1.1299999999999999</v>
      </c>
      <c r="DJ251">
        <f t="shared" si="128"/>
        <v>674</v>
      </c>
      <c r="DK251">
        <f>Source!BC204</f>
        <v>7.56</v>
      </c>
      <c r="DL251" t="s">
        <v>6</v>
      </c>
      <c r="DM251">
        <v>0</v>
      </c>
      <c r="DN251" t="s">
        <v>6</v>
      </c>
      <c r="DO251">
        <v>0</v>
      </c>
      <c r="GP251">
        <v>1</v>
      </c>
      <c r="GQ251">
        <v>-1</v>
      </c>
      <c r="GR251">
        <v>-1</v>
      </c>
    </row>
    <row r="252" spans="1:200" x14ac:dyDescent="0.2">
      <c r="A252">
        <f>ROW(Source!A204)</f>
        <v>204</v>
      </c>
      <c r="B252">
        <v>86326988</v>
      </c>
      <c r="C252">
        <v>86327496</v>
      </c>
      <c r="D252">
        <v>35950821</v>
      </c>
      <c r="E252">
        <v>1</v>
      </c>
      <c r="F252">
        <v>1</v>
      </c>
      <c r="G252">
        <v>1</v>
      </c>
      <c r="H252">
        <v>3</v>
      </c>
      <c r="I252" t="s">
        <v>76</v>
      </c>
      <c r="J252" t="s">
        <v>79</v>
      </c>
      <c r="K252" t="s">
        <v>286</v>
      </c>
      <c r="L252">
        <v>1391</v>
      </c>
      <c r="N252">
        <v>1013</v>
      </c>
      <c r="O252" t="s">
        <v>78</v>
      </c>
      <c r="P252" t="s">
        <v>78</v>
      </c>
      <c r="Q252">
        <v>1</v>
      </c>
      <c r="W252">
        <v>0</v>
      </c>
      <c r="X252">
        <v>1821058467</v>
      </c>
      <c r="Y252">
        <f t="shared" si="119"/>
        <v>1.7240497299999999</v>
      </c>
      <c r="AA252">
        <v>333.45</v>
      </c>
      <c r="AB252">
        <v>0</v>
      </c>
      <c r="AC252">
        <v>0</v>
      </c>
      <c r="AD252">
        <v>0</v>
      </c>
      <c r="AE252">
        <v>46.21</v>
      </c>
      <c r="AF252">
        <v>0</v>
      </c>
      <c r="AG252">
        <v>0</v>
      </c>
      <c r="AH252">
        <v>0</v>
      </c>
      <c r="AI252">
        <v>7.56</v>
      </c>
      <c r="AJ252">
        <v>1</v>
      </c>
      <c r="AK252">
        <v>1</v>
      </c>
      <c r="AL252">
        <v>1</v>
      </c>
      <c r="AM252">
        <v>0</v>
      </c>
      <c r="AN252">
        <v>0</v>
      </c>
      <c r="AO252">
        <v>0</v>
      </c>
      <c r="AP252">
        <v>0</v>
      </c>
      <c r="AQ252">
        <v>0</v>
      </c>
      <c r="AR252">
        <v>0</v>
      </c>
      <c r="AS252" t="s">
        <v>6</v>
      </c>
      <c r="AT252">
        <v>1.7240497299999999</v>
      </c>
      <c r="AU252" t="s">
        <v>6</v>
      </c>
      <c r="AV252">
        <v>0</v>
      </c>
      <c r="AW252">
        <v>1</v>
      </c>
      <c r="AX252">
        <v>-1</v>
      </c>
      <c r="AY252">
        <v>0</v>
      </c>
      <c r="AZ252">
        <v>0</v>
      </c>
      <c r="BA252" t="s">
        <v>6</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CV252">
        <v>0</v>
      </c>
      <c r="CW252">
        <v>0</v>
      </c>
      <c r="CX252">
        <f>ROUND(Y252*Source!I204,9)</f>
        <v>50.550000107999999</v>
      </c>
      <c r="CY252">
        <f t="shared" si="120"/>
        <v>333.45</v>
      </c>
      <c r="CZ252">
        <f t="shared" si="121"/>
        <v>46.21</v>
      </c>
      <c r="DA252">
        <f t="shared" si="122"/>
        <v>7.56</v>
      </c>
      <c r="DB252">
        <f t="shared" si="123"/>
        <v>79.67</v>
      </c>
      <c r="DC252">
        <f t="shared" si="124"/>
        <v>0</v>
      </c>
      <c r="DD252" t="s">
        <v>6</v>
      </c>
      <c r="DE252" t="s">
        <v>6</v>
      </c>
      <c r="DF252">
        <f t="shared" si="125"/>
        <v>17642</v>
      </c>
      <c r="DG252">
        <f t="shared" si="126"/>
        <v>0</v>
      </c>
      <c r="DH252">
        <f>Source!I204*SmtRes!Y252</f>
        <v>50.550000108464999</v>
      </c>
      <c r="DI252">
        <f t="shared" si="127"/>
        <v>333.45</v>
      </c>
      <c r="DJ252">
        <f t="shared" si="128"/>
        <v>17642</v>
      </c>
      <c r="DK252">
        <f>Source!BC204</f>
        <v>7.56</v>
      </c>
      <c r="DL252" t="s">
        <v>6</v>
      </c>
      <c r="DM252">
        <v>0</v>
      </c>
      <c r="DN252" t="s">
        <v>6</v>
      </c>
      <c r="DO252">
        <v>0</v>
      </c>
      <c r="GP252">
        <v>1</v>
      </c>
      <c r="GQ252">
        <v>-1</v>
      </c>
      <c r="GR252">
        <v>-1</v>
      </c>
    </row>
    <row r="253" spans="1:200" x14ac:dyDescent="0.2">
      <c r="A253">
        <f>ROW(Source!A204)</f>
        <v>204</v>
      </c>
      <c r="B253">
        <v>86326988</v>
      </c>
      <c r="C253">
        <v>86327496</v>
      </c>
      <c r="D253">
        <v>35950824</v>
      </c>
      <c r="E253">
        <v>1</v>
      </c>
      <c r="F253">
        <v>1</v>
      </c>
      <c r="G253">
        <v>1</v>
      </c>
      <c r="H253">
        <v>3</v>
      </c>
      <c r="I253" t="s">
        <v>82</v>
      </c>
      <c r="J253" t="s">
        <v>84</v>
      </c>
      <c r="K253" t="s">
        <v>288</v>
      </c>
      <c r="L253">
        <v>1391</v>
      </c>
      <c r="N253">
        <v>1013</v>
      </c>
      <c r="O253" t="s">
        <v>78</v>
      </c>
      <c r="P253" t="s">
        <v>78</v>
      </c>
      <c r="Q253">
        <v>1</v>
      </c>
      <c r="W253">
        <v>0</v>
      </c>
      <c r="X253">
        <v>1390445220</v>
      </c>
      <c r="Y253">
        <f t="shared" si="119"/>
        <v>1.7240497299999999</v>
      </c>
      <c r="AA253">
        <v>215.4</v>
      </c>
      <c r="AB253">
        <v>0</v>
      </c>
      <c r="AC253">
        <v>0</v>
      </c>
      <c r="AD253">
        <v>0</v>
      </c>
      <c r="AE253">
        <v>30.22</v>
      </c>
      <c r="AF253">
        <v>0</v>
      </c>
      <c r="AG253">
        <v>0</v>
      </c>
      <c r="AH253">
        <v>0</v>
      </c>
      <c r="AI253">
        <v>7.56</v>
      </c>
      <c r="AJ253">
        <v>1</v>
      </c>
      <c r="AK253">
        <v>1</v>
      </c>
      <c r="AL253">
        <v>1</v>
      </c>
      <c r="AM253">
        <v>0</v>
      </c>
      <c r="AN253">
        <v>0</v>
      </c>
      <c r="AO253">
        <v>0</v>
      </c>
      <c r="AP253">
        <v>1</v>
      </c>
      <c r="AQ253">
        <v>0</v>
      </c>
      <c r="AR253">
        <v>0</v>
      </c>
      <c r="AS253" t="s">
        <v>6</v>
      </c>
      <c r="AT253">
        <v>1.7240497299999999</v>
      </c>
      <c r="AU253" t="s">
        <v>6</v>
      </c>
      <c r="AV253">
        <v>0</v>
      </c>
      <c r="AW253">
        <v>1</v>
      </c>
      <c r="AX253">
        <v>-1</v>
      </c>
      <c r="AY253">
        <v>0</v>
      </c>
      <c r="AZ253">
        <v>0</v>
      </c>
      <c r="BA253" t="s">
        <v>6</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CV253">
        <v>0</v>
      </c>
      <c r="CW253">
        <v>0</v>
      </c>
      <c r="CX253">
        <f>ROUND(Y253*Source!I204,9)</f>
        <v>50.550000107999999</v>
      </c>
      <c r="CY253">
        <f t="shared" si="120"/>
        <v>215.4</v>
      </c>
      <c r="CZ253">
        <f t="shared" si="121"/>
        <v>30.22</v>
      </c>
      <c r="DA253">
        <f t="shared" si="122"/>
        <v>7.56</v>
      </c>
      <c r="DB253">
        <f t="shared" si="123"/>
        <v>52.1</v>
      </c>
      <c r="DC253">
        <f t="shared" si="124"/>
        <v>0</v>
      </c>
      <c r="DD253" t="s">
        <v>6</v>
      </c>
      <c r="DE253" t="s">
        <v>6</v>
      </c>
      <c r="DF253">
        <f t="shared" si="125"/>
        <v>11525</v>
      </c>
      <c r="DG253">
        <f t="shared" si="126"/>
        <v>0</v>
      </c>
      <c r="DH253">
        <f>Source!I204*SmtRes!Y253</f>
        <v>50.550000108464999</v>
      </c>
      <c r="DI253">
        <f t="shared" si="127"/>
        <v>215.4</v>
      </c>
      <c r="DJ253">
        <f t="shared" si="128"/>
        <v>11525</v>
      </c>
      <c r="DK253">
        <f>Source!BC204</f>
        <v>7.56</v>
      </c>
      <c r="DL253" t="s">
        <v>6</v>
      </c>
      <c r="DM253">
        <v>0</v>
      </c>
      <c r="DN253" t="s">
        <v>6</v>
      </c>
      <c r="DO253">
        <v>0</v>
      </c>
      <c r="GP253">
        <v>1</v>
      </c>
      <c r="GQ253">
        <v>-1</v>
      </c>
      <c r="GR253">
        <v>-1</v>
      </c>
    </row>
    <row r="254" spans="1:200" x14ac:dyDescent="0.2">
      <c r="A254">
        <f>ROW(Source!A204)</f>
        <v>204</v>
      </c>
      <c r="B254">
        <v>86326988</v>
      </c>
      <c r="C254">
        <v>86327496</v>
      </c>
      <c r="D254">
        <v>27425862</v>
      </c>
      <c r="E254">
        <v>1</v>
      </c>
      <c r="F254">
        <v>1</v>
      </c>
      <c r="G254">
        <v>1</v>
      </c>
      <c r="H254">
        <v>3</v>
      </c>
      <c r="I254" t="s">
        <v>92</v>
      </c>
      <c r="J254" t="s">
        <v>95</v>
      </c>
      <c r="K254" t="s">
        <v>93</v>
      </c>
      <c r="L254">
        <v>1301</v>
      </c>
      <c r="N254">
        <v>1003</v>
      </c>
      <c r="O254" t="s">
        <v>94</v>
      </c>
      <c r="P254" t="s">
        <v>94</v>
      </c>
      <c r="Q254">
        <v>1</v>
      </c>
      <c r="W254">
        <v>0</v>
      </c>
      <c r="X254">
        <v>-1608277363</v>
      </c>
      <c r="Y254">
        <f t="shared" si="119"/>
        <v>5.3879999999999999</v>
      </c>
      <c r="AA254">
        <v>30.51</v>
      </c>
      <c r="AB254">
        <v>0</v>
      </c>
      <c r="AC254">
        <v>0</v>
      </c>
      <c r="AD254">
        <v>0</v>
      </c>
      <c r="AE254">
        <v>4.28</v>
      </c>
      <c r="AF254">
        <v>0</v>
      </c>
      <c r="AG254">
        <v>0</v>
      </c>
      <c r="AH254">
        <v>0</v>
      </c>
      <c r="AI254">
        <v>7.56</v>
      </c>
      <c r="AJ254">
        <v>1</v>
      </c>
      <c r="AK254">
        <v>1</v>
      </c>
      <c r="AL254">
        <v>1</v>
      </c>
      <c r="AM254">
        <v>0</v>
      </c>
      <c r="AN254">
        <v>0</v>
      </c>
      <c r="AO254">
        <v>0</v>
      </c>
      <c r="AP254">
        <v>0</v>
      </c>
      <c r="AQ254">
        <v>0</v>
      </c>
      <c r="AR254">
        <v>0</v>
      </c>
      <c r="AS254" t="s">
        <v>6</v>
      </c>
      <c r="AT254">
        <v>5.3879999999999999</v>
      </c>
      <c r="AU254" t="s">
        <v>6</v>
      </c>
      <c r="AV254">
        <v>0</v>
      </c>
      <c r="AW254">
        <v>1</v>
      </c>
      <c r="AX254">
        <v>-1</v>
      </c>
      <c r="AY254">
        <v>0</v>
      </c>
      <c r="AZ254">
        <v>0</v>
      </c>
      <c r="BA254" t="s">
        <v>6</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CV254">
        <v>0</v>
      </c>
      <c r="CW254">
        <v>0</v>
      </c>
      <c r="CX254">
        <f>ROUND(Y254*Source!I204,9)</f>
        <v>157.97885400000001</v>
      </c>
      <c r="CY254">
        <f t="shared" si="120"/>
        <v>30.51</v>
      </c>
      <c r="CZ254">
        <f t="shared" si="121"/>
        <v>4.28</v>
      </c>
      <c r="DA254">
        <f t="shared" si="122"/>
        <v>7.56</v>
      </c>
      <c r="DB254">
        <f t="shared" si="123"/>
        <v>23.06</v>
      </c>
      <c r="DC254">
        <f t="shared" si="124"/>
        <v>0</v>
      </c>
      <c r="DD254" t="s">
        <v>6</v>
      </c>
      <c r="DE254" t="s">
        <v>6</v>
      </c>
      <c r="DF254">
        <f t="shared" si="125"/>
        <v>5055</v>
      </c>
      <c r="DG254">
        <f t="shared" si="126"/>
        <v>0</v>
      </c>
      <c r="DH254">
        <f>Source!I204*SmtRes!Y254</f>
        <v>157.97885399999998</v>
      </c>
      <c r="DI254">
        <f t="shared" si="127"/>
        <v>30.51</v>
      </c>
      <c r="DJ254">
        <f t="shared" si="128"/>
        <v>5055</v>
      </c>
      <c r="DK254">
        <f>Source!BC204</f>
        <v>7.56</v>
      </c>
      <c r="DL254" t="s">
        <v>6</v>
      </c>
      <c r="DM254">
        <v>0</v>
      </c>
      <c r="DN254" t="s">
        <v>6</v>
      </c>
      <c r="DO254">
        <v>0</v>
      </c>
      <c r="GP254">
        <v>1</v>
      </c>
      <c r="GQ254">
        <v>-1</v>
      </c>
      <c r="GR254">
        <v>-1</v>
      </c>
    </row>
    <row r="255" spans="1:200" x14ac:dyDescent="0.2">
      <c r="A255">
        <f>ROW(Source!A204)</f>
        <v>204</v>
      </c>
      <c r="B255">
        <v>86326988</v>
      </c>
      <c r="C255">
        <v>86327496</v>
      </c>
      <c r="D255">
        <v>69208315</v>
      </c>
      <c r="E255">
        <v>1</v>
      </c>
      <c r="F255">
        <v>1</v>
      </c>
      <c r="G255">
        <v>1</v>
      </c>
      <c r="H255">
        <v>3</v>
      </c>
      <c r="I255" t="s">
        <v>117</v>
      </c>
      <c r="J255" t="s">
        <v>119</v>
      </c>
      <c r="K255" t="s">
        <v>118</v>
      </c>
      <c r="L255">
        <v>1348</v>
      </c>
      <c r="N255">
        <v>1009</v>
      </c>
      <c r="O255" t="s">
        <v>33</v>
      </c>
      <c r="P255" t="s">
        <v>33</v>
      </c>
      <c r="Q255">
        <v>1000</v>
      </c>
      <c r="W255">
        <v>0</v>
      </c>
      <c r="X255">
        <v>772407484</v>
      </c>
      <c r="Y255">
        <f t="shared" si="119"/>
        <v>9.5100000000000002E-4</v>
      </c>
      <c r="AA255">
        <v>80392</v>
      </c>
      <c r="AB255">
        <v>0</v>
      </c>
      <c r="AC255">
        <v>0</v>
      </c>
      <c r="AD255">
        <v>0</v>
      </c>
      <c r="AE255">
        <v>11142.150000000001</v>
      </c>
      <c r="AF255">
        <v>0</v>
      </c>
      <c r="AG255">
        <v>0</v>
      </c>
      <c r="AH255">
        <v>0</v>
      </c>
      <c r="AI255">
        <v>7.56</v>
      </c>
      <c r="AJ255">
        <v>1</v>
      </c>
      <c r="AK255">
        <v>1</v>
      </c>
      <c r="AL255">
        <v>1</v>
      </c>
      <c r="AM255">
        <v>0</v>
      </c>
      <c r="AN255">
        <v>0</v>
      </c>
      <c r="AO255">
        <v>0</v>
      </c>
      <c r="AP255">
        <v>1</v>
      </c>
      <c r="AQ255">
        <v>0</v>
      </c>
      <c r="AR255">
        <v>0</v>
      </c>
      <c r="AS255" t="s">
        <v>6</v>
      </c>
      <c r="AT255">
        <v>9.5100000000000002E-4</v>
      </c>
      <c r="AU255" t="s">
        <v>6</v>
      </c>
      <c r="AV255">
        <v>0</v>
      </c>
      <c r="AW255">
        <v>1</v>
      </c>
      <c r="AX255">
        <v>-1</v>
      </c>
      <c r="AY255">
        <v>0</v>
      </c>
      <c r="AZ255">
        <v>0</v>
      </c>
      <c r="BA255" t="s">
        <v>6</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CV255">
        <v>0</v>
      </c>
      <c r="CW255">
        <v>0</v>
      </c>
      <c r="CX255">
        <f>ROUND(Y255*Source!I204,9)</f>
        <v>2.7883795999999999E-2</v>
      </c>
      <c r="CY255">
        <f t="shared" si="120"/>
        <v>80392</v>
      </c>
      <c r="CZ255">
        <f t="shared" si="121"/>
        <v>11142.150000000001</v>
      </c>
      <c r="DA255">
        <f t="shared" si="122"/>
        <v>7.56</v>
      </c>
      <c r="DB255">
        <f t="shared" si="123"/>
        <v>10.6</v>
      </c>
      <c r="DC255">
        <f t="shared" si="124"/>
        <v>0</v>
      </c>
      <c r="DD255" t="s">
        <v>6</v>
      </c>
      <c r="DE255" t="s">
        <v>6</v>
      </c>
      <c r="DF255">
        <f t="shared" si="125"/>
        <v>2349</v>
      </c>
      <c r="DG255">
        <f t="shared" si="126"/>
        <v>0</v>
      </c>
      <c r="DH255">
        <f>Source!I204*SmtRes!Y255</f>
        <v>2.7883795499999999E-2</v>
      </c>
      <c r="DI255">
        <f t="shared" si="127"/>
        <v>80392</v>
      </c>
      <c r="DJ255">
        <f t="shared" si="128"/>
        <v>2349</v>
      </c>
      <c r="DK255">
        <f>Source!BC204</f>
        <v>7.56</v>
      </c>
      <c r="DL255" t="s">
        <v>6</v>
      </c>
      <c r="DM255">
        <v>0</v>
      </c>
      <c r="DN255" t="s">
        <v>6</v>
      </c>
      <c r="DO255">
        <v>0</v>
      </c>
      <c r="GP255">
        <v>1</v>
      </c>
      <c r="GQ255">
        <v>-1</v>
      </c>
      <c r="GR255">
        <v>-1</v>
      </c>
    </row>
    <row r="256" spans="1:200" x14ac:dyDescent="0.2">
      <c r="A256">
        <f>ROW(Source!A204)</f>
        <v>204</v>
      </c>
      <c r="B256">
        <v>86326988</v>
      </c>
      <c r="C256">
        <v>86327496</v>
      </c>
      <c r="D256">
        <v>69408587</v>
      </c>
      <c r="E256">
        <v>1</v>
      </c>
      <c r="F256">
        <v>1</v>
      </c>
      <c r="G256">
        <v>1</v>
      </c>
      <c r="H256">
        <v>3</v>
      </c>
      <c r="I256" t="s">
        <v>87</v>
      </c>
      <c r="J256" t="s">
        <v>89</v>
      </c>
      <c r="K256" t="s">
        <v>88</v>
      </c>
      <c r="L256">
        <v>1339</v>
      </c>
      <c r="N256">
        <v>1007</v>
      </c>
      <c r="O256" t="s">
        <v>44</v>
      </c>
      <c r="P256" t="s">
        <v>44</v>
      </c>
      <c r="Q256">
        <v>1</v>
      </c>
      <c r="W256">
        <v>0</v>
      </c>
      <c r="X256">
        <v>-183216560</v>
      </c>
      <c r="Y256">
        <f t="shared" si="119"/>
        <v>1.9299210449999999</v>
      </c>
      <c r="AA256">
        <v>6948.56</v>
      </c>
      <c r="AB256">
        <v>0</v>
      </c>
      <c r="AC256">
        <v>0</v>
      </c>
      <c r="AD256">
        <v>0</v>
      </c>
      <c r="AE256">
        <v>975</v>
      </c>
      <c r="AF256">
        <v>0</v>
      </c>
      <c r="AG256">
        <v>0</v>
      </c>
      <c r="AH256">
        <v>0</v>
      </c>
      <c r="AI256">
        <v>7.56</v>
      </c>
      <c r="AJ256">
        <v>1</v>
      </c>
      <c r="AK256">
        <v>1</v>
      </c>
      <c r="AL256">
        <v>1</v>
      </c>
      <c r="AM256">
        <v>0</v>
      </c>
      <c r="AN256">
        <v>0</v>
      </c>
      <c r="AO256">
        <v>0</v>
      </c>
      <c r="AP256">
        <v>1</v>
      </c>
      <c r="AQ256">
        <v>0</v>
      </c>
      <c r="AR256">
        <v>0</v>
      </c>
      <c r="AS256" t="s">
        <v>6</v>
      </c>
      <c r="AT256">
        <v>1.9299210449999999</v>
      </c>
      <c r="AU256" t="s">
        <v>6</v>
      </c>
      <c r="AV256">
        <v>0</v>
      </c>
      <c r="AW256">
        <v>1</v>
      </c>
      <c r="AX256">
        <v>-1</v>
      </c>
      <c r="AY256">
        <v>0</v>
      </c>
      <c r="AZ256">
        <v>0</v>
      </c>
      <c r="BA256" t="s">
        <v>6</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CV256">
        <v>0</v>
      </c>
      <c r="CW256">
        <v>0</v>
      </c>
      <c r="CX256">
        <f>ROUND(Y256*Source!I204,9)</f>
        <v>56.58625</v>
      </c>
      <c r="CY256">
        <f t="shared" si="120"/>
        <v>6948.56</v>
      </c>
      <c r="CZ256">
        <f t="shared" si="121"/>
        <v>975</v>
      </c>
      <c r="DA256">
        <f t="shared" si="122"/>
        <v>7.56</v>
      </c>
      <c r="DB256">
        <f t="shared" si="123"/>
        <v>1881.67</v>
      </c>
      <c r="DC256">
        <f t="shared" si="124"/>
        <v>0</v>
      </c>
      <c r="DD256" t="s">
        <v>6</v>
      </c>
      <c r="DE256" t="s">
        <v>6</v>
      </c>
      <c r="DF256">
        <f t="shared" si="125"/>
        <v>417097</v>
      </c>
      <c r="DG256">
        <f t="shared" si="126"/>
        <v>0</v>
      </c>
      <c r="DH256">
        <f>Source!I204*SmtRes!Y256</f>
        <v>56.586249999922494</v>
      </c>
      <c r="DI256">
        <f t="shared" si="127"/>
        <v>6948.56</v>
      </c>
      <c r="DJ256">
        <f t="shared" si="128"/>
        <v>417097</v>
      </c>
      <c r="DK256">
        <f>Source!BC204</f>
        <v>7.56</v>
      </c>
      <c r="DL256" t="s">
        <v>6</v>
      </c>
      <c r="DM256">
        <v>0</v>
      </c>
      <c r="DN256" t="s">
        <v>6</v>
      </c>
      <c r="DO256">
        <v>0</v>
      </c>
      <c r="GP256">
        <v>1</v>
      </c>
      <c r="GQ256">
        <v>-1</v>
      </c>
      <c r="GR256">
        <v>-1</v>
      </c>
    </row>
    <row r="257" spans="1:200" x14ac:dyDescent="0.2">
      <c r="A257">
        <f>ROW(Source!A223)</f>
        <v>223</v>
      </c>
      <c r="B257">
        <v>86326987</v>
      </c>
      <c r="C257">
        <v>86327526</v>
      </c>
      <c r="D257">
        <v>5510985</v>
      </c>
      <c r="E257">
        <v>1</v>
      </c>
      <c r="F257">
        <v>1</v>
      </c>
      <c r="G257">
        <v>1</v>
      </c>
      <c r="H257">
        <v>1</v>
      </c>
      <c r="I257" t="s">
        <v>655</v>
      </c>
      <c r="J257" t="s">
        <v>6</v>
      </c>
      <c r="K257" t="s">
        <v>656</v>
      </c>
      <c r="L257">
        <v>1369</v>
      </c>
      <c r="N257">
        <v>1013</v>
      </c>
      <c r="O257" t="s">
        <v>625</v>
      </c>
      <c r="P257" t="s">
        <v>625</v>
      </c>
      <c r="Q257">
        <v>1</v>
      </c>
      <c r="W257">
        <v>0</v>
      </c>
      <c r="X257">
        <v>1646836857</v>
      </c>
      <c r="Y257">
        <f t="shared" si="119"/>
        <v>9.86</v>
      </c>
      <c r="AA257">
        <v>0</v>
      </c>
      <c r="AB257">
        <v>0</v>
      </c>
      <c r="AC257">
        <v>0</v>
      </c>
      <c r="AD257">
        <v>9.6</v>
      </c>
      <c r="AE257">
        <v>0</v>
      </c>
      <c r="AF257">
        <v>0</v>
      </c>
      <c r="AG257">
        <v>0</v>
      </c>
      <c r="AH257">
        <v>9.6</v>
      </c>
      <c r="AI257">
        <v>1</v>
      </c>
      <c r="AJ257">
        <v>1</v>
      </c>
      <c r="AK257">
        <v>1</v>
      </c>
      <c r="AL257">
        <v>1</v>
      </c>
      <c r="AM257">
        <v>0</v>
      </c>
      <c r="AN257">
        <v>0</v>
      </c>
      <c r="AO257">
        <v>1</v>
      </c>
      <c r="AP257">
        <v>0</v>
      </c>
      <c r="AQ257">
        <v>0</v>
      </c>
      <c r="AR257">
        <v>0</v>
      </c>
      <c r="AS257" t="s">
        <v>6</v>
      </c>
      <c r="AT257">
        <v>9.86</v>
      </c>
      <c r="AU257" t="s">
        <v>6</v>
      </c>
      <c r="AV257">
        <v>1</v>
      </c>
      <c r="AW257">
        <v>2</v>
      </c>
      <c r="AX257">
        <v>86327531</v>
      </c>
      <c r="AY257">
        <v>1</v>
      </c>
      <c r="AZ257">
        <v>0</v>
      </c>
      <c r="BA257">
        <v>189</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CU257">
        <f>ROUND(AT257*Source!I223*AH257*AL257,0)</f>
        <v>11</v>
      </c>
      <c r="CV257">
        <f>ROUND(Y257*Source!I223,9)</f>
        <v>1.1832</v>
      </c>
      <c r="CW257">
        <v>0</v>
      </c>
      <c r="CX257">
        <f>ROUND(Y257*Source!I223,9)</f>
        <v>1.1832</v>
      </c>
      <c r="CY257">
        <f>AD257</f>
        <v>9.6</v>
      </c>
      <c r="CZ257">
        <f>AH257</f>
        <v>9.6</v>
      </c>
      <c r="DA257">
        <f>AL257</f>
        <v>1</v>
      </c>
      <c r="DB257">
        <f t="shared" si="123"/>
        <v>94.66</v>
      </c>
      <c r="DC257">
        <f t="shared" si="124"/>
        <v>0</v>
      </c>
      <c r="DD257" t="s">
        <v>6</v>
      </c>
      <c r="DE257" t="s">
        <v>6</v>
      </c>
      <c r="DF257">
        <f t="shared" ref="DF257:DF263" si="129">ROUND(ROUND(AE257,0)*CX257,0)</f>
        <v>0</v>
      </c>
      <c r="DG257">
        <f t="shared" si="126"/>
        <v>0</v>
      </c>
      <c r="DH257">
        <f>Source!I223*SmtRes!Y257</f>
        <v>1.1831999999999998</v>
      </c>
      <c r="DI257">
        <f>AD257</f>
        <v>9.6</v>
      </c>
      <c r="DJ257">
        <f>EtalonRes!AB189</f>
        <v>9.6</v>
      </c>
      <c r="DK257">
        <f>Source!BA223</f>
        <v>1</v>
      </c>
      <c r="DL257" t="s">
        <v>6</v>
      </c>
      <c r="DM257">
        <v>0</v>
      </c>
      <c r="DN257" t="s">
        <v>6</v>
      </c>
      <c r="DO257">
        <v>0</v>
      </c>
      <c r="GQ257">
        <v>-1</v>
      </c>
      <c r="GR257">
        <v>-1</v>
      </c>
    </row>
    <row r="258" spans="1:200" x14ac:dyDescent="0.2">
      <c r="A258">
        <f>ROW(Source!A223)</f>
        <v>223</v>
      </c>
      <c r="B258">
        <v>86326987</v>
      </c>
      <c r="C258">
        <v>86327526</v>
      </c>
      <c r="D258">
        <v>10844892</v>
      </c>
      <c r="E258">
        <v>1</v>
      </c>
      <c r="F258">
        <v>1</v>
      </c>
      <c r="G258">
        <v>1</v>
      </c>
      <c r="H258">
        <v>2</v>
      </c>
      <c r="I258" t="s">
        <v>657</v>
      </c>
      <c r="J258" t="s">
        <v>658</v>
      </c>
      <c r="K258" t="s">
        <v>659</v>
      </c>
      <c r="L258">
        <v>1480</v>
      </c>
      <c r="N258">
        <v>1013</v>
      </c>
      <c r="O258" t="s">
        <v>660</v>
      </c>
      <c r="P258" t="s">
        <v>661</v>
      </c>
      <c r="Q258">
        <v>1</v>
      </c>
      <c r="W258">
        <v>0</v>
      </c>
      <c r="X258">
        <v>-1333412911</v>
      </c>
      <c r="Y258">
        <f t="shared" si="119"/>
        <v>3.56</v>
      </c>
      <c r="AA258">
        <v>0</v>
      </c>
      <c r="AB258">
        <v>52.5</v>
      </c>
      <c r="AC258">
        <v>0</v>
      </c>
      <c r="AD258">
        <v>0</v>
      </c>
      <c r="AE258">
        <v>0</v>
      </c>
      <c r="AF258">
        <v>52.5</v>
      </c>
      <c r="AG258">
        <v>0</v>
      </c>
      <c r="AH258">
        <v>0</v>
      </c>
      <c r="AI258">
        <v>1</v>
      </c>
      <c r="AJ258">
        <v>1</v>
      </c>
      <c r="AK258">
        <v>1</v>
      </c>
      <c r="AL258">
        <v>1</v>
      </c>
      <c r="AM258">
        <v>0</v>
      </c>
      <c r="AN258">
        <v>0</v>
      </c>
      <c r="AO258">
        <v>1</v>
      </c>
      <c r="AP258">
        <v>0</v>
      </c>
      <c r="AQ258">
        <v>0</v>
      </c>
      <c r="AR258">
        <v>0</v>
      </c>
      <c r="AS258" t="s">
        <v>6</v>
      </c>
      <c r="AT258">
        <v>3.56</v>
      </c>
      <c r="AU258" t="s">
        <v>6</v>
      </c>
      <c r="AV258">
        <v>0</v>
      </c>
      <c r="AW258">
        <v>2</v>
      </c>
      <c r="AX258">
        <v>86327532</v>
      </c>
      <c r="AY258">
        <v>1</v>
      </c>
      <c r="AZ258">
        <v>0</v>
      </c>
      <c r="BA258">
        <v>190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CV258">
        <v>0</v>
      </c>
      <c r="CW258">
        <f>ROUND(Y258*Source!I223*DO258,9)</f>
        <v>0</v>
      </c>
      <c r="CX258">
        <f>ROUND(Y258*Source!I223,9)</f>
        <v>0.42720000000000002</v>
      </c>
      <c r="CY258">
        <f>AB258</f>
        <v>52.5</v>
      </c>
      <c r="CZ258">
        <f>AF258</f>
        <v>52.5</v>
      </c>
      <c r="DA258">
        <f>AJ258</f>
        <v>1</v>
      </c>
      <c r="DB258">
        <f t="shared" si="123"/>
        <v>186.9</v>
      </c>
      <c r="DC258">
        <f t="shared" si="124"/>
        <v>0</v>
      </c>
      <c r="DD258" t="s">
        <v>6</v>
      </c>
      <c r="DE258" t="s">
        <v>6</v>
      </c>
      <c r="DF258">
        <f t="shared" si="129"/>
        <v>0</v>
      </c>
      <c r="DG258">
        <f t="shared" si="126"/>
        <v>23</v>
      </c>
      <c r="DH258">
        <f>Source!I223*SmtRes!Y258</f>
        <v>0.42719999999999997</v>
      </c>
      <c r="DI258">
        <f>AB258</f>
        <v>52.5</v>
      </c>
      <c r="DJ258">
        <f>EtalonRes!Z190</f>
        <v>52.5</v>
      </c>
      <c r="DK258">
        <f>Source!BB223</f>
        <v>1</v>
      </c>
      <c r="DL258" t="s">
        <v>6</v>
      </c>
      <c r="DM258">
        <v>0</v>
      </c>
      <c r="DN258" t="s">
        <v>6</v>
      </c>
      <c r="DO258">
        <v>0</v>
      </c>
      <c r="GQ258">
        <v>-1</v>
      </c>
      <c r="GR258">
        <v>-1</v>
      </c>
    </row>
    <row r="259" spans="1:200" x14ac:dyDescent="0.2">
      <c r="A259">
        <f>ROW(Source!A223)</f>
        <v>223</v>
      </c>
      <c r="B259">
        <v>86326987</v>
      </c>
      <c r="C259">
        <v>86327526</v>
      </c>
      <c r="D259">
        <v>10843192</v>
      </c>
      <c r="E259">
        <v>1</v>
      </c>
      <c r="F259">
        <v>1</v>
      </c>
      <c r="G259">
        <v>1</v>
      </c>
      <c r="H259">
        <v>2</v>
      </c>
      <c r="I259" t="s">
        <v>637</v>
      </c>
      <c r="J259" t="s">
        <v>662</v>
      </c>
      <c r="K259" t="s">
        <v>663</v>
      </c>
      <c r="L259">
        <v>1480</v>
      </c>
      <c r="N259">
        <v>1013</v>
      </c>
      <c r="O259" t="s">
        <v>660</v>
      </c>
      <c r="P259" t="s">
        <v>661</v>
      </c>
      <c r="Q259">
        <v>1</v>
      </c>
      <c r="W259">
        <v>0</v>
      </c>
      <c r="X259">
        <v>-1592911513</v>
      </c>
      <c r="Y259">
        <f t="shared" si="119"/>
        <v>0.1</v>
      </c>
      <c r="AA259">
        <v>0</v>
      </c>
      <c r="AB259">
        <v>85.94</v>
      </c>
      <c r="AC259">
        <v>0</v>
      </c>
      <c r="AD259">
        <v>0</v>
      </c>
      <c r="AE259">
        <v>0</v>
      </c>
      <c r="AF259">
        <v>85.94</v>
      </c>
      <c r="AG259">
        <v>0</v>
      </c>
      <c r="AH259">
        <v>0</v>
      </c>
      <c r="AI259">
        <v>1</v>
      </c>
      <c r="AJ259">
        <v>1</v>
      </c>
      <c r="AK259">
        <v>1</v>
      </c>
      <c r="AL259">
        <v>1</v>
      </c>
      <c r="AM259">
        <v>0</v>
      </c>
      <c r="AN259">
        <v>0</v>
      </c>
      <c r="AO259">
        <v>1</v>
      </c>
      <c r="AP259">
        <v>0</v>
      </c>
      <c r="AQ259">
        <v>0</v>
      </c>
      <c r="AR259">
        <v>0</v>
      </c>
      <c r="AS259" t="s">
        <v>6</v>
      </c>
      <c r="AT259">
        <v>0.1</v>
      </c>
      <c r="AU259" t="s">
        <v>6</v>
      </c>
      <c r="AV259">
        <v>0</v>
      </c>
      <c r="AW259">
        <v>2</v>
      </c>
      <c r="AX259">
        <v>86327533</v>
      </c>
      <c r="AY259">
        <v>1</v>
      </c>
      <c r="AZ259">
        <v>0</v>
      </c>
      <c r="BA259">
        <v>191</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CV259">
        <v>0</v>
      </c>
      <c r="CW259">
        <f>ROUND(Y259*Source!I223*DO259,9)</f>
        <v>0</v>
      </c>
      <c r="CX259">
        <f>ROUND(Y259*Source!I223,9)</f>
        <v>1.2E-2</v>
      </c>
      <c r="CY259">
        <f>AB259</f>
        <v>85.94</v>
      </c>
      <c r="CZ259">
        <f>AF259</f>
        <v>85.94</v>
      </c>
      <c r="DA259">
        <f>AJ259</f>
        <v>1</v>
      </c>
      <c r="DB259">
        <f t="shared" si="123"/>
        <v>8.59</v>
      </c>
      <c r="DC259">
        <f t="shared" si="124"/>
        <v>0</v>
      </c>
      <c r="DD259" t="s">
        <v>6</v>
      </c>
      <c r="DE259" t="s">
        <v>6</v>
      </c>
      <c r="DF259">
        <f t="shared" si="129"/>
        <v>0</v>
      </c>
      <c r="DG259">
        <f t="shared" si="126"/>
        <v>1</v>
      </c>
      <c r="DH259">
        <f>Source!I223*SmtRes!Y259</f>
        <v>1.2E-2</v>
      </c>
      <c r="DI259">
        <f>AB259</f>
        <v>85.94</v>
      </c>
      <c r="DJ259">
        <f>EtalonRes!Z191</f>
        <v>85.94</v>
      </c>
      <c r="DK259">
        <f>Source!BB223</f>
        <v>1</v>
      </c>
      <c r="DL259" t="s">
        <v>6</v>
      </c>
      <c r="DM259">
        <v>0</v>
      </c>
      <c r="DN259" t="s">
        <v>6</v>
      </c>
      <c r="DO259">
        <v>0</v>
      </c>
      <c r="GQ259">
        <v>-1</v>
      </c>
      <c r="GR259">
        <v>-1</v>
      </c>
    </row>
    <row r="260" spans="1:200" x14ac:dyDescent="0.2">
      <c r="A260">
        <f>ROW(Source!A223)</f>
        <v>223</v>
      </c>
      <c r="B260">
        <v>86326987</v>
      </c>
      <c r="C260">
        <v>86327526</v>
      </c>
      <c r="D260">
        <v>27375329</v>
      </c>
      <c r="E260">
        <v>1</v>
      </c>
      <c r="F260">
        <v>1</v>
      </c>
      <c r="G260">
        <v>1</v>
      </c>
      <c r="H260">
        <v>3</v>
      </c>
      <c r="I260" t="s">
        <v>303</v>
      </c>
      <c r="J260" t="s">
        <v>306</v>
      </c>
      <c r="K260" t="s">
        <v>304</v>
      </c>
      <c r="L260">
        <v>1346</v>
      </c>
      <c r="N260">
        <v>1009</v>
      </c>
      <c r="O260" t="s">
        <v>305</v>
      </c>
      <c r="P260" t="s">
        <v>305</v>
      </c>
      <c r="Q260">
        <v>1</v>
      </c>
      <c r="W260">
        <v>0</v>
      </c>
      <c r="X260">
        <v>863799311</v>
      </c>
      <c r="Y260">
        <f t="shared" si="119"/>
        <v>28.37</v>
      </c>
      <c r="AA260">
        <v>75.03</v>
      </c>
      <c r="AB260">
        <v>0</v>
      </c>
      <c r="AC260">
        <v>0</v>
      </c>
      <c r="AD260">
        <v>0</v>
      </c>
      <c r="AE260">
        <v>75.03</v>
      </c>
      <c r="AF260">
        <v>0</v>
      </c>
      <c r="AG260">
        <v>0</v>
      </c>
      <c r="AH260">
        <v>0</v>
      </c>
      <c r="AI260">
        <v>1</v>
      </c>
      <c r="AJ260">
        <v>1</v>
      </c>
      <c r="AK260">
        <v>1</v>
      </c>
      <c r="AL260">
        <v>1</v>
      </c>
      <c r="AM260">
        <v>0</v>
      </c>
      <c r="AN260">
        <v>0</v>
      </c>
      <c r="AO260">
        <v>0</v>
      </c>
      <c r="AP260">
        <v>0</v>
      </c>
      <c r="AQ260">
        <v>0</v>
      </c>
      <c r="AR260">
        <v>0</v>
      </c>
      <c r="AS260" t="s">
        <v>6</v>
      </c>
      <c r="AT260">
        <v>28.37</v>
      </c>
      <c r="AU260" t="s">
        <v>6</v>
      </c>
      <c r="AV260">
        <v>0</v>
      </c>
      <c r="AW260">
        <v>1</v>
      </c>
      <c r="AX260">
        <v>-1</v>
      </c>
      <c r="AY260">
        <v>0</v>
      </c>
      <c r="AZ260">
        <v>0</v>
      </c>
      <c r="BA260" t="s">
        <v>6</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CV260">
        <v>0</v>
      </c>
      <c r="CW260">
        <v>0</v>
      </c>
      <c r="CX260">
        <f>ROUND(Y260*Source!I223,9)</f>
        <v>3.4043999999999999</v>
      </c>
      <c r="CY260">
        <f>AA260</f>
        <v>75.03</v>
      </c>
      <c r="CZ260">
        <f>AE260</f>
        <v>75.03</v>
      </c>
      <c r="DA260">
        <f>AI260</f>
        <v>1</v>
      </c>
      <c r="DB260">
        <f t="shared" si="123"/>
        <v>2128.6</v>
      </c>
      <c r="DC260">
        <f t="shared" si="124"/>
        <v>0</v>
      </c>
      <c r="DD260" t="s">
        <v>6</v>
      </c>
      <c r="DE260" t="s">
        <v>6</v>
      </c>
      <c r="DF260">
        <f t="shared" si="129"/>
        <v>255</v>
      </c>
      <c r="DG260">
        <f t="shared" si="126"/>
        <v>0</v>
      </c>
      <c r="DH260">
        <f>Source!I223*SmtRes!Y260</f>
        <v>3.4043999999999999</v>
      </c>
      <c r="DI260">
        <f>AA260</f>
        <v>75.03</v>
      </c>
      <c r="DJ260">
        <f>DF260</f>
        <v>255</v>
      </c>
      <c r="DK260">
        <f>Source!BC223</f>
        <v>1</v>
      </c>
      <c r="DL260" t="s">
        <v>6</v>
      </c>
      <c r="DM260">
        <v>0</v>
      </c>
      <c r="DN260" t="s">
        <v>6</v>
      </c>
      <c r="DO260">
        <v>0</v>
      </c>
      <c r="GP260">
        <v>1</v>
      </c>
      <c r="GQ260">
        <v>-1</v>
      </c>
      <c r="GR260">
        <v>-1</v>
      </c>
    </row>
    <row r="261" spans="1:200" x14ac:dyDescent="0.2">
      <c r="A261">
        <f>ROW(Source!A224)</f>
        <v>224</v>
      </c>
      <c r="B261">
        <v>86326988</v>
      </c>
      <c r="C261">
        <v>86327526</v>
      </c>
      <c r="D261">
        <v>5510985</v>
      </c>
      <c r="E261">
        <v>1</v>
      </c>
      <c r="F261">
        <v>1</v>
      </c>
      <c r="G261">
        <v>1</v>
      </c>
      <c r="H261">
        <v>1</v>
      </c>
      <c r="I261" t="s">
        <v>655</v>
      </c>
      <c r="J261" t="s">
        <v>6</v>
      </c>
      <c r="K261" t="s">
        <v>656</v>
      </c>
      <c r="L261">
        <v>1369</v>
      </c>
      <c r="N261">
        <v>1013</v>
      </c>
      <c r="O261" t="s">
        <v>625</v>
      </c>
      <c r="P261" t="s">
        <v>625</v>
      </c>
      <c r="Q261">
        <v>1</v>
      </c>
      <c r="W261">
        <v>0</v>
      </c>
      <c r="X261">
        <v>1646836857</v>
      </c>
      <c r="Y261">
        <f t="shared" si="119"/>
        <v>9.86</v>
      </c>
      <c r="AA261">
        <v>0</v>
      </c>
      <c r="AB261">
        <v>0</v>
      </c>
      <c r="AC261">
        <v>0</v>
      </c>
      <c r="AD261">
        <v>245.76</v>
      </c>
      <c r="AE261">
        <v>0</v>
      </c>
      <c r="AF261">
        <v>0</v>
      </c>
      <c r="AG261">
        <v>0</v>
      </c>
      <c r="AH261">
        <v>9.6</v>
      </c>
      <c r="AI261">
        <v>1</v>
      </c>
      <c r="AJ261">
        <v>1</v>
      </c>
      <c r="AK261">
        <v>1</v>
      </c>
      <c r="AL261">
        <v>25.6</v>
      </c>
      <c r="AM261">
        <v>5</v>
      </c>
      <c r="AN261">
        <v>0</v>
      </c>
      <c r="AO261">
        <v>1</v>
      </c>
      <c r="AP261">
        <v>0</v>
      </c>
      <c r="AQ261">
        <v>0</v>
      </c>
      <c r="AR261">
        <v>0</v>
      </c>
      <c r="AS261" t="s">
        <v>6</v>
      </c>
      <c r="AT261">
        <v>9.86</v>
      </c>
      <c r="AU261" t="s">
        <v>6</v>
      </c>
      <c r="AV261">
        <v>1</v>
      </c>
      <c r="AW261">
        <v>2</v>
      </c>
      <c r="AX261">
        <v>86327531</v>
      </c>
      <c r="AY261">
        <v>1</v>
      </c>
      <c r="AZ261">
        <v>0</v>
      </c>
      <c r="BA261">
        <v>193</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CU261">
        <f>ROUND(AT261*Source!I224*AH261*AL261,0)</f>
        <v>291</v>
      </c>
      <c r="CV261">
        <f>ROUND(Y261*Source!I224,9)</f>
        <v>1.1832</v>
      </c>
      <c r="CW261">
        <v>0</v>
      </c>
      <c r="CX261">
        <f>ROUND(Y261*Source!I224,9)</f>
        <v>1.1832</v>
      </c>
      <c r="CY261">
        <f>AD261</f>
        <v>245.76</v>
      </c>
      <c r="CZ261">
        <f>AH261</f>
        <v>9.6</v>
      </c>
      <c r="DA261">
        <f>AL261</f>
        <v>25.6</v>
      </c>
      <c r="DB261">
        <f t="shared" si="123"/>
        <v>94.66</v>
      </c>
      <c r="DC261">
        <f t="shared" si="124"/>
        <v>0</v>
      </c>
      <c r="DD261" t="s">
        <v>6</v>
      </c>
      <c r="DE261" t="s">
        <v>6</v>
      </c>
      <c r="DF261">
        <f t="shared" si="129"/>
        <v>0</v>
      </c>
      <c r="DG261">
        <f t="shared" si="126"/>
        <v>0</v>
      </c>
      <c r="DH261">
        <f>Source!I224*SmtRes!Y261</f>
        <v>1.1831999999999998</v>
      </c>
      <c r="DI261">
        <f>AD261</f>
        <v>245.76</v>
      </c>
      <c r="DJ261">
        <f>EtalonRes!AB193</f>
        <v>9.6</v>
      </c>
      <c r="DK261">
        <f>Source!BA224</f>
        <v>25.6</v>
      </c>
      <c r="DL261" t="s">
        <v>6</v>
      </c>
      <c r="DM261">
        <v>0</v>
      </c>
      <c r="DN261" t="s">
        <v>6</v>
      </c>
      <c r="DO261">
        <v>0</v>
      </c>
      <c r="GQ261">
        <v>-1</v>
      </c>
      <c r="GR261">
        <v>-1</v>
      </c>
    </row>
    <row r="262" spans="1:200" x14ac:dyDescent="0.2">
      <c r="A262">
        <f>ROW(Source!A224)</f>
        <v>224</v>
      </c>
      <c r="B262">
        <v>86326988</v>
      </c>
      <c r="C262">
        <v>86327526</v>
      </c>
      <c r="D262">
        <v>10844892</v>
      </c>
      <c r="E262">
        <v>1</v>
      </c>
      <c r="F262">
        <v>1</v>
      </c>
      <c r="G262">
        <v>1</v>
      </c>
      <c r="H262">
        <v>2</v>
      </c>
      <c r="I262" t="s">
        <v>657</v>
      </c>
      <c r="J262" t="s">
        <v>658</v>
      </c>
      <c r="K262" t="s">
        <v>659</v>
      </c>
      <c r="L262">
        <v>1480</v>
      </c>
      <c r="N262">
        <v>1013</v>
      </c>
      <c r="O262" t="s">
        <v>660</v>
      </c>
      <c r="P262" t="s">
        <v>661</v>
      </c>
      <c r="Q262">
        <v>1</v>
      </c>
      <c r="W262">
        <v>0</v>
      </c>
      <c r="X262">
        <v>-1333412911</v>
      </c>
      <c r="Y262">
        <f t="shared" si="119"/>
        <v>3.56</v>
      </c>
      <c r="AA262">
        <v>0</v>
      </c>
      <c r="AB262">
        <v>488.25</v>
      </c>
      <c r="AC262">
        <v>0</v>
      </c>
      <c r="AD262">
        <v>0</v>
      </c>
      <c r="AE262">
        <v>0</v>
      </c>
      <c r="AF262">
        <v>52.5</v>
      </c>
      <c r="AG262">
        <v>0</v>
      </c>
      <c r="AH262">
        <v>0</v>
      </c>
      <c r="AI262">
        <v>1</v>
      </c>
      <c r="AJ262">
        <v>9.3000000000000007</v>
      </c>
      <c r="AK262">
        <v>19.8</v>
      </c>
      <c r="AL262">
        <v>1</v>
      </c>
      <c r="AM262">
        <v>2</v>
      </c>
      <c r="AN262">
        <v>0</v>
      </c>
      <c r="AO262">
        <v>1</v>
      </c>
      <c r="AP262">
        <v>0</v>
      </c>
      <c r="AQ262">
        <v>0</v>
      </c>
      <c r="AR262">
        <v>0</v>
      </c>
      <c r="AS262" t="s">
        <v>6</v>
      </c>
      <c r="AT262">
        <v>3.56</v>
      </c>
      <c r="AU262" t="s">
        <v>6</v>
      </c>
      <c r="AV262">
        <v>0</v>
      </c>
      <c r="AW262">
        <v>2</v>
      </c>
      <c r="AX262">
        <v>86327532</v>
      </c>
      <c r="AY262">
        <v>1</v>
      </c>
      <c r="AZ262">
        <v>0</v>
      </c>
      <c r="BA262">
        <v>194</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CV262">
        <v>0</v>
      </c>
      <c r="CW262">
        <f>ROUND(Y262*Source!I224*DO262,9)</f>
        <v>0</v>
      </c>
      <c r="CX262">
        <f>ROUND(Y262*Source!I224,9)</f>
        <v>0.42720000000000002</v>
      </c>
      <c r="CY262">
        <f>AB262</f>
        <v>488.25</v>
      </c>
      <c r="CZ262">
        <f>AF262</f>
        <v>52.5</v>
      </c>
      <c r="DA262">
        <f>AJ262</f>
        <v>9.3000000000000007</v>
      </c>
      <c r="DB262">
        <f t="shared" si="123"/>
        <v>186.9</v>
      </c>
      <c r="DC262">
        <f t="shared" si="124"/>
        <v>0</v>
      </c>
      <c r="DD262" t="s">
        <v>6</v>
      </c>
      <c r="DE262" t="s">
        <v>6</v>
      </c>
      <c r="DF262">
        <f t="shared" si="129"/>
        <v>0</v>
      </c>
      <c r="DG262">
        <f>ROUND(ROUND(AF262*AJ262,0)*CX262,0)</f>
        <v>208</v>
      </c>
      <c r="DH262">
        <f>Source!I224*SmtRes!Y262</f>
        <v>0.42719999999999997</v>
      </c>
      <c r="DI262">
        <f>AB262</f>
        <v>488.25</v>
      </c>
      <c r="DJ262">
        <f>EtalonRes!Z194</f>
        <v>52.5</v>
      </c>
      <c r="DK262">
        <f>Source!BB224</f>
        <v>9.3000000000000007</v>
      </c>
      <c r="DL262" t="s">
        <v>6</v>
      </c>
      <c r="DM262">
        <v>0</v>
      </c>
      <c r="DN262" t="s">
        <v>6</v>
      </c>
      <c r="DO262">
        <v>0</v>
      </c>
      <c r="GQ262">
        <v>-1</v>
      </c>
      <c r="GR262">
        <v>-1</v>
      </c>
    </row>
    <row r="263" spans="1:200" x14ac:dyDescent="0.2">
      <c r="A263">
        <f>ROW(Source!A224)</f>
        <v>224</v>
      </c>
      <c r="B263">
        <v>86326988</v>
      </c>
      <c r="C263">
        <v>86327526</v>
      </c>
      <c r="D263">
        <v>10843192</v>
      </c>
      <c r="E263">
        <v>1</v>
      </c>
      <c r="F263">
        <v>1</v>
      </c>
      <c r="G263">
        <v>1</v>
      </c>
      <c r="H263">
        <v>2</v>
      </c>
      <c r="I263" t="s">
        <v>637</v>
      </c>
      <c r="J263" t="s">
        <v>662</v>
      </c>
      <c r="K263" t="s">
        <v>663</v>
      </c>
      <c r="L263">
        <v>1480</v>
      </c>
      <c r="N263">
        <v>1013</v>
      </c>
      <c r="O263" t="s">
        <v>660</v>
      </c>
      <c r="P263" t="s">
        <v>661</v>
      </c>
      <c r="Q263">
        <v>1</v>
      </c>
      <c r="W263">
        <v>0</v>
      </c>
      <c r="X263">
        <v>-1592911513</v>
      </c>
      <c r="Y263">
        <f t="shared" si="119"/>
        <v>0.1</v>
      </c>
      <c r="AA263">
        <v>0</v>
      </c>
      <c r="AB263">
        <v>799.24</v>
      </c>
      <c r="AC263">
        <v>0</v>
      </c>
      <c r="AD263">
        <v>0</v>
      </c>
      <c r="AE263">
        <v>0</v>
      </c>
      <c r="AF263">
        <v>85.94</v>
      </c>
      <c r="AG263">
        <v>0</v>
      </c>
      <c r="AH263">
        <v>0</v>
      </c>
      <c r="AI263">
        <v>1</v>
      </c>
      <c r="AJ263">
        <v>9.3000000000000007</v>
      </c>
      <c r="AK263">
        <v>19.8</v>
      </c>
      <c r="AL263">
        <v>1</v>
      </c>
      <c r="AM263">
        <v>5</v>
      </c>
      <c r="AN263">
        <v>0</v>
      </c>
      <c r="AO263">
        <v>1</v>
      </c>
      <c r="AP263">
        <v>0</v>
      </c>
      <c r="AQ263">
        <v>0</v>
      </c>
      <c r="AR263">
        <v>0</v>
      </c>
      <c r="AS263" t="s">
        <v>6</v>
      </c>
      <c r="AT263">
        <v>0.1</v>
      </c>
      <c r="AU263" t="s">
        <v>6</v>
      </c>
      <c r="AV263">
        <v>0</v>
      </c>
      <c r="AW263">
        <v>2</v>
      </c>
      <c r="AX263">
        <v>86327533</v>
      </c>
      <c r="AY263">
        <v>1</v>
      </c>
      <c r="AZ263">
        <v>0</v>
      </c>
      <c r="BA263">
        <v>195</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CV263">
        <v>0</v>
      </c>
      <c r="CW263">
        <f>ROUND(Y263*Source!I224*DO263,9)</f>
        <v>0</v>
      </c>
      <c r="CX263">
        <f>ROUND(Y263*Source!I224,9)</f>
        <v>1.2E-2</v>
      </c>
      <c r="CY263">
        <f>AB263</f>
        <v>799.24</v>
      </c>
      <c r="CZ263">
        <f>AF263</f>
        <v>85.94</v>
      </c>
      <c r="DA263">
        <f>AJ263</f>
        <v>9.3000000000000007</v>
      </c>
      <c r="DB263">
        <f t="shared" si="123"/>
        <v>8.59</v>
      </c>
      <c r="DC263">
        <f t="shared" si="124"/>
        <v>0</v>
      </c>
      <c r="DD263" t="s">
        <v>6</v>
      </c>
      <c r="DE263" t="s">
        <v>6</v>
      </c>
      <c r="DF263">
        <f t="shared" si="129"/>
        <v>0</v>
      </c>
      <c r="DG263">
        <f>ROUND(ROUND(AF263*AJ263,0)*CX263,0)</f>
        <v>10</v>
      </c>
      <c r="DH263">
        <f>Source!I224*SmtRes!Y263</f>
        <v>1.2E-2</v>
      </c>
      <c r="DI263">
        <f>AB263</f>
        <v>799.24</v>
      </c>
      <c r="DJ263">
        <f>EtalonRes!Z195</f>
        <v>85.94</v>
      </c>
      <c r="DK263">
        <f>Source!BB224</f>
        <v>9.3000000000000007</v>
      </c>
      <c r="DL263" t="s">
        <v>6</v>
      </c>
      <c r="DM263">
        <v>0</v>
      </c>
      <c r="DN263" t="s">
        <v>6</v>
      </c>
      <c r="DO263">
        <v>0</v>
      </c>
      <c r="GQ263">
        <v>-1</v>
      </c>
      <c r="GR263">
        <v>-1</v>
      </c>
    </row>
    <row r="264" spans="1:200" x14ac:dyDescent="0.2">
      <c r="A264">
        <f>ROW(Source!A224)</f>
        <v>224</v>
      </c>
      <c r="B264">
        <v>86326988</v>
      </c>
      <c r="C264">
        <v>86327526</v>
      </c>
      <c r="D264">
        <v>27375329</v>
      </c>
      <c r="E264">
        <v>1</v>
      </c>
      <c r="F264">
        <v>1</v>
      </c>
      <c r="G264">
        <v>1</v>
      </c>
      <c r="H264">
        <v>3</v>
      </c>
      <c r="I264" t="s">
        <v>303</v>
      </c>
      <c r="J264" t="s">
        <v>306</v>
      </c>
      <c r="K264" t="s">
        <v>304</v>
      </c>
      <c r="L264">
        <v>1346</v>
      </c>
      <c r="N264">
        <v>1009</v>
      </c>
      <c r="O264" t="s">
        <v>305</v>
      </c>
      <c r="P264" t="s">
        <v>305</v>
      </c>
      <c r="Q264">
        <v>1</v>
      </c>
      <c r="W264">
        <v>0</v>
      </c>
      <c r="X264">
        <v>863799311</v>
      </c>
      <c r="Y264">
        <f t="shared" si="119"/>
        <v>28.37</v>
      </c>
      <c r="AA264">
        <v>198.1</v>
      </c>
      <c r="AB264">
        <v>0</v>
      </c>
      <c r="AC264">
        <v>0</v>
      </c>
      <c r="AD264">
        <v>0</v>
      </c>
      <c r="AE264">
        <v>27.8</v>
      </c>
      <c r="AF264">
        <v>0</v>
      </c>
      <c r="AG264">
        <v>0</v>
      </c>
      <c r="AH264">
        <v>0</v>
      </c>
      <c r="AI264">
        <v>7.56</v>
      </c>
      <c r="AJ264">
        <v>1</v>
      </c>
      <c r="AK264">
        <v>1</v>
      </c>
      <c r="AL264">
        <v>1</v>
      </c>
      <c r="AM264">
        <v>0</v>
      </c>
      <c r="AN264">
        <v>0</v>
      </c>
      <c r="AO264">
        <v>0</v>
      </c>
      <c r="AP264">
        <v>0</v>
      </c>
      <c r="AQ264">
        <v>0</v>
      </c>
      <c r="AR264">
        <v>0</v>
      </c>
      <c r="AS264" t="s">
        <v>6</v>
      </c>
      <c r="AT264">
        <v>28.37</v>
      </c>
      <c r="AU264" t="s">
        <v>6</v>
      </c>
      <c r="AV264">
        <v>0</v>
      </c>
      <c r="AW264">
        <v>1</v>
      </c>
      <c r="AX264">
        <v>-1</v>
      </c>
      <c r="AY264">
        <v>0</v>
      </c>
      <c r="AZ264">
        <v>0</v>
      </c>
      <c r="BA264" t="s">
        <v>6</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CV264">
        <v>0</v>
      </c>
      <c r="CW264">
        <v>0</v>
      </c>
      <c r="CX264">
        <f>ROUND(Y264*Source!I224,9)</f>
        <v>3.4043999999999999</v>
      </c>
      <c r="CY264">
        <f>AA264</f>
        <v>198.1</v>
      </c>
      <c r="CZ264">
        <f>AE264</f>
        <v>27.8</v>
      </c>
      <c r="DA264">
        <f>AI264</f>
        <v>7.56</v>
      </c>
      <c r="DB264">
        <f t="shared" si="123"/>
        <v>788.69</v>
      </c>
      <c r="DC264">
        <f t="shared" si="124"/>
        <v>0</v>
      </c>
      <c r="DD264" t="s">
        <v>6</v>
      </c>
      <c r="DE264" t="s">
        <v>6</v>
      </c>
      <c r="DF264">
        <f>ROUND(ROUND(AE264*AI264,0)*CX264,0)</f>
        <v>715</v>
      </c>
      <c r="DG264">
        <f t="shared" ref="DG264:DG276" si="130">ROUND(ROUND(AF264,0)*CX264,0)</f>
        <v>0</v>
      </c>
      <c r="DH264">
        <f>Source!I224*SmtRes!Y264</f>
        <v>3.4043999999999999</v>
      </c>
      <c r="DI264">
        <f>AA264</f>
        <v>198.1</v>
      </c>
      <c r="DJ264">
        <f>DF264</f>
        <v>715</v>
      </c>
      <c r="DK264">
        <f>Source!BC224</f>
        <v>7.56</v>
      </c>
      <c r="DL264" t="s">
        <v>6</v>
      </c>
      <c r="DM264">
        <v>0</v>
      </c>
      <c r="DN264" t="s">
        <v>6</v>
      </c>
      <c r="DO264">
        <v>0</v>
      </c>
      <c r="GP264">
        <v>1</v>
      </c>
      <c r="GQ264">
        <v>-1</v>
      </c>
      <c r="GR264">
        <v>-1</v>
      </c>
    </row>
    <row r="265" spans="1:200" x14ac:dyDescent="0.2">
      <c r="A265">
        <f>ROW(Source!A227)</f>
        <v>227</v>
      </c>
      <c r="B265">
        <v>86326987</v>
      </c>
      <c r="C265">
        <v>86327536</v>
      </c>
      <c r="D265">
        <v>27683434</v>
      </c>
      <c r="E265">
        <v>1</v>
      </c>
      <c r="F265">
        <v>1</v>
      </c>
      <c r="G265">
        <v>1</v>
      </c>
      <c r="H265">
        <v>1</v>
      </c>
      <c r="I265" t="s">
        <v>664</v>
      </c>
      <c r="J265" t="s">
        <v>6</v>
      </c>
      <c r="K265" t="s">
        <v>665</v>
      </c>
      <c r="L265">
        <v>1369</v>
      </c>
      <c r="N265">
        <v>1013</v>
      </c>
      <c r="O265" t="s">
        <v>625</v>
      </c>
      <c r="P265" t="s">
        <v>625</v>
      </c>
      <c r="Q265">
        <v>1</v>
      </c>
      <c r="W265">
        <v>0</v>
      </c>
      <c r="X265">
        <v>-1710225347</v>
      </c>
      <c r="Y265">
        <f t="shared" si="119"/>
        <v>15.28</v>
      </c>
      <c r="AA265">
        <v>0</v>
      </c>
      <c r="AB265">
        <v>0</v>
      </c>
      <c r="AC265">
        <v>0</v>
      </c>
      <c r="AD265">
        <v>9.48</v>
      </c>
      <c r="AE265">
        <v>0</v>
      </c>
      <c r="AF265">
        <v>0</v>
      </c>
      <c r="AG265">
        <v>0</v>
      </c>
      <c r="AH265">
        <v>9.48</v>
      </c>
      <c r="AI265">
        <v>1</v>
      </c>
      <c r="AJ265">
        <v>1</v>
      </c>
      <c r="AK265">
        <v>1</v>
      </c>
      <c r="AL265">
        <v>1</v>
      </c>
      <c r="AM265">
        <v>0</v>
      </c>
      <c r="AN265">
        <v>0</v>
      </c>
      <c r="AO265">
        <v>1</v>
      </c>
      <c r="AP265">
        <v>0</v>
      </c>
      <c r="AQ265">
        <v>0</v>
      </c>
      <c r="AR265">
        <v>0</v>
      </c>
      <c r="AS265" t="s">
        <v>6</v>
      </c>
      <c r="AT265">
        <v>15.28</v>
      </c>
      <c r="AU265" t="s">
        <v>6</v>
      </c>
      <c r="AV265">
        <v>1</v>
      </c>
      <c r="AW265">
        <v>2</v>
      </c>
      <c r="AX265">
        <v>86327547</v>
      </c>
      <c r="AY265">
        <v>1</v>
      </c>
      <c r="AZ265">
        <v>0</v>
      </c>
      <c r="BA265">
        <v>197</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CU265">
        <f>ROUND(AT265*Source!I227*AH265*AL265,0)</f>
        <v>104</v>
      </c>
      <c r="CV265">
        <f>ROUND(Y265*Source!I227,9)</f>
        <v>11.0016</v>
      </c>
      <c r="CW265">
        <v>0</v>
      </c>
      <c r="CX265">
        <f>ROUND(Y265*Source!I227,9)</f>
        <v>11.0016</v>
      </c>
      <c r="CY265">
        <f>AD265</f>
        <v>9.48</v>
      </c>
      <c r="CZ265">
        <f>AH265</f>
        <v>9.48</v>
      </c>
      <c r="DA265">
        <f>AL265</f>
        <v>1</v>
      </c>
      <c r="DB265">
        <f t="shared" si="123"/>
        <v>144.85</v>
      </c>
      <c r="DC265">
        <f t="shared" si="124"/>
        <v>0</v>
      </c>
      <c r="DD265" t="s">
        <v>6</v>
      </c>
      <c r="DE265" t="s">
        <v>6</v>
      </c>
      <c r="DF265">
        <f t="shared" ref="DF265:DF279" si="131">ROUND(ROUND(AE265,0)*CX265,0)</f>
        <v>0</v>
      </c>
      <c r="DG265">
        <f t="shared" si="130"/>
        <v>0</v>
      </c>
      <c r="DH265">
        <f>Source!I227*SmtRes!Y265</f>
        <v>11.0016</v>
      </c>
      <c r="DI265">
        <f>AD265</f>
        <v>9.48</v>
      </c>
      <c r="DJ265">
        <f>EtalonRes!AB197</f>
        <v>9.48</v>
      </c>
      <c r="DK265">
        <f>Source!BA227</f>
        <v>1</v>
      </c>
      <c r="DL265" t="s">
        <v>6</v>
      </c>
      <c r="DM265">
        <v>0</v>
      </c>
      <c r="DN265" t="s">
        <v>6</v>
      </c>
      <c r="DO265">
        <v>0</v>
      </c>
      <c r="GQ265">
        <v>-1</v>
      </c>
      <c r="GR265">
        <v>-1</v>
      </c>
    </row>
    <row r="266" spans="1:200" x14ac:dyDescent="0.2">
      <c r="A266">
        <f>ROW(Source!A227)</f>
        <v>227</v>
      </c>
      <c r="B266">
        <v>86326987</v>
      </c>
      <c r="C266">
        <v>86327536</v>
      </c>
      <c r="D266">
        <v>121548</v>
      </c>
      <c r="E266">
        <v>1</v>
      </c>
      <c r="F266">
        <v>1</v>
      </c>
      <c r="G266">
        <v>1</v>
      </c>
      <c r="H266">
        <v>1</v>
      </c>
      <c r="I266" t="s">
        <v>40</v>
      </c>
      <c r="J266" t="s">
        <v>6</v>
      </c>
      <c r="K266" t="s">
        <v>626</v>
      </c>
      <c r="L266">
        <v>608254</v>
      </c>
      <c r="N266">
        <v>1013</v>
      </c>
      <c r="O266" t="s">
        <v>627</v>
      </c>
      <c r="P266" t="s">
        <v>627</v>
      </c>
      <c r="Q266">
        <v>1</v>
      </c>
      <c r="W266">
        <v>0</v>
      </c>
      <c r="X266">
        <v>-185737400</v>
      </c>
      <c r="Y266">
        <f t="shared" si="119"/>
        <v>0.09</v>
      </c>
      <c r="AA266">
        <v>0</v>
      </c>
      <c r="AB266">
        <v>0</v>
      </c>
      <c r="AC266">
        <v>0</v>
      </c>
      <c r="AD266">
        <v>0</v>
      </c>
      <c r="AE266">
        <v>0</v>
      </c>
      <c r="AF266">
        <v>0</v>
      </c>
      <c r="AG266">
        <v>0</v>
      </c>
      <c r="AH266">
        <v>0</v>
      </c>
      <c r="AI266">
        <v>1</v>
      </c>
      <c r="AJ266">
        <v>1</v>
      </c>
      <c r="AK266">
        <v>1</v>
      </c>
      <c r="AL266">
        <v>1</v>
      </c>
      <c r="AM266">
        <v>0</v>
      </c>
      <c r="AN266">
        <v>0</v>
      </c>
      <c r="AO266">
        <v>1</v>
      </c>
      <c r="AP266">
        <v>0</v>
      </c>
      <c r="AQ266">
        <v>0</v>
      </c>
      <c r="AR266">
        <v>0</v>
      </c>
      <c r="AS266" t="s">
        <v>6</v>
      </c>
      <c r="AT266">
        <v>0.09</v>
      </c>
      <c r="AU266" t="s">
        <v>6</v>
      </c>
      <c r="AV266">
        <v>2</v>
      </c>
      <c r="AW266">
        <v>2</v>
      </c>
      <c r="AX266">
        <v>86327548</v>
      </c>
      <c r="AY266">
        <v>1</v>
      </c>
      <c r="AZ266">
        <v>0</v>
      </c>
      <c r="BA266">
        <v>198</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CV266">
        <v>0</v>
      </c>
      <c r="CW266">
        <v>0</v>
      </c>
      <c r="CX266">
        <f>ROUND(Y266*Source!I227,9)</f>
        <v>6.4799999999999996E-2</v>
      </c>
      <c r="CY266">
        <f>AD266</f>
        <v>0</v>
      </c>
      <c r="CZ266">
        <f>AH266</f>
        <v>0</v>
      </c>
      <c r="DA266">
        <f>AL266</f>
        <v>1</v>
      </c>
      <c r="DB266">
        <f t="shared" si="123"/>
        <v>0</v>
      </c>
      <c r="DC266">
        <f t="shared" si="124"/>
        <v>0</v>
      </c>
      <c r="DD266" t="s">
        <v>6</v>
      </c>
      <c r="DE266" t="s">
        <v>6</v>
      </c>
      <c r="DF266">
        <f t="shared" si="131"/>
        <v>0</v>
      </c>
      <c r="DG266">
        <f t="shared" si="130"/>
        <v>0</v>
      </c>
      <c r="DH266">
        <f>Source!I227*SmtRes!Y266</f>
        <v>6.4799999999999996E-2</v>
      </c>
      <c r="DI266">
        <f>AD266</f>
        <v>0</v>
      </c>
      <c r="DJ266">
        <f>EtalonRes!AB198</f>
        <v>0</v>
      </c>
      <c r="DK266">
        <f>Source!BA227</f>
        <v>1</v>
      </c>
      <c r="DL266" t="s">
        <v>6</v>
      </c>
      <c r="DM266">
        <v>0</v>
      </c>
      <c r="DN266" t="s">
        <v>6</v>
      </c>
      <c r="DO266">
        <v>0</v>
      </c>
      <c r="GQ266">
        <v>-1</v>
      </c>
      <c r="GR266">
        <v>-1</v>
      </c>
    </row>
    <row r="267" spans="1:200" x14ac:dyDescent="0.2">
      <c r="A267">
        <f>ROW(Source!A227)</f>
        <v>227</v>
      </c>
      <c r="B267">
        <v>86326987</v>
      </c>
      <c r="C267">
        <v>86327536</v>
      </c>
      <c r="D267">
        <v>27439488</v>
      </c>
      <c r="E267">
        <v>1</v>
      </c>
      <c r="F267">
        <v>1</v>
      </c>
      <c r="G267">
        <v>1</v>
      </c>
      <c r="H267">
        <v>2</v>
      </c>
      <c r="I267" t="s">
        <v>666</v>
      </c>
      <c r="J267" t="s">
        <v>667</v>
      </c>
      <c r="K267" t="s">
        <v>668</v>
      </c>
      <c r="L267">
        <v>1368</v>
      </c>
      <c r="N267">
        <v>1011</v>
      </c>
      <c r="O267" t="s">
        <v>137</v>
      </c>
      <c r="P267" t="s">
        <v>137</v>
      </c>
      <c r="Q267">
        <v>1</v>
      </c>
      <c r="W267">
        <v>0</v>
      </c>
      <c r="X267">
        <v>1935423198</v>
      </c>
      <c r="Y267">
        <f t="shared" si="119"/>
        <v>0.09</v>
      </c>
      <c r="AA267">
        <v>0</v>
      </c>
      <c r="AB267">
        <v>113.81</v>
      </c>
      <c r="AC267">
        <v>13.61</v>
      </c>
      <c r="AD267">
        <v>0</v>
      </c>
      <c r="AE267">
        <v>0</v>
      </c>
      <c r="AF267">
        <v>113.81</v>
      </c>
      <c r="AG267">
        <v>13.61</v>
      </c>
      <c r="AH267">
        <v>0</v>
      </c>
      <c r="AI267">
        <v>1</v>
      </c>
      <c r="AJ267">
        <v>1</v>
      </c>
      <c r="AK267">
        <v>1</v>
      </c>
      <c r="AL267">
        <v>1</v>
      </c>
      <c r="AM267">
        <v>0</v>
      </c>
      <c r="AN267">
        <v>0</v>
      </c>
      <c r="AO267">
        <v>1</v>
      </c>
      <c r="AP267">
        <v>0</v>
      </c>
      <c r="AQ267">
        <v>0</v>
      </c>
      <c r="AR267">
        <v>0</v>
      </c>
      <c r="AS267" t="s">
        <v>6</v>
      </c>
      <c r="AT267">
        <v>0.09</v>
      </c>
      <c r="AU267" t="s">
        <v>6</v>
      </c>
      <c r="AV267">
        <v>0</v>
      </c>
      <c r="AW267">
        <v>2</v>
      </c>
      <c r="AX267">
        <v>86327549</v>
      </c>
      <c r="AY267">
        <v>1</v>
      </c>
      <c r="AZ267">
        <v>0</v>
      </c>
      <c r="BA267">
        <v>199</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CV267">
        <v>0</v>
      </c>
      <c r="CW267">
        <f>ROUND(Y267*Source!I227*DO267,9)</f>
        <v>0</v>
      </c>
      <c r="CX267">
        <f>ROUND(Y267*Source!I227,9)</f>
        <v>6.4799999999999996E-2</v>
      </c>
      <c r="CY267">
        <f>AB267</f>
        <v>113.81</v>
      </c>
      <c r="CZ267">
        <f>AF267</f>
        <v>113.81</v>
      </c>
      <c r="DA267">
        <f>AJ267</f>
        <v>1</v>
      </c>
      <c r="DB267">
        <f t="shared" si="123"/>
        <v>10.24</v>
      </c>
      <c r="DC267">
        <f t="shared" si="124"/>
        <v>1.22</v>
      </c>
      <c r="DD267" t="s">
        <v>6</v>
      </c>
      <c r="DE267" t="s">
        <v>6</v>
      </c>
      <c r="DF267">
        <f t="shared" si="131"/>
        <v>0</v>
      </c>
      <c r="DG267">
        <f t="shared" si="130"/>
        <v>7</v>
      </c>
      <c r="DH267">
        <f>Source!I227*SmtRes!Y267</f>
        <v>6.4799999999999996E-2</v>
      </c>
      <c r="DI267">
        <f>AB267</f>
        <v>113.81</v>
      </c>
      <c r="DJ267">
        <f>EtalonRes!Z199</f>
        <v>113.81</v>
      </c>
      <c r="DK267">
        <f>Source!BB227</f>
        <v>1</v>
      </c>
      <c r="DL267" t="s">
        <v>6</v>
      </c>
      <c r="DM267">
        <v>0</v>
      </c>
      <c r="DN267" t="s">
        <v>6</v>
      </c>
      <c r="DO267">
        <v>0</v>
      </c>
      <c r="GQ267">
        <v>-1</v>
      </c>
      <c r="GR267">
        <v>-1</v>
      </c>
    </row>
    <row r="268" spans="1:200" x14ac:dyDescent="0.2">
      <c r="A268">
        <f>ROW(Source!A227)</f>
        <v>227</v>
      </c>
      <c r="B268">
        <v>86326987</v>
      </c>
      <c r="C268">
        <v>86327536</v>
      </c>
      <c r="D268">
        <v>27441078</v>
      </c>
      <c r="E268">
        <v>1</v>
      </c>
      <c r="F268">
        <v>1</v>
      </c>
      <c r="G268">
        <v>1</v>
      </c>
      <c r="H268">
        <v>2</v>
      </c>
      <c r="I268" t="s">
        <v>669</v>
      </c>
      <c r="J268" t="s">
        <v>670</v>
      </c>
      <c r="K268" t="s">
        <v>671</v>
      </c>
      <c r="L268">
        <v>1368</v>
      </c>
      <c r="N268">
        <v>1011</v>
      </c>
      <c r="O268" t="s">
        <v>137</v>
      </c>
      <c r="P268" t="s">
        <v>137</v>
      </c>
      <c r="Q268">
        <v>1</v>
      </c>
      <c r="W268">
        <v>0</v>
      </c>
      <c r="X268">
        <v>-380487195</v>
      </c>
      <c r="Y268">
        <f t="shared" si="119"/>
        <v>2.35</v>
      </c>
      <c r="AA268">
        <v>0</v>
      </c>
      <c r="AB268">
        <v>2.0699999999999998</v>
      </c>
      <c r="AC268">
        <v>0</v>
      </c>
      <c r="AD268">
        <v>0</v>
      </c>
      <c r="AE268">
        <v>0</v>
      </c>
      <c r="AF268">
        <v>2.0699999999999998</v>
      </c>
      <c r="AG268">
        <v>0</v>
      </c>
      <c r="AH268">
        <v>0</v>
      </c>
      <c r="AI268">
        <v>1</v>
      </c>
      <c r="AJ268">
        <v>1</v>
      </c>
      <c r="AK268">
        <v>1</v>
      </c>
      <c r="AL268">
        <v>1</v>
      </c>
      <c r="AM268">
        <v>0</v>
      </c>
      <c r="AN268">
        <v>0</v>
      </c>
      <c r="AO268">
        <v>1</v>
      </c>
      <c r="AP268">
        <v>0</v>
      </c>
      <c r="AQ268">
        <v>0</v>
      </c>
      <c r="AR268">
        <v>0</v>
      </c>
      <c r="AS268" t="s">
        <v>6</v>
      </c>
      <c r="AT268">
        <v>2.35</v>
      </c>
      <c r="AU268" t="s">
        <v>6</v>
      </c>
      <c r="AV268">
        <v>0</v>
      </c>
      <c r="AW268">
        <v>2</v>
      </c>
      <c r="AX268">
        <v>86327550</v>
      </c>
      <c r="AY268">
        <v>1</v>
      </c>
      <c r="AZ268">
        <v>0</v>
      </c>
      <c r="BA268">
        <v>200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CV268">
        <v>0</v>
      </c>
      <c r="CW268">
        <f>ROUND(Y268*Source!I227*DO268,9)</f>
        <v>0</v>
      </c>
      <c r="CX268">
        <f>ROUND(Y268*Source!I227,9)</f>
        <v>1.6919999999999999</v>
      </c>
      <c r="CY268">
        <f>AB268</f>
        <v>2.0699999999999998</v>
      </c>
      <c r="CZ268">
        <f>AF268</f>
        <v>2.0699999999999998</v>
      </c>
      <c r="DA268">
        <f>AJ268</f>
        <v>1</v>
      </c>
      <c r="DB268">
        <f t="shared" si="123"/>
        <v>4.8600000000000003</v>
      </c>
      <c r="DC268">
        <f t="shared" si="124"/>
        <v>0</v>
      </c>
      <c r="DD268" t="s">
        <v>6</v>
      </c>
      <c r="DE268" t="s">
        <v>6</v>
      </c>
      <c r="DF268">
        <f t="shared" si="131"/>
        <v>0</v>
      </c>
      <c r="DG268">
        <f t="shared" si="130"/>
        <v>3</v>
      </c>
      <c r="DH268">
        <f>Source!I227*SmtRes!Y268</f>
        <v>1.6919999999999999</v>
      </c>
      <c r="DI268">
        <f>AB268</f>
        <v>2.0699999999999998</v>
      </c>
      <c r="DJ268">
        <f>EtalonRes!Z200</f>
        <v>2.0699999999999998</v>
      </c>
      <c r="DK268">
        <f>Source!BB227</f>
        <v>1</v>
      </c>
      <c r="DL268" t="s">
        <v>6</v>
      </c>
      <c r="DM268">
        <v>0</v>
      </c>
      <c r="DN268" t="s">
        <v>6</v>
      </c>
      <c r="DO268">
        <v>0</v>
      </c>
      <c r="GQ268">
        <v>-1</v>
      </c>
      <c r="GR268">
        <v>-1</v>
      </c>
    </row>
    <row r="269" spans="1:200" x14ac:dyDescent="0.2">
      <c r="A269">
        <f>ROW(Source!A227)</f>
        <v>227</v>
      </c>
      <c r="B269">
        <v>86326987</v>
      </c>
      <c r="C269">
        <v>86327536</v>
      </c>
      <c r="D269">
        <v>27441327</v>
      </c>
      <c r="E269">
        <v>1</v>
      </c>
      <c r="F269">
        <v>1</v>
      </c>
      <c r="G269">
        <v>1</v>
      </c>
      <c r="H269">
        <v>2</v>
      </c>
      <c r="I269" t="s">
        <v>637</v>
      </c>
      <c r="J269" t="s">
        <v>638</v>
      </c>
      <c r="K269" t="s">
        <v>639</v>
      </c>
      <c r="L269">
        <v>1368</v>
      </c>
      <c r="N269">
        <v>1011</v>
      </c>
      <c r="O269" t="s">
        <v>137</v>
      </c>
      <c r="P269" t="s">
        <v>137</v>
      </c>
      <c r="Q269">
        <v>1</v>
      </c>
      <c r="W269">
        <v>0</v>
      </c>
      <c r="X269">
        <v>-1583389094</v>
      </c>
      <c r="Y269">
        <f t="shared" si="119"/>
        <v>0.09</v>
      </c>
      <c r="AA269">
        <v>0</v>
      </c>
      <c r="AB269">
        <v>93.37</v>
      </c>
      <c r="AC269">
        <v>11.69</v>
      </c>
      <c r="AD269">
        <v>0</v>
      </c>
      <c r="AE269">
        <v>0</v>
      </c>
      <c r="AF269">
        <v>93.37</v>
      </c>
      <c r="AG269">
        <v>11.69</v>
      </c>
      <c r="AH269">
        <v>0</v>
      </c>
      <c r="AI269">
        <v>1</v>
      </c>
      <c r="AJ269">
        <v>1</v>
      </c>
      <c r="AK269">
        <v>1</v>
      </c>
      <c r="AL269">
        <v>1</v>
      </c>
      <c r="AM269">
        <v>0</v>
      </c>
      <c r="AN269">
        <v>0</v>
      </c>
      <c r="AO269">
        <v>1</v>
      </c>
      <c r="AP269">
        <v>0</v>
      </c>
      <c r="AQ269">
        <v>0</v>
      </c>
      <c r="AR269">
        <v>0</v>
      </c>
      <c r="AS269" t="s">
        <v>6</v>
      </c>
      <c r="AT269">
        <v>0.09</v>
      </c>
      <c r="AU269" t="s">
        <v>6</v>
      </c>
      <c r="AV269">
        <v>0</v>
      </c>
      <c r="AW269">
        <v>2</v>
      </c>
      <c r="AX269">
        <v>86327551</v>
      </c>
      <c r="AY269">
        <v>1</v>
      </c>
      <c r="AZ269">
        <v>0</v>
      </c>
      <c r="BA269">
        <v>201</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CV269">
        <v>0</v>
      </c>
      <c r="CW269">
        <f>ROUND(Y269*Source!I227*DO269,9)</f>
        <v>0</v>
      </c>
      <c r="CX269">
        <f>ROUND(Y269*Source!I227,9)</f>
        <v>6.4799999999999996E-2</v>
      </c>
      <c r="CY269">
        <f>AB269</f>
        <v>93.37</v>
      </c>
      <c r="CZ269">
        <f>AF269</f>
        <v>93.37</v>
      </c>
      <c r="DA269">
        <f>AJ269</f>
        <v>1</v>
      </c>
      <c r="DB269">
        <f t="shared" si="123"/>
        <v>8.4</v>
      </c>
      <c r="DC269">
        <f t="shared" si="124"/>
        <v>1.05</v>
      </c>
      <c r="DD269" t="s">
        <v>6</v>
      </c>
      <c r="DE269" t="s">
        <v>6</v>
      </c>
      <c r="DF269">
        <f t="shared" si="131"/>
        <v>0</v>
      </c>
      <c r="DG269">
        <f t="shared" si="130"/>
        <v>6</v>
      </c>
      <c r="DH269">
        <f>Source!I227*SmtRes!Y269</f>
        <v>6.4799999999999996E-2</v>
      </c>
      <c r="DI269">
        <f>AB269</f>
        <v>93.37</v>
      </c>
      <c r="DJ269">
        <f>EtalonRes!Z201</f>
        <v>93.37</v>
      </c>
      <c r="DK269">
        <f>Source!BB227</f>
        <v>1</v>
      </c>
      <c r="DL269" t="s">
        <v>6</v>
      </c>
      <c r="DM269">
        <v>0</v>
      </c>
      <c r="DN269" t="s">
        <v>6</v>
      </c>
      <c r="DO269">
        <v>0</v>
      </c>
      <c r="GQ269">
        <v>-1</v>
      </c>
      <c r="GR269">
        <v>-1</v>
      </c>
    </row>
    <row r="270" spans="1:200" x14ac:dyDescent="0.2">
      <c r="A270">
        <f>ROW(Source!A227)</f>
        <v>227</v>
      </c>
      <c r="B270">
        <v>86326987</v>
      </c>
      <c r="C270">
        <v>86327536</v>
      </c>
      <c r="D270">
        <v>27377917</v>
      </c>
      <c r="E270">
        <v>1</v>
      </c>
      <c r="F270">
        <v>1</v>
      </c>
      <c r="G270">
        <v>1</v>
      </c>
      <c r="H270">
        <v>3</v>
      </c>
      <c r="I270" t="s">
        <v>316</v>
      </c>
      <c r="J270" t="s">
        <v>318</v>
      </c>
      <c r="K270" t="s">
        <v>317</v>
      </c>
      <c r="L270">
        <v>1348</v>
      </c>
      <c r="N270">
        <v>1009</v>
      </c>
      <c r="O270" t="s">
        <v>33</v>
      </c>
      <c r="P270" t="s">
        <v>33</v>
      </c>
      <c r="Q270">
        <v>1000</v>
      </c>
      <c r="W270">
        <v>0</v>
      </c>
      <c r="X270">
        <v>1988624183</v>
      </c>
      <c r="Y270">
        <f t="shared" si="119"/>
        <v>2.2049999999999999E-3</v>
      </c>
      <c r="AA270">
        <v>10559.12</v>
      </c>
      <c r="AB270">
        <v>0</v>
      </c>
      <c r="AC270">
        <v>0</v>
      </c>
      <c r="AD270">
        <v>0</v>
      </c>
      <c r="AE270">
        <v>10559.12</v>
      </c>
      <c r="AF270">
        <v>0</v>
      </c>
      <c r="AG270">
        <v>0</v>
      </c>
      <c r="AH270">
        <v>0</v>
      </c>
      <c r="AI270">
        <v>1</v>
      </c>
      <c r="AJ270">
        <v>1</v>
      </c>
      <c r="AK270">
        <v>1</v>
      </c>
      <c r="AL270">
        <v>1</v>
      </c>
      <c r="AM270">
        <v>0</v>
      </c>
      <c r="AN270">
        <v>0</v>
      </c>
      <c r="AO270">
        <v>0</v>
      </c>
      <c r="AP270">
        <v>1</v>
      </c>
      <c r="AQ270">
        <v>0</v>
      </c>
      <c r="AR270">
        <v>0</v>
      </c>
      <c r="AS270" t="s">
        <v>6</v>
      </c>
      <c r="AT270">
        <v>2.2049999999999999E-3</v>
      </c>
      <c r="AU270" t="s">
        <v>6</v>
      </c>
      <c r="AV270">
        <v>0</v>
      </c>
      <c r="AW270">
        <v>1</v>
      </c>
      <c r="AX270">
        <v>-1</v>
      </c>
      <c r="AY270">
        <v>0</v>
      </c>
      <c r="AZ270">
        <v>0</v>
      </c>
      <c r="BA270" t="s">
        <v>6</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CV270">
        <v>0</v>
      </c>
      <c r="CW270">
        <v>0</v>
      </c>
      <c r="CX270">
        <f>ROUND(Y270*Source!I227,9)</f>
        <v>1.5876E-3</v>
      </c>
      <c r="CY270">
        <f>AA270</f>
        <v>10559.12</v>
      </c>
      <c r="CZ270">
        <f>AE270</f>
        <v>10559.12</v>
      </c>
      <c r="DA270">
        <f>AI270</f>
        <v>1</v>
      </c>
      <c r="DB270">
        <f t="shared" si="123"/>
        <v>23.28</v>
      </c>
      <c r="DC270">
        <f t="shared" si="124"/>
        <v>0</v>
      </c>
      <c r="DD270" t="s">
        <v>6</v>
      </c>
      <c r="DE270" t="s">
        <v>6</v>
      </c>
      <c r="DF270">
        <f t="shared" si="131"/>
        <v>17</v>
      </c>
      <c r="DG270">
        <f t="shared" si="130"/>
        <v>0</v>
      </c>
      <c r="DH270">
        <f>Source!I227*SmtRes!Y270</f>
        <v>1.5876E-3</v>
      </c>
      <c r="DI270">
        <f>AA270</f>
        <v>10559.12</v>
      </c>
      <c r="DJ270">
        <f>DF270</f>
        <v>17</v>
      </c>
      <c r="DK270">
        <f>Source!BC227</f>
        <v>1</v>
      </c>
      <c r="DL270" t="s">
        <v>6</v>
      </c>
      <c r="DM270">
        <v>0</v>
      </c>
      <c r="DN270" t="s">
        <v>6</v>
      </c>
      <c r="DO270">
        <v>0</v>
      </c>
      <c r="GP270">
        <v>1</v>
      </c>
      <c r="GQ270">
        <v>-1</v>
      </c>
      <c r="GR270">
        <v>-1</v>
      </c>
    </row>
    <row r="271" spans="1:200" x14ac:dyDescent="0.2">
      <c r="A271">
        <f>ROW(Source!A227)</f>
        <v>227</v>
      </c>
      <c r="B271">
        <v>86326987</v>
      </c>
      <c r="C271">
        <v>86327536</v>
      </c>
      <c r="D271">
        <v>27422801</v>
      </c>
      <c r="E271">
        <v>1</v>
      </c>
      <c r="F271">
        <v>1</v>
      </c>
      <c r="G271">
        <v>1</v>
      </c>
      <c r="H271">
        <v>3</v>
      </c>
      <c r="I271" t="s">
        <v>321</v>
      </c>
      <c r="J271" t="s">
        <v>324</v>
      </c>
      <c r="K271" t="s">
        <v>322</v>
      </c>
      <c r="L271">
        <v>53010780</v>
      </c>
      <c r="N271">
        <v>1010</v>
      </c>
      <c r="O271" t="s">
        <v>323</v>
      </c>
      <c r="P271" t="s">
        <v>325</v>
      </c>
      <c r="Q271">
        <v>1</v>
      </c>
      <c r="W271">
        <v>0</v>
      </c>
      <c r="X271">
        <v>1471566618</v>
      </c>
      <c r="Y271">
        <f t="shared" si="119"/>
        <v>79.166666699999993</v>
      </c>
      <c r="AA271">
        <v>7.93</v>
      </c>
      <c r="AB271">
        <v>0</v>
      </c>
      <c r="AC271">
        <v>0</v>
      </c>
      <c r="AD271">
        <v>0</v>
      </c>
      <c r="AE271">
        <v>7.93</v>
      </c>
      <c r="AF271">
        <v>0</v>
      </c>
      <c r="AG271">
        <v>0</v>
      </c>
      <c r="AH271">
        <v>0</v>
      </c>
      <c r="AI271">
        <v>1</v>
      </c>
      <c r="AJ271">
        <v>1</v>
      </c>
      <c r="AK271">
        <v>1</v>
      </c>
      <c r="AL271">
        <v>1</v>
      </c>
      <c r="AM271">
        <v>0</v>
      </c>
      <c r="AN271">
        <v>0</v>
      </c>
      <c r="AO271">
        <v>0</v>
      </c>
      <c r="AP271">
        <v>0</v>
      </c>
      <c r="AQ271">
        <v>0</v>
      </c>
      <c r="AR271">
        <v>0</v>
      </c>
      <c r="AS271" t="s">
        <v>6</v>
      </c>
      <c r="AT271">
        <v>79.166666699999993</v>
      </c>
      <c r="AU271" t="s">
        <v>6</v>
      </c>
      <c r="AV271">
        <v>0</v>
      </c>
      <c r="AW271">
        <v>1</v>
      </c>
      <c r="AX271">
        <v>-1</v>
      </c>
      <c r="AY271">
        <v>0</v>
      </c>
      <c r="AZ271">
        <v>0</v>
      </c>
      <c r="BA271" t="s">
        <v>6</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CV271">
        <v>0</v>
      </c>
      <c r="CW271">
        <v>0</v>
      </c>
      <c r="CX271">
        <f>ROUND(Y271*Source!I227,9)</f>
        <v>57.000000024000002</v>
      </c>
      <c r="CY271">
        <f>AA271</f>
        <v>7.93</v>
      </c>
      <c r="CZ271">
        <f>AE271</f>
        <v>7.93</v>
      </c>
      <c r="DA271">
        <f>AI271</f>
        <v>1</v>
      </c>
      <c r="DB271">
        <f t="shared" si="123"/>
        <v>627.79</v>
      </c>
      <c r="DC271">
        <f t="shared" si="124"/>
        <v>0</v>
      </c>
      <c r="DD271" t="s">
        <v>6</v>
      </c>
      <c r="DE271" t="s">
        <v>6</v>
      </c>
      <c r="DF271">
        <f t="shared" si="131"/>
        <v>456</v>
      </c>
      <c r="DG271">
        <f t="shared" si="130"/>
        <v>0</v>
      </c>
      <c r="DH271">
        <f>Source!I227*SmtRes!Y271</f>
        <v>57.000000023999995</v>
      </c>
      <c r="DI271">
        <f>AA271</f>
        <v>7.93</v>
      </c>
      <c r="DJ271">
        <f>DF271</f>
        <v>456</v>
      </c>
      <c r="DK271">
        <f>Source!BC227</f>
        <v>1</v>
      </c>
      <c r="DL271" t="s">
        <v>6</v>
      </c>
      <c r="DM271">
        <v>0</v>
      </c>
      <c r="DN271" t="s">
        <v>6</v>
      </c>
      <c r="DO271">
        <v>0</v>
      </c>
      <c r="GP271">
        <v>1</v>
      </c>
      <c r="GQ271">
        <v>-1</v>
      </c>
      <c r="GR271">
        <v>-1</v>
      </c>
    </row>
    <row r="272" spans="1:200" x14ac:dyDescent="0.2">
      <c r="A272">
        <f>ROW(Source!A227)</f>
        <v>227</v>
      </c>
      <c r="B272">
        <v>86326987</v>
      </c>
      <c r="C272">
        <v>86327536</v>
      </c>
      <c r="D272">
        <v>27422801</v>
      </c>
      <c r="E272">
        <v>1</v>
      </c>
      <c r="F272">
        <v>1</v>
      </c>
      <c r="G272">
        <v>1</v>
      </c>
      <c r="H272">
        <v>3</v>
      </c>
      <c r="I272" t="s">
        <v>321</v>
      </c>
      <c r="J272" t="s">
        <v>324</v>
      </c>
      <c r="K272" t="s">
        <v>328</v>
      </c>
      <c r="L272">
        <v>53010780</v>
      </c>
      <c r="N272">
        <v>1010</v>
      </c>
      <c r="O272" t="s">
        <v>323</v>
      </c>
      <c r="P272" t="s">
        <v>325</v>
      </c>
      <c r="Q272">
        <v>1</v>
      </c>
      <c r="W272">
        <v>0</v>
      </c>
      <c r="X272">
        <v>-2127956255</v>
      </c>
      <c r="Y272">
        <f t="shared" si="119"/>
        <v>95.138889000000006</v>
      </c>
      <c r="AA272">
        <v>7.93</v>
      </c>
      <c r="AB272">
        <v>0</v>
      </c>
      <c r="AC272">
        <v>0</v>
      </c>
      <c r="AD272">
        <v>0</v>
      </c>
      <c r="AE272">
        <v>7.93</v>
      </c>
      <c r="AF272">
        <v>0</v>
      </c>
      <c r="AG272">
        <v>0</v>
      </c>
      <c r="AH272">
        <v>0</v>
      </c>
      <c r="AI272">
        <v>1</v>
      </c>
      <c r="AJ272">
        <v>1</v>
      </c>
      <c r="AK272">
        <v>1</v>
      </c>
      <c r="AL272">
        <v>1</v>
      </c>
      <c r="AM272">
        <v>0</v>
      </c>
      <c r="AN272">
        <v>0</v>
      </c>
      <c r="AO272">
        <v>0</v>
      </c>
      <c r="AP272">
        <v>0</v>
      </c>
      <c r="AQ272">
        <v>0</v>
      </c>
      <c r="AR272">
        <v>0</v>
      </c>
      <c r="AS272" t="s">
        <v>6</v>
      </c>
      <c r="AT272">
        <v>95.138889000000006</v>
      </c>
      <c r="AU272" t="s">
        <v>6</v>
      </c>
      <c r="AV272">
        <v>0</v>
      </c>
      <c r="AW272">
        <v>1</v>
      </c>
      <c r="AX272">
        <v>-1</v>
      </c>
      <c r="AY272">
        <v>0</v>
      </c>
      <c r="AZ272">
        <v>0</v>
      </c>
      <c r="BA272" t="s">
        <v>6</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CV272">
        <v>0</v>
      </c>
      <c r="CW272">
        <v>0</v>
      </c>
      <c r="CX272">
        <f>ROUND(Y272*Source!I227,9)</f>
        <v>68.500000080000007</v>
      </c>
      <c r="CY272">
        <f>AA272</f>
        <v>7.93</v>
      </c>
      <c r="CZ272">
        <f>AE272</f>
        <v>7.93</v>
      </c>
      <c r="DA272">
        <f>AI272</f>
        <v>1</v>
      </c>
      <c r="DB272">
        <f t="shared" si="123"/>
        <v>754.45</v>
      </c>
      <c r="DC272">
        <f t="shared" si="124"/>
        <v>0</v>
      </c>
      <c r="DD272" t="s">
        <v>6</v>
      </c>
      <c r="DE272" t="s">
        <v>6</v>
      </c>
      <c r="DF272">
        <f t="shared" si="131"/>
        <v>548</v>
      </c>
      <c r="DG272">
        <f t="shared" si="130"/>
        <v>0</v>
      </c>
      <c r="DH272">
        <f>Source!I227*SmtRes!Y272</f>
        <v>68.500000080000007</v>
      </c>
      <c r="DI272">
        <f>AA272</f>
        <v>7.93</v>
      </c>
      <c r="DJ272">
        <f>DF272</f>
        <v>548</v>
      </c>
      <c r="DK272">
        <f>Source!BC227</f>
        <v>1</v>
      </c>
      <c r="DL272" t="s">
        <v>6</v>
      </c>
      <c r="DM272">
        <v>0</v>
      </c>
      <c r="DN272" t="s">
        <v>6</v>
      </c>
      <c r="DO272">
        <v>0</v>
      </c>
      <c r="GP272">
        <v>1</v>
      </c>
      <c r="GQ272">
        <v>-1</v>
      </c>
      <c r="GR272">
        <v>-1</v>
      </c>
    </row>
    <row r="273" spans="1:200" x14ac:dyDescent="0.2">
      <c r="A273">
        <f>ROW(Source!A227)</f>
        <v>227</v>
      </c>
      <c r="B273">
        <v>86326987</v>
      </c>
      <c r="C273">
        <v>86327536</v>
      </c>
      <c r="D273">
        <v>27425664</v>
      </c>
      <c r="E273">
        <v>1</v>
      </c>
      <c r="F273">
        <v>1</v>
      </c>
      <c r="G273">
        <v>1</v>
      </c>
      <c r="H273">
        <v>3</v>
      </c>
      <c r="I273" t="s">
        <v>331</v>
      </c>
      <c r="J273" t="s">
        <v>334</v>
      </c>
      <c r="K273" t="s">
        <v>332</v>
      </c>
      <c r="L273">
        <v>1302</v>
      </c>
      <c r="N273">
        <v>1003</v>
      </c>
      <c r="O273" t="s">
        <v>333</v>
      </c>
      <c r="P273" t="s">
        <v>333</v>
      </c>
      <c r="Q273">
        <v>10</v>
      </c>
      <c r="W273">
        <v>0</v>
      </c>
      <c r="X273">
        <v>-1605369031</v>
      </c>
      <c r="Y273">
        <f t="shared" si="119"/>
        <v>10</v>
      </c>
      <c r="AA273">
        <v>56.95</v>
      </c>
      <c r="AB273">
        <v>0</v>
      </c>
      <c r="AC273">
        <v>0</v>
      </c>
      <c r="AD273">
        <v>0</v>
      </c>
      <c r="AE273">
        <v>56.95</v>
      </c>
      <c r="AF273">
        <v>0</v>
      </c>
      <c r="AG273">
        <v>0</v>
      </c>
      <c r="AH273">
        <v>0</v>
      </c>
      <c r="AI273">
        <v>1</v>
      </c>
      <c r="AJ273">
        <v>1</v>
      </c>
      <c r="AK273">
        <v>1</v>
      </c>
      <c r="AL273">
        <v>1</v>
      </c>
      <c r="AM273">
        <v>0</v>
      </c>
      <c r="AN273">
        <v>0</v>
      </c>
      <c r="AO273">
        <v>0</v>
      </c>
      <c r="AP273">
        <v>1</v>
      </c>
      <c r="AQ273">
        <v>0</v>
      </c>
      <c r="AR273">
        <v>0</v>
      </c>
      <c r="AS273" t="s">
        <v>6</v>
      </c>
      <c r="AT273">
        <v>10</v>
      </c>
      <c r="AU273" t="s">
        <v>6</v>
      </c>
      <c r="AV273">
        <v>0</v>
      </c>
      <c r="AW273">
        <v>1</v>
      </c>
      <c r="AX273">
        <v>-1</v>
      </c>
      <c r="AY273">
        <v>0</v>
      </c>
      <c r="AZ273">
        <v>0</v>
      </c>
      <c r="BA273" t="s">
        <v>6</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CV273">
        <v>0</v>
      </c>
      <c r="CW273">
        <v>0</v>
      </c>
      <c r="CX273">
        <f>ROUND(Y273*Source!I227,9)</f>
        <v>7.2</v>
      </c>
      <c r="CY273">
        <f>AA273</f>
        <v>56.95</v>
      </c>
      <c r="CZ273">
        <f>AE273</f>
        <v>56.95</v>
      </c>
      <c r="DA273">
        <f>AI273</f>
        <v>1</v>
      </c>
      <c r="DB273">
        <f t="shared" si="123"/>
        <v>569.5</v>
      </c>
      <c r="DC273">
        <f t="shared" si="124"/>
        <v>0</v>
      </c>
      <c r="DD273" t="s">
        <v>6</v>
      </c>
      <c r="DE273" t="s">
        <v>6</v>
      </c>
      <c r="DF273">
        <f t="shared" si="131"/>
        <v>410</v>
      </c>
      <c r="DG273">
        <f t="shared" si="130"/>
        <v>0</v>
      </c>
      <c r="DH273">
        <f>Source!I227*SmtRes!Y273</f>
        <v>7.1999999999999993</v>
      </c>
      <c r="DI273">
        <f>AA273</f>
        <v>56.95</v>
      </c>
      <c r="DJ273">
        <f>DF273</f>
        <v>410</v>
      </c>
      <c r="DK273">
        <f>Source!BC227</f>
        <v>1</v>
      </c>
      <c r="DL273" t="s">
        <v>6</v>
      </c>
      <c r="DM273">
        <v>0</v>
      </c>
      <c r="DN273" t="s">
        <v>6</v>
      </c>
      <c r="DO273">
        <v>0</v>
      </c>
      <c r="GP273">
        <v>1</v>
      </c>
      <c r="GQ273">
        <v>-1</v>
      </c>
      <c r="GR273">
        <v>-1</v>
      </c>
    </row>
    <row r="274" spans="1:200" x14ac:dyDescent="0.2">
      <c r="A274">
        <f>ROW(Source!A227)</f>
        <v>227</v>
      </c>
      <c r="B274">
        <v>86326987</v>
      </c>
      <c r="C274">
        <v>86327536</v>
      </c>
      <c r="D274">
        <v>69408707</v>
      </c>
      <c r="E274">
        <v>1</v>
      </c>
      <c r="F274">
        <v>1</v>
      </c>
      <c r="G274">
        <v>1</v>
      </c>
      <c r="H274">
        <v>3</v>
      </c>
      <c r="I274" t="s">
        <v>337</v>
      </c>
      <c r="J274" t="s">
        <v>339</v>
      </c>
      <c r="K274" t="s">
        <v>338</v>
      </c>
      <c r="L274">
        <v>1339</v>
      </c>
      <c r="N274">
        <v>1007</v>
      </c>
      <c r="O274" t="s">
        <v>44</v>
      </c>
      <c r="P274" t="s">
        <v>44</v>
      </c>
      <c r="Q274">
        <v>1</v>
      </c>
      <c r="W274">
        <v>0</v>
      </c>
      <c r="X274">
        <v>2111049581</v>
      </c>
      <c r="Y274">
        <f t="shared" si="119"/>
        <v>2.1024999999999999E-2</v>
      </c>
      <c r="AA274">
        <v>586.71</v>
      </c>
      <c r="AB274">
        <v>0</v>
      </c>
      <c r="AC274">
        <v>0</v>
      </c>
      <c r="AD274">
        <v>0</v>
      </c>
      <c r="AE274">
        <v>586.71</v>
      </c>
      <c r="AF274">
        <v>0</v>
      </c>
      <c r="AG274">
        <v>0</v>
      </c>
      <c r="AH274">
        <v>0</v>
      </c>
      <c r="AI274">
        <v>1</v>
      </c>
      <c r="AJ274">
        <v>1</v>
      </c>
      <c r="AK274">
        <v>1</v>
      </c>
      <c r="AL274">
        <v>1</v>
      </c>
      <c r="AM274">
        <v>0</v>
      </c>
      <c r="AN274">
        <v>0</v>
      </c>
      <c r="AO274">
        <v>0</v>
      </c>
      <c r="AP274">
        <v>1</v>
      </c>
      <c r="AQ274">
        <v>0</v>
      </c>
      <c r="AR274">
        <v>0</v>
      </c>
      <c r="AS274" t="s">
        <v>6</v>
      </c>
      <c r="AT274">
        <v>2.1024999999999999E-2</v>
      </c>
      <c r="AU274" t="s">
        <v>6</v>
      </c>
      <c r="AV274">
        <v>0</v>
      </c>
      <c r="AW274">
        <v>1</v>
      </c>
      <c r="AX274">
        <v>-1</v>
      </c>
      <c r="AY274">
        <v>0</v>
      </c>
      <c r="AZ274">
        <v>0</v>
      </c>
      <c r="BA274" t="s">
        <v>6</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CV274">
        <v>0</v>
      </c>
      <c r="CW274">
        <v>0</v>
      </c>
      <c r="CX274">
        <f>ROUND(Y274*Source!I227,9)</f>
        <v>1.5138E-2</v>
      </c>
      <c r="CY274">
        <f>AA274</f>
        <v>586.71</v>
      </c>
      <c r="CZ274">
        <f>AE274</f>
        <v>586.71</v>
      </c>
      <c r="DA274">
        <f>AI274</f>
        <v>1</v>
      </c>
      <c r="DB274">
        <f t="shared" si="123"/>
        <v>12.34</v>
      </c>
      <c r="DC274">
        <f t="shared" si="124"/>
        <v>0</v>
      </c>
      <c r="DD274" t="s">
        <v>6</v>
      </c>
      <c r="DE274" t="s">
        <v>6</v>
      </c>
      <c r="DF274">
        <f t="shared" si="131"/>
        <v>9</v>
      </c>
      <c r="DG274">
        <f t="shared" si="130"/>
        <v>0</v>
      </c>
      <c r="DH274">
        <f>Source!I227*SmtRes!Y274</f>
        <v>1.5137999999999999E-2</v>
      </c>
      <c r="DI274">
        <f>AA274</f>
        <v>586.71</v>
      </c>
      <c r="DJ274">
        <f>DF274</f>
        <v>9</v>
      </c>
      <c r="DK274">
        <f>Source!BC227</f>
        <v>1</v>
      </c>
      <c r="DL274" t="s">
        <v>6</v>
      </c>
      <c r="DM274">
        <v>0</v>
      </c>
      <c r="DN274" t="s">
        <v>6</v>
      </c>
      <c r="DO274">
        <v>0</v>
      </c>
      <c r="GP274">
        <v>1</v>
      </c>
      <c r="GQ274">
        <v>-1</v>
      </c>
      <c r="GR274">
        <v>-1</v>
      </c>
    </row>
    <row r="275" spans="1:200" x14ac:dyDescent="0.2">
      <c r="A275">
        <f>ROW(Source!A228)</f>
        <v>228</v>
      </c>
      <c r="B275">
        <v>86326988</v>
      </c>
      <c r="C275">
        <v>86327536</v>
      </c>
      <c r="D275">
        <v>27683434</v>
      </c>
      <c r="E275">
        <v>1</v>
      </c>
      <c r="F275">
        <v>1</v>
      </c>
      <c r="G275">
        <v>1</v>
      </c>
      <c r="H275">
        <v>1</v>
      </c>
      <c r="I275" t="s">
        <v>664</v>
      </c>
      <c r="J275" t="s">
        <v>6</v>
      </c>
      <c r="K275" t="s">
        <v>665</v>
      </c>
      <c r="L275">
        <v>1369</v>
      </c>
      <c r="N275">
        <v>1013</v>
      </c>
      <c r="O275" t="s">
        <v>625</v>
      </c>
      <c r="P275" t="s">
        <v>625</v>
      </c>
      <c r="Q275">
        <v>1</v>
      </c>
      <c r="W275">
        <v>0</v>
      </c>
      <c r="X275">
        <v>-1710225347</v>
      </c>
      <c r="Y275">
        <f t="shared" si="119"/>
        <v>15.28</v>
      </c>
      <c r="AA275">
        <v>0</v>
      </c>
      <c r="AB275">
        <v>0</v>
      </c>
      <c r="AC275">
        <v>0</v>
      </c>
      <c r="AD275">
        <v>240.41</v>
      </c>
      <c r="AE275">
        <v>0</v>
      </c>
      <c r="AF275">
        <v>0</v>
      </c>
      <c r="AG275">
        <v>0</v>
      </c>
      <c r="AH275">
        <v>9.48</v>
      </c>
      <c r="AI275">
        <v>1</v>
      </c>
      <c r="AJ275">
        <v>1</v>
      </c>
      <c r="AK275">
        <v>1</v>
      </c>
      <c r="AL275">
        <v>25.36</v>
      </c>
      <c r="AM275">
        <v>5</v>
      </c>
      <c r="AN275">
        <v>0</v>
      </c>
      <c r="AO275">
        <v>1</v>
      </c>
      <c r="AP275">
        <v>0</v>
      </c>
      <c r="AQ275">
        <v>0</v>
      </c>
      <c r="AR275">
        <v>0</v>
      </c>
      <c r="AS275" t="s">
        <v>6</v>
      </c>
      <c r="AT275">
        <v>15.28</v>
      </c>
      <c r="AU275" t="s">
        <v>6</v>
      </c>
      <c r="AV275">
        <v>1</v>
      </c>
      <c r="AW275">
        <v>2</v>
      </c>
      <c r="AX275">
        <v>86327547</v>
      </c>
      <c r="AY275">
        <v>1</v>
      </c>
      <c r="AZ275">
        <v>0</v>
      </c>
      <c r="BA275">
        <v>205</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CU275">
        <f>ROUND(AT275*Source!I228*AH275*AL275,0)</f>
        <v>2645</v>
      </c>
      <c r="CV275">
        <f>ROUND(Y275*Source!I228,9)</f>
        <v>11.0016</v>
      </c>
      <c r="CW275">
        <v>0</v>
      </c>
      <c r="CX275">
        <f>ROUND(Y275*Source!I228,9)</f>
        <v>11.0016</v>
      </c>
      <c r="CY275">
        <f>AD275</f>
        <v>240.41</v>
      </c>
      <c r="CZ275">
        <f>AH275</f>
        <v>9.48</v>
      </c>
      <c r="DA275">
        <f>AL275</f>
        <v>25.36</v>
      </c>
      <c r="DB275">
        <f t="shared" si="123"/>
        <v>144.85</v>
      </c>
      <c r="DC275">
        <f t="shared" si="124"/>
        <v>0</v>
      </c>
      <c r="DD275" t="s">
        <v>6</v>
      </c>
      <c r="DE275" t="s">
        <v>6</v>
      </c>
      <c r="DF275">
        <f t="shared" si="131"/>
        <v>0</v>
      </c>
      <c r="DG275">
        <f t="shared" si="130"/>
        <v>0</v>
      </c>
      <c r="DH275">
        <f>Source!I228*SmtRes!Y275</f>
        <v>11.0016</v>
      </c>
      <c r="DI275">
        <f>AD275</f>
        <v>240.41</v>
      </c>
      <c r="DJ275">
        <f>EtalonRes!AB205</f>
        <v>9.48</v>
      </c>
      <c r="DK275">
        <f>Source!BA228</f>
        <v>25.36</v>
      </c>
      <c r="DL275" t="s">
        <v>6</v>
      </c>
      <c r="DM275">
        <v>0</v>
      </c>
      <c r="DN275" t="s">
        <v>6</v>
      </c>
      <c r="DO275">
        <v>0</v>
      </c>
      <c r="GQ275">
        <v>-1</v>
      </c>
      <c r="GR275">
        <v>-1</v>
      </c>
    </row>
    <row r="276" spans="1:200" x14ac:dyDescent="0.2">
      <c r="A276">
        <f>ROW(Source!A228)</f>
        <v>228</v>
      </c>
      <c r="B276">
        <v>86326988</v>
      </c>
      <c r="C276">
        <v>86327536</v>
      </c>
      <c r="D276">
        <v>121548</v>
      </c>
      <c r="E276">
        <v>1</v>
      </c>
      <c r="F276">
        <v>1</v>
      </c>
      <c r="G276">
        <v>1</v>
      </c>
      <c r="H276">
        <v>1</v>
      </c>
      <c r="I276" t="s">
        <v>40</v>
      </c>
      <c r="J276" t="s">
        <v>6</v>
      </c>
      <c r="K276" t="s">
        <v>626</v>
      </c>
      <c r="L276">
        <v>608254</v>
      </c>
      <c r="N276">
        <v>1013</v>
      </c>
      <c r="O276" t="s">
        <v>627</v>
      </c>
      <c r="P276" t="s">
        <v>627</v>
      </c>
      <c r="Q276">
        <v>1</v>
      </c>
      <c r="W276">
        <v>0</v>
      </c>
      <c r="X276">
        <v>-185737400</v>
      </c>
      <c r="Y276">
        <f t="shared" si="119"/>
        <v>0.09</v>
      </c>
      <c r="AA276">
        <v>0</v>
      </c>
      <c r="AB276">
        <v>0</v>
      </c>
      <c r="AC276">
        <v>0</v>
      </c>
      <c r="AD276">
        <v>0</v>
      </c>
      <c r="AE276">
        <v>0</v>
      </c>
      <c r="AF276">
        <v>0</v>
      </c>
      <c r="AG276">
        <v>0</v>
      </c>
      <c r="AH276">
        <v>0</v>
      </c>
      <c r="AI276">
        <v>1</v>
      </c>
      <c r="AJ276">
        <v>1</v>
      </c>
      <c r="AK276">
        <v>19.8</v>
      </c>
      <c r="AL276">
        <v>1</v>
      </c>
      <c r="AM276">
        <v>5</v>
      </c>
      <c r="AN276">
        <v>0</v>
      </c>
      <c r="AO276">
        <v>1</v>
      </c>
      <c r="AP276">
        <v>0</v>
      </c>
      <c r="AQ276">
        <v>0</v>
      </c>
      <c r="AR276">
        <v>0</v>
      </c>
      <c r="AS276" t="s">
        <v>6</v>
      </c>
      <c r="AT276">
        <v>0.09</v>
      </c>
      <c r="AU276" t="s">
        <v>6</v>
      </c>
      <c r="AV276">
        <v>2</v>
      </c>
      <c r="AW276">
        <v>2</v>
      </c>
      <c r="AX276">
        <v>86327548</v>
      </c>
      <c r="AY276">
        <v>1</v>
      </c>
      <c r="AZ276">
        <v>0</v>
      </c>
      <c r="BA276">
        <v>206</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CV276">
        <v>0</v>
      </c>
      <c r="CW276">
        <v>0</v>
      </c>
      <c r="CX276">
        <f>ROUND(Y276*Source!I228,9)</f>
        <v>6.4799999999999996E-2</v>
      </c>
      <c r="CY276">
        <f>AD276</f>
        <v>0</v>
      </c>
      <c r="CZ276">
        <f>AH276</f>
        <v>0</v>
      </c>
      <c r="DA276">
        <f>AL276</f>
        <v>1</v>
      </c>
      <c r="DB276">
        <f t="shared" si="123"/>
        <v>0</v>
      </c>
      <c r="DC276">
        <f t="shared" si="124"/>
        <v>0</v>
      </c>
      <c r="DD276" t="s">
        <v>6</v>
      </c>
      <c r="DE276" t="s">
        <v>6</v>
      </c>
      <c r="DF276">
        <f t="shared" si="131"/>
        <v>0</v>
      </c>
      <c r="DG276">
        <f t="shared" si="130"/>
        <v>0</v>
      </c>
      <c r="DH276">
        <f>Source!I228*SmtRes!Y276</f>
        <v>6.4799999999999996E-2</v>
      </c>
      <c r="DI276">
        <f>AD276</f>
        <v>0</v>
      </c>
      <c r="DJ276">
        <f>EtalonRes!AB206</f>
        <v>0</v>
      </c>
      <c r="DK276">
        <f>Source!BA228</f>
        <v>25.36</v>
      </c>
      <c r="DL276" t="s">
        <v>6</v>
      </c>
      <c r="DM276">
        <v>0</v>
      </c>
      <c r="DN276" t="s">
        <v>6</v>
      </c>
      <c r="DO276">
        <v>0</v>
      </c>
      <c r="GQ276">
        <v>-1</v>
      </c>
      <c r="GR276">
        <v>-1</v>
      </c>
    </row>
    <row r="277" spans="1:200" x14ac:dyDescent="0.2">
      <c r="A277">
        <f>ROW(Source!A228)</f>
        <v>228</v>
      </c>
      <c r="B277">
        <v>86326988</v>
      </c>
      <c r="C277">
        <v>86327536</v>
      </c>
      <c r="D277">
        <v>27439488</v>
      </c>
      <c r="E277">
        <v>1</v>
      </c>
      <c r="F277">
        <v>1</v>
      </c>
      <c r="G277">
        <v>1</v>
      </c>
      <c r="H277">
        <v>2</v>
      </c>
      <c r="I277" t="s">
        <v>666</v>
      </c>
      <c r="J277" t="s">
        <v>667</v>
      </c>
      <c r="K277" t="s">
        <v>668</v>
      </c>
      <c r="L277">
        <v>1368</v>
      </c>
      <c r="N277">
        <v>1011</v>
      </c>
      <c r="O277" t="s">
        <v>137</v>
      </c>
      <c r="P277" t="s">
        <v>137</v>
      </c>
      <c r="Q277">
        <v>1</v>
      </c>
      <c r="W277">
        <v>0</v>
      </c>
      <c r="X277">
        <v>1935423198</v>
      </c>
      <c r="Y277">
        <f t="shared" si="119"/>
        <v>0.09</v>
      </c>
      <c r="AA277">
        <v>0</v>
      </c>
      <c r="AB277">
        <v>892.27</v>
      </c>
      <c r="AC277">
        <v>269.48</v>
      </c>
      <c r="AD277">
        <v>0</v>
      </c>
      <c r="AE277">
        <v>0</v>
      </c>
      <c r="AF277">
        <v>113.81</v>
      </c>
      <c r="AG277">
        <v>13.61</v>
      </c>
      <c r="AH277">
        <v>0</v>
      </c>
      <c r="AI277">
        <v>1</v>
      </c>
      <c r="AJ277">
        <v>7.84</v>
      </c>
      <c r="AK277">
        <v>19.8</v>
      </c>
      <c r="AL277">
        <v>1</v>
      </c>
      <c r="AM277">
        <v>5</v>
      </c>
      <c r="AN277">
        <v>0</v>
      </c>
      <c r="AO277">
        <v>1</v>
      </c>
      <c r="AP277">
        <v>0</v>
      </c>
      <c r="AQ277">
        <v>0</v>
      </c>
      <c r="AR277">
        <v>0</v>
      </c>
      <c r="AS277" t="s">
        <v>6</v>
      </c>
      <c r="AT277">
        <v>0.09</v>
      </c>
      <c r="AU277" t="s">
        <v>6</v>
      </c>
      <c r="AV277">
        <v>0</v>
      </c>
      <c r="AW277">
        <v>2</v>
      </c>
      <c r="AX277">
        <v>86327549</v>
      </c>
      <c r="AY277">
        <v>1</v>
      </c>
      <c r="AZ277">
        <v>0</v>
      </c>
      <c r="BA277">
        <v>207</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CV277">
        <v>0</v>
      </c>
      <c r="CW277">
        <f>ROUND(Y277*Source!I228*DO277,9)</f>
        <v>0</v>
      </c>
      <c r="CX277">
        <f>ROUND(Y277*Source!I228,9)</f>
        <v>6.4799999999999996E-2</v>
      </c>
      <c r="CY277">
        <f>AB277</f>
        <v>892.27</v>
      </c>
      <c r="CZ277">
        <f>AF277</f>
        <v>113.81</v>
      </c>
      <c r="DA277">
        <f>AJ277</f>
        <v>7.84</v>
      </c>
      <c r="DB277">
        <f t="shared" si="123"/>
        <v>10.24</v>
      </c>
      <c r="DC277">
        <f t="shared" si="124"/>
        <v>1.22</v>
      </c>
      <c r="DD277" t="s">
        <v>6</v>
      </c>
      <c r="DE277" t="s">
        <v>6</v>
      </c>
      <c r="DF277">
        <f t="shared" si="131"/>
        <v>0</v>
      </c>
      <c r="DG277">
        <f>ROUND(ROUND(AF277*AJ277,0)*CX277,0)</f>
        <v>58</v>
      </c>
      <c r="DH277">
        <f>Source!I228*SmtRes!Y277</f>
        <v>6.4799999999999996E-2</v>
      </c>
      <c r="DI277">
        <f>AB277</f>
        <v>892.27</v>
      </c>
      <c r="DJ277">
        <f>EtalonRes!Z207</f>
        <v>113.81</v>
      </c>
      <c r="DK277">
        <f>Source!BB228</f>
        <v>7.84</v>
      </c>
      <c r="DL277" t="s">
        <v>6</v>
      </c>
      <c r="DM277">
        <v>0</v>
      </c>
      <c r="DN277" t="s">
        <v>6</v>
      </c>
      <c r="DO277">
        <v>0</v>
      </c>
      <c r="GQ277">
        <v>-1</v>
      </c>
      <c r="GR277">
        <v>-1</v>
      </c>
    </row>
    <row r="278" spans="1:200" x14ac:dyDescent="0.2">
      <c r="A278">
        <f>ROW(Source!A228)</f>
        <v>228</v>
      </c>
      <c r="B278">
        <v>86326988</v>
      </c>
      <c r="C278">
        <v>86327536</v>
      </c>
      <c r="D278">
        <v>27441078</v>
      </c>
      <c r="E278">
        <v>1</v>
      </c>
      <c r="F278">
        <v>1</v>
      </c>
      <c r="G278">
        <v>1</v>
      </c>
      <c r="H278">
        <v>2</v>
      </c>
      <c r="I278" t="s">
        <v>669</v>
      </c>
      <c r="J278" t="s">
        <v>670</v>
      </c>
      <c r="K278" t="s">
        <v>671</v>
      </c>
      <c r="L278">
        <v>1368</v>
      </c>
      <c r="N278">
        <v>1011</v>
      </c>
      <c r="O278" t="s">
        <v>137</v>
      </c>
      <c r="P278" t="s">
        <v>137</v>
      </c>
      <c r="Q278">
        <v>1</v>
      </c>
      <c r="W278">
        <v>0</v>
      </c>
      <c r="X278">
        <v>-380487195</v>
      </c>
      <c r="Y278">
        <f t="shared" si="119"/>
        <v>2.35</v>
      </c>
      <c r="AA278">
        <v>0</v>
      </c>
      <c r="AB278">
        <v>16.23</v>
      </c>
      <c r="AC278">
        <v>0</v>
      </c>
      <c r="AD278">
        <v>0</v>
      </c>
      <c r="AE278">
        <v>0</v>
      </c>
      <c r="AF278">
        <v>2.0699999999999998</v>
      </c>
      <c r="AG278">
        <v>0</v>
      </c>
      <c r="AH278">
        <v>0</v>
      </c>
      <c r="AI278">
        <v>1</v>
      </c>
      <c r="AJ278">
        <v>7.84</v>
      </c>
      <c r="AK278">
        <v>19.8</v>
      </c>
      <c r="AL278">
        <v>1</v>
      </c>
      <c r="AM278">
        <v>5</v>
      </c>
      <c r="AN278">
        <v>0</v>
      </c>
      <c r="AO278">
        <v>1</v>
      </c>
      <c r="AP278">
        <v>0</v>
      </c>
      <c r="AQ278">
        <v>0</v>
      </c>
      <c r="AR278">
        <v>0</v>
      </c>
      <c r="AS278" t="s">
        <v>6</v>
      </c>
      <c r="AT278">
        <v>2.35</v>
      </c>
      <c r="AU278" t="s">
        <v>6</v>
      </c>
      <c r="AV278">
        <v>0</v>
      </c>
      <c r="AW278">
        <v>2</v>
      </c>
      <c r="AX278">
        <v>86327550</v>
      </c>
      <c r="AY278">
        <v>1</v>
      </c>
      <c r="AZ278">
        <v>0</v>
      </c>
      <c r="BA278">
        <v>208</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CV278">
        <v>0</v>
      </c>
      <c r="CW278">
        <f>ROUND(Y278*Source!I228*DO278,9)</f>
        <v>0</v>
      </c>
      <c r="CX278">
        <f>ROUND(Y278*Source!I228,9)</f>
        <v>1.6919999999999999</v>
      </c>
      <c r="CY278">
        <f>AB278</f>
        <v>16.23</v>
      </c>
      <c r="CZ278">
        <f>AF278</f>
        <v>2.0699999999999998</v>
      </c>
      <c r="DA278">
        <f>AJ278</f>
        <v>7.84</v>
      </c>
      <c r="DB278">
        <f t="shared" si="123"/>
        <v>4.8600000000000003</v>
      </c>
      <c r="DC278">
        <f t="shared" si="124"/>
        <v>0</v>
      </c>
      <c r="DD278" t="s">
        <v>6</v>
      </c>
      <c r="DE278" t="s">
        <v>6</v>
      </c>
      <c r="DF278">
        <f t="shared" si="131"/>
        <v>0</v>
      </c>
      <c r="DG278">
        <f>ROUND(ROUND(AF278*AJ278,0)*CX278,0)</f>
        <v>27</v>
      </c>
      <c r="DH278">
        <f>Source!I228*SmtRes!Y278</f>
        <v>1.6919999999999999</v>
      </c>
      <c r="DI278">
        <f>AB278</f>
        <v>16.23</v>
      </c>
      <c r="DJ278">
        <f>EtalonRes!Z208</f>
        <v>2.0699999999999998</v>
      </c>
      <c r="DK278">
        <f>Source!BB228</f>
        <v>7.84</v>
      </c>
      <c r="DL278" t="s">
        <v>6</v>
      </c>
      <c r="DM278">
        <v>0</v>
      </c>
      <c r="DN278" t="s">
        <v>6</v>
      </c>
      <c r="DO278">
        <v>0</v>
      </c>
      <c r="GQ278">
        <v>-1</v>
      </c>
      <c r="GR278">
        <v>-1</v>
      </c>
    </row>
    <row r="279" spans="1:200" x14ac:dyDescent="0.2">
      <c r="A279">
        <f>ROW(Source!A228)</f>
        <v>228</v>
      </c>
      <c r="B279">
        <v>86326988</v>
      </c>
      <c r="C279">
        <v>86327536</v>
      </c>
      <c r="D279">
        <v>27441327</v>
      </c>
      <c r="E279">
        <v>1</v>
      </c>
      <c r="F279">
        <v>1</v>
      </c>
      <c r="G279">
        <v>1</v>
      </c>
      <c r="H279">
        <v>2</v>
      </c>
      <c r="I279" t="s">
        <v>637</v>
      </c>
      <c r="J279" t="s">
        <v>638</v>
      </c>
      <c r="K279" t="s">
        <v>639</v>
      </c>
      <c r="L279">
        <v>1368</v>
      </c>
      <c r="N279">
        <v>1011</v>
      </c>
      <c r="O279" t="s">
        <v>137</v>
      </c>
      <c r="P279" t="s">
        <v>137</v>
      </c>
      <c r="Q279">
        <v>1</v>
      </c>
      <c r="W279">
        <v>0</v>
      </c>
      <c r="X279">
        <v>-1583389094</v>
      </c>
      <c r="Y279">
        <f t="shared" si="119"/>
        <v>0.09</v>
      </c>
      <c r="AA279">
        <v>0</v>
      </c>
      <c r="AB279">
        <v>732.02</v>
      </c>
      <c r="AC279">
        <v>231.46</v>
      </c>
      <c r="AD279">
        <v>0</v>
      </c>
      <c r="AE279">
        <v>0</v>
      </c>
      <c r="AF279">
        <v>93.37</v>
      </c>
      <c r="AG279">
        <v>11.69</v>
      </c>
      <c r="AH279">
        <v>0</v>
      </c>
      <c r="AI279">
        <v>1</v>
      </c>
      <c r="AJ279">
        <v>7.84</v>
      </c>
      <c r="AK279">
        <v>19.8</v>
      </c>
      <c r="AL279">
        <v>1</v>
      </c>
      <c r="AM279">
        <v>5</v>
      </c>
      <c r="AN279">
        <v>0</v>
      </c>
      <c r="AO279">
        <v>1</v>
      </c>
      <c r="AP279">
        <v>0</v>
      </c>
      <c r="AQ279">
        <v>0</v>
      </c>
      <c r="AR279">
        <v>0</v>
      </c>
      <c r="AS279" t="s">
        <v>6</v>
      </c>
      <c r="AT279">
        <v>0.09</v>
      </c>
      <c r="AU279" t="s">
        <v>6</v>
      </c>
      <c r="AV279">
        <v>0</v>
      </c>
      <c r="AW279">
        <v>2</v>
      </c>
      <c r="AX279">
        <v>86327551</v>
      </c>
      <c r="AY279">
        <v>1</v>
      </c>
      <c r="AZ279">
        <v>0</v>
      </c>
      <c r="BA279">
        <v>209</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CV279">
        <v>0</v>
      </c>
      <c r="CW279">
        <f>ROUND(Y279*Source!I228*DO279,9)</f>
        <v>0</v>
      </c>
      <c r="CX279">
        <f>ROUND(Y279*Source!I228,9)</f>
        <v>6.4799999999999996E-2</v>
      </c>
      <c r="CY279">
        <f>AB279</f>
        <v>732.02</v>
      </c>
      <c r="CZ279">
        <f>AF279</f>
        <v>93.37</v>
      </c>
      <c r="DA279">
        <f>AJ279</f>
        <v>7.84</v>
      </c>
      <c r="DB279">
        <f t="shared" si="123"/>
        <v>8.4</v>
      </c>
      <c r="DC279">
        <f t="shared" si="124"/>
        <v>1.05</v>
      </c>
      <c r="DD279" t="s">
        <v>6</v>
      </c>
      <c r="DE279" t="s">
        <v>6</v>
      </c>
      <c r="DF279">
        <f t="shared" si="131"/>
        <v>0</v>
      </c>
      <c r="DG279">
        <f>ROUND(ROUND(AF279*AJ279,0)*CX279,0)</f>
        <v>47</v>
      </c>
      <c r="DH279">
        <f>Source!I228*SmtRes!Y279</f>
        <v>6.4799999999999996E-2</v>
      </c>
      <c r="DI279">
        <f>AB279</f>
        <v>732.02</v>
      </c>
      <c r="DJ279">
        <f>EtalonRes!Z209</f>
        <v>93.37</v>
      </c>
      <c r="DK279">
        <f>Source!BB228</f>
        <v>7.84</v>
      </c>
      <c r="DL279" t="s">
        <v>6</v>
      </c>
      <c r="DM279">
        <v>0</v>
      </c>
      <c r="DN279" t="s">
        <v>6</v>
      </c>
      <c r="DO279">
        <v>0</v>
      </c>
      <c r="GQ279">
        <v>-1</v>
      </c>
      <c r="GR279">
        <v>-1</v>
      </c>
    </row>
    <row r="280" spans="1:200" x14ac:dyDescent="0.2">
      <c r="A280">
        <f>ROW(Source!A228)</f>
        <v>228</v>
      </c>
      <c r="B280">
        <v>86326988</v>
      </c>
      <c r="C280">
        <v>86327536</v>
      </c>
      <c r="D280">
        <v>27377917</v>
      </c>
      <c r="E280">
        <v>1</v>
      </c>
      <c r="F280">
        <v>1</v>
      </c>
      <c r="G280">
        <v>1</v>
      </c>
      <c r="H280">
        <v>3</v>
      </c>
      <c r="I280" t="s">
        <v>316</v>
      </c>
      <c r="J280" t="s">
        <v>318</v>
      </c>
      <c r="K280" t="s">
        <v>317</v>
      </c>
      <c r="L280">
        <v>1348</v>
      </c>
      <c r="N280">
        <v>1009</v>
      </c>
      <c r="O280" t="s">
        <v>33</v>
      </c>
      <c r="P280" t="s">
        <v>33</v>
      </c>
      <c r="Q280">
        <v>1000</v>
      </c>
      <c r="W280">
        <v>0</v>
      </c>
      <c r="X280">
        <v>1988624183</v>
      </c>
      <c r="Y280">
        <f t="shared" ref="Y280:Y304" si="132">AT280</f>
        <v>2.2049999999999999E-3</v>
      </c>
      <c r="AA280">
        <v>96250</v>
      </c>
      <c r="AB280">
        <v>0</v>
      </c>
      <c r="AC280">
        <v>0</v>
      </c>
      <c r="AD280">
        <v>0</v>
      </c>
      <c r="AE280">
        <v>13505.55</v>
      </c>
      <c r="AF280">
        <v>0</v>
      </c>
      <c r="AG280">
        <v>0</v>
      </c>
      <c r="AH280">
        <v>0</v>
      </c>
      <c r="AI280">
        <v>7.56</v>
      </c>
      <c r="AJ280">
        <v>1</v>
      </c>
      <c r="AK280">
        <v>1</v>
      </c>
      <c r="AL280">
        <v>1</v>
      </c>
      <c r="AM280">
        <v>0</v>
      </c>
      <c r="AN280">
        <v>0</v>
      </c>
      <c r="AO280">
        <v>0</v>
      </c>
      <c r="AP280">
        <v>1</v>
      </c>
      <c r="AQ280">
        <v>0</v>
      </c>
      <c r="AR280">
        <v>0</v>
      </c>
      <c r="AS280" t="s">
        <v>6</v>
      </c>
      <c r="AT280">
        <v>2.2049999999999999E-3</v>
      </c>
      <c r="AU280" t="s">
        <v>6</v>
      </c>
      <c r="AV280">
        <v>0</v>
      </c>
      <c r="AW280">
        <v>1</v>
      </c>
      <c r="AX280">
        <v>-1</v>
      </c>
      <c r="AY280">
        <v>0</v>
      </c>
      <c r="AZ280">
        <v>0</v>
      </c>
      <c r="BA280" t="s">
        <v>6</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CV280">
        <v>0</v>
      </c>
      <c r="CW280">
        <v>0</v>
      </c>
      <c r="CX280">
        <f>ROUND(Y280*Source!I228,9)</f>
        <v>1.5876E-3</v>
      </c>
      <c r="CY280">
        <f>AA280</f>
        <v>96250</v>
      </c>
      <c r="CZ280">
        <f>AE280</f>
        <v>13505.55</v>
      </c>
      <c r="DA280">
        <f>AI280</f>
        <v>7.56</v>
      </c>
      <c r="DB280">
        <f t="shared" ref="DB280:DB304" si="133">ROUND(ROUND(AT280*CZ280,2),2)</f>
        <v>29.78</v>
      </c>
      <c r="DC280">
        <f t="shared" ref="DC280:DC304" si="134">ROUND(ROUND(AT280*AG280,2),2)</f>
        <v>0</v>
      </c>
      <c r="DD280" t="s">
        <v>6</v>
      </c>
      <c r="DE280" t="s">
        <v>6</v>
      </c>
      <c r="DF280">
        <f>ROUND(ROUND(AE280*AI280,0)*CX280,0)</f>
        <v>162</v>
      </c>
      <c r="DG280">
        <f t="shared" ref="DG280:DG296" si="135">ROUND(ROUND(AF280,0)*CX280,0)</f>
        <v>0</v>
      </c>
      <c r="DH280">
        <f>Source!I228*SmtRes!Y280</f>
        <v>1.5876E-3</v>
      </c>
      <c r="DI280">
        <f>AA280</f>
        <v>96250</v>
      </c>
      <c r="DJ280">
        <f>DF280</f>
        <v>162</v>
      </c>
      <c r="DK280">
        <f>Source!BC228</f>
        <v>7.56</v>
      </c>
      <c r="DL280" t="s">
        <v>6</v>
      </c>
      <c r="DM280">
        <v>0</v>
      </c>
      <c r="DN280" t="s">
        <v>6</v>
      </c>
      <c r="DO280">
        <v>0</v>
      </c>
      <c r="GP280">
        <v>1</v>
      </c>
      <c r="GQ280">
        <v>-1</v>
      </c>
      <c r="GR280">
        <v>-1</v>
      </c>
    </row>
    <row r="281" spans="1:200" x14ac:dyDescent="0.2">
      <c r="A281">
        <f>ROW(Source!A228)</f>
        <v>228</v>
      </c>
      <c r="B281">
        <v>86326988</v>
      </c>
      <c r="C281">
        <v>86327536</v>
      </c>
      <c r="D281">
        <v>27422801</v>
      </c>
      <c r="E281">
        <v>1</v>
      </c>
      <c r="F281">
        <v>1</v>
      </c>
      <c r="G281">
        <v>1</v>
      </c>
      <c r="H281">
        <v>3</v>
      </c>
      <c r="I281" t="s">
        <v>321</v>
      </c>
      <c r="J281" t="s">
        <v>324</v>
      </c>
      <c r="K281" t="s">
        <v>322</v>
      </c>
      <c r="L281">
        <v>53010780</v>
      </c>
      <c r="N281">
        <v>1010</v>
      </c>
      <c r="O281" t="s">
        <v>323</v>
      </c>
      <c r="P281" t="s">
        <v>325</v>
      </c>
      <c r="Q281">
        <v>1</v>
      </c>
      <c r="W281">
        <v>0</v>
      </c>
      <c r="X281">
        <v>1471566618</v>
      </c>
      <c r="Y281">
        <f t="shared" si="132"/>
        <v>79.166666699999993</v>
      </c>
      <c r="AA281">
        <v>25.15</v>
      </c>
      <c r="AB281">
        <v>0</v>
      </c>
      <c r="AC281">
        <v>0</v>
      </c>
      <c r="AD281">
        <v>0</v>
      </c>
      <c r="AE281">
        <v>3.53</v>
      </c>
      <c r="AF281">
        <v>0</v>
      </c>
      <c r="AG281">
        <v>0</v>
      </c>
      <c r="AH281">
        <v>0</v>
      </c>
      <c r="AI281">
        <v>7.56</v>
      </c>
      <c r="AJ281">
        <v>1</v>
      </c>
      <c r="AK281">
        <v>1</v>
      </c>
      <c r="AL281">
        <v>1</v>
      </c>
      <c r="AM281">
        <v>0</v>
      </c>
      <c r="AN281">
        <v>0</v>
      </c>
      <c r="AO281">
        <v>0</v>
      </c>
      <c r="AP281">
        <v>0</v>
      </c>
      <c r="AQ281">
        <v>0</v>
      </c>
      <c r="AR281">
        <v>0</v>
      </c>
      <c r="AS281" t="s">
        <v>6</v>
      </c>
      <c r="AT281">
        <v>79.166666699999993</v>
      </c>
      <c r="AU281" t="s">
        <v>6</v>
      </c>
      <c r="AV281">
        <v>0</v>
      </c>
      <c r="AW281">
        <v>1</v>
      </c>
      <c r="AX281">
        <v>-1</v>
      </c>
      <c r="AY281">
        <v>0</v>
      </c>
      <c r="AZ281">
        <v>0</v>
      </c>
      <c r="BA281" t="s">
        <v>6</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CV281">
        <v>0</v>
      </c>
      <c r="CW281">
        <v>0</v>
      </c>
      <c r="CX281">
        <f>ROUND(Y281*Source!I228,9)</f>
        <v>57.000000024000002</v>
      </c>
      <c r="CY281">
        <f>AA281</f>
        <v>25.15</v>
      </c>
      <c r="CZ281">
        <f>AE281</f>
        <v>3.53</v>
      </c>
      <c r="DA281">
        <f>AI281</f>
        <v>7.56</v>
      </c>
      <c r="DB281">
        <f t="shared" si="133"/>
        <v>279.45999999999998</v>
      </c>
      <c r="DC281">
        <f t="shared" si="134"/>
        <v>0</v>
      </c>
      <c r="DD281" t="s">
        <v>6</v>
      </c>
      <c r="DE281" t="s">
        <v>6</v>
      </c>
      <c r="DF281">
        <f>ROUND(ROUND(AE281*AI281,0)*CX281,0)</f>
        <v>1539</v>
      </c>
      <c r="DG281">
        <f t="shared" si="135"/>
        <v>0</v>
      </c>
      <c r="DH281">
        <f>Source!I228*SmtRes!Y281</f>
        <v>57.000000023999995</v>
      </c>
      <c r="DI281">
        <f>AA281</f>
        <v>25.15</v>
      </c>
      <c r="DJ281">
        <f>DF281</f>
        <v>1539</v>
      </c>
      <c r="DK281">
        <f>Source!BC228</f>
        <v>7.56</v>
      </c>
      <c r="DL281" t="s">
        <v>6</v>
      </c>
      <c r="DM281">
        <v>0</v>
      </c>
      <c r="DN281" t="s">
        <v>6</v>
      </c>
      <c r="DO281">
        <v>0</v>
      </c>
      <c r="GP281">
        <v>1</v>
      </c>
      <c r="GQ281">
        <v>-1</v>
      </c>
      <c r="GR281">
        <v>-1</v>
      </c>
    </row>
    <row r="282" spans="1:200" x14ac:dyDescent="0.2">
      <c r="A282">
        <f>ROW(Source!A228)</f>
        <v>228</v>
      </c>
      <c r="B282">
        <v>86326988</v>
      </c>
      <c r="C282">
        <v>86327536</v>
      </c>
      <c r="D282">
        <v>27422801</v>
      </c>
      <c r="E282">
        <v>1</v>
      </c>
      <c r="F282">
        <v>1</v>
      </c>
      <c r="G282">
        <v>1</v>
      </c>
      <c r="H282">
        <v>3</v>
      </c>
      <c r="I282" t="s">
        <v>321</v>
      </c>
      <c r="J282" t="s">
        <v>324</v>
      </c>
      <c r="K282" t="s">
        <v>328</v>
      </c>
      <c r="L282">
        <v>53010780</v>
      </c>
      <c r="N282">
        <v>1010</v>
      </c>
      <c r="O282" t="s">
        <v>323</v>
      </c>
      <c r="P282" t="s">
        <v>325</v>
      </c>
      <c r="Q282">
        <v>1</v>
      </c>
      <c r="W282">
        <v>0</v>
      </c>
      <c r="X282">
        <v>-2127956255</v>
      </c>
      <c r="Y282">
        <f t="shared" si="132"/>
        <v>95.138889000000006</v>
      </c>
      <c r="AA282">
        <v>30.28</v>
      </c>
      <c r="AB282">
        <v>0</v>
      </c>
      <c r="AC282">
        <v>0</v>
      </c>
      <c r="AD282">
        <v>0</v>
      </c>
      <c r="AE282">
        <v>4.25</v>
      </c>
      <c r="AF282">
        <v>0</v>
      </c>
      <c r="AG282">
        <v>0</v>
      </c>
      <c r="AH282">
        <v>0</v>
      </c>
      <c r="AI282">
        <v>7.56</v>
      </c>
      <c r="AJ282">
        <v>1</v>
      </c>
      <c r="AK282">
        <v>1</v>
      </c>
      <c r="AL282">
        <v>1</v>
      </c>
      <c r="AM282">
        <v>0</v>
      </c>
      <c r="AN282">
        <v>0</v>
      </c>
      <c r="AO282">
        <v>0</v>
      </c>
      <c r="AP282">
        <v>0</v>
      </c>
      <c r="AQ282">
        <v>0</v>
      </c>
      <c r="AR282">
        <v>0</v>
      </c>
      <c r="AS282" t="s">
        <v>6</v>
      </c>
      <c r="AT282">
        <v>95.138889000000006</v>
      </c>
      <c r="AU282" t="s">
        <v>6</v>
      </c>
      <c r="AV282">
        <v>0</v>
      </c>
      <c r="AW282">
        <v>1</v>
      </c>
      <c r="AX282">
        <v>-1</v>
      </c>
      <c r="AY282">
        <v>0</v>
      </c>
      <c r="AZ282">
        <v>0</v>
      </c>
      <c r="BA282" t="s">
        <v>6</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CV282">
        <v>0</v>
      </c>
      <c r="CW282">
        <v>0</v>
      </c>
      <c r="CX282">
        <f>ROUND(Y282*Source!I228,9)</f>
        <v>68.500000080000007</v>
      </c>
      <c r="CY282">
        <f>AA282</f>
        <v>30.28</v>
      </c>
      <c r="CZ282">
        <f>AE282</f>
        <v>4.25</v>
      </c>
      <c r="DA282">
        <f>AI282</f>
        <v>7.56</v>
      </c>
      <c r="DB282">
        <f t="shared" si="133"/>
        <v>404.34</v>
      </c>
      <c r="DC282">
        <f t="shared" si="134"/>
        <v>0</v>
      </c>
      <c r="DD282" t="s">
        <v>6</v>
      </c>
      <c r="DE282" t="s">
        <v>6</v>
      </c>
      <c r="DF282">
        <f>ROUND(ROUND(AE282*AI282,0)*CX282,0)</f>
        <v>2192</v>
      </c>
      <c r="DG282">
        <f t="shared" si="135"/>
        <v>0</v>
      </c>
      <c r="DH282">
        <f>Source!I228*SmtRes!Y282</f>
        <v>68.500000080000007</v>
      </c>
      <c r="DI282">
        <f>AA282</f>
        <v>30.28</v>
      </c>
      <c r="DJ282">
        <f>DF282</f>
        <v>2192</v>
      </c>
      <c r="DK282">
        <f>Source!BC228</f>
        <v>7.56</v>
      </c>
      <c r="DL282" t="s">
        <v>6</v>
      </c>
      <c r="DM282">
        <v>0</v>
      </c>
      <c r="DN282" t="s">
        <v>6</v>
      </c>
      <c r="DO282">
        <v>0</v>
      </c>
      <c r="GP282">
        <v>1</v>
      </c>
      <c r="GQ282">
        <v>-1</v>
      </c>
      <c r="GR282">
        <v>-1</v>
      </c>
    </row>
    <row r="283" spans="1:200" x14ac:dyDescent="0.2">
      <c r="A283">
        <f>ROW(Source!A228)</f>
        <v>228</v>
      </c>
      <c r="B283">
        <v>86326988</v>
      </c>
      <c r="C283">
        <v>86327536</v>
      </c>
      <c r="D283">
        <v>27425664</v>
      </c>
      <c r="E283">
        <v>1</v>
      </c>
      <c r="F283">
        <v>1</v>
      </c>
      <c r="G283">
        <v>1</v>
      </c>
      <c r="H283">
        <v>3</v>
      </c>
      <c r="I283" t="s">
        <v>331</v>
      </c>
      <c r="J283" t="s">
        <v>334</v>
      </c>
      <c r="K283" t="s">
        <v>332</v>
      </c>
      <c r="L283">
        <v>1302</v>
      </c>
      <c r="N283">
        <v>1003</v>
      </c>
      <c r="O283" t="s">
        <v>333</v>
      </c>
      <c r="P283" t="s">
        <v>333</v>
      </c>
      <c r="Q283">
        <v>10</v>
      </c>
      <c r="W283">
        <v>0</v>
      </c>
      <c r="X283">
        <v>-1605369031</v>
      </c>
      <c r="Y283">
        <f t="shared" si="132"/>
        <v>10</v>
      </c>
      <c r="AA283">
        <v>201.1</v>
      </c>
      <c r="AB283">
        <v>0</v>
      </c>
      <c r="AC283">
        <v>0</v>
      </c>
      <c r="AD283">
        <v>0</v>
      </c>
      <c r="AE283">
        <v>28.21</v>
      </c>
      <c r="AF283">
        <v>0</v>
      </c>
      <c r="AG283">
        <v>0</v>
      </c>
      <c r="AH283">
        <v>0</v>
      </c>
      <c r="AI283">
        <v>7.56</v>
      </c>
      <c r="AJ283">
        <v>1</v>
      </c>
      <c r="AK283">
        <v>1</v>
      </c>
      <c r="AL283">
        <v>1</v>
      </c>
      <c r="AM283">
        <v>0</v>
      </c>
      <c r="AN283">
        <v>0</v>
      </c>
      <c r="AO283">
        <v>0</v>
      </c>
      <c r="AP283">
        <v>1</v>
      </c>
      <c r="AQ283">
        <v>0</v>
      </c>
      <c r="AR283">
        <v>0</v>
      </c>
      <c r="AS283" t="s">
        <v>6</v>
      </c>
      <c r="AT283">
        <v>10</v>
      </c>
      <c r="AU283" t="s">
        <v>6</v>
      </c>
      <c r="AV283">
        <v>0</v>
      </c>
      <c r="AW283">
        <v>1</v>
      </c>
      <c r="AX283">
        <v>-1</v>
      </c>
      <c r="AY283">
        <v>0</v>
      </c>
      <c r="AZ283">
        <v>0</v>
      </c>
      <c r="BA283" t="s">
        <v>6</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CV283">
        <v>0</v>
      </c>
      <c r="CW283">
        <v>0</v>
      </c>
      <c r="CX283">
        <f>ROUND(Y283*Source!I228,9)</f>
        <v>7.2</v>
      </c>
      <c r="CY283">
        <f>AA283</f>
        <v>201.1</v>
      </c>
      <c r="CZ283">
        <f>AE283</f>
        <v>28.21</v>
      </c>
      <c r="DA283">
        <f>AI283</f>
        <v>7.56</v>
      </c>
      <c r="DB283">
        <f t="shared" si="133"/>
        <v>282.10000000000002</v>
      </c>
      <c r="DC283">
        <f t="shared" si="134"/>
        <v>0</v>
      </c>
      <c r="DD283" t="s">
        <v>6</v>
      </c>
      <c r="DE283" t="s">
        <v>6</v>
      </c>
      <c r="DF283">
        <f>ROUND(ROUND(AE283*AI283,0)*CX283,0)</f>
        <v>1534</v>
      </c>
      <c r="DG283">
        <f t="shared" si="135"/>
        <v>0</v>
      </c>
      <c r="DH283">
        <f>Source!I228*SmtRes!Y283</f>
        <v>7.1999999999999993</v>
      </c>
      <c r="DI283">
        <f>AA283</f>
        <v>201.1</v>
      </c>
      <c r="DJ283">
        <f>DF283</f>
        <v>1534</v>
      </c>
      <c r="DK283">
        <f>Source!BC228</f>
        <v>7.56</v>
      </c>
      <c r="DL283" t="s">
        <v>6</v>
      </c>
      <c r="DM283">
        <v>0</v>
      </c>
      <c r="DN283" t="s">
        <v>6</v>
      </c>
      <c r="DO283">
        <v>0</v>
      </c>
      <c r="GP283">
        <v>1</v>
      </c>
      <c r="GQ283">
        <v>-1</v>
      </c>
      <c r="GR283">
        <v>-1</v>
      </c>
    </row>
    <row r="284" spans="1:200" x14ac:dyDescent="0.2">
      <c r="A284">
        <f>ROW(Source!A228)</f>
        <v>228</v>
      </c>
      <c r="B284">
        <v>86326988</v>
      </c>
      <c r="C284">
        <v>86327536</v>
      </c>
      <c r="D284">
        <v>69408707</v>
      </c>
      <c r="E284">
        <v>1</v>
      </c>
      <c r="F284">
        <v>1</v>
      </c>
      <c r="G284">
        <v>1</v>
      </c>
      <c r="H284">
        <v>3</v>
      </c>
      <c r="I284" t="s">
        <v>337</v>
      </c>
      <c r="J284" t="s">
        <v>339</v>
      </c>
      <c r="K284" t="s">
        <v>338</v>
      </c>
      <c r="L284">
        <v>1339</v>
      </c>
      <c r="N284">
        <v>1007</v>
      </c>
      <c r="O284" t="s">
        <v>44</v>
      </c>
      <c r="P284" t="s">
        <v>44</v>
      </c>
      <c r="Q284">
        <v>1</v>
      </c>
      <c r="W284">
        <v>0</v>
      </c>
      <c r="X284">
        <v>2111049581</v>
      </c>
      <c r="Y284">
        <f t="shared" si="132"/>
        <v>2.1024999999999999E-2</v>
      </c>
      <c r="AA284">
        <v>4929.3500000000004</v>
      </c>
      <c r="AB284">
        <v>0</v>
      </c>
      <c r="AC284">
        <v>0</v>
      </c>
      <c r="AD284">
        <v>0</v>
      </c>
      <c r="AE284">
        <v>691.67</v>
      </c>
      <c r="AF284">
        <v>0</v>
      </c>
      <c r="AG284">
        <v>0</v>
      </c>
      <c r="AH284">
        <v>0</v>
      </c>
      <c r="AI284">
        <v>7.56</v>
      </c>
      <c r="AJ284">
        <v>1</v>
      </c>
      <c r="AK284">
        <v>1</v>
      </c>
      <c r="AL284">
        <v>1</v>
      </c>
      <c r="AM284">
        <v>0</v>
      </c>
      <c r="AN284">
        <v>0</v>
      </c>
      <c r="AO284">
        <v>0</v>
      </c>
      <c r="AP284">
        <v>1</v>
      </c>
      <c r="AQ284">
        <v>0</v>
      </c>
      <c r="AR284">
        <v>0</v>
      </c>
      <c r="AS284" t="s">
        <v>6</v>
      </c>
      <c r="AT284">
        <v>2.1024999999999999E-2</v>
      </c>
      <c r="AU284" t="s">
        <v>6</v>
      </c>
      <c r="AV284">
        <v>0</v>
      </c>
      <c r="AW284">
        <v>1</v>
      </c>
      <c r="AX284">
        <v>-1</v>
      </c>
      <c r="AY284">
        <v>0</v>
      </c>
      <c r="AZ284">
        <v>0</v>
      </c>
      <c r="BA284" t="s">
        <v>6</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CV284">
        <v>0</v>
      </c>
      <c r="CW284">
        <v>0</v>
      </c>
      <c r="CX284">
        <f>ROUND(Y284*Source!I228,9)</f>
        <v>1.5138E-2</v>
      </c>
      <c r="CY284">
        <f>AA284</f>
        <v>4929.3500000000004</v>
      </c>
      <c r="CZ284">
        <f>AE284</f>
        <v>691.67</v>
      </c>
      <c r="DA284">
        <f>AI284</f>
        <v>7.56</v>
      </c>
      <c r="DB284">
        <f t="shared" si="133"/>
        <v>14.54</v>
      </c>
      <c r="DC284">
        <f t="shared" si="134"/>
        <v>0</v>
      </c>
      <c r="DD284" t="s">
        <v>6</v>
      </c>
      <c r="DE284" t="s">
        <v>6</v>
      </c>
      <c r="DF284">
        <f>ROUND(ROUND(AE284*AI284,0)*CX284,0)</f>
        <v>79</v>
      </c>
      <c r="DG284">
        <f t="shared" si="135"/>
        <v>0</v>
      </c>
      <c r="DH284">
        <f>Source!I228*SmtRes!Y284</f>
        <v>1.5137999999999999E-2</v>
      </c>
      <c r="DI284">
        <f>AA284</f>
        <v>4929.3500000000004</v>
      </c>
      <c r="DJ284">
        <f>DF284</f>
        <v>79</v>
      </c>
      <c r="DK284">
        <f>Source!BC228</f>
        <v>7.56</v>
      </c>
      <c r="DL284" t="s">
        <v>6</v>
      </c>
      <c r="DM284">
        <v>0</v>
      </c>
      <c r="DN284" t="s">
        <v>6</v>
      </c>
      <c r="DO284">
        <v>0</v>
      </c>
      <c r="GP284">
        <v>1</v>
      </c>
      <c r="GQ284">
        <v>-1</v>
      </c>
      <c r="GR284">
        <v>-1</v>
      </c>
    </row>
    <row r="285" spans="1:200" x14ac:dyDescent="0.2">
      <c r="A285">
        <f>ROW(Source!A239)</f>
        <v>239</v>
      </c>
      <c r="B285">
        <v>86326987</v>
      </c>
      <c r="C285">
        <v>86327560</v>
      </c>
      <c r="D285">
        <v>27683434</v>
      </c>
      <c r="E285">
        <v>1</v>
      </c>
      <c r="F285">
        <v>1</v>
      </c>
      <c r="G285">
        <v>1</v>
      </c>
      <c r="H285">
        <v>1</v>
      </c>
      <c r="I285" t="s">
        <v>664</v>
      </c>
      <c r="J285" t="s">
        <v>6</v>
      </c>
      <c r="K285" t="s">
        <v>665</v>
      </c>
      <c r="L285">
        <v>1369</v>
      </c>
      <c r="N285">
        <v>1013</v>
      </c>
      <c r="O285" t="s">
        <v>625</v>
      </c>
      <c r="P285" t="s">
        <v>625</v>
      </c>
      <c r="Q285">
        <v>1</v>
      </c>
      <c r="W285">
        <v>0</v>
      </c>
      <c r="X285">
        <v>-1710225347</v>
      </c>
      <c r="Y285">
        <f t="shared" si="132"/>
        <v>17.12</v>
      </c>
      <c r="AA285">
        <v>0</v>
      </c>
      <c r="AB285">
        <v>0</v>
      </c>
      <c r="AC285">
        <v>0</v>
      </c>
      <c r="AD285">
        <v>9.48</v>
      </c>
      <c r="AE285">
        <v>0</v>
      </c>
      <c r="AF285">
        <v>0</v>
      </c>
      <c r="AG285">
        <v>0</v>
      </c>
      <c r="AH285">
        <v>9.48</v>
      </c>
      <c r="AI285">
        <v>1</v>
      </c>
      <c r="AJ285">
        <v>1</v>
      </c>
      <c r="AK285">
        <v>1</v>
      </c>
      <c r="AL285">
        <v>1</v>
      </c>
      <c r="AM285">
        <v>0</v>
      </c>
      <c r="AN285">
        <v>0</v>
      </c>
      <c r="AO285">
        <v>1</v>
      </c>
      <c r="AP285">
        <v>0</v>
      </c>
      <c r="AQ285">
        <v>0</v>
      </c>
      <c r="AR285">
        <v>0</v>
      </c>
      <c r="AS285" t="s">
        <v>6</v>
      </c>
      <c r="AT285">
        <v>17.12</v>
      </c>
      <c r="AU285" t="s">
        <v>6</v>
      </c>
      <c r="AV285">
        <v>1</v>
      </c>
      <c r="AW285">
        <v>2</v>
      </c>
      <c r="AX285">
        <v>86327571</v>
      </c>
      <c r="AY285">
        <v>1</v>
      </c>
      <c r="AZ285">
        <v>0</v>
      </c>
      <c r="BA285">
        <v>213</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CU285">
        <f>ROUND(AT285*Source!I239*AH285*AL285,0)</f>
        <v>31</v>
      </c>
      <c r="CV285">
        <f>ROUND(Y285*Source!I239,9)</f>
        <v>3.2528000000000001</v>
      </c>
      <c r="CW285">
        <v>0</v>
      </c>
      <c r="CX285">
        <f>ROUND(Y285*Source!I239,9)</f>
        <v>3.2528000000000001</v>
      </c>
      <c r="CY285">
        <f>AD285</f>
        <v>9.48</v>
      </c>
      <c r="CZ285">
        <f>AH285</f>
        <v>9.48</v>
      </c>
      <c r="DA285">
        <f>AL285</f>
        <v>1</v>
      </c>
      <c r="DB285">
        <f t="shared" si="133"/>
        <v>162.30000000000001</v>
      </c>
      <c r="DC285">
        <f t="shared" si="134"/>
        <v>0</v>
      </c>
      <c r="DD285" t="s">
        <v>6</v>
      </c>
      <c r="DE285" t="s">
        <v>6</v>
      </c>
      <c r="DF285">
        <f t="shared" ref="DF285:DF299" si="136">ROUND(ROUND(AE285,0)*CX285,0)</f>
        <v>0</v>
      </c>
      <c r="DG285">
        <f t="shared" si="135"/>
        <v>0</v>
      </c>
      <c r="DH285">
        <f>Source!I239*SmtRes!Y285</f>
        <v>3.2528000000000001</v>
      </c>
      <c r="DI285">
        <f>AD285</f>
        <v>9.48</v>
      </c>
      <c r="DJ285">
        <f>EtalonRes!AB213</f>
        <v>9.48</v>
      </c>
      <c r="DK285">
        <f>Source!BA239</f>
        <v>1</v>
      </c>
      <c r="DL285" t="s">
        <v>6</v>
      </c>
      <c r="DM285">
        <v>0</v>
      </c>
      <c r="DN285" t="s">
        <v>6</v>
      </c>
      <c r="DO285">
        <v>0</v>
      </c>
      <c r="GQ285">
        <v>-1</v>
      </c>
      <c r="GR285">
        <v>-1</v>
      </c>
    </row>
    <row r="286" spans="1:200" x14ac:dyDescent="0.2">
      <c r="A286">
        <f>ROW(Source!A239)</f>
        <v>239</v>
      </c>
      <c r="B286">
        <v>86326987</v>
      </c>
      <c r="C286">
        <v>86327560</v>
      </c>
      <c r="D286">
        <v>121548</v>
      </c>
      <c r="E286">
        <v>1</v>
      </c>
      <c r="F286">
        <v>1</v>
      </c>
      <c r="G286">
        <v>1</v>
      </c>
      <c r="H286">
        <v>1</v>
      </c>
      <c r="I286" t="s">
        <v>40</v>
      </c>
      <c r="J286" t="s">
        <v>6</v>
      </c>
      <c r="K286" t="s">
        <v>626</v>
      </c>
      <c r="L286">
        <v>608254</v>
      </c>
      <c r="N286">
        <v>1013</v>
      </c>
      <c r="O286" t="s">
        <v>627</v>
      </c>
      <c r="P286" t="s">
        <v>627</v>
      </c>
      <c r="Q286">
        <v>1</v>
      </c>
      <c r="W286">
        <v>0</v>
      </c>
      <c r="X286">
        <v>-185737400</v>
      </c>
      <c r="Y286">
        <f t="shared" si="132"/>
        <v>0.26</v>
      </c>
      <c r="AA286">
        <v>0</v>
      </c>
      <c r="AB286">
        <v>0</v>
      </c>
      <c r="AC286">
        <v>0</v>
      </c>
      <c r="AD286">
        <v>0</v>
      </c>
      <c r="AE286">
        <v>0</v>
      </c>
      <c r="AF286">
        <v>0</v>
      </c>
      <c r="AG286">
        <v>0</v>
      </c>
      <c r="AH286">
        <v>0</v>
      </c>
      <c r="AI286">
        <v>1</v>
      </c>
      <c r="AJ286">
        <v>1</v>
      </c>
      <c r="AK286">
        <v>1</v>
      </c>
      <c r="AL286">
        <v>1</v>
      </c>
      <c r="AM286">
        <v>0</v>
      </c>
      <c r="AN286">
        <v>0</v>
      </c>
      <c r="AO286">
        <v>1</v>
      </c>
      <c r="AP286">
        <v>0</v>
      </c>
      <c r="AQ286">
        <v>0</v>
      </c>
      <c r="AR286">
        <v>0</v>
      </c>
      <c r="AS286" t="s">
        <v>6</v>
      </c>
      <c r="AT286">
        <v>0.26</v>
      </c>
      <c r="AU286" t="s">
        <v>6</v>
      </c>
      <c r="AV286">
        <v>2</v>
      </c>
      <c r="AW286">
        <v>2</v>
      </c>
      <c r="AX286">
        <v>86327572</v>
      </c>
      <c r="AY286">
        <v>1</v>
      </c>
      <c r="AZ286">
        <v>0</v>
      </c>
      <c r="BA286">
        <v>214</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CV286">
        <v>0</v>
      </c>
      <c r="CW286">
        <v>0</v>
      </c>
      <c r="CX286">
        <f>ROUND(Y286*Source!I239,9)</f>
        <v>4.9399999999999999E-2</v>
      </c>
      <c r="CY286">
        <f>AD286</f>
        <v>0</v>
      </c>
      <c r="CZ286">
        <f>AH286</f>
        <v>0</v>
      </c>
      <c r="DA286">
        <f>AL286</f>
        <v>1</v>
      </c>
      <c r="DB286">
        <f t="shared" si="133"/>
        <v>0</v>
      </c>
      <c r="DC286">
        <f t="shared" si="134"/>
        <v>0</v>
      </c>
      <c r="DD286" t="s">
        <v>6</v>
      </c>
      <c r="DE286" t="s">
        <v>6</v>
      </c>
      <c r="DF286">
        <f t="shared" si="136"/>
        <v>0</v>
      </c>
      <c r="DG286">
        <f t="shared" si="135"/>
        <v>0</v>
      </c>
      <c r="DH286">
        <f>Source!I239*SmtRes!Y286</f>
        <v>4.9399999999999999E-2</v>
      </c>
      <c r="DI286">
        <f>AD286</f>
        <v>0</v>
      </c>
      <c r="DJ286">
        <f>EtalonRes!AB214</f>
        <v>0</v>
      </c>
      <c r="DK286">
        <f>Source!BA239</f>
        <v>1</v>
      </c>
      <c r="DL286" t="s">
        <v>6</v>
      </c>
      <c r="DM286">
        <v>0</v>
      </c>
      <c r="DN286" t="s">
        <v>6</v>
      </c>
      <c r="DO286">
        <v>0</v>
      </c>
      <c r="GQ286">
        <v>-1</v>
      </c>
      <c r="GR286">
        <v>-1</v>
      </c>
    </row>
    <row r="287" spans="1:200" x14ac:dyDescent="0.2">
      <c r="A287">
        <f>ROW(Source!A239)</f>
        <v>239</v>
      </c>
      <c r="B287">
        <v>86326987</v>
      </c>
      <c r="C287">
        <v>86327560</v>
      </c>
      <c r="D287">
        <v>27439488</v>
      </c>
      <c r="E287">
        <v>1</v>
      </c>
      <c r="F287">
        <v>1</v>
      </c>
      <c r="G287">
        <v>1</v>
      </c>
      <c r="H287">
        <v>2</v>
      </c>
      <c r="I287" t="s">
        <v>666</v>
      </c>
      <c r="J287" t="s">
        <v>667</v>
      </c>
      <c r="K287" t="s">
        <v>668</v>
      </c>
      <c r="L287">
        <v>1368</v>
      </c>
      <c r="N287">
        <v>1011</v>
      </c>
      <c r="O287" t="s">
        <v>137</v>
      </c>
      <c r="P287" t="s">
        <v>137</v>
      </c>
      <c r="Q287">
        <v>1</v>
      </c>
      <c r="W287">
        <v>0</v>
      </c>
      <c r="X287">
        <v>1935423198</v>
      </c>
      <c r="Y287">
        <f t="shared" si="132"/>
        <v>0.26</v>
      </c>
      <c r="AA287">
        <v>0</v>
      </c>
      <c r="AB287">
        <v>113.81</v>
      </c>
      <c r="AC287">
        <v>13.61</v>
      </c>
      <c r="AD287">
        <v>0</v>
      </c>
      <c r="AE287">
        <v>0</v>
      </c>
      <c r="AF287">
        <v>113.81</v>
      </c>
      <c r="AG287">
        <v>13.61</v>
      </c>
      <c r="AH287">
        <v>0</v>
      </c>
      <c r="AI287">
        <v>1</v>
      </c>
      <c r="AJ287">
        <v>1</v>
      </c>
      <c r="AK287">
        <v>1</v>
      </c>
      <c r="AL287">
        <v>1</v>
      </c>
      <c r="AM287">
        <v>0</v>
      </c>
      <c r="AN287">
        <v>0</v>
      </c>
      <c r="AO287">
        <v>1</v>
      </c>
      <c r="AP287">
        <v>0</v>
      </c>
      <c r="AQ287">
        <v>0</v>
      </c>
      <c r="AR287">
        <v>0</v>
      </c>
      <c r="AS287" t="s">
        <v>6</v>
      </c>
      <c r="AT287">
        <v>0.26</v>
      </c>
      <c r="AU287" t="s">
        <v>6</v>
      </c>
      <c r="AV287">
        <v>0</v>
      </c>
      <c r="AW287">
        <v>2</v>
      </c>
      <c r="AX287">
        <v>86327573</v>
      </c>
      <c r="AY287">
        <v>1</v>
      </c>
      <c r="AZ287">
        <v>0</v>
      </c>
      <c r="BA287">
        <v>215</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CV287">
        <v>0</v>
      </c>
      <c r="CW287">
        <f>ROUND(Y287*Source!I239*DO287,9)</f>
        <v>0</v>
      </c>
      <c r="CX287">
        <f>ROUND(Y287*Source!I239,9)</f>
        <v>4.9399999999999999E-2</v>
      </c>
      <c r="CY287">
        <f>AB287</f>
        <v>113.81</v>
      </c>
      <c r="CZ287">
        <f>AF287</f>
        <v>113.81</v>
      </c>
      <c r="DA287">
        <f>AJ287</f>
        <v>1</v>
      </c>
      <c r="DB287">
        <f t="shared" si="133"/>
        <v>29.59</v>
      </c>
      <c r="DC287">
        <f t="shared" si="134"/>
        <v>3.54</v>
      </c>
      <c r="DD287" t="s">
        <v>6</v>
      </c>
      <c r="DE287" t="s">
        <v>6</v>
      </c>
      <c r="DF287">
        <f t="shared" si="136"/>
        <v>0</v>
      </c>
      <c r="DG287">
        <f t="shared" si="135"/>
        <v>6</v>
      </c>
      <c r="DH287">
        <f>Source!I239*SmtRes!Y287</f>
        <v>4.9399999999999999E-2</v>
      </c>
      <c r="DI287">
        <f>AB287</f>
        <v>113.81</v>
      </c>
      <c r="DJ287">
        <f>EtalonRes!Z215</f>
        <v>113.81</v>
      </c>
      <c r="DK287">
        <f>Source!BB239</f>
        <v>1</v>
      </c>
      <c r="DL287" t="s">
        <v>6</v>
      </c>
      <c r="DM287">
        <v>0</v>
      </c>
      <c r="DN287" t="s">
        <v>6</v>
      </c>
      <c r="DO287">
        <v>0</v>
      </c>
      <c r="GQ287">
        <v>-1</v>
      </c>
      <c r="GR287">
        <v>-1</v>
      </c>
    </row>
    <row r="288" spans="1:200" x14ac:dyDescent="0.2">
      <c r="A288">
        <f>ROW(Source!A239)</f>
        <v>239</v>
      </c>
      <c r="B288">
        <v>86326987</v>
      </c>
      <c r="C288">
        <v>86327560</v>
      </c>
      <c r="D288">
        <v>27441078</v>
      </c>
      <c r="E288">
        <v>1</v>
      </c>
      <c r="F288">
        <v>1</v>
      </c>
      <c r="G288">
        <v>1</v>
      </c>
      <c r="H288">
        <v>2</v>
      </c>
      <c r="I288" t="s">
        <v>669</v>
      </c>
      <c r="J288" t="s">
        <v>670</v>
      </c>
      <c r="K288" t="s">
        <v>671</v>
      </c>
      <c r="L288">
        <v>1368</v>
      </c>
      <c r="N288">
        <v>1011</v>
      </c>
      <c r="O288" t="s">
        <v>137</v>
      </c>
      <c r="P288" t="s">
        <v>137</v>
      </c>
      <c r="Q288">
        <v>1</v>
      </c>
      <c r="W288">
        <v>0</v>
      </c>
      <c r="X288">
        <v>-380487195</v>
      </c>
      <c r="Y288">
        <f t="shared" si="132"/>
        <v>2.88</v>
      </c>
      <c r="AA288">
        <v>0</v>
      </c>
      <c r="AB288">
        <v>2.0699999999999998</v>
      </c>
      <c r="AC288">
        <v>0</v>
      </c>
      <c r="AD288">
        <v>0</v>
      </c>
      <c r="AE288">
        <v>0</v>
      </c>
      <c r="AF288">
        <v>2.0699999999999998</v>
      </c>
      <c r="AG288">
        <v>0</v>
      </c>
      <c r="AH288">
        <v>0</v>
      </c>
      <c r="AI288">
        <v>1</v>
      </c>
      <c r="AJ288">
        <v>1</v>
      </c>
      <c r="AK288">
        <v>1</v>
      </c>
      <c r="AL288">
        <v>1</v>
      </c>
      <c r="AM288">
        <v>0</v>
      </c>
      <c r="AN288">
        <v>0</v>
      </c>
      <c r="AO288">
        <v>1</v>
      </c>
      <c r="AP288">
        <v>0</v>
      </c>
      <c r="AQ288">
        <v>0</v>
      </c>
      <c r="AR288">
        <v>0</v>
      </c>
      <c r="AS288" t="s">
        <v>6</v>
      </c>
      <c r="AT288">
        <v>2.88</v>
      </c>
      <c r="AU288" t="s">
        <v>6</v>
      </c>
      <c r="AV288">
        <v>0</v>
      </c>
      <c r="AW288">
        <v>2</v>
      </c>
      <c r="AX288">
        <v>86327574</v>
      </c>
      <c r="AY288">
        <v>1</v>
      </c>
      <c r="AZ288">
        <v>0</v>
      </c>
      <c r="BA288">
        <v>216</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CV288">
        <v>0</v>
      </c>
      <c r="CW288">
        <f>ROUND(Y288*Source!I239*DO288,9)</f>
        <v>0</v>
      </c>
      <c r="CX288">
        <f>ROUND(Y288*Source!I239,9)</f>
        <v>0.54720000000000002</v>
      </c>
      <c r="CY288">
        <f>AB288</f>
        <v>2.0699999999999998</v>
      </c>
      <c r="CZ288">
        <f>AF288</f>
        <v>2.0699999999999998</v>
      </c>
      <c r="DA288">
        <f>AJ288</f>
        <v>1</v>
      </c>
      <c r="DB288">
        <f t="shared" si="133"/>
        <v>5.96</v>
      </c>
      <c r="DC288">
        <f t="shared" si="134"/>
        <v>0</v>
      </c>
      <c r="DD288" t="s">
        <v>6</v>
      </c>
      <c r="DE288" t="s">
        <v>6</v>
      </c>
      <c r="DF288">
        <f t="shared" si="136"/>
        <v>0</v>
      </c>
      <c r="DG288">
        <f t="shared" si="135"/>
        <v>1</v>
      </c>
      <c r="DH288">
        <f>Source!I239*SmtRes!Y288</f>
        <v>0.54720000000000002</v>
      </c>
      <c r="DI288">
        <f>AB288</f>
        <v>2.0699999999999998</v>
      </c>
      <c r="DJ288">
        <f>EtalonRes!Z216</f>
        <v>2.0699999999999998</v>
      </c>
      <c r="DK288">
        <f>Source!BB239</f>
        <v>1</v>
      </c>
      <c r="DL288" t="s">
        <v>6</v>
      </c>
      <c r="DM288">
        <v>0</v>
      </c>
      <c r="DN288" t="s">
        <v>6</v>
      </c>
      <c r="DO288">
        <v>0</v>
      </c>
      <c r="GQ288">
        <v>-1</v>
      </c>
      <c r="GR288">
        <v>-1</v>
      </c>
    </row>
    <row r="289" spans="1:200" x14ac:dyDescent="0.2">
      <c r="A289">
        <f>ROW(Source!A239)</f>
        <v>239</v>
      </c>
      <c r="B289">
        <v>86326987</v>
      </c>
      <c r="C289">
        <v>86327560</v>
      </c>
      <c r="D289">
        <v>27441327</v>
      </c>
      <c r="E289">
        <v>1</v>
      </c>
      <c r="F289">
        <v>1</v>
      </c>
      <c r="G289">
        <v>1</v>
      </c>
      <c r="H289">
        <v>2</v>
      </c>
      <c r="I289" t="s">
        <v>637</v>
      </c>
      <c r="J289" t="s">
        <v>638</v>
      </c>
      <c r="K289" t="s">
        <v>639</v>
      </c>
      <c r="L289">
        <v>1368</v>
      </c>
      <c r="N289">
        <v>1011</v>
      </c>
      <c r="O289" t="s">
        <v>137</v>
      </c>
      <c r="P289" t="s">
        <v>137</v>
      </c>
      <c r="Q289">
        <v>1</v>
      </c>
      <c r="W289">
        <v>0</v>
      </c>
      <c r="X289">
        <v>-1583389094</v>
      </c>
      <c r="Y289">
        <f t="shared" si="132"/>
        <v>0.26</v>
      </c>
      <c r="AA289">
        <v>0</v>
      </c>
      <c r="AB289">
        <v>93.37</v>
      </c>
      <c r="AC289">
        <v>11.69</v>
      </c>
      <c r="AD289">
        <v>0</v>
      </c>
      <c r="AE289">
        <v>0</v>
      </c>
      <c r="AF289">
        <v>93.37</v>
      </c>
      <c r="AG289">
        <v>11.69</v>
      </c>
      <c r="AH289">
        <v>0</v>
      </c>
      <c r="AI289">
        <v>1</v>
      </c>
      <c r="AJ289">
        <v>1</v>
      </c>
      <c r="AK289">
        <v>1</v>
      </c>
      <c r="AL289">
        <v>1</v>
      </c>
      <c r="AM289">
        <v>0</v>
      </c>
      <c r="AN289">
        <v>0</v>
      </c>
      <c r="AO289">
        <v>1</v>
      </c>
      <c r="AP289">
        <v>0</v>
      </c>
      <c r="AQ289">
        <v>0</v>
      </c>
      <c r="AR289">
        <v>0</v>
      </c>
      <c r="AS289" t="s">
        <v>6</v>
      </c>
      <c r="AT289">
        <v>0.26</v>
      </c>
      <c r="AU289" t="s">
        <v>6</v>
      </c>
      <c r="AV289">
        <v>0</v>
      </c>
      <c r="AW289">
        <v>2</v>
      </c>
      <c r="AX289">
        <v>86327575</v>
      </c>
      <c r="AY289">
        <v>1</v>
      </c>
      <c r="AZ289">
        <v>0</v>
      </c>
      <c r="BA289">
        <v>217</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CV289">
        <v>0</v>
      </c>
      <c r="CW289">
        <f>ROUND(Y289*Source!I239*DO289,9)</f>
        <v>0</v>
      </c>
      <c r="CX289">
        <f>ROUND(Y289*Source!I239,9)</f>
        <v>4.9399999999999999E-2</v>
      </c>
      <c r="CY289">
        <f>AB289</f>
        <v>93.37</v>
      </c>
      <c r="CZ289">
        <f>AF289</f>
        <v>93.37</v>
      </c>
      <c r="DA289">
        <f>AJ289</f>
        <v>1</v>
      </c>
      <c r="DB289">
        <f t="shared" si="133"/>
        <v>24.28</v>
      </c>
      <c r="DC289">
        <f t="shared" si="134"/>
        <v>3.04</v>
      </c>
      <c r="DD289" t="s">
        <v>6</v>
      </c>
      <c r="DE289" t="s">
        <v>6</v>
      </c>
      <c r="DF289">
        <f t="shared" si="136"/>
        <v>0</v>
      </c>
      <c r="DG289">
        <f t="shared" si="135"/>
        <v>5</v>
      </c>
      <c r="DH289">
        <f>Source!I239*SmtRes!Y289</f>
        <v>4.9399999999999999E-2</v>
      </c>
      <c r="DI289">
        <f>AB289</f>
        <v>93.37</v>
      </c>
      <c r="DJ289">
        <f>EtalonRes!Z217</f>
        <v>93.37</v>
      </c>
      <c r="DK289">
        <f>Source!BB239</f>
        <v>1</v>
      </c>
      <c r="DL289" t="s">
        <v>6</v>
      </c>
      <c r="DM289">
        <v>0</v>
      </c>
      <c r="DN289" t="s">
        <v>6</v>
      </c>
      <c r="DO289">
        <v>0</v>
      </c>
      <c r="GQ289">
        <v>-1</v>
      </c>
      <c r="GR289">
        <v>-1</v>
      </c>
    </row>
    <row r="290" spans="1:200" x14ac:dyDescent="0.2">
      <c r="A290">
        <f>ROW(Source!A239)</f>
        <v>239</v>
      </c>
      <c r="B290">
        <v>86326987</v>
      </c>
      <c r="C290">
        <v>86327560</v>
      </c>
      <c r="D290">
        <v>27377917</v>
      </c>
      <c r="E290">
        <v>1</v>
      </c>
      <c r="F290">
        <v>1</v>
      </c>
      <c r="G290">
        <v>1</v>
      </c>
      <c r="H290">
        <v>3</v>
      </c>
      <c r="I290" t="s">
        <v>316</v>
      </c>
      <c r="J290" t="s">
        <v>318</v>
      </c>
      <c r="K290" t="s">
        <v>317</v>
      </c>
      <c r="L290">
        <v>1348</v>
      </c>
      <c r="N290">
        <v>1009</v>
      </c>
      <c r="O290" t="s">
        <v>33</v>
      </c>
      <c r="P290" t="s">
        <v>33</v>
      </c>
      <c r="Q290">
        <v>1000</v>
      </c>
      <c r="W290">
        <v>0</v>
      </c>
      <c r="X290">
        <v>1988624183</v>
      </c>
      <c r="Y290">
        <f t="shared" si="132"/>
        <v>2.2000000000000001E-3</v>
      </c>
      <c r="AA290">
        <v>10559.12</v>
      </c>
      <c r="AB290">
        <v>0</v>
      </c>
      <c r="AC290">
        <v>0</v>
      </c>
      <c r="AD290">
        <v>0</v>
      </c>
      <c r="AE290">
        <v>10559.12</v>
      </c>
      <c r="AF290">
        <v>0</v>
      </c>
      <c r="AG290">
        <v>0</v>
      </c>
      <c r="AH290">
        <v>0</v>
      </c>
      <c r="AI290">
        <v>1</v>
      </c>
      <c r="AJ290">
        <v>1</v>
      </c>
      <c r="AK290">
        <v>1</v>
      </c>
      <c r="AL290">
        <v>1</v>
      </c>
      <c r="AM290">
        <v>0</v>
      </c>
      <c r="AN290">
        <v>0</v>
      </c>
      <c r="AO290">
        <v>0</v>
      </c>
      <c r="AP290">
        <v>1</v>
      </c>
      <c r="AQ290">
        <v>0</v>
      </c>
      <c r="AR290">
        <v>0</v>
      </c>
      <c r="AS290" t="s">
        <v>6</v>
      </c>
      <c r="AT290">
        <v>2.2000000000000001E-3</v>
      </c>
      <c r="AU290" t="s">
        <v>6</v>
      </c>
      <c r="AV290">
        <v>0</v>
      </c>
      <c r="AW290">
        <v>1</v>
      </c>
      <c r="AX290">
        <v>-1</v>
      </c>
      <c r="AY290">
        <v>0</v>
      </c>
      <c r="AZ290">
        <v>0</v>
      </c>
      <c r="BA290" t="s">
        <v>6</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CV290">
        <v>0</v>
      </c>
      <c r="CW290">
        <v>0</v>
      </c>
      <c r="CX290">
        <f>ROUND(Y290*Source!I239,9)</f>
        <v>4.1800000000000002E-4</v>
      </c>
      <c r="CY290">
        <f>AA290</f>
        <v>10559.12</v>
      </c>
      <c r="CZ290">
        <f>AE290</f>
        <v>10559.12</v>
      </c>
      <c r="DA290">
        <f>AI290</f>
        <v>1</v>
      </c>
      <c r="DB290">
        <f t="shared" si="133"/>
        <v>23.23</v>
      </c>
      <c r="DC290">
        <f t="shared" si="134"/>
        <v>0</v>
      </c>
      <c r="DD290" t="s">
        <v>6</v>
      </c>
      <c r="DE290" t="s">
        <v>6</v>
      </c>
      <c r="DF290">
        <f t="shared" si="136"/>
        <v>4</v>
      </c>
      <c r="DG290">
        <f t="shared" si="135"/>
        <v>0</v>
      </c>
      <c r="DH290">
        <f>Source!I239*SmtRes!Y290</f>
        <v>4.1800000000000002E-4</v>
      </c>
      <c r="DI290">
        <f>AA290</f>
        <v>10559.12</v>
      </c>
      <c r="DJ290">
        <f>DF290</f>
        <v>4</v>
      </c>
      <c r="DK290">
        <f>Source!BC239</f>
        <v>1</v>
      </c>
      <c r="DL290" t="s">
        <v>6</v>
      </c>
      <c r="DM290">
        <v>0</v>
      </c>
      <c r="DN290" t="s">
        <v>6</v>
      </c>
      <c r="DO290">
        <v>0</v>
      </c>
      <c r="GP290">
        <v>1</v>
      </c>
      <c r="GQ290">
        <v>-1</v>
      </c>
      <c r="GR290">
        <v>-1</v>
      </c>
    </row>
    <row r="291" spans="1:200" x14ac:dyDescent="0.2">
      <c r="A291">
        <f>ROW(Source!A239)</f>
        <v>239</v>
      </c>
      <c r="B291">
        <v>86326987</v>
      </c>
      <c r="C291">
        <v>86327560</v>
      </c>
      <c r="D291">
        <v>27422801</v>
      </c>
      <c r="E291">
        <v>1</v>
      </c>
      <c r="F291">
        <v>1</v>
      </c>
      <c r="G291">
        <v>1</v>
      </c>
      <c r="H291">
        <v>3</v>
      </c>
      <c r="I291" t="s">
        <v>321</v>
      </c>
      <c r="J291" t="s">
        <v>324</v>
      </c>
      <c r="K291" t="s">
        <v>322</v>
      </c>
      <c r="L291">
        <v>53010780</v>
      </c>
      <c r="N291">
        <v>1010</v>
      </c>
      <c r="O291" t="s">
        <v>323</v>
      </c>
      <c r="P291" t="s">
        <v>325</v>
      </c>
      <c r="Q291">
        <v>1</v>
      </c>
      <c r="W291">
        <v>0</v>
      </c>
      <c r="X291">
        <v>1471566618</v>
      </c>
      <c r="Y291">
        <f t="shared" si="132"/>
        <v>78.947367999999997</v>
      </c>
      <c r="AA291">
        <v>7.93</v>
      </c>
      <c r="AB291">
        <v>0</v>
      </c>
      <c r="AC291">
        <v>0</v>
      </c>
      <c r="AD291">
        <v>0</v>
      </c>
      <c r="AE291">
        <v>7.93</v>
      </c>
      <c r="AF291">
        <v>0</v>
      </c>
      <c r="AG291">
        <v>0</v>
      </c>
      <c r="AH291">
        <v>0</v>
      </c>
      <c r="AI291">
        <v>1</v>
      </c>
      <c r="AJ291">
        <v>1</v>
      </c>
      <c r="AK291">
        <v>1</v>
      </c>
      <c r="AL291">
        <v>1</v>
      </c>
      <c r="AM291">
        <v>0</v>
      </c>
      <c r="AN291">
        <v>0</v>
      </c>
      <c r="AO291">
        <v>0</v>
      </c>
      <c r="AP291">
        <v>1</v>
      </c>
      <c r="AQ291">
        <v>0</v>
      </c>
      <c r="AR291">
        <v>0</v>
      </c>
      <c r="AS291" t="s">
        <v>6</v>
      </c>
      <c r="AT291">
        <v>78.947367999999997</v>
      </c>
      <c r="AU291" t="s">
        <v>6</v>
      </c>
      <c r="AV291">
        <v>0</v>
      </c>
      <c r="AW291">
        <v>1</v>
      </c>
      <c r="AX291">
        <v>-1</v>
      </c>
      <c r="AY291">
        <v>0</v>
      </c>
      <c r="AZ291">
        <v>0</v>
      </c>
      <c r="BA291" t="s">
        <v>6</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CV291">
        <v>0</v>
      </c>
      <c r="CW291">
        <v>0</v>
      </c>
      <c r="CX291">
        <f>ROUND(Y291*Source!I239,9)</f>
        <v>14.99999992</v>
      </c>
      <c r="CY291">
        <f>AA291</f>
        <v>7.93</v>
      </c>
      <c r="CZ291">
        <f>AE291</f>
        <v>7.93</v>
      </c>
      <c r="DA291">
        <f>AI291</f>
        <v>1</v>
      </c>
      <c r="DB291">
        <f t="shared" si="133"/>
        <v>626.04999999999995</v>
      </c>
      <c r="DC291">
        <f t="shared" si="134"/>
        <v>0</v>
      </c>
      <c r="DD291" t="s">
        <v>6</v>
      </c>
      <c r="DE291" t="s">
        <v>6</v>
      </c>
      <c r="DF291">
        <f t="shared" si="136"/>
        <v>120</v>
      </c>
      <c r="DG291">
        <f t="shared" si="135"/>
        <v>0</v>
      </c>
      <c r="DH291">
        <f>Source!I239*SmtRes!Y291</f>
        <v>14.99999992</v>
      </c>
      <c r="DI291">
        <f>AA291</f>
        <v>7.93</v>
      </c>
      <c r="DJ291">
        <f>DF291</f>
        <v>120</v>
      </c>
      <c r="DK291">
        <f>Source!BC239</f>
        <v>1</v>
      </c>
      <c r="DL291" t="s">
        <v>6</v>
      </c>
      <c r="DM291">
        <v>0</v>
      </c>
      <c r="DN291" t="s">
        <v>6</v>
      </c>
      <c r="DO291">
        <v>0</v>
      </c>
      <c r="GP291">
        <v>1</v>
      </c>
      <c r="GQ291">
        <v>-1</v>
      </c>
      <c r="GR291">
        <v>-1</v>
      </c>
    </row>
    <row r="292" spans="1:200" x14ac:dyDescent="0.2">
      <c r="A292">
        <f>ROW(Source!A239)</f>
        <v>239</v>
      </c>
      <c r="B292">
        <v>86326987</v>
      </c>
      <c r="C292">
        <v>86327560</v>
      </c>
      <c r="D292">
        <v>27422801</v>
      </c>
      <c r="E292">
        <v>1</v>
      </c>
      <c r="F292">
        <v>1</v>
      </c>
      <c r="G292">
        <v>1</v>
      </c>
      <c r="H292">
        <v>3</v>
      </c>
      <c r="I292" t="s">
        <v>321</v>
      </c>
      <c r="J292" t="s">
        <v>324</v>
      </c>
      <c r="K292" t="s">
        <v>328</v>
      </c>
      <c r="L292">
        <v>53010780</v>
      </c>
      <c r="N292">
        <v>1010</v>
      </c>
      <c r="O292" t="s">
        <v>323</v>
      </c>
      <c r="P292" t="s">
        <v>325</v>
      </c>
      <c r="Q292">
        <v>1</v>
      </c>
      <c r="W292">
        <v>0</v>
      </c>
      <c r="X292">
        <v>-2127956255</v>
      </c>
      <c r="Y292">
        <f t="shared" si="132"/>
        <v>94.736841999999996</v>
      </c>
      <c r="AA292">
        <v>7.93</v>
      </c>
      <c r="AB292">
        <v>0</v>
      </c>
      <c r="AC292">
        <v>0</v>
      </c>
      <c r="AD292">
        <v>0</v>
      </c>
      <c r="AE292">
        <v>7.93</v>
      </c>
      <c r="AF292">
        <v>0</v>
      </c>
      <c r="AG292">
        <v>0</v>
      </c>
      <c r="AH292">
        <v>0</v>
      </c>
      <c r="AI292">
        <v>1</v>
      </c>
      <c r="AJ292">
        <v>1</v>
      </c>
      <c r="AK292">
        <v>1</v>
      </c>
      <c r="AL292">
        <v>1</v>
      </c>
      <c r="AM292">
        <v>0</v>
      </c>
      <c r="AN292">
        <v>0</v>
      </c>
      <c r="AO292">
        <v>0</v>
      </c>
      <c r="AP292">
        <v>1</v>
      </c>
      <c r="AQ292">
        <v>0</v>
      </c>
      <c r="AR292">
        <v>0</v>
      </c>
      <c r="AS292" t="s">
        <v>6</v>
      </c>
      <c r="AT292">
        <v>94.736841999999996</v>
      </c>
      <c r="AU292" t="s">
        <v>6</v>
      </c>
      <c r="AV292">
        <v>0</v>
      </c>
      <c r="AW292">
        <v>1</v>
      </c>
      <c r="AX292">
        <v>-1</v>
      </c>
      <c r="AY292">
        <v>0</v>
      </c>
      <c r="AZ292">
        <v>0</v>
      </c>
      <c r="BA292" t="s">
        <v>6</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CV292">
        <v>0</v>
      </c>
      <c r="CW292">
        <v>0</v>
      </c>
      <c r="CX292">
        <f>ROUND(Y292*Source!I239,9)</f>
        <v>17.999999979999998</v>
      </c>
      <c r="CY292">
        <f>AA292</f>
        <v>7.93</v>
      </c>
      <c r="CZ292">
        <f>AE292</f>
        <v>7.93</v>
      </c>
      <c r="DA292">
        <f>AI292</f>
        <v>1</v>
      </c>
      <c r="DB292">
        <f t="shared" si="133"/>
        <v>751.26</v>
      </c>
      <c r="DC292">
        <f t="shared" si="134"/>
        <v>0</v>
      </c>
      <c r="DD292" t="s">
        <v>6</v>
      </c>
      <c r="DE292" t="s">
        <v>6</v>
      </c>
      <c r="DF292">
        <f t="shared" si="136"/>
        <v>144</v>
      </c>
      <c r="DG292">
        <f t="shared" si="135"/>
        <v>0</v>
      </c>
      <c r="DH292">
        <f>Source!I239*SmtRes!Y292</f>
        <v>17.999999979999998</v>
      </c>
      <c r="DI292">
        <f>AA292</f>
        <v>7.93</v>
      </c>
      <c r="DJ292">
        <f>DF292</f>
        <v>144</v>
      </c>
      <c r="DK292">
        <f>Source!BC239</f>
        <v>1</v>
      </c>
      <c r="DL292" t="s">
        <v>6</v>
      </c>
      <c r="DM292">
        <v>0</v>
      </c>
      <c r="DN292" t="s">
        <v>6</v>
      </c>
      <c r="DO292">
        <v>0</v>
      </c>
      <c r="GP292">
        <v>1</v>
      </c>
      <c r="GQ292">
        <v>-1</v>
      </c>
      <c r="GR292">
        <v>-1</v>
      </c>
    </row>
    <row r="293" spans="1:200" x14ac:dyDescent="0.2">
      <c r="A293">
        <f>ROW(Source!A239)</f>
        <v>239</v>
      </c>
      <c r="B293">
        <v>86326987</v>
      </c>
      <c r="C293">
        <v>86327560</v>
      </c>
      <c r="D293">
        <v>27425665</v>
      </c>
      <c r="E293">
        <v>1</v>
      </c>
      <c r="F293">
        <v>1</v>
      </c>
      <c r="G293">
        <v>1</v>
      </c>
      <c r="H293">
        <v>3</v>
      </c>
      <c r="I293" t="s">
        <v>349</v>
      </c>
      <c r="J293" t="s">
        <v>351</v>
      </c>
      <c r="K293" t="s">
        <v>350</v>
      </c>
      <c r="L293">
        <v>1302</v>
      </c>
      <c r="N293">
        <v>1003</v>
      </c>
      <c r="O293" t="s">
        <v>333</v>
      </c>
      <c r="P293" t="s">
        <v>333</v>
      </c>
      <c r="Q293">
        <v>10</v>
      </c>
      <c r="W293">
        <v>0</v>
      </c>
      <c r="X293">
        <v>-2080007222</v>
      </c>
      <c r="Y293">
        <f t="shared" si="132"/>
        <v>10</v>
      </c>
      <c r="AA293">
        <v>90</v>
      </c>
      <c r="AB293">
        <v>0</v>
      </c>
      <c r="AC293">
        <v>0</v>
      </c>
      <c r="AD293">
        <v>0</v>
      </c>
      <c r="AE293">
        <v>90</v>
      </c>
      <c r="AF293">
        <v>0</v>
      </c>
      <c r="AG293">
        <v>0</v>
      </c>
      <c r="AH293">
        <v>0</v>
      </c>
      <c r="AI293">
        <v>1</v>
      </c>
      <c r="AJ293">
        <v>1</v>
      </c>
      <c r="AK293">
        <v>1</v>
      </c>
      <c r="AL293">
        <v>1</v>
      </c>
      <c r="AM293">
        <v>0</v>
      </c>
      <c r="AN293">
        <v>0</v>
      </c>
      <c r="AO293">
        <v>0</v>
      </c>
      <c r="AP293">
        <v>0</v>
      </c>
      <c r="AQ293">
        <v>0</v>
      </c>
      <c r="AR293">
        <v>0</v>
      </c>
      <c r="AS293" t="s">
        <v>6</v>
      </c>
      <c r="AT293">
        <v>10</v>
      </c>
      <c r="AU293" t="s">
        <v>6</v>
      </c>
      <c r="AV293">
        <v>0</v>
      </c>
      <c r="AW293">
        <v>1</v>
      </c>
      <c r="AX293">
        <v>-1</v>
      </c>
      <c r="AY293">
        <v>0</v>
      </c>
      <c r="AZ293">
        <v>0</v>
      </c>
      <c r="BA293" t="s">
        <v>6</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CV293">
        <v>0</v>
      </c>
      <c r="CW293">
        <v>0</v>
      </c>
      <c r="CX293">
        <f>ROUND(Y293*Source!I239,9)</f>
        <v>1.9</v>
      </c>
      <c r="CY293">
        <f>AA293</f>
        <v>90</v>
      </c>
      <c r="CZ293">
        <f>AE293</f>
        <v>90</v>
      </c>
      <c r="DA293">
        <f>AI293</f>
        <v>1</v>
      </c>
      <c r="DB293">
        <f t="shared" si="133"/>
        <v>900</v>
      </c>
      <c r="DC293">
        <f t="shared" si="134"/>
        <v>0</v>
      </c>
      <c r="DD293" t="s">
        <v>6</v>
      </c>
      <c r="DE293" t="s">
        <v>6</v>
      </c>
      <c r="DF293">
        <f t="shared" si="136"/>
        <v>171</v>
      </c>
      <c r="DG293">
        <f t="shared" si="135"/>
        <v>0</v>
      </c>
      <c r="DH293">
        <f>Source!I239*SmtRes!Y293</f>
        <v>1.9</v>
      </c>
      <c r="DI293">
        <f>AA293</f>
        <v>90</v>
      </c>
      <c r="DJ293">
        <f>DF293</f>
        <v>171</v>
      </c>
      <c r="DK293">
        <f>Source!BC239</f>
        <v>1</v>
      </c>
      <c r="DL293" t="s">
        <v>6</v>
      </c>
      <c r="DM293">
        <v>0</v>
      </c>
      <c r="DN293" t="s">
        <v>6</v>
      </c>
      <c r="DO293">
        <v>0</v>
      </c>
      <c r="GP293">
        <v>1</v>
      </c>
      <c r="GQ293">
        <v>-1</v>
      </c>
      <c r="GR293">
        <v>-1</v>
      </c>
    </row>
    <row r="294" spans="1:200" x14ac:dyDescent="0.2">
      <c r="A294">
        <f>ROW(Source!A239)</f>
        <v>239</v>
      </c>
      <c r="B294">
        <v>86326987</v>
      </c>
      <c r="C294">
        <v>86327560</v>
      </c>
      <c r="D294">
        <v>69408707</v>
      </c>
      <c r="E294">
        <v>1</v>
      </c>
      <c r="F294">
        <v>1</v>
      </c>
      <c r="G294">
        <v>1</v>
      </c>
      <c r="H294">
        <v>3</v>
      </c>
      <c r="I294" t="s">
        <v>337</v>
      </c>
      <c r="J294" t="s">
        <v>339</v>
      </c>
      <c r="K294" t="s">
        <v>338</v>
      </c>
      <c r="L294">
        <v>1339</v>
      </c>
      <c r="N294">
        <v>1007</v>
      </c>
      <c r="O294" t="s">
        <v>44</v>
      </c>
      <c r="P294" t="s">
        <v>44</v>
      </c>
      <c r="Q294">
        <v>1</v>
      </c>
      <c r="W294">
        <v>0</v>
      </c>
      <c r="X294">
        <v>2111049581</v>
      </c>
      <c r="Y294">
        <f t="shared" si="132"/>
        <v>2.1000000000000001E-2</v>
      </c>
      <c r="AA294">
        <v>586.71</v>
      </c>
      <c r="AB294">
        <v>0</v>
      </c>
      <c r="AC294">
        <v>0</v>
      </c>
      <c r="AD294">
        <v>0</v>
      </c>
      <c r="AE294">
        <v>586.71</v>
      </c>
      <c r="AF294">
        <v>0</v>
      </c>
      <c r="AG294">
        <v>0</v>
      </c>
      <c r="AH294">
        <v>0</v>
      </c>
      <c r="AI294">
        <v>1</v>
      </c>
      <c r="AJ294">
        <v>1</v>
      </c>
      <c r="AK294">
        <v>1</v>
      </c>
      <c r="AL294">
        <v>1</v>
      </c>
      <c r="AM294">
        <v>0</v>
      </c>
      <c r="AN294">
        <v>0</v>
      </c>
      <c r="AO294">
        <v>0</v>
      </c>
      <c r="AP294">
        <v>1</v>
      </c>
      <c r="AQ294">
        <v>0</v>
      </c>
      <c r="AR294">
        <v>0</v>
      </c>
      <c r="AS294" t="s">
        <v>6</v>
      </c>
      <c r="AT294">
        <v>2.1000000000000001E-2</v>
      </c>
      <c r="AU294" t="s">
        <v>6</v>
      </c>
      <c r="AV294">
        <v>0</v>
      </c>
      <c r="AW294">
        <v>1</v>
      </c>
      <c r="AX294">
        <v>-1</v>
      </c>
      <c r="AY294">
        <v>0</v>
      </c>
      <c r="AZ294">
        <v>0</v>
      </c>
      <c r="BA294" t="s">
        <v>6</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CV294">
        <v>0</v>
      </c>
      <c r="CW294">
        <v>0</v>
      </c>
      <c r="CX294">
        <f>ROUND(Y294*Source!I239,9)</f>
        <v>3.9899999999999996E-3</v>
      </c>
      <c r="CY294">
        <f>AA294</f>
        <v>586.71</v>
      </c>
      <c r="CZ294">
        <f>AE294</f>
        <v>586.71</v>
      </c>
      <c r="DA294">
        <f>AI294</f>
        <v>1</v>
      </c>
      <c r="DB294">
        <f t="shared" si="133"/>
        <v>12.32</v>
      </c>
      <c r="DC294">
        <f t="shared" si="134"/>
        <v>0</v>
      </c>
      <c r="DD294" t="s">
        <v>6</v>
      </c>
      <c r="DE294" t="s">
        <v>6</v>
      </c>
      <c r="DF294">
        <f t="shared" si="136"/>
        <v>2</v>
      </c>
      <c r="DG294">
        <f t="shared" si="135"/>
        <v>0</v>
      </c>
      <c r="DH294">
        <f>Source!I239*SmtRes!Y294</f>
        <v>3.9900000000000005E-3</v>
      </c>
      <c r="DI294">
        <f>AA294</f>
        <v>586.71</v>
      </c>
      <c r="DJ294">
        <f>DF294</f>
        <v>2</v>
      </c>
      <c r="DK294">
        <f>Source!BC239</f>
        <v>1</v>
      </c>
      <c r="DL294" t="s">
        <v>6</v>
      </c>
      <c r="DM294">
        <v>0</v>
      </c>
      <c r="DN294" t="s">
        <v>6</v>
      </c>
      <c r="DO294">
        <v>0</v>
      </c>
      <c r="GP294">
        <v>1</v>
      </c>
      <c r="GQ294">
        <v>-1</v>
      </c>
      <c r="GR294">
        <v>-1</v>
      </c>
    </row>
    <row r="295" spans="1:200" x14ac:dyDescent="0.2">
      <c r="A295">
        <f>ROW(Source!A240)</f>
        <v>240</v>
      </c>
      <c r="B295">
        <v>86326988</v>
      </c>
      <c r="C295">
        <v>86327560</v>
      </c>
      <c r="D295">
        <v>27683434</v>
      </c>
      <c r="E295">
        <v>1</v>
      </c>
      <c r="F295">
        <v>1</v>
      </c>
      <c r="G295">
        <v>1</v>
      </c>
      <c r="H295">
        <v>1</v>
      </c>
      <c r="I295" t="s">
        <v>664</v>
      </c>
      <c r="J295" t="s">
        <v>6</v>
      </c>
      <c r="K295" t="s">
        <v>665</v>
      </c>
      <c r="L295">
        <v>1369</v>
      </c>
      <c r="N295">
        <v>1013</v>
      </c>
      <c r="O295" t="s">
        <v>625</v>
      </c>
      <c r="P295" t="s">
        <v>625</v>
      </c>
      <c r="Q295">
        <v>1</v>
      </c>
      <c r="W295">
        <v>0</v>
      </c>
      <c r="X295">
        <v>-1710225347</v>
      </c>
      <c r="Y295">
        <f t="shared" si="132"/>
        <v>17.12</v>
      </c>
      <c r="AA295">
        <v>0</v>
      </c>
      <c r="AB295">
        <v>0</v>
      </c>
      <c r="AC295">
        <v>0</v>
      </c>
      <c r="AD295">
        <v>240.41</v>
      </c>
      <c r="AE295">
        <v>0</v>
      </c>
      <c r="AF295">
        <v>0</v>
      </c>
      <c r="AG295">
        <v>0</v>
      </c>
      <c r="AH295">
        <v>9.48</v>
      </c>
      <c r="AI295">
        <v>1</v>
      </c>
      <c r="AJ295">
        <v>1</v>
      </c>
      <c r="AK295">
        <v>1</v>
      </c>
      <c r="AL295">
        <v>25.36</v>
      </c>
      <c r="AM295">
        <v>5</v>
      </c>
      <c r="AN295">
        <v>0</v>
      </c>
      <c r="AO295">
        <v>1</v>
      </c>
      <c r="AP295">
        <v>0</v>
      </c>
      <c r="AQ295">
        <v>0</v>
      </c>
      <c r="AR295">
        <v>0</v>
      </c>
      <c r="AS295" t="s">
        <v>6</v>
      </c>
      <c r="AT295">
        <v>17.12</v>
      </c>
      <c r="AU295" t="s">
        <v>6</v>
      </c>
      <c r="AV295">
        <v>1</v>
      </c>
      <c r="AW295">
        <v>2</v>
      </c>
      <c r="AX295">
        <v>86327571</v>
      </c>
      <c r="AY295">
        <v>1</v>
      </c>
      <c r="AZ295">
        <v>0</v>
      </c>
      <c r="BA295">
        <v>221</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CU295">
        <f>ROUND(AT295*Source!I240*AH295*AL295,0)</f>
        <v>782</v>
      </c>
      <c r="CV295">
        <f>ROUND(Y295*Source!I240,9)</f>
        <v>3.2528000000000001</v>
      </c>
      <c r="CW295">
        <v>0</v>
      </c>
      <c r="CX295">
        <f>ROUND(Y295*Source!I240,9)</f>
        <v>3.2528000000000001</v>
      </c>
      <c r="CY295">
        <f>AD295</f>
        <v>240.41</v>
      </c>
      <c r="CZ295">
        <f>AH295</f>
        <v>9.48</v>
      </c>
      <c r="DA295">
        <f>AL295</f>
        <v>25.36</v>
      </c>
      <c r="DB295">
        <f t="shared" si="133"/>
        <v>162.30000000000001</v>
      </c>
      <c r="DC295">
        <f t="shared" si="134"/>
        <v>0</v>
      </c>
      <c r="DD295" t="s">
        <v>6</v>
      </c>
      <c r="DE295" t="s">
        <v>6</v>
      </c>
      <c r="DF295">
        <f t="shared" si="136"/>
        <v>0</v>
      </c>
      <c r="DG295">
        <f t="shared" si="135"/>
        <v>0</v>
      </c>
      <c r="DH295">
        <f>Source!I240*SmtRes!Y295</f>
        <v>3.2528000000000001</v>
      </c>
      <c r="DI295">
        <f>AD295</f>
        <v>240.41</v>
      </c>
      <c r="DJ295">
        <f>EtalonRes!AB221</f>
        <v>9.48</v>
      </c>
      <c r="DK295">
        <f>Source!BA240</f>
        <v>25.36</v>
      </c>
      <c r="DL295" t="s">
        <v>6</v>
      </c>
      <c r="DM295">
        <v>0</v>
      </c>
      <c r="DN295" t="s">
        <v>6</v>
      </c>
      <c r="DO295">
        <v>0</v>
      </c>
      <c r="GQ295">
        <v>-1</v>
      </c>
      <c r="GR295">
        <v>-1</v>
      </c>
    </row>
    <row r="296" spans="1:200" x14ac:dyDescent="0.2">
      <c r="A296">
        <f>ROW(Source!A240)</f>
        <v>240</v>
      </c>
      <c r="B296">
        <v>86326988</v>
      </c>
      <c r="C296">
        <v>86327560</v>
      </c>
      <c r="D296">
        <v>121548</v>
      </c>
      <c r="E296">
        <v>1</v>
      </c>
      <c r="F296">
        <v>1</v>
      </c>
      <c r="G296">
        <v>1</v>
      </c>
      <c r="H296">
        <v>1</v>
      </c>
      <c r="I296" t="s">
        <v>40</v>
      </c>
      <c r="J296" t="s">
        <v>6</v>
      </c>
      <c r="K296" t="s">
        <v>626</v>
      </c>
      <c r="L296">
        <v>608254</v>
      </c>
      <c r="N296">
        <v>1013</v>
      </c>
      <c r="O296" t="s">
        <v>627</v>
      </c>
      <c r="P296" t="s">
        <v>627</v>
      </c>
      <c r="Q296">
        <v>1</v>
      </c>
      <c r="W296">
        <v>0</v>
      </c>
      <c r="X296">
        <v>-185737400</v>
      </c>
      <c r="Y296">
        <f t="shared" si="132"/>
        <v>0.26</v>
      </c>
      <c r="AA296">
        <v>0</v>
      </c>
      <c r="AB296">
        <v>0</v>
      </c>
      <c r="AC296">
        <v>0</v>
      </c>
      <c r="AD296">
        <v>0</v>
      </c>
      <c r="AE296">
        <v>0</v>
      </c>
      <c r="AF296">
        <v>0</v>
      </c>
      <c r="AG296">
        <v>0</v>
      </c>
      <c r="AH296">
        <v>0</v>
      </c>
      <c r="AI296">
        <v>1</v>
      </c>
      <c r="AJ296">
        <v>1</v>
      </c>
      <c r="AK296">
        <v>19.8</v>
      </c>
      <c r="AL296">
        <v>1</v>
      </c>
      <c r="AM296">
        <v>5</v>
      </c>
      <c r="AN296">
        <v>0</v>
      </c>
      <c r="AO296">
        <v>1</v>
      </c>
      <c r="AP296">
        <v>0</v>
      </c>
      <c r="AQ296">
        <v>0</v>
      </c>
      <c r="AR296">
        <v>0</v>
      </c>
      <c r="AS296" t="s">
        <v>6</v>
      </c>
      <c r="AT296">
        <v>0.26</v>
      </c>
      <c r="AU296" t="s">
        <v>6</v>
      </c>
      <c r="AV296">
        <v>2</v>
      </c>
      <c r="AW296">
        <v>2</v>
      </c>
      <c r="AX296">
        <v>86327572</v>
      </c>
      <c r="AY296">
        <v>1</v>
      </c>
      <c r="AZ296">
        <v>0</v>
      </c>
      <c r="BA296">
        <v>222</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CV296">
        <v>0</v>
      </c>
      <c r="CW296">
        <v>0</v>
      </c>
      <c r="CX296">
        <f>ROUND(Y296*Source!I240,9)</f>
        <v>4.9399999999999999E-2</v>
      </c>
      <c r="CY296">
        <f>AD296</f>
        <v>0</v>
      </c>
      <c r="CZ296">
        <f>AH296</f>
        <v>0</v>
      </c>
      <c r="DA296">
        <f>AL296</f>
        <v>1</v>
      </c>
      <c r="DB296">
        <f t="shared" si="133"/>
        <v>0</v>
      </c>
      <c r="DC296">
        <f t="shared" si="134"/>
        <v>0</v>
      </c>
      <c r="DD296" t="s">
        <v>6</v>
      </c>
      <c r="DE296" t="s">
        <v>6</v>
      </c>
      <c r="DF296">
        <f t="shared" si="136"/>
        <v>0</v>
      </c>
      <c r="DG296">
        <f t="shared" si="135"/>
        <v>0</v>
      </c>
      <c r="DH296">
        <f>Source!I240*SmtRes!Y296</f>
        <v>4.9399999999999999E-2</v>
      </c>
      <c r="DI296">
        <f>AD296</f>
        <v>0</v>
      </c>
      <c r="DJ296">
        <f>EtalonRes!AB222</f>
        <v>0</v>
      </c>
      <c r="DK296">
        <f>Source!BA240</f>
        <v>25.36</v>
      </c>
      <c r="DL296" t="s">
        <v>6</v>
      </c>
      <c r="DM296">
        <v>0</v>
      </c>
      <c r="DN296" t="s">
        <v>6</v>
      </c>
      <c r="DO296">
        <v>0</v>
      </c>
      <c r="GQ296">
        <v>-1</v>
      </c>
      <c r="GR296">
        <v>-1</v>
      </c>
    </row>
    <row r="297" spans="1:200" x14ac:dyDescent="0.2">
      <c r="A297">
        <f>ROW(Source!A240)</f>
        <v>240</v>
      </c>
      <c r="B297">
        <v>86326988</v>
      </c>
      <c r="C297">
        <v>86327560</v>
      </c>
      <c r="D297">
        <v>27439488</v>
      </c>
      <c r="E297">
        <v>1</v>
      </c>
      <c r="F297">
        <v>1</v>
      </c>
      <c r="G297">
        <v>1</v>
      </c>
      <c r="H297">
        <v>2</v>
      </c>
      <c r="I297" t="s">
        <v>666</v>
      </c>
      <c r="J297" t="s">
        <v>667</v>
      </c>
      <c r="K297" t="s">
        <v>668</v>
      </c>
      <c r="L297">
        <v>1368</v>
      </c>
      <c r="N297">
        <v>1011</v>
      </c>
      <c r="O297" t="s">
        <v>137</v>
      </c>
      <c r="P297" t="s">
        <v>137</v>
      </c>
      <c r="Q297">
        <v>1</v>
      </c>
      <c r="W297">
        <v>0</v>
      </c>
      <c r="X297">
        <v>1935423198</v>
      </c>
      <c r="Y297">
        <f t="shared" si="132"/>
        <v>0.26</v>
      </c>
      <c r="AA297">
        <v>0</v>
      </c>
      <c r="AB297">
        <v>892.27</v>
      </c>
      <c r="AC297">
        <v>269.48</v>
      </c>
      <c r="AD297">
        <v>0</v>
      </c>
      <c r="AE297">
        <v>0</v>
      </c>
      <c r="AF297">
        <v>113.81</v>
      </c>
      <c r="AG297">
        <v>13.61</v>
      </c>
      <c r="AH297">
        <v>0</v>
      </c>
      <c r="AI297">
        <v>1</v>
      </c>
      <c r="AJ297">
        <v>7.84</v>
      </c>
      <c r="AK297">
        <v>19.8</v>
      </c>
      <c r="AL297">
        <v>1</v>
      </c>
      <c r="AM297">
        <v>5</v>
      </c>
      <c r="AN297">
        <v>0</v>
      </c>
      <c r="AO297">
        <v>1</v>
      </c>
      <c r="AP297">
        <v>0</v>
      </c>
      <c r="AQ297">
        <v>0</v>
      </c>
      <c r="AR297">
        <v>0</v>
      </c>
      <c r="AS297" t="s">
        <v>6</v>
      </c>
      <c r="AT297">
        <v>0.26</v>
      </c>
      <c r="AU297" t="s">
        <v>6</v>
      </c>
      <c r="AV297">
        <v>0</v>
      </c>
      <c r="AW297">
        <v>2</v>
      </c>
      <c r="AX297">
        <v>86327573</v>
      </c>
      <c r="AY297">
        <v>1</v>
      </c>
      <c r="AZ297">
        <v>0</v>
      </c>
      <c r="BA297">
        <v>223</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CV297">
        <v>0</v>
      </c>
      <c r="CW297">
        <f>ROUND(Y297*Source!I240*DO297,9)</f>
        <v>0</v>
      </c>
      <c r="CX297">
        <f>ROUND(Y297*Source!I240,9)</f>
        <v>4.9399999999999999E-2</v>
      </c>
      <c r="CY297">
        <f>AB297</f>
        <v>892.27</v>
      </c>
      <c r="CZ297">
        <f>AF297</f>
        <v>113.81</v>
      </c>
      <c r="DA297">
        <f>AJ297</f>
        <v>7.84</v>
      </c>
      <c r="DB297">
        <f t="shared" si="133"/>
        <v>29.59</v>
      </c>
      <c r="DC297">
        <f t="shared" si="134"/>
        <v>3.54</v>
      </c>
      <c r="DD297" t="s">
        <v>6</v>
      </c>
      <c r="DE297" t="s">
        <v>6</v>
      </c>
      <c r="DF297">
        <f t="shared" si="136"/>
        <v>0</v>
      </c>
      <c r="DG297">
        <f>ROUND(ROUND(AF297*AJ297,0)*CX297,0)</f>
        <v>44</v>
      </c>
      <c r="DH297">
        <f>Source!I240*SmtRes!Y297</f>
        <v>4.9399999999999999E-2</v>
      </c>
      <c r="DI297">
        <f>AB297</f>
        <v>892.27</v>
      </c>
      <c r="DJ297">
        <f>EtalonRes!Z223</f>
        <v>113.81</v>
      </c>
      <c r="DK297">
        <f>Source!BB240</f>
        <v>7.84</v>
      </c>
      <c r="DL297" t="s">
        <v>6</v>
      </c>
      <c r="DM297">
        <v>0</v>
      </c>
      <c r="DN297" t="s">
        <v>6</v>
      </c>
      <c r="DO297">
        <v>0</v>
      </c>
      <c r="GQ297">
        <v>-1</v>
      </c>
      <c r="GR297">
        <v>-1</v>
      </c>
    </row>
    <row r="298" spans="1:200" x14ac:dyDescent="0.2">
      <c r="A298">
        <f>ROW(Source!A240)</f>
        <v>240</v>
      </c>
      <c r="B298">
        <v>86326988</v>
      </c>
      <c r="C298">
        <v>86327560</v>
      </c>
      <c r="D298">
        <v>27441078</v>
      </c>
      <c r="E298">
        <v>1</v>
      </c>
      <c r="F298">
        <v>1</v>
      </c>
      <c r="G298">
        <v>1</v>
      </c>
      <c r="H298">
        <v>2</v>
      </c>
      <c r="I298" t="s">
        <v>669</v>
      </c>
      <c r="J298" t="s">
        <v>670</v>
      </c>
      <c r="K298" t="s">
        <v>671</v>
      </c>
      <c r="L298">
        <v>1368</v>
      </c>
      <c r="N298">
        <v>1011</v>
      </c>
      <c r="O298" t="s">
        <v>137</v>
      </c>
      <c r="P298" t="s">
        <v>137</v>
      </c>
      <c r="Q298">
        <v>1</v>
      </c>
      <c r="W298">
        <v>0</v>
      </c>
      <c r="X298">
        <v>-380487195</v>
      </c>
      <c r="Y298">
        <f t="shared" si="132"/>
        <v>2.88</v>
      </c>
      <c r="AA298">
        <v>0</v>
      </c>
      <c r="AB298">
        <v>16.23</v>
      </c>
      <c r="AC298">
        <v>0</v>
      </c>
      <c r="AD298">
        <v>0</v>
      </c>
      <c r="AE298">
        <v>0</v>
      </c>
      <c r="AF298">
        <v>2.0699999999999998</v>
      </c>
      <c r="AG298">
        <v>0</v>
      </c>
      <c r="AH298">
        <v>0</v>
      </c>
      <c r="AI298">
        <v>1</v>
      </c>
      <c r="AJ298">
        <v>7.84</v>
      </c>
      <c r="AK298">
        <v>19.8</v>
      </c>
      <c r="AL298">
        <v>1</v>
      </c>
      <c r="AM298">
        <v>5</v>
      </c>
      <c r="AN298">
        <v>0</v>
      </c>
      <c r="AO298">
        <v>1</v>
      </c>
      <c r="AP298">
        <v>0</v>
      </c>
      <c r="AQ298">
        <v>0</v>
      </c>
      <c r="AR298">
        <v>0</v>
      </c>
      <c r="AS298" t="s">
        <v>6</v>
      </c>
      <c r="AT298">
        <v>2.88</v>
      </c>
      <c r="AU298" t="s">
        <v>6</v>
      </c>
      <c r="AV298">
        <v>0</v>
      </c>
      <c r="AW298">
        <v>2</v>
      </c>
      <c r="AX298">
        <v>86327574</v>
      </c>
      <c r="AY298">
        <v>1</v>
      </c>
      <c r="AZ298">
        <v>0</v>
      </c>
      <c r="BA298">
        <v>224</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CV298">
        <v>0</v>
      </c>
      <c r="CW298">
        <f>ROUND(Y298*Source!I240*DO298,9)</f>
        <v>0</v>
      </c>
      <c r="CX298">
        <f>ROUND(Y298*Source!I240,9)</f>
        <v>0.54720000000000002</v>
      </c>
      <c r="CY298">
        <f>AB298</f>
        <v>16.23</v>
      </c>
      <c r="CZ298">
        <f>AF298</f>
        <v>2.0699999999999998</v>
      </c>
      <c r="DA298">
        <f>AJ298</f>
        <v>7.84</v>
      </c>
      <c r="DB298">
        <f t="shared" si="133"/>
        <v>5.96</v>
      </c>
      <c r="DC298">
        <f t="shared" si="134"/>
        <v>0</v>
      </c>
      <c r="DD298" t="s">
        <v>6</v>
      </c>
      <c r="DE298" t="s">
        <v>6</v>
      </c>
      <c r="DF298">
        <f t="shared" si="136"/>
        <v>0</v>
      </c>
      <c r="DG298">
        <f>ROUND(ROUND(AF298*AJ298,0)*CX298,0)</f>
        <v>9</v>
      </c>
      <c r="DH298">
        <f>Source!I240*SmtRes!Y298</f>
        <v>0.54720000000000002</v>
      </c>
      <c r="DI298">
        <f>AB298</f>
        <v>16.23</v>
      </c>
      <c r="DJ298">
        <f>EtalonRes!Z224</f>
        <v>2.0699999999999998</v>
      </c>
      <c r="DK298">
        <f>Source!BB240</f>
        <v>7.84</v>
      </c>
      <c r="DL298" t="s">
        <v>6</v>
      </c>
      <c r="DM298">
        <v>0</v>
      </c>
      <c r="DN298" t="s">
        <v>6</v>
      </c>
      <c r="DO298">
        <v>0</v>
      </c>
      <c r="GQ298">
        <v>-1</v>
      </c>
      <c r="GR298">
        <v>-1</v>
      </c>
    </row>
    <row r="299" spans="1:200" x14ac:dyDescent="0.2">
      <c r="A299">
        <f>ROW(Source!A240)</f>
        <v>240</v>
      </c>
      <c r="B299">
        <v>86326988</v>
      </c>
      <c r="C299">
        <v>86327560</v>
      </c>
      <c r="D299">
        <v>27441327</v>
      </c>
      <c r="E299">
        <v>1</v>
      </c>
      <c r="F299">
        <v>1</v>
      </c>
      <c r="G299">
        <v>1</v>
      </c>
      <c r="H299">
        <v>2</v>
      </c>
      <c r="I299" t="s">
        <v>637</v>
      </c>
      <c r="J299" t="s">
        <v>638</v>
      </c>
      <c r="K299" t="s">
        <v>639</v>
      </c>
      <c r="L299">
        <v>1368</v>
      </c>
      <c r="N299">
        <v>1011</v>
      </c>
      <c r="O299" t="s">
        <v>137</v>
      </c>
      <c r="P299" t="s">
        <v>137</v>
      </c>
      <c r="Q299">
        <v>1</v>
      </c>
      <c r="W299">
        <v>0</v>
      </c>
      <c r="X299">
        <v>-1583389094</v>
      </c>
      <c r="Y299">
        <f t="shared" si="132"/>
        <v>0.26</v>
      </c>
      <c r="AA299">
        <v>0</v>
      </c>
      <c r="AB299">
        <v>732.02</v>
      </c>
      <c r="AC299">
        <v>231.46</v>
      </c>
      <c r="AD299">
        <v>0</v>
      </c>
      <c r="AE299">
        <v>0</v>
      </c>
      <c r="AF299">
        <v>93.37</v>
      </c>
      <c r="AG299">
        <v>11.69</v>
      </c>
      <c r="AH299">
        <v>0</v>
      </c>
      <c r="AI299">
        <v>1</v>
      </c>
      <c r="AJ299">
        <v>7.84</v>
      </c>
      <c r="AK299">
        <v>19.8</v>
      </c>
      <c r="AL299">
        <v>1</v>
      </c>
      <c r="AM299">
        <v>5</v>
      </c>
      <c r="AN299">
        <v>0</v>
      </c>
      <c r="AO299">
        <v>1</v>
      </c>
      <c r="AP299">
        <v>0</v>
      </c>
      <c r="AQ299">
        <v>0</v>
      </c>
      <c r="AR299">
        <v>0</v>
      </c>
      <c r="AS299" t="s">
        <v>6</v>
      </c>
      <c r="AT299">
        <v>0.26</v>
      </c>
      <c r="AU299" t="s">
        <v>6</v>
      </c>
      <c r="AV299">
        <v>0</v>
      </c>
      <c r="AW299">
        <v>2</v>
      </c>
      <c r="AX299">
        <v>86327575</v>
      </c>
      <c r="AY299">
        <v>1</v>
      </c>
      <c r="AZ299">
        <v>0</v>
      </c>
      <c r="BA299">
        <v>225</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CV299">
        <v>0</v>
      </c>
      <c r="CW299">
        <f>ROUND(Y299*Source!I240*DO299,9)</f>
        <v>0</v>
      </c>
      <c r="CX299">
        <f>ROUND(Y299*Source!I240,9)</f>
        <v>4.9399999999999999E-2</v>
      </c>
      <c r="CY299">
        <f>AB299</f>
        <v>732.02</v>
      </c>
      <c r="CZ299">
        <f>AF299</f>
        <v>93.37</v>
      </c>
      <c r="DA299">
        <f>AJ299</f>
        <v>7.84</v>
      </c>
      <c r="DB299">
        <f t="shared" si="133"/>
        <v>24.28</v>
      </c>
      <c r="DC299">
        <f t="shared" si="134"/>
        <v>3.04</v>
      </c>
      <c r="DD299" t="s">
        <v>6</v>
      </c>
      <c r="DE299" t="s">
        <v>6</v>
      </c>
      <c r="DF299">
        <f t="shared" si="136"/>
        <v>0</v>
      </c>
      <c r="DG299">
        <f>ROUND(ROUND(AF299*AJ299,0)*CX299,0)</f>
        <v>36</v>
      </c>
      <c r="DH299">
        <f>Source!I240*SmtRes!Y299</f>
        <v>4.9399999999999999E-2</v>
      </c>
      <c r="DI299">
        <f>AB299</f>
        <v>732.02</v>
      </c>
      <c r="DJ299">
        <f>EtalonRes!Z225</f>
        <v>93.37</v>
      </c>
      <c r="DK299">
        <f>Source!BB240</f>
        <v>7.84</v>
      </c>
      <c r="DL299" t="s">
        <v>6</v>
      </c>
      <c r="DM299">
        <v>0</v>
      </c>
      <c r="DN299" t="s">
        <v>6</v>
      </c>
      <c r="DO299">
        <v>0</v>
      </c>
      <c r="GQ299">
        <v>-1</v>
      </c>
      <c r="GR299">
        <v>-1</v>
      </c>
    </row>
    <row r="300" spans="1:200" x14ac:dyDescent="0.2">
      <c r="A300">
        <f>ROW(Source!A240)</f>
        <v>240</v>
      </c>
      <c r="B300">
        <v>86326988</v>
      </c>
      <c r="C300">
        <v>86327560</v>
      </c>
      <c r="D300">
        <v>27377917</v>
      </c>
      <c r="E300">
        <v>1</v>
      </c>
      <c r="F300">
        <v>1</v>
      </c>
      <c r="G300">
        <v>1</v>
      </c>
      <c r="H300">
        <v>3</v>
      </c>
      <c r="I300" t="s">
        <v>316</v>
      </c>
      <c r="J300" t="s">
        <v>318</v>
      </c>
      <c r="K300" t="s">
        <v>317</v>
      </c>
      <c r="L300">
        <v>1348</v>
      </c>
      <c r="N300">
        <v>1009</v>
      </c>
      <c r="O300" t="s">
        <v>33</v>
      </c>
      <c r="P300" t="s">
        <v>33</v>
      </c>
      <c r="Q300">
        <v>1000</v>
      </c>
      <c r="W300">
        <v>0</v>
      </c>
      <c r="X300">
        <v>1988624183</v>
      </c>
      <c r="Y300">
        <f t="shared" si="132"/>
        <v>2.2000000000000001E-3</v>
      </c>
      <c r="AA300">
        <v>96250</v>
      </c>
      <c r="AB300">
        <v>0</v>
      </c>
      <c r="AC300">
        <v>0</v>
      </c>
      <c r="AD300">
        <v>0</v>
      </c>
      <c r="AE300">
        <v>13505.55</v>
      </c>
      <c r="AF300">
        <v>0</v>
      </c>
      <c r="AG300">
        <v>0</v>
      </c>
      <c r="AH300">
        <v>0</v>
      </c>
      <c r="AI300">
        <v>7.56</v>
      </c>
      <c r="AJ300">
        <v>1</v>
      </c>
      <c r="AK300">
        <v>1</v>
      </c>
      <c r="AL300">
        <v>1</v>
      </c>
      <c r="AM300">
        <v>0</v>
      </c>
      <c r="AN300">
        <v>0</v>
      </c>
      <c r="AO300">
        <v>0</v>
      </c>
      <c r="AP300">
        <v>1</v>
      </c>
      <c r="AQ300">
        <v>0</v>
      </c>
      <c r="AR300">
        <v>0</v>
      </c>
      <c r="AS300" t="s">
        <v>6</v>
      </c>
      <c r="AT300">
        <v>2.2000000000000001E-3</v>
      </c>
      <c r="AU300" t="s">
        <v>6</v>
      </c>
      <c r="AV300">
        <v>0</v>
      </c>
      <c r="AW300">
        <v>1</v>
      </c>
      <c r="AX300">
        <v>-1</v>
      </c>
      <c r="AY300">
        <v>0</v>
      </c>
      <c r="AZ300">
        <v>0</v>
      </c>
      <c r="BA300" t="s">
        <v>6</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CV300">
        <v>0</v>
      </c>
      <c r="CW300">
        <v>0</v>
      </c>
      <c r="CX300">
        <f>ROUND(Y300*Source!I240,9)</f>
        <v>4.1800000000000002E-4</v>
      </c>
      <c r="CY300">
        <f>AA300</f>
        <v>96250</v>
      </c>
      <c r="CZ300">
        <f>AE300</f>
        <v>13505.55</v>
      </c>
      <c r="DA300">
        <f>AI300</f>
        <v>7.56</v>
      </c>
      <c r="DB300">
        <f t="shared" si="133"/>
        <v>29.71</v>
      </c>
      <c r="DC300">
        <f t="shared" si="134"/>
        <v>0</v>
      </c>
      <c r="DD300" t="s">
        <v>6</v>
      </c>
      <c r="DE300" t="s">
        <v>6</v>
      </c>
      <c r="DF300">
        <f>ROUND(ROUND(AE300*AI300,0)*CX300,0)</f>
        <v>43</v>
      </c>
      <c r="DG300">
        <f t="shared" ref="DG300:DG314" si="137">ROUND(ROUND(AF300,0)*CX300,0)</f>
        <v>0</v>
      </c>
      <c r="DH300">
        <f>Source!I240*SmtRes!Y300</f>
        <v>4.1800000000000002E-4</v>
      </c>
      <c r="DI300">
        <f>AA300</f>
        <v>96250</v>
      </c>
      <c r="DJ300">
        <f>DF300</f>
        <v>43</v>
      </c>
      <c r="DK300">
        <f>Source!BC240</f>
        <v>7.56</v>
      </c>
      <c r="DL300" t="s">
        <v>6</v>
      </c>
      <c r="DM300">
        <v>0</v>
      </c>
      <c r="DN300" t="s">
        <v>6</v>
      </c>
      <c r="DO300">
        <v>0</v>
      </c>
      <c r="GP300">
        <v>1</v>
      </c>
      <c r="GQ300">
        <v>-1</v>
      </c>
      <c r="GR300">
        <v>-1</v>
      </c>
    </row>
    <row r="301" spans="1:200" x14ac:dyDescent="0.2">
      <c r="A301">
        <f>ROW(Source!A240)</f>
        <v>240</v>
      </c>
      <c r="B301">
        <v>86326988</v>
      </c>
      <c r="C301">
        <v>86327560</v>
      </c>
      <c r="D301">
        <v>27422801</v>
      </c>
      <c r="E301">
        <v>1</v>
      </c>
      <c r="F301">
        <v>1</v>
      </c>
      <c r="G301">
        <v>1</v>
      </c>
      <c r="H301">
        <v>3</v>
      </c>
      <c r="I301" t="s">
        <v>321</v>
      </c>
      <c r="J301" t="s">
        <v>324</v>
      </c>
      <c r="K301" t="s">
        <v>322</v>
      </c>
      <c r="L301">
        <v>53010780</v>
      </c>
      <c r="N301">
        <v>1010</v>
      </c>
      <c r="O301" t="s">
        <v>323</v>
      </c>
      <c r="P301" t="s">
        <v>325</v>
      </c>
      <c r="Q301">
        <v>1</v>
      </c>
      <c r="W301">
        <v>0</v>
      </c>
      <c r="X301">
        <v>1471566618</v>
      </c>
      <c r="Y301">
        <f t="shared" si="132"/>
        <v>78.947367999999997</v>
      </c>
      <c r="AA301">
        <v>25.15</v>
      </c>
      <c r="AB301">
        <v>0</v>
      </c>
      <c r="AC301">
        <v>0</v>
      </c>
      <c r="AD301">
        <v>0</v>
      </c>
      <c r="AE301">
        <v>3.53</v>
      </c>
      <c r="AF301">
        <v>0</v>
      </c>
      <c r="AG301">
        <v>0</v>
      </c>
      <c r="AH301">
        <v>0</v>
      </c>
      <c r="AI301">
        <v>7.56</v>
      </c>
      <c r="AJ301">
        <v>1</v>
      </c>
      <c r="AK301">
        <v>1</v>
      </c>
      <c r="AL301">
        <v>1</v>
      </c>
      <c r="AM301">
        <v>0</v>
      </c>
      <c r="AN301">
        <v>0</v>
      </c>
      <c r="AO301">
        <v>0</v>
      </c>
      <c r="AP301">
        <v>1</v>
      </c>
      <c r="AQ301">
        <v>0</v>
      </c>
      <c r="AR301">
        <v>0</v>
      </c>
      <c r="AS301" t="s">
        <v>6</v>
      </c>
      <c r="AT301">
        <v>78.947367999999997</v>
      </c>
      <c r="AU301" t="s">
        <v>6</v>
      </c>
      <c r="AV301">
        <v>0</v>
      </c>
      <c r="AW301">
        <v>1</v>
      </c>
      <c r="AX301">
        <v>-1</v>
      </c>
      <c r="AY301">
        <v>0</v>
      </c>
      <c r="AZ301">
        <v>0</v>
      </c>
      <c r="BA301" t="s">
        <v>6</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CV301">
        <v>0</v>
      </c>
      <c r="CW301">
        <v>0</v>
      </c>
      <c r="CX301">
        <f>ROUND(Y301*Source!I240,9)</f>
        <v>14.99999992</v>
      </c>
      <c r="CY301">
        <f>AA301</f>
        <v>25.15</v>
      </c>
      <c r="CZ301">
        <f>AE301</f>
        <v>3.53</v>
      </c>
      <c r="DA301">
        <f>AI301</f>
        <v>7.56</v>
      </c>
      <c r="DB301">
        <f t="shared" si="133"/>
        <v>278.68</v>
      </c>
      <c r="DC301">
        <f t="shared" si="134"/>
        <v>0</v>
      </c>
      <c r="DD301" t="s">
        <v>6</v>
      </c>
      <c r="DE301" t="s">
        <v>6</v>
      </c>
      <c r="DF301">
        <f>ROUND(ROUND(AE301*AI301,0)*CX301,0)</f>
        <v>405</v>
      </c>
      <c r="DG301">
        <f t="shared" si="137"/>
        <v>0</v>
      </c>
      <c r="DH301">
        <f>Source!I240*SmtRes!Y301</f>
        <v>14.99999992</v>
      </c>
      <c r="DI301">
        <f>AA301</f>
        <v>25.15</v>
      </c>
      <c r="DJ301">
        <f>DF301</f>
        <v>405</v>
      </c>
      <c r="DK301">
        <f>Source!BC240</f>
        <v>7.56</v>
      </c>
      <c r="DL301" t="s">
        <v>6</v>
      </c>
      <c r="DM301">
        <v>0</v>
      </c>
      <c r="DN301" t="s">
        <v>6</v>
      </c>
      <c r="DO301">
        <v>0</v>
      </c>
      <c r="GP301">
        <v>1</v>
      </c>
      <c r="GQ301">
        <v>-1</v>
      </c>
      <c r="GR301">
        <v>-1</v>
      </c>
    </row>
    <row r="302" spans="1:200" x14ac:dyDescent="0.2">
      <c r="A302">
        <f>ROW(Source!A240)</f>
        <v>240</v>
      </c>
      <c r="B302">
        <v>86326988</v>
      </c>
      <c r="C302">
        <v>86327560</v>
      </c>
      <c r="D302">
        <v>27422801</v>
      </c>
      <c r="E302">
        <v>1</v>
      </c>
      <c r="F302">
        <v>1</v>
      </c>
      <c r="G302">
        <v>1</v>
      </c>
      <c r="H302">
        <v>3</v>
      </c>
      <c r="I302" t="s">
        <v>321</v>
      </c>
      <c r="J302" t="s">
        <v>324</v>
      </c>
      <c r="K302" t="s">
        <v>328</v>
      </c>
      <c r="L302">
        <v>53010780</v>
      </c>
      <c r="N302">
        <v>1010</v>
      </c>
      <c r="O302" t="s">
        <v>323</v>
      </c>
      <c r="P302" t="s">
        <v>325</v>
      </c>
      <c r="Q302">
        <v>1</v>
      </c>
      <c r="W302">
        <v>0</v>
      </c>
      <c r="X302">
        <v>-2127956255</v>
      </c>
      <c r="Y302">
        <f t="shared" si="132"/>
        <v>94.736841999999996</v>
      </c>
      <c r="AA302">
        <v>30.28</v>
      </c>
      <c r="AB302">
        <v>0</v>
      </c>
      <c r="AC302">
        <v>0</v>
      </c>
      <c r="AD302">
        <v>0</v>
      </c>
      <c r="AE302">
        <v>4.25</v>
      </c>
      <c r="AF302">
        <v>0</v>
      </c>
      <c r="AG302">
        <v>0</v>
      </c>
      <c r="AH302">
        <v>0</v>
      </c>
      <c r="AI302">
        <v>7.56</v>
      </c>
      <c r="AJ302">
        <v>1</v>
      </c>
      <c r="AK302">
        <v>1</v>
      </c>
      <c r="AL302">
        <v>1</v>
      </c>
      <c r="AM302">
        <v>0</v>
      </c>
      <c r="AN302">
        <v>0</v>
      </c>
      <c r="AO302">
        <v>0</v>
      </c>
      <c r="AP302">
        <v>1</v>
      </c>
      <c r="AQ302">
        <v>0</v>
      </c>
      <c r="AR302">
        <v>0</v>
      </c>
      <c r="AS302" t="s">
        <v>6</v>
      </c>
      <c r="AT302">
        <v>94.736841999999996</v>
      </c>
      <c r="AU302" t="s">
        <v>6</v>
      </c>
      <c r="AV302">
        <v>0</v>
      </c>
      <c r="AW302">
        <v>1</v>
      </c>
      <c r="AX302">
        <v>-1</v>
      </c>
      <c r="AY302">
        <v>0</v>
      </c>
      <c r="AZ302">
        <v>0</v>
      </c>
      <c r="BA302" t="s">
        <v>6</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CV302">
        <v>0</v>
      </c>
      <c r="CW302">
        <v>0</v>
      </c>
      <c r="CX302">
        <f>ROUND(Y302*Source!I240,9)</f>
        <v>17.999999979999998</v>
      </c>
      <c r="CY302">
        <f>AA302</f>
        <v>30.28</v>
      </c>
      <c r="CZ302">
        <f>AE302</f>
        <v>4.25</v>
      </c>
      <c r="DA302">
        <f>AI302</f>
        <v>7.56</v>
      </c>
      <c r="DB302">
        <f t="shared" si="133"/>
        <v>402.63</v>
      </c>
      <c r="DC302">
        <f t="shared" si="134"/>
        <v>0</v>
      </c>
      <c r="DD302" t="s">
        <v>6</v>
      </c>
      <c r="DE302" t="s">
        <v>6</v>
      </c>
      <c r="DF302">
        <f>ROUND(ROUND(AE302*AI302,0)*CX302,0)</f>
        <v>576</v>
      </c>
      <c r="DG302">
        <f t="shared" si="137"/>
        <v>0</v>
      </c>
      <c r="DH302">
        <f>Source!I240*SmtRes!Y302</f>
        <v>17.999999979999998</v>
      </c>
      <c r="DI302">
        <f>AA302</f>
        <v>30.28</v>
      </c>
      <c r="DJ302">
        <f>DF302</f>
        <v>576</v>
      </c>
      <c r="DK302">
        <f>Source!BC240</f>
        <v>7.56</v>
      </c>
      <c r="DL302" t="s">
        <v>6</v>
      </c>
      <c r="DM302">
        <v>0</v>
      </c>
      <c r="DN302" t="s">
        <v>6</v>
      </c>
      <c r="DO302">
        <v>0</v>
      </c>
      <c r="GP302">
        <v>1</v>
      </c>
      <c r="GQ302">
        <v>-1</v>
      </c>
      <c r="GR302">
        <v>-1</v>
      </c>
    </row>
    <row r="303" spans="1:200" x14ac:dyDescent="0.2">
      <c r="A303">
        <f>ROW(Source!A240)</f>
        <v>240</v>
      </c>
      <c r="B303">
        <v>86326988</v>
      </c>
      <c r="C303">
        <v>86327560</v>
      </c>
      <c r="D303">
        <v>27425665</v>
      </c>
      <c r="E303">
        <v>1</v>
      </c>
      <c r="F303">
        <v>1</v>
      </c>
      <c r="G303">
        <v>1</v>
      </c>
      <c r="H303">
        <v>3</v>
      </c>
      <c r="I303" t="s">
        <v>349</v>
      </c>
      <c r="J303" t="s">
        <v>351</v>
      </c>
      <c r="K303" t="s">
        <v>350</v>
      </c>
      <c r="L303">
        <v>1302</v>
      </c>
      <c r="N303">
        <v>1003</v>
      </c>
      <c r="O303" t="s">
        <v>333</v>
      </c>
      <c r="P303" t="s">
        <v>333</v>
      </c>
      <c r="Q303">
        <v>10</v>
      </c>
      <c r="W303">
        <v>0</v>
      </c>
      <c r="X303">
        <v>-2080007222</v>
      </c>
      <c r="Y303">
        <f t="shared" si="132"/>
        <v>10</v>
      </c>
      <c r="AA303">
        <v>350</v>
      </c>
      <c r="AB303">
        <v>0</v>
      </c>
      <c r="AC303">
        <v>0</v>
      </c>
      <c r="AD303">
        <v>0</v>
      </c>
      <c r="AE303">
        <v>49.11</v>
      </c>
      <c r="AF303">
        <v>0</v>
      </c>
      <c r="AG303">
        <v>0</v>
      </c>
      <c r="AH303">
        <v>0</v>
      </c>
      <c r="AI303">
        <v>7.56</v>
      </c>
      <c r="AJ303">
        <v>1</v>
      </c>
      <c r="AK303">
        <v>1</v>
      </c>
      <c r="AL303">
        <v>1</v>
      </c>
      <c r="AM303">
        <v>0</v>
      </c>
      <c r="AN303">
        <v>0</v>
      </c>
      <c r="AO303">
        <v>0</v>
      </c>
      <c r="AP303">
        <v>0</v>
      </c>
      <c r="AQ303">
        <v>0</v>
      </c>
      <c r="AR303">
        <v>0</v>
      </c>
      <c r="AS303" t="s">
        <v>6</v>
      </c>
      <c r="AT303">
        <v>10</v>
      </c>
      <c r="AU303" t="s">
        <v>6</v>
      </c>
      <c r="AV303">
        <v>0</v>
      </c>
      <c r="AW303">
        <v>1</v>
      </c>
      <c r="AX303">
        <v>-1</v>
      </c>
      <c r="AY303">
        <v>0</v>
      </c>
      <c r="AZ303">
        <v>0</v>
      </c>
      <c r="BA303" t="s">
        <v>6</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CV303">
        <v>0</v>
      </c>
      <c r="CW303">
        <v>0</v>
      </c>
      <c r="CX303">
        <f>ROUND(Y303*Source!I240,9)</f>
        <v>1.9</v>
      </c>
      <c r="CY303">
        <f>AA303</f>
        <v>350</v>
      </c>
      <c r="CZ303">
        <f>AE303</f>
        <v>49.11</v>
      </c>
      <c r="DA303">
        <f>AI303</f>
        <v>7.56</v>
      </c>
      <c r="DB303">
        <f t="shared" si="133"/>
        <v>491.1</v>
      </c>
      <c r="DC303">
        <f t="shared" si="134"/>
        <v>0</v>
      </c>
      <c r="DD303" t="s">
        <v>6</v>
      </c>
      <c r="DE303" t="s">
        <v>6</v>
      </c>
      <c r="DF303">
        <f>ROUND(ROUND(AE303*AI303,0)*CX303,0)</f>
        <v>705</v>
      </c>
      <c r="DG303">
        <f t="shared" si="137"/>
        <v>0</v>
      </c>
      <c r="DH303">
        <f>Source!I240*SmtRes!Y303</f>
        <v>1.9</v>
      </c>
      <c r="DI303">
        <f>AA303</f>
        <v>350</v>
      </c>
      <c r="DJ303">
        <f>DF303</f>
        <v>705</v>
      </c>
      <c r="DK303">
        <f>Source!BC240</f>
        <v>7.56</v>
      </c>
      <c r="DL303" t="s">
        <v>6</v>
      </c>
      <c r="DM303">
        <v>0</v>
      </c>
      <c r="DN303" t="s">
        <v>6</v>
      </c>
      <c r="DO303">
        <v>0</v>
      </c>
      <c r="GP303">
        <v>1</v>
      </c>
      <c r="GQ303">
        <v>-1</v>
      </c>
      <c r="GR303">
        <v>-1</v>
      </c>
    </row>
    <row r="304" spans="1:200" x14ac:dyDescent="0.2">
      <c r="A304">
        <f>ROW(Source!A240)</f>
        <v>240</v>
      </c>
      <c r="B304">
        <v>86326988</v>
      </c>
      <c r="C304">
        <v>86327560</v>
      </c>
      <c r="D304">
        <v>69408707</v>
      </c>
      <c r="E304">
        <v>1</v>
      </c>
      <c r="F304">
        <v>1</v>
      </c>
      <c r="G304">
        <v>1</v>
      </c>
      <c r="H304">
        <v>3</v>
      </c>
      <c r="I304" t="s">
        <v>337</v>
      </c>
      <c r="J304" t="s">
        <v>339</v>
      </c>
      <c r="K304" t="s">
        <v>338</v>
      </c>
      <c r="L304">
        <v>1339</v>
      </c>
      <c r="N304">
        <v>1007</v>
      </c>
      <c r="O304" t="s">
        <v>44</v>
      </c>
      <c r="P304" t="s">
        <v>44</v>
      </c>
      <c r="Q304">
        <v>1</v>
      </c>
      <c r="W304">
        <v>0</v>
      </c>
      <c r="X304">
        <v>2111049581</v>
      </c>
      <c r="Y304">
        <f t="shared" si="132"/>
        <v>2.1000000000000001E-2</v>
      </c>
      <c r="AA304">
        <v>4929.3500000000004</v>
      </c>
      <c r="AB304">
        <v>0</v>
      </c>
      <c r="AC304">
        <v>0</v>
      </c>
      <c r="AD304">
        <v>0</v>
      </c>
      <c r="AE304">
        <v>691.67</v>
      </c>
      <c r="AF304">
        <v>0</v>
      </c>
      <c r="AG304">
        <v>0</v>
      </c>
      <c r="AH304">
        <v>0</v>
      </c>
      <c r="AI304">
        <v>7.56</v>
      </c>
      <c r="AJ304">
        <v>1</v>
      </c>
      <c r="AK304">
        <v>1</v>
      </c>
      <c r="AL304">
        <v>1</v>
      </c>
      <c r="AM304">
        <v>0</v>
      </c>
      <c r="AN304">
        <v>0</v>
      </c>
      <c r="AO304">
        <v>0</v>
      </c>
      <c r="AP304">
        <v>1</v>
      </c>
      <c r="AQ304">
        <v>0</v>
      </c>
      <c r="AR304">
        <v>0</v>
      </c>
      <c r="AS304" t="s">
        <v>6</v>
      </c>
      <c r="AT304">
        <v>2.1000000000000001E-2</v>
      </c>
      <c r="AU304" t="s">
        <v>6</v>
      </c>
      <c r="AV304">
        <v>0</v>
      </c>
      <c r="AW304">
        <v>1</v>
      </c>
      <c r="AX304">
        <v>-1</v>
      </c>
      <c r="AY304">
        <v>0</v>
      </c>
      <c r="AZ304">
        <v>0</v>
      </c>
      <c r="BA304" t="s">
        <v>6</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CV304">
        <v>0</v>
      </c>
      <c r="CW304">
        <v>0</v>
      </c>
      <c r="CX304">
        <f>ROUND(Y304*Source!I240,9)</f>
        <v>3.9899999999999996E-3</v>
      </c>
      <c r="CY304">
        <f>AA304</f>
        <v>4929.3500000000004</v>
      </c>
      <c r="CZ304">
        <f>AE304</f>
        <v>691.67</v>
      </c>
      <c r="DA304">
        <f>AI304</f>
        <v>7.56</v>
      </c>
      <c r="DB304">
        <f t="shared" si="133"/>
        <v>14.53</v>
      </c>
      <c r="DC304">
        <f t="shared" si="134"/>
        <v>0</v>
      </c>
      <c r="DD304" t="s">
        <v>6</v>
      </c>
      <c r="DE304" t="s">
        <v>6</v>
      </c>
      <c r="DF304">
        <f>ROUND(ROUND(AE304*AI304,0)*CX304,0)</f>
        <v>21</v>
      </c>
      <c r="DG304">
        <f t="shared" si="137"/>
        <v>0</v>
      </c>
      <c r="DH304">
        <f>Source!I240*SmtRes!Y304</f>
        <v>3.9900000000000005E-3</v>
      </c>
      <c r="DI304">
        <f>AA304</f>
        <v>4929.3500000000004</v>
      </c>
      <c r="DJ304">
        <f>DF304</f>
        <v>21</v>
      </c>
      <c r="DK304">
        <f>Source!BC240</f>
        <v>7.56</v>
      </c>
      <c r="DL304" t="s">
        <v>6</v>
      </c>
      <c r="DM304">
        <v>0</v>
      </c>
      <c r="DN304" t="s">
        <v>6</v>
      </c>
      <c r="DO304">
        <v>0</v>
      </c>
      <c r="GP304">
        <v>1</v>
      </c>
      <c r="GQ304">
        <v>-1</v>
      </c>
      <c r="GR304">
        <v>-1</v>
      </c>
    </row>
    <row r="305" spans="1:200" x14ac:dyDescent="0.2">
      <c r="A305">
        <f>ROW(Source!A251)</f>
        <v>251</v>
      </c>
      <c r="B305">
        <v>86326987</v>
      </c>
      <c r="C305">
        <v>86327584</v>
      </c>
      <c r="D305">
        <v>27496319</v>
      </c>
      <c r="E305">
        <v>1</v>
      </c>
      <c r="F305">
        <v>1</v>
      </c>
      <c r="G305">
        <v>1</v>
      </c>
      <c r="H305">
        <v>1</v>
      </c>
      <c r="I305" t="s">
        <v>672</v>
      </c>
      <c r="J305" t="s">
        <v>6</v>
      </c>
      <c r="K305" t="s">
        <v>673</v>
      </c>
      <c r="L305">
        <v>1369</v>
      </c>
      <c r="N305">
        <v>1013</v>
      </c>
      <c r="O305" t="s">
        <v>625</v>
      </c>
      <c r="P305" t="s">
        <v>625</v>
      </c>
      <c r="Q305">
        <v>1</v>
      </c>
      <c r="W305">
        <v>0</v>
      </c>
      <c r="X305">
        <v>1189128158</v>
      </c>
      <c r="Y305">
        <f>(AT305*1.05)</f>
        <v>95.140500000000003</v>
      </c>
      <c r="AA305">
        <v>0</v>
      </c>
      <c r="AB305">
        <v>0</v>
      </c>
      <c r="AC305">
        <v>0</v>
      </c>
      <c r="AD305">
        <v>8.01</v>
      </c>
      <c r="AE305">
        <v>0</v>
      </c>
      <c r="AF305">
        <v>0</v>
      </c>
      <c r="AG305">
        <v>0</v>
      </c>
      <c r="AH305">
        <v>8.01</v>
      </c>
      <c r="AI305">
        <v>1</v>
      </c>
      <c r="AJ305">
        <v>1</v>
      </c>
      <c r="AK305">
        <v>1</v>
      </c>
      <c r="AL305">
        <v>1</v>
      </c>
      <c r="AM305">
        <v>0</v>
      </c>
      <c r="AN305">
        <v>0</v>
      </c>
      <c r="AO305">
        <v>1</v>
      </c>
      <c r="AP305">
        <v>1</v>
      </c>
      <c r="AQ305">
        <v>0</v>
      </c>
      <c r="AR305">
        <v>0</v>
      </c>
      <c r="AS305" t="s">
        <v>6</v>
      </c>
      <c r="AT305">
        <v>90.61</v>
      </c>
      <c r="AU305" t="s">
        <v>25</v>
      </c>
      <c r="AV305">
        <v>1</v>
      </c>
      <c r="AW305">
        <v>2</v>
      </c>
      <c r="AX305">
        <v>86327593</v>
      </c>
      <c r="AY305">
        <v>1</v>
      </c>
      <c r="AZ305">
        <v>0</v>
      </c>
      <c r="BA305">
        <v>229</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CU305">
        <f>ROUND(AT305*Source!I251*AH305*AL305,0)</f>
        <v>24</v>
      </c>
      <c r="CV305">
        <f>ROUND(Y305*Source!I251,9)</f>
        <v>3.1586645999999998</v>
      </c>
      <c r="CW305">
        <v>0</v>
      </c>
      <c r="CX305">
        <f>ROUND(Y305*Source!I251,9)</f>
        <v>3.1586645999999998</v>
      </c>
      <c r="CY305">
        <f>AD305</f>
        <v>8.01</v>
      </c>
      <c r="CZ305">
        <f>AH305</f>
        <v>8.01</v>
      </c>
      <c r="DA305">
        <f>AL305</f>
        <v>1</v>
      </c>
      <c r="DB305">
        <f>ROUND((ROUND(AT305*CZ305,2)*1.05),2)</f>
        <v>762.08</v>
      </c>
      <c r="DC305">
        <f>ROUND((ROUND(AT305*AG305,2)*1.05),2)</f>
        <v>0</v>
      </c>
      <c r="DD305" t="s">
        <v>6</v>
      </c>
      <c r="DE305" t="s">
        <v>6</v>
      </c>
      <c r="DF305">
        <f t="shared" ref="DF305:DF317" si="138">ROUND(ROUND(AE305,0)*CX305,0)</f>
        <v>0</v>
      </c>
      <c r="DG305">
        <f t="shared" si="137"/>
        <v>0</v>
      </c>
      <c r="DH305">
        <f>Source!I251*SmtRes!Y305</f>
        <v>3.1586646000000003</v>
      </c>
      <c r="DI305">
        <f>AD305</f>
        <v>8.01</v>
      </c>
      <c r="DJ305">
        <f>EtalonRes!AB229</f>
        <v>8.01</v>
      </c>
      <c r="DK305">
        <f>Source!BA251</f>
        <v>1</v>
      </c>
      <c r="DL305" t="s">
        <v>6</v>
      </c>
      <c r="DM305">
        <v>0</v>
      </c>
      <c r="DN305" t="s">
        <v>6</v>
      </c>
      <c r="DO305">
        <v>0</v>
      </c>
      <c r="GQ305">
        <v>-1</v>
      </c>
      <c r="GR305">
        <v>-1</v>
      </c>
    </row>
    <row r="306" spans="1:200" x14ac:dyDescent="0.2">
      <c r="A306">
        <f>ROW(Source!A251)</f>
        <v>251</v>
      </c>
      <c r="B306">
        <v>86326987</v>
      </c>
      <c r="C306">
        <v>86327584</v>
      </c>
      <c r="D306">
        <v>121548</v>
      </c>
      <c r="E306">
        <v>1</v>
      </c>
      <c r="F306">
        <v>1</v>
      </c>
      <c r="G306">
        <v>1</v>
      </c>
      <c r="H306">
        <v>1</v>
      </c>
      <c r="I306" t="s">
        <v>40</v>
      </c>
      <c r="J306" t="s">
        <v>6</v>
      </c>
      <c r="K306" t="s">
        <v>626</v>
      </c>
      <c r="L306">
        <v>608254</v>
      </c>
      <c r="N306">
        <v>1013</v>
      </c>
      <c r="O306" t="s">
        <v>627</v>
      </c>
      <c r="P306" t="s">
        <v>627</v>
      </c>
      <c r="Q306">
        <v>1</v>
      </c>
      <c r="W306">
        <v>0</v>
      </c>
      <c r="X306">
        <v>-185737400</v>
      </c>
      <c r="Y306">
        <f>(AT306*1.12)</f>
        <v>0.76160000000000017</v>
      </c>
      <c r="AA306">
        <v>0</v>
      </c>
      <c r="AB306">
        <v>0</v>
      </c>
      <c r="AC306">
        <v>0</v>
      </c>
      <c r="AD306">
        <v>0</v>
      </c>
      <c r="AE306">
        <v>0</v>
      </c>
      <c r="AF306">
        <v>0</v>
      </c>
      <c r="AG306">
        <v>0</v>
      </c>
      <c r="AH306">
        <v>0</v>
      </c>
      <c r="AI306">
        <v>1</v>
      </c>
      <c r="AJ306">
        <v>1</v>
      </c>
      <c r="AK306">
        <v>1</v>
      </c>
      <c r="AL306">
        <v>1</v>
      </c>
      <c r="AM306">
        <v>0</v>
      </c>
      <c r="AN306">
        <v>0</v>
      </c>
      <c r="AO306">
        <v>1</v>
      </c>
      <c r="AP306">
        <v>1</v>
      </c>
      <c r="AQ306">
        <v>0</v>
      </c>
      <c r="AR306">
        <v>0</v>
      </c>
      <c r="AS306" t="s">
        <v>6</v>
      </c>
      <c r="AT306">
        <v>0.68</v>
      </c>
      <c r="AU306" t="s">
        <v>24</v>
      </c>
      <c r="AV306">
        <v>2</v>
      </c>
      <c r="AW306">
        <v>2</v>
      </c>
      <c r="AX306">
        <v>86327594</v>
      </c>
      <c r="AY306">
        <v>1</v>
      </c>
      <c r="AZ306">
        <v>0</v>
      </c>
      <c r="BA306">
        <v>230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CV306">
        <v>0</v>
      </c>
      <c r="CW306">
        <v>0</v>
      </c>
      <c r="CX306">
        <f>ROUND(Y306*Source!I251,9)</f>
        <v>2.5285120000000001E-2</v>
      </c>
      <c r="CY306">
        <f>AD306</f>
        <v>0</v>
      </c>
      <c r="CZ306">
        <f>AH306</f>
        <v>0</v>
      </c>
      <c r="DA306">
        <f>AL306</f>
        <v>1</v>
      </c>
      <c r="DB306">
        <f>ROUND((ROUND(AT306*CZ306,2)*1.12),2)</f>
        <v>0</v>
      </c>
      <c r="DC306">
        <f>ROUND((ROUND(AT306*AG306,2)*1.12),2)</f>
        <v>0</v>
      </c>
      <c r="DD306" t="s">
        <v>6</v>
      </c>
      <c r="DE306" t="s">
        <v>6</v>
      </c>
      <c r="DF306">
        <f t="shared" si="138"/>
        <v>0</v>
      </c>
      <c r="DG306">
        <f t="shared" si="137"/>
        <v>0</v>
      </c>
      <c r="DH306">
        <f>Source!I251*SmtRes!Y306</f>
        <v>2.5285120000000005E-2</v>
      </c>
      <c r="DI306">
        <f>AD306</f>
        <v>0</v>
      </c>
      <c r="DJ306">
        <f>EtalonRes!AB230</f>
        <v>0</v>
      </c>
      <c r="DK306">
        <f>Source!BA251</f>
        <v>1</v>
      </c>
      <c r="DL306" t="s">
        <v>6</v>
      </c>
      <c r="DM306">
        <v>0</v>
      </c>
      <c r="DN306" t="s">
        <v>6</v>
      </c>
      <c r="DO306">
        <v>0</v>
      </c>
      <c r="GQ306">
        <v>-1</v>
      </c>
      <c r="GR306">
        <v>-1</v>
      </c>
    </row>
    <row r="307" spans="1:200" x14ac:dyDescent="0.2">
      <c r="A307">
        <f>ROW(Source!A251)</f>
        <v>251</v>
      </c>
      <c r="B307">
        <v>86326987</v>
      </c>
      <c r="C307">
        <v>86327584</v>
      </c>
      <c r="D307">
        <v>27439419</v>
      </c>
      <c r="E307">
        <v>1</v>
      </c>
      <c r="F307">
        <v>1</v>
      </c>
      <c r="G307">
        <v>1</v>
      </c>
      <c r="H307">
        <v>2</v>
      </c>
      <c r="I307" t="s">
        <v>628</v>
      </c>
      <c r="J307" t="s">
        <v>629</v>
      </c>
      <c r="K307" t="s">
        <v>630</v>
      </c>
      <c r="L307">
        <v>1368</v>
      </c>
      <c r="N307">
        <v>1011</v>
      </c>
      <c r="O307" t="s">
        <v>137</v>
      </c>
      <c r="P307" t="s">
        <v>137</v>
      </c>
      <c r="Q307">
        <v>1</v>
      </c>
      <c r="W307">
        <v>0</v>
      </c>
      <c r="X307">
        <v>1804162481</v>
      </c>
      <c r="Y307">
        <f>(AT307*1.12)</f>
        <v>0.64960000000000007</v>
      </c>
      <c r="AA307">
        <v>0</v>
      </c>
      <c r="AB307">
        <v>115.64</v>
      </c>
      <c r="AC307">
        <v>13.61</v>
      </c>
      <c r="AD307">
        <v>0</v>
      </c>
      <c r="AE307">
        <v>0</v>
      </c>
      <c r="AF307">
        <v>115.64</v>
      </c>
      <c r="AG307">
        <v>13.61</v>
      </c>
      <c r="AH307">
        <v>0</v>
      </c>
      <c r="AI307">
        <v>1</v>
      </c>
      <c r="AJ307">
        <v>1</v>
      </c>
      <c r="AK307">
        <v>1</v>
      </c>
      <c r="AL307">
        <v>1</v>
      </c>
      <c r="AM307">
        <v>0</v>
      </c>
      <c r="AN307">
        <v>0</v>
      </c>
      <c r="AO307">
        <v>1</v>
      </c>
      <c r="AP307">
        <v>1</v>
      </c>
      <c r="AQ307">
        <v>0</v>
      </c>
      <c r="AR307">
        <v>0</v>
      </c>
      <c r="AS307" t="s">
        <v>6</v>
      </c>
      <c r="AT307">
        <v>0.57999999999999996</v>
      </c>
      <c r="AU307" t="s">
        <v>24</v>
      </c>
      <c r="AV307">
        <v>0</v>
      </c>
      <c r="AW307">
        <v>1</v>
      </c>
      <c r="AX307">
        <v>-1</v>
      </c>
      <c r="AY307">
        <v>0</v>
      </c>
      <c r="AZ307">
        <v>0</v>
      </c>
      <c r="BA307" t="s">
        <v>6</v>
      </c>
      <c r="BB307">
        <v>5</v>
      </c>
      <c r="BC307">
        <v>0</v>
      </c>
      <c r="BD307">
        <v>75.119744000000011</v>
      </c>
      <c r="BE307">
        <v>8.841056</v>
      </c>
      <c r="BF307">
        <v>0</v>
      </c>
      <c r="BG307">
        <v>0</v>
      </c>
      <c r="BH307">
        <v>0</v>
      </c>
      <c r="BI307">
        <v>1</v>
      </c>
      <c r="BJ307">
        <v>0</v>
      </c>
      <c r="BK307">
        <v>0</v>
      </c>
      <c r="BL307">
        <v>0</v>
      </c>
      <c r="BM307">
        <v>0</v>
      </c>
      <c r="BN307">
        <v>0</v>
      </c>
      <c r="BO307">
        <v>0</v>
      </c>
      <c r="BP307">
        <v>0</v>
      </c>
      <c r="BQ307">
        <v>0</v>
      </c>
      <c r="BR307">
        <v>0</v>
      </c>
      <c r="BS307">
        <v>0</v>
      </c>
      <c r="BT307">
        <v>0</v>
      </c>
      <c r="BU307">
        <v>0</v>
      </c>
      <c r="BV307">
        <v>0</v>
      </c>
      <c r="BW307">
        <v>0</v>
      </c>
      <c r="CV307">
        <v>0</v>
      </c>
      <c r="CW307">
        <f>ROUND(Y307*Source!I251*DO307,9)</f>
        <v>0</v>
      </c>
      <c r="CX307">
        <f>ROUND(Y307*Source!I251,9)</f>
        <v>2.1566720000000001E-2</v>
      </c>
      <c r="CY307">
        <f>AB307</f>
        <v>115.64</v>
      </c>
      <c r="CZ307">
        <f>AF307</f>
        <v>115.64</v>
      </c>
      <c r="DA307">
        <f>AJ307</f>
        <v>1</v>
      </c>
      <c r="DB307">
        <f>ROUND((ROUND(AT307*CZ307,2)*1.12),2)</f>
        <v>75.12</v>
      </c>
      <c r="DC307">
        <f>ROUND((ROUND(AT307*AG307,2)*1.12),2)</f>
        <v>8.84</v>
      </c>
      <c r="DD307" t="s">
        <v>6</v>
      </c>
      <c r="DE307" t="s">
        <v>6</v>
      </c>
      <c r="DF307">
        <f t="shared" si="138"/>
        <v>0</v>
      </c>
      <c r="DG307">
        <f t="shared" si="137"/>
        <v>3</v>
      </c>
      <c r="DH307">
        <f>Source!I251*SmtRes!Y307</f>
        <v>2.1566720000000001E-2</v>
      </c>
      <c r="DI307">
        <f>AB307</f>
        <v>115.64</v>
      </c>
      <c r="DJ307">
        <f>DG307</f>
        <v>3</v>
      </c>
      <c r="DK307">
        <f>Source!BB251</f>
        <v>1</v>
      </c>
      <c r="DL307" t="s">
        <v>6</v>
      </c>
      <c r="DM307">
        <v>0</v>
      </c>
      <c r="DN307" t="s">
        <v>6</v>
      </c>
      <c r="DO307">
        <v>0</v>
      </c>
      <c r="GQ307">
        <v>-1</v>
      </c>
      <c r="GR307">
        <v>-1</v>
      </c>
    </row>
    <row r="308" spans="1:200" x14ac:dyDescent="0.2">
      <c r="A308">
        <f>ROW(Source!A251)</f>
        <v>251</v>
      </c>
      <c r="B308">
        <v>86326987</v>
      </c>
      <c r="C308">
        <v>86327584</v>
      </c>
      <c r="D308">
        <v>27439499</v>
      </c>
      <c r="E308">
        <v>1</v>
      </c>
      <c r="F308">
        <v>1</v>
      </c>
      <c r="G308">
        <v>1</v>
      </c>
      <c r="H308">
        <v>2</v>
      </c>
      <c r="I308" t="s">
        <v>631</v>
      </c>
      <c r="J308" t="s">
        <v>632</v>
      </c>
      <c r="K308" t="s">
        <v>633</v>
      </c>
      <c r="L308">
        <v>1368</v>
      </c>
      <c r="N308">
        <v>1011</v>
      </c>
      <c r="O308" t="s">
        <v>137</v>
      </c>
      <c r="P308" t="s">
        <v>137</v>
      </c>
      <c r="Q308">
        <v>1</v>
      </c>
      <c r="W308">
        <v>0</v>
      </c>
      <c r="X308">
        <v>1890856440</v>
      </c>
      <c r="Y308">
        <f>(AT308*1.12)</f>
        <v>0.11200000000000002</v>
      </c>
      <c r="AA308">
        <v>0</v>
      </c>
      <c r="AB308">
        <v>112.67</v>
      </c>
      <c r="AC308">
        <v>13.61</v>
      </c>
      <c r="AD308">
        <v>0</v>
      </c>
      <c r="AE308">
        <v>0</v>
      </c>
      <c r="AF308">
        <v>112.67</v>
      </c>
      <c r="AG308">
        <v>13.61</v>
      </c>
      <c r="AH308">
        <v>0</v>
      </c>
      <c r="AI308">
        <v>1</v>
      </c>
      <c r="AJ308">
        <v>1</v>
      </c>
      <c r="AK308">
        <v>1</v>
      </c>
      <c r="AL308">
        <v>1</v>
      </c>
      <c r="AM308">
        <v>0</v>
      </c>
      <c r="AN308">
        <v>0</v>
      </c>
      <c r="AO308">
        <v>1</v>
      </c>
      <c r="AP308">
        <v>1</v>
      </c>
      <c r="AQ308">
        <v>0</v>
      </c>
      <c r="AR308">
        <v>0</v>
      </c>
      <c r="AS308" t="s">
        <v>6</v>
      </c>
      <c r="AT308">
        <v>0.1</v>
      </c>
      <c r="AU308" t="s">
        <v>24</v>
      </c>
      <c r="AV308">
        <v>0</v>
      </c>
      <c r="AW308">
        <v>2</v>
      </c>
      <c r="AX308">
        <v>86327596</v>
      </c>
      <c r="AY308">
        <v>1</v>
      </c>
      <c r="AZ308">
        <v>0</v>
      </c>
      <c r="BA308">
        <v>232</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CV308">
        <v>0</v>
      </c>
      <c r="CW308">
        <f>ROUND(Y308*Source!I251*DO308,9)</f>
        <v>0</v>
      </c>
      <c r="CX308">
        <f>ROUND(Y308*Source!I251,9)</f>
        <v>3.7184000000000002E-3</v>
      </c>
      <c r="CY308">
        <f>AB308</f>
        <v>112.67</v>
      </c>
      <c r="CZ308">
        <f>AF308</f>
        <v>112.67</v>
      </c>
      <c r="DA308">
        <f>AJ308</f>
        <v>1</v>
      </c>
      <c r="DB308">
        <f>ROUND((ROUND(AT308*CZ308,2)*1.12),2)</f>
        <v>12.62</v>
      </c>
      <c r="DC308">
        <f>ROUND((ROUND(AT308*AG308,2)*1.12),2)</f>
        <v>1.52</v>
      </c>
      <c r="DD308" t="s">
        <v>6</v>
      </c>
      <c r="DE308" t="s">
        <v>6</v>
      </c>
      <c r="DF308">
        <f t="shared" si="138"/>
        <v>0</v>
      </c>
      <c r="DG308">
        <f t="shared" si="137"/>
        <v>0</v>
      </c>
      <c r="DH308">
        <f>Source!I251*SmtRes!Y308</f>
        <v>3.7184000000000006E-3</v>
      </c>
      <c r="DI308">
        <f>AB308</f>
        <v>112.67</v>
      </c>
      <c r="DJ308">
        <f>EtalonRes!Z232</f>
        <v>112.67</v>
      </c>
      <c r="DK308">
        <f>Source!BB251</f>
        <v>1</v>
      </c>
      <c r="DL308" t="s">
        <v>6</v>
      </c>
      <c r="DM308">
        <v>0</v>
      </c>
      <c r="DN308" t="s">
        <v>6</v>
      </c>
      <c r="DO308">
        <v>0</v>
      </c>
      <c r="GQ308">
        <v>-1</v>
      </c>
      <c r="GR308">
        <v>-1</v>
      </c>
    </row>
    <row r="309" spans="1:200" x14ac:dyDescent="0.2">
      <c r="A309">
        <f>ROW(Source!A251)</f>
        <v>251</v>
      </c>
      <c r="B309">
        <v>86326987</v>
      </c>
      <c r="C309">
        <v>86327584</v>
      </c>
      <c r="D309">
        <v>27441327</v>
      </c>
      <c r="E309">
        <v>1</v>
      </c>
      <c r="F309">
        <v>1</v>
      </c>
      <c r="G309">
        <v>1</v>
      </c>
      <c r="H309">
        <v>2</v>
      </c>
      <c r="I309" t="s">
        <v>637</v>
      </c>
      <c r="J309" t="s">
        <v>638</v>
      </c>
      <c r="K309" t="s">
        <v>639</v>
      </c>
      <c r="L309">
        <v>1368</v>
      </c>
      <c r="N309">
        <v>1011</v>
      </c>
      <c r="O309" t="s">
        <v>137</v>
      </c>
      <c r="P309" t="s">
        <v>137</v>
      </c>
      <c r="Q309">
        <v>1</v>
      </c>
      <c r="W309">
        <v>0</v>
      </c>
      <c r="X309">
        <v>-1583389094</v>
      </c>
      <c r="Y309">
        <f>(AT309*1.12)</f>
        <v>0.15680000000000002</v>
      </c>
      <c r="AA309">
        <v>0</v>
      </c>
      <c r="AB309">
        <v>93.37</v>
      </c>
      <c r="AC309">
        <v>11.69</v>
      </c>
      <c r="AD309">
        <v>0</v>
      </c>
      <c r="AE309">
        <v>0</v>
      </c>
      <c r="AF309">
        <v>93.37</v>
      </c>
      <c r="AG309">
        <v>11.69</v>
      </c>
      <c r="AH309">
        <v>0</v>
      </c>
      <c r="AI309">
        <v>1</v>
      </c>
      <c r="AJ309">
        <v>1</v>
      </c>
      <c r="AK309">
        <v>1</v>
      </c>
      <c r="AL309">
        <v>1</v>
      </c>
      <c r="AM309">
        <v>0</v>
      </c>
      <c r="AN309">
        <v>0</v>
      </c>
      <c r="AO309">
        <v>1</v>
      </c>
      <c r="AP309">
        <v>1</v>
      </c>
      <c r="AQ309">
        <v>0</v>
      </c>
      <c r="AR309">
        <v>0</v>
      </c>
      <c r="AS309" t="s">
        <v>6</v>
      </c>
      <c r="AT309">
        <v>0.14000000000000001</v>
      </c>
      <c r="AU309" t="s">
        <v>24</v>
      </c>
      <c r="AV309">
        <v>0</v>
      </c>
      <c r="AW309">
        <v>2</v>
      </c>
      <c r="AX309">
        <v>86327597</v>
      </c>
      <c r="AY309">
        <v>1</v>
      </c>
      <c r="AZ309">
        <v>0</v>
      </c>
      <c r="BA309">
        <v>233</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CV309">
        <v>0</v>
      </c>
      <c r="CW309">
        <f>ROUND(Y309*Source!I251*DO309,9)</f>
        <v>0</v>
      </c>
      <c r="CX309">
        <f>ROUND(Y309*Source!I251,9)</f>
        <v>5.2057600000000002E-3</v>
      </c>
      <c r="CY309">
        <f>AB309</f>
        <v>93.37</v>
      </c>
      <c r="CZ309">
        <f>AF309</f>
        <v>93.37</v>
      </c>
      <c r="DA309">
        <f>AJ309</f>
        <v>1</v>
      </c>
      <c r="DB309">
        <f>ROUND((ROUND(AT309*CZ309,2)*1.12),2)</f>
        <v>14.64</v>
      </c>
      <c r="DC309">
        <f>ROUND((ROUND(AT309*AG309,2)*1.12),2)</f>
        <v>1.84</v>
      </c>
      <c r="DD309" t="s">
        <v>6</v>
      </c>
      <c r="DE309" t="s">
        <v>6</v>
      </c>
      <c r="DF309">
        <f t="shared" si="138"/>
        <v>0</v>
      </c>
      <c r="DG309">
        <f t="shared" si="137"/>
        <v>0</v>
      </c>
      <c r="DH309">
        <f>Source!I251*SmtRes!Y309</f>
        <v>5.2057600000000011E-3</v>
      </c>
      <c r="DI309">
        <f>AB309</f>
        <v>93.37</v>
      </c>
      <c r="DJ309">
        <f>EtalonRes!Z233</f>
        <v>93.37</v>
      </c>
      <c r="DK309">
        <f>Source!BB251</f>
        <v>1</v>
      </c>
      <c r="DL309" t="s">
        <v>6</v>
      </c>
      <c r="DM309">
        <v>0</v>
      </c>
      <c r="DN309" t="s">
        <v>6</v>
      </c>
      <c r="DO309">
        <v>0</v>
      </c>
      <c r="GQ309">
        <v>-1</v>
      </c>
      <c r="GR309">
        <v>-1</v>
      </c>
    </row>
    <row r="310" spans="1:200" x14ac:dyDescent="0.2">
      <c r="A310">
        <f>ROW(Source!A251)</f>
        <v>251</v>
      </c>
      <c r="B310">
        <v>86326987</v>
      </c>
      <c r="C310">
        <v>86327584</v>
      </c>
      <c r="D310">
        <v>27377917</v>
      </c>
      <c r="E310">
        <v>1</v>
      </c>
      <c r="F310">
        <v>1</v>
      </c>
      <c r="G310">
        <v>1</v>
      </c>
      <c r="H310">
        <v>3</v>
      </c>
      <c r="I310" t="s">
        <v>316</v>
      </c>
      <c r="J310" t="s">
        <v>318</v>
      </c>
      <c r="K310" t="s">
        <v>317</v>
      </c>
      <c r="L310">
        <v>1348</v>
      </c>
      <c r="N310">
        <v>1009</v>
      </c>
      <c r="O310" t="s">
        <v>33</v>
      </c>
      <c r="P310" t="s">
        <v>33</v>
      </c>
      <c r="Q310">
        <v>1000</v>
      </c>
      <c r="W310">
        <v>0</v>
      </c>
      <c r="X310">
        <v>1988624183</v>
      </c>
      <c r="Y310">
        <f>AT310</f>
        <v>6.0000000000000001E-3</v>
      </c>
      <c r="AA310">
        <v>10559.12</v>
      </c>
      <c r="AB310">
        <v>0</v>
      </c>
      <c r="AC310">
        <v>0</v>
      </c>
      <c r="AD310">
        <v>0</v>
      </c>
      <c r="AE310">
        <v>10559.12</v>
      </c>
      <c r="AF310">
        <v>0</v>
      </c>
      <c r="AG310">
        <v>0</v>
      </c>
      <c r="AH310">
        <v>0</v>
      </c>
      <c r="AI310">
        <v>1</v>
      </c>
      <c r="AJ310">
        <v>1</v>
      </c>
      <c r="AK310">
        <v>1</v>
      </c>
      <c r="AL310">
        <v>1</v>
      </c>
      <c r="AM310">
        <v>0</v>
      </c>
      <c r="AN310">
        <v>0</v>
      </c>
      <c r="AO310">
        <v>0</v>
      </c>
      <c r="AP310">
        <v>1</v>
      </c>
      <c r="AQ310">
        <v>0</v>
      </c>
      <c r="AR310">
        <v>0</v>
      </c>
      <c r="AS310" t="s">
        <v>6</v>
      </c>
      <c r="AT310">
        <v>6.0000000000000001E-3</v>
      </c>
      <c r="AU310" t="s">
        <v>6</v>
      </c>
      <c r="AV310">
        <v>0</v>
      </c>
      <c r="AW310">
        <v>2</v>
      </c>
      <c r="AX310">
        <v>86327598</v>
      </c>
      <c r="AY310">
        <v>1</v>
      </c>
      <c r="AZ310">
        <v>0</v>
      </c>
      <c r="BA310">
        <v>234</v>
      </c>
      <c r="BB310">
        <v>3</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CV310">
        <v>0</v>
      </c>
      <c r="CW310">
        <v>0</v>
      </c>
      <c r="CX310">
        <f>ROUND(Y310*Source!I251,9)</f>
        <v>1.9919999999999999E-4</v>
      </c>
      <c r="CY310">
        <f>AA310</f>
        <v>10559.12</v>
      </c>
      <c r="CZ310">
        <f>AE310</f>
        <v>10559.12</v>
      </c>
      <c r="DA310">
        <f>AI310</f>
        <v>1</v>
      </c>
      <c r="DB310">
        <f>ROUND(ROUND(AT310*CZ310,2),2)</f>
        <v>63.35</v>
      </c>
      <c r="DC310">
        <f>ROUND(ROUND(AT310*AG310,2),2)</f>
        <v>0</v>
      </c>
      <c r="DD310" t="s">
        <v>6</v>
      </c>
      <c r="DE310" t="s">
        <v>6</v>
      </c>
      <c r="DF310">
        <f t="shared" si="138"/>
        <v>2</v>
      </c>
      <c r="DG310">
        <f t="shared" si="137"/>
        <v>0</v>
      </c>
      <c r="DH310">
        <f>Source!I251*SmtRes!Y310</f>
        <v>1.9920000000000002E-4</v>
      </c>
      <c r="DI310">
        <f>AA310</f>
        <v>10559.12</v>
      </c>
      <c r="DJ310">
        <f>EtalonRes!Y234</f>
        <v>10559.12</v>
      </c>
      <c r="DK310">
        <f>Source!BC251</f>
        <v>1</v>
      </c>
      <c r="DL310" t="s">
        <v>6</v>
      </c>
      <c r="DM310">
        <v>0</v>
      </c>
      <c r="DN310" t="s">
        <v>6</v>
      </c>
      <c r="DO310">
        <v>0</v>
      </c>
      <c r="GP310">
        <v>1</v>
      </c>
      <c r="GQ310">
        <v>-1</v>
      </c>
      <c r="GR310">
        <v>-1</v>
      </c>
    </row>
    <row r="311" spans="1:200" x14ac:dyDescent="0.2">
      <c r="A311">
        <f>ROW(Source!A251)</f>
        <v>251</v>
      </c>
      <c r="B311">
        <v>86326987</v>
      </c>
      <c r="C311">
        <v>86327584</v>
      </c>
      <c r="D311">
        <v>69205180</v>
      </c>
      <c r="E311">
        <v>1</v>
      </c>
      <c r="F311">
        <v>1</v>
      </c>
      <c r="G311">
        <v>1</v>
      </c>
      <c r="H311">
        <v>3</v>
      </c>
      <c r="I311" t="s">
        <v>360</v>
      </c>
      <c r="J311" t="s">
        <v>362</v>
      </c>
      <c r="K311" t="s">
        <v>361</v>
      </c>
      <c r="L311">
        <v>1348</v>
      </c>
      <c r="N311">
        <v>1009</v>
      </c>
      <c r="O311" t="s">
        <v>33</v>
      </c>
      <c r="P311" t="s">
        <v>33</v>
      </c>
      <c r="Q311">
        <v>1000</v>
      </c>
      <c r="W311">
        <v>0</v>
      </c>
      <c r="X311">
        <v>1093046587</v>
      </c>
      <c r="Y311">
        <f>AT311</f>
        <v>0.59337300000000004</v>
      </c>
      <c r="AA311">
        <v>14744.52</v>
      </c>
      <c r="AB311">
        <v>0</v>
      </c>
      <c r="AC311">
        <v>0</v>
      </c>
      <c r="AD311">
        <v>0</v>
      </c>
      <c r="AE311">
        <v>14744.52</v>
      </c>
      <c r="AF311">
        <v>0</v>
      </c>
      <c r="AG311">
        <v>0</v>
      </c>
      <c r="AH311">
        <v>0</v>
      </c>
      <c r="AI311">
        <v>1</v>
      </c>
      <c r="AJ311">
        <v>1</v>
      </c>
      <c r="AK311">
        <v>1</v>
      </c>
      <c r="AL311">
        <v>1</v>
      </c>
      <c r="AM311">
        <v>0</v>
      </c>
      <c r="AN311">
        <v>0</v>
      </c>
      <c r="AO311">
        <v>0</v>
      </c>
      <c r="AP311">
        <v>1</v>
      </c>
      <c r="AQ311">
        <v>0</v>
      </c>
      <c r="AR311">
        <v>0</v>
      </c>
      <c r="AS311" t="s">
        <v>6</v>
      </c>
      <c r="AT311">
        <v>0.59337300000000004</v>
      </c>
      <c r="AU311" t="s">
        <v>6</v>
      </c>
      <c r="AV311">
        <v>0</v>
      </c>
      <c r="AW311">
        <v>1</v>
      </c>
      <c r="AX311">
        <v>-1</v>
      </c>
      <c r="AY311">
        <v>0</v>
      </c>
      <c r="AZ311">
        <v>0</v>
      </c>
      <c r="BA311" t="s">
        <v>6</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CV311">
        <v>0</v>
      </c>
      <c r="CW311">
        <v>0</v>
      </c>
      <c r="CX311">
        <f>ROUND(Y311*Source!I251,9)</f>
        <v>1.9699984E-2</v>
      </c>
      <c r="CY311">
        <f>AA311</f>
        <v>14744.52</v>
      </c>
      <c r="CZ311">
        <f>AE311</f>
        <v>14744.52</v>
      </c>
      <c r="DA311">
        <f>AI311</f>
        <v>1</v>
      </c>
      <c r="DB311">
        <f>ROUND(ROUND(AT311*CZ311,2),2)</f>
        <v>8749</v>
      </c>
      <c r="DC311">
        <f>ROUND(ROUND(AT311*AG311,2),2)</f>
        <v>0</v>
      </c>
      <c r="DD311" t="s">
        <v>6</v>
      </c>
      <c r="DE311" t="s">
        <v>6</v>
      </c>
      <c r="DF311">
        <f t="shared" si="138"/>
        <v>290</v>
      </c>
      <c r="DG311">
        <f t="shared" si="137"/>
        <v>0</v>
      </c>
      <c r="DH311">
        <f>Source!I251*SmtRes!Y311</f>
        <v>1.9699983600000002E-2</v>
      </c>
      <c r="DI311">
        <f>AA311</f>
        <v>14744.52</v>
      </c>
      <c r="DJ311">
        <f>DF311</f>
        <v>290</v>
      </c>
      <c r="DK311">
        <f>Source!BC251</f>
        <v>1</v>
      </c>
      <c r="DL311" t="s">
        <v>6</v>
      </c>
      <c r="DM311">
        <v>0</v>
      </c>
      <c r="DN311" t="s">
        <v>6</v>
      </c>
      <c r="DO311">
        <v>0</v>
      </c>
      <c r="GP311">
        <v>1</v>
      </c>
      <c r="GQ311">
        <v>-1</v>
      </c>
      <c r="GR311">
        <v>-1</v>
      </c>
    </row>
    <row r="312" spans="1:200" x14ac:dyDescent="0.2">
      <c r="A312">
        <f>ROW(Source!A251)</f>
        <v>251</v>
      </c>
      <c r="B312">
        <v>86326987</v>
      </c>
      <c r="C312">
        <v>86327584</v>
      </c>
      <c r="D312">
        <v>0</v>
      </c>
      <c r="E312">
        <v>0</v>
      </c>
      <c r="F312">
        <v>1</v>
      </c>
      <c r="G312">
        <v>1</v>
      </c>
      <c r="H312">
        <v>3</v>
      </c>
      <c r="I312" t="s">
        <v>365</v>
      </c>
      <c r="J312" t="s">
        <v>362</v>
      </c>
      <c r="K312" t="s">
        <v>366</v>
      </c>
      <c r="L312">
        <v>1348</v>
      </c>
      <c r="N312">
        <v>1009</v>
      </c>
      <c r="O312" t="s">
        <v>33</v>
      </c>
      <c r="P312" t="s">
        <v>33</v>
      </c>
      <c r="Q312">
        <v>1000</v>
      </c>
      <c r="W312">
        <v>0</v>
      </c>
      <c r="X312">
        <v>-1150752990</v>
      </c>
      <c r="Y312">
        <f>AT312</f>
        <v>0.40662700000000002</v>
      </c>
      <c r="AA312">
        <v>30529.919999999998</v>
      </c>
      <c r="AB312">
        <v>0</v>
      </c>
      <c r="AC312">
        <v>0</v>
      </c>
      <c r="AD312">
        <v>0</v>
      </c>
      <c r="AE312">
        <v>30529.920000000002</v>
      </c>
      <c r="AF312">
        <v>0</v>
      </c>
      <c r="AG312">
        <v>0</v>
      </c>
      <c r="AH312">
        <v>0</v>
      </c>
      <c r="AI312">
        <v>1</v>
      </c>
      <c r="AJ312">
        <v>1</v>
      </c>
      <c r="AK312">
        <v>1</v>
      </c>
      <c r="AL312">
        <v>1</v>
      </c>
      <c r="AM312">
        <v>0</v>
      </c>
      <c r="AN312">
        <v>0</v>
      </c>
      <c r="AO312">
        <v>0</v>
      </c>
      <c r="AP312">
        <v>0</v>
      </c>
      <c r="AQ312">
        <v>0</v>
      </c>
      <c r="AR312">
        <v>0</v>
      </c>
      <c r="AS312" t="s">
        <v>6</v>
      </c>
      <c r="AT312">
        <v>0.40662700000000002</v>
      </c>
      <c r="AU312" t="s">
        <v>6</v>
      </c>
      <c r="AV312">
        <v>0</v>
      </c>
      <c r="AW312">
        <v>1</v>
      </c>
      <c r="AX312">
        <v>-1</v>
      </c>
      <c r="AY312">
        <v>0</v>
      </c>
      <c r="AZ312">
        <v>0</v>
      </c>
      <c r="BA312" t="s">
        <v>6</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CV312">
        <v>0</v>
      </c>
      <c r="CW312">
        <v>0</v>
      </c>
      <c r="CX312">
        <f>ROUND(Y312*Source!I251,9)</f>
        <v>1.3500016E-2</v>
      </c>
      <c r="CY312">
        <f>AA312</f>
        <v>30529.919999999998</v>
      </c>
      <c r="CZ312">
        <f>AE312</f>
        <v>30529.920000000002</v>
      </c>
      <c r="DA312">
        <f>AI312</f>
        <v>1</v>
      </c>
      <c r="DB312">
        <f>ROUND(ROUND(AT312*CZ312,2),2)</f>
        <v>12414.29</v>
      </c>
      <c r="DC312">
        <f>ROUND(ROUND(AT312*AG312,2),2)</f>
        <v>0</v>
      </c>
      <c r="DD312" t="s">
        <v>6</v>
      </c>
      <c r="DE312" t="s">
        <v>6</v>
      </c>
      <c r="DF312">
        <f t="shared" si="138"/>
        <v>412</v>
      </c>
      <c r="DG312">
        <f t="shared" si="137"/>
        <v>0</v>
      </c>
      <c r="DH312">
        <f>Source!I251*SmtRes!Y312</f>
        <v>1.35000164E-2</v>
      </c>
      <c r="DI312">
        <f>AA312</f>
        <v>30529.919999999998</v>
      </c>
      <c r="DJ312">
        <f>DF312</f>
        <v>412</v>
      </c>
      <c r="DK312">
        <f>Source!BC251</f>
        <v>1</v>
      </c>
      <c r="DL312" t="s">
        <v>6</v>
      </c>
      <c r="DM312">
        <v>0</v>
      </c>
      <c r="DN312" t="s">
        <v>6</v>
      </c>
      <c r="DO312">
        <v>0</v>
      </c>
      <c r="GP312">
        <v>1</v>
      </c>
      <c r="GQ312">
        <v>-1</v>
      </c>
      <c r="GR312">
        <v>-1</v>
      </c>
    </row>
    <row r="313" spans="1:200" x14ac:dyDescent="0.2">
      <c r="A313">
        <f>ROW(Source!A252)</f>
        <v>252</v>
      </c>
      <c r="B313">
        <v>86326988</v>
      </c>
      <c r="C313">
        <v>86327584</v>
      </c>
      <c r="D313">
        <v>27496319</v>
      </c>
      <c r="E313">
        <v>1</v>
      </c>
      <c r="F313">
        <v>1</v>
      </c>
      <c r="G313">
        <v>1</v>
      </c>
      <c r="H313">
        <v>1</v>
      </c>
      <c r="I313" t="s">
        <v>672</v>
      </c>
      <c r="J313" t="s">
        <v>6</v>
      </c>
      <c r="K313" t="s">
        <v>673</v>
      </c>
      <c r="L313">
        <v>1369</v>
      </c>
      <c r="N313">
        <v>1013</v>
      </c>
      <c r="O313" t="s">
        <v>625</v>
      </c>
      <c r="P313" t="s">
        <v>625</v>
      </c>
      <c r="Q313">
        <v>1</v>
      </c>
      <c r="W313">
        <v>0</v>
      </c>
      <c r="X313">
        <v>1189128158</v>
      </c>
      <c r="Y313">
        <f>(AT313*1.05)</f>
        <v>95.140500000000003</v>
      </c>
      <c r="AA313">
        <v>0</v>
      </c>
      <c r="AB313">
        <v>0</v>
      </c>
      <c r="AC313">
        <v>0</v>
      </c>
      <c r="AD313">
        <v>203.13</v>
      </c>
      <c r="AE313">
        <v>0</v>
      </c>
      <c r="AF313">
        <v>0</v>
      </c>
      <c r="AG313">
        <v>0</v>
      </c>
      <c r="AH313">
        <v>8.01</v>
      </c>
      <c r="AI313">
        <v>1</v>
      </c>
      <c r="AJ313">
        <v>1</v>
      </c>
      <c r="AK313">
        <v>1</v>
      </c>
      <c r="AL313">
        <v>25.36</v>
      </c>
      <c r="AM313">
        <v>5</v>
      </c>
      <c r="AN313">
        <v>0</v>
      </c>
      <c r="AO313">
        <v>1</v>
      </c>
      <c r="AP313">
        <v>1</v>
      </c>
      <c r="AQ313">
        <v>0</v>
      </c>
      <c r="AR313">
        <v>0</v>
      </c>
      <c r="AS313" t="s">
        <v>6</v>
      </c>
      <c r="AT313">
        <v>90.61</v>
      </c>
      <c r="AU313" t="s">
        <v>25</v>
      </c>
      <c r="AV313">
        <v>1</v>
      </c>
      <c r="AW313">
        <v>2</v>
      </c>
      <c r="AX313">
        <v>86327593</v>
      </c>
      <c r="AY313">
        <v>1</v>
      </c>
      <c r="AZ313">
        <v>0</v>
      </c>
      <c r="BA313">
        <v>236</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CU313">
        <f>ROUND(AT313*Source!I252*AH313*AL313,0)</f>
        <v>611</v>
      </c>
      <c r="CV313">
        <f>ROUND(Y313*Source!I252,9)</f>
        <v>3.1586645999999998</v>
      </c>
      <c r="CW313">
        <v>0</v>
      </c>
      <c r="CX313">
        <f>ROUND(Y313*Source!I252,9)</f>
        <v>3.1586645999999998</v>
      </c>
      <c r="CY313">
        <f>AD313</f>
        <v>203.13</v>
      </c>
      <c r="CZ313">
        <f>AH313</f>
        <v>8.01</v>
      </c>
      <c r="DA313">
        <f>AL313</f>
        <v>25.36</v>
      </c>
      <c r="DB313">
        <f>ROUND((ROUND(AT313*CZ313,2)*1.05),2)</f>
        <v>762.08</v>
      </c>
      <c r="DC313">
        <f>ROUND((ROUND(AT313*AG313,2)*1.05),2)</f>
        <v>0</v>
      </c>
      <c r="DD313" t="s">
        <v>6</v>
      </c>
      <c r="DE313" t="s">
        <v>6</v>
      </c>
      <c r="DF313">
        <f t="shared" si="138"/>
        <v>0</v>
      </c>
      <c r="DG313">
        <f t="shared" si="137"/>
        <v>0</v>
      </c>
      <c r="DH313">
        <f>Source!I252*SmtRes!Y313</f>
        <v>3.1586646000000003</v>
      </c>
      <c r="DI313">
        <f>AD313</f>
        <v>203.13</v>
      </c>
      <c r="DJ313">
        <f>EtalonRes!AB236</f>
        <v>8.01</v>
      </c>
      <c r="DK313">
        <f>Source!BA252</f>
        <v>25.36</v>
      </c>
      <c r="DL313" t="s">
        <v>6</v>
      </c>
      <c r="DM313">
        <v>0</v>
      </c>
      <c r="DN313" t="s">
        <v>6</v>
      </c>
      <c r="DO313">
        <v>0</v>
      </c>
      <c r="GQ313">
        <v>-1</v>
      </c>
      <c r="GR313">
        <v>-1</v>
      </c>
    </row>
    <row r="314" spans="1:200" x14ac:dyDescent="0.2">
      <c r="A314">
        <f>ROW(Source!A252)</f>
        <v>252</v>
      </c>
      <c r="B314">
        <v>86326988</v>
      </c>
      <c r="C314">
        <v>86327584</v>
      </c>
      <c r="D314">
        <v>121548</v>
      </c>
      <c r="E314">
        <v>1</v>
      </c>
      <c r="F314">
        <v>1</v>
      </c>
      <c r="G314">
        <v>1</v>
      </c>
      <c r="H314">
        <v>1</v>
      </c>
      <c r="I314" t="s">
        <v>40</v>
      </c>
      <c r="J314" t="s">
        <v>6</v>
      </c>
      <c r="K314" t="s">
        <v>626</v>
      </c>
      <c r="L314">
        <v>608254</v>
      </c>
      <c r="N314">
        <v>1013</v>
      </c>
      <c r="O314" t="s">
        <v>627</v>
      </c>
      <c r="P314" t="s">
        <v>627</v>
      </c>
      <c r="Q314">
        <v>1</v>
      </c>
      <c r="W314">
        <v>0</v>
      </c>
      <c r="X314">
        <v>-185737400</v>
      </c>
      <c r="Y314">
        <f>(AT314*1.12)</f>
        <v>0.76160000000000017</v>
      </c>
      <c r="AA314">
        <v>0</v>
      </c>
      <c r="AB314">
        <v>0</v>
      </c>
      <c r="AC314">
        <v>0</v>
      </c>
      <c r="AD314">
        <v>0</v>
      </c>
      <c r="AE314">
        <v>0</v>
      </c>
      <c r="AF314">
        <v>0</v>
      </c>
      <c r="AG314">
        <v>0</v>
      </c>
      <c r="AH314">
        <v>0</v>
      </c>
      <c r="AI314">
        <v>1</v>
      </c>
      <c r="AJ314">
        <v>1</v>
      </c>
      <c r="AK314">
        <v>19.8</v>
      </c>
      <c r="AL314">
        <v>1</v>
      </c>
      <c r="AM314">
        <v>5</v>
      </c>
      <c r="AN314">
        <v>0</v>
      </c>
      <c r="AO314">
        <v>1</v>
      </c>
      <c r="AP314">
        <v>1</v>
      </c>
      <c r="AQ314">
        <v>0</v>
      </c>
      <c r="AR314">
        <v>0</v>
      </c>
      <c r="AS314" t="s">
        <v>6</v>
      </c>
      <c r="AT314">
        <v>0.68</v>
      </c>
      <c r="AU314" t="s">
        <v>24</v>
      </c>
      <c r="AV314">
        <v>2</v>
      </c>
      <c r="AW314">
        <v>2</v>
      </c>
      <c r="AX314">
        <v>86327594</v>
      </c>
      <c r="AY314">
        <v>1</v>
      </c>
      <c r="AZ314">
        <v>0</v>
      </c>
      <c r="BA314">
        <v>237</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CV314">
        <v>0</v>
      </c>
      <c r="CW314">
        <v>0</v>
      </c>
      <c r="CX314">
        <f>ROUND(Y314*Source!I252,9)</f>
        <v>2.5285120000000001E-2</v>
      </c>
      <c r="CY314">
        <f>AD314</f>
        <v>0</v>
      </c>
      <c r="CZ314">
        <f>AH314</f>
        <v>0</v>
      </c>
      <c r="DA314">
        <f>AL314</f>
        <v>1</v>
      </c>
      <c r="DB314">
        <f>ROUND((ROUND(AT314*CZ314,2)*1.12),2)</f>
        <v>0</v>
      </c>
      <c r="DC314">
        <f>ROUND((ROUND(AT314*AG314,2)*1.12),2)</f>
        <v>0</v>
      </c>
      <c r="DD314" t="s">
        <v>6</v>
      </c>
      <c r="DE314" t="s">
        <v>6</v>
      </c>
      <c r="DF314">
        <f t="shared" si="138"/>
        <v>0</v>
      </c>
      <c r="DG314">
        <f t="shared" si="137"/>
        <v>0</v>
      </c>
      <c r="DH314">
        <f>Source!I252*SmtRes!Y314</f>
        <v>2.5285120000000005E-2</v>
      </c>
      <c r="DI314">
        <f>AD314</f>
        <v>0</v>
      </c>
      <c r="DJ314">
        <f>EtalonRes!AB237</f>
        <v>0</v>
      </c>
      <c r="DK314">
        <f>Source!BA252</f>
        <v>25.36</v>
      </c>
      <c r="DL314" t="s">
        <v>6</v>
      </c>
      <c r="DM314">
        <v>0</v>
      </c>
      <c r="DN314" t="s">
        <v>6</v>
      </c>
      <c r="DO314">
        <v>0</v>
      </c>
      <c r="GQ314">
        <v>-1</v>
      </c>
      <c r="GR314">
        <v>-1</v>
      </c>
    </row>
    <row r="315" spans="1:200" x14ac:dyDescent="0.2">
      <c r="A315">
        <f>ROW(Source!A252)</f>
        <v>252</v>
      </c>
      <c r="B315">
        <v>86326988</v>
      </c>
      <c r="C315">
        <v>86327584</v>
      </c>
      <c r="D315">
        <v>27439419</v>
      </c>
      <c r="E315">
        <v>1</v>
      </c>
      <c r="F315">
        <v>1</v>
      </c>
      <c r="G315">
        <v>1</v>
      </c>
      <c r="H315">
        <v>2</v>
      </c>
      <c r="I315" t="s">
        <v>628</v>
      </c>
      <c r="J315" t="s">
        <v>629</v>
      </c>
      <c r="K315" t="s">
        <v>630</v>
      </c>
      <c r="L315">
        <v>1368</v>
      </c>
      <c r="N315">
        <v>1011</v>
      </c>
      <c r="O315" t="s">
        <v>137</v>
      </c>
      <c r="P315" t="s">
        <v>137</v>
      </c>
      <c r="Q315">
        <v>1</v>
      </c>
      <c r="W315">
        <v>0</v>
      </c>
      <c r="X315">
        <v>1804162481</v>
      </c>
      <c r="Y315">
        <f>(AT315*1.12)</f>
        <v>0.64960000000000007</v>
      </c>
      <c r="AA315">
        <v>0</v>
      </c>
      <c r="AB315">
        <v>906.62</v>
      </c>
      <c r="AC315">
        <v>269.48</v>
      </c>
      <c r="AD315">
        <v>0</v>
      </c>
      <c r="AE315">
        <v>0</v>
      </c>
      <c r="AF315">
        <v>115.64</v>
      </c>
      <c r="AG315">
        <v>13.61</v>
      </c>
      <c r="AH315">
        <v>0</v>
      </c>
      <c r="AI315">
        <v>1</v>
      </c>
      <c r="AJ315">
        <v>7.84</v>
      </c>
      <c r="AK315">
        <v>19.8</v>
      </c>
      <c r="AL315">
        <v>1</v>
      </c>
      <c r="AM315">
        <v>5</v>
      </c>
      <c r="AN315">
        <v>0</v>
      </c>
      <c r="AO315">
        <v>1</v>
      </c>
      <c r="AP315">
        <v>1</v>
      </c>
      <c r="AQ315">
        <v>0</v>
      </c>
      <c r="AR315">
        <v>0</v>
      </c>
      <c r="AS315" t="s">
        <v>6</v>
      </c>
      <c r="AT315">
        <v>0.57999999999999996</v>
      </c>
      <c r="AU315" t="s">
        <v>24</v>
      </c>
      <c r="AV315">
        <v>0</v>
      </c>
      <c r="AW315">
        <v>1</v>
      </c>
      <c r="AX315">
        <v>-1</v>
      </c>
      <c r="AY315">
        <v>0</v>
      </c>
      <c r="AZ315">
        <v>0</v>
      </c>
      <c r="BA315" t="s">
        <v>6</v>
      </c>
      <c r="BB315">
        <v>5</v>
      </c>
      <c r="BC315">
        <v>0</v>
      </c>
      <c r="BD315">
        <v>75.119744000000011</v>
      </c>
      <c r="BE315">
        <v>8.841056</v>
      </c>
      <c r="BF315">
        <v>0</v>
      </c>
      <c r="BG315">
        <v>0</v>
      </c>
      <c r="BH315">
        <v>0</v>
      </c>
      <c r="BI315">
        <v>1</v>
      </c>
      <c r="BJ315">
        <v>0</v>
      </c>
      <c r="BK315">
        <v>0</v>
      </c>
      <c r="BL315">
        <v>0</v>
      </c>
      <c r="BM315">
        <v>0</v>
      </c>
      <c r="BN315">
        <v>0</v>
      </c>
      <c r="BO315">
        <v>0</v>
      </c>
      <c r="BP315">
        <v>0</v>
      </c>
      <c r="BQ315">
        <v>0</v>
      </c>
      <c r="BR315">
        <v>0</v>
      </c>
      <c r="BS315">
        <v>0</v>
      </c>
      <c r="BT315">
        <v>0</v>
      </c>
      <c r="BU315">
        <v>0</v>
      </c>
      <c r="BV315">
        <v>0</v>
      </c>
      <c r="BW315">
        <v>0</v>
      </c>
      <c r="CV315">
        <v>0</v>
      </c>
      <c r="CW315">
        <f>ROUND(Y315*Source!I252*DO315,9)</f>
        <v>0</v>
      </c>
      <c r="CX315">
        <f>ROUND(Y315*Source!I252,9)</f>
        <v>2.1566720000000001E-2</v>
      </c>
      <c r="CY315">
        <f>AB315</f>
        <v>906.62</v>
      </c>
      <c r="CZ315">
        <f>AF315</f>
        <v>115.64</v>
      </c>
      <c r="DA315">
        <f>AJ315</f>
        <v>7.84</v>
      </c>
      <c r="DB315">
        <f>ROUND((ROUND(AT315*CZ315,2)*1.12),2)</f>
        <v>75.12</v>
      </c>
      <c r="DC315">
        <f>ROUND((ROUND(AT315*AG315,2)*1.12),2)</f>
        <v>8.84</v>
      </c>
      <c r="DD315" t="s">
        <v>6</v>
      </c>
      <c r="DE315" t="s">
        <v>6</v>
      </c>
      <c r="DF315">
        <f t="shared" si="138"/>
        <v>0</v>
      </c>
      <c r="DG315">
        <f>ROUND(ROUND(AF315*AJ315,0)*CX315,0)</f>
        <v>20</v>
      </c>
      <c r="DH315">
        <f>Source!I252*SmtRes!Y315</f>
        <v>2.1566720000000001E-2</v>
      </c>
      <c r="DI315">
        <f>AB315</f>
        <v>906.62</v>
      </c>
      <c r="DJ315">
        <f>DG315</f>
        <v>20</v>
      </c>
      <c r="DK315">
        <f>Source!BB252</f>
        <v>7.84</v>
      </c>
      <c r="DL315" t="s">
        <v>6</v>
      </c>
      <c r="DM315">
        <v>0</v>
      </c>
      <c r="DN315" t="s">
        <v>6</v>
      </c>
      <c r="DO315">
        <v>0</v>
      </c>
      <c r="GQ315">
        <v>-1</v>
      </c>
      <c r="GR315">
        <v>-1</v>
      </c>
    </row>
    <row r="316" spans="1:200" x14ac:dyDescent="0.2">
      <c r="A316">
        <f>ROW(Source!A252)</f>
        <v>252</v>
      </c>
      <c r="B316">
        <v>86326988</v>
      </c>
      <c r="C316">
        <v>86327584</v>
      </c>
      <c r="D316">
        <v>27439499</v>
      </c>
      <c r="E316">
        <v>1</v>
      </c>
      <c r="F316">
        <v>1</v>
      </c>
      <c r="G316">
        <v>1</v>
      </c>
      <c r="H316">
        <v>2</v>
      </c>
      <c r="I316" t="s">
        <v>631</v>
      </c>
      <c r="J316" t="s">
        <v>632</v>
      </c>
      <c r="K316" t="s">
        <v>633</v>
      </c>
      <c r="L316">
        <v>1368</v>
      </c>
      <c r="N316">
        <v>1011</v>
      </c>
      <c r="O316" t="s">
        <v>137</v>
      </c>
      <c r="P316" t="s">
        <v>137</v>
      </c>
      <c r="Q316">
        <v>1</v>
      </c>
      <c r="W316">
        <v>0</v>
      </c>
      <c r="X316">
        <v>1890856440</v>
      </c>
      <c r="Y316">
        <f>(AT316*1.12)</f>
        <v>0.11200000000000002</v>
      </c>
      <c r="AA316">
        <v>0</v>
      </c>
      <c r="AB316">
        <v>883.33</v>
      </c>
      <c r="AC316">
        <v>269.48</v>
      </c>
      <c r="AD316">
        <v>0</v>
      </c>
      <c r="AE316">
        <v>0</v>
      </c>
      <c r="AF316">
        <v>112.67</v>
      </c>
      <c r="AG316">
        <v>13.61</v>
      </c>
      <c r="AH316">
        <v>0</v>
      </c>
      <c r="AI316">
        <v>1</v>
      </c>
      <c r="AJ316">
        <v>7.84</v>
      </c>
      <c r="AK316">
        <v>19.8</v>
      </c>
      <c r="AL316">
        <v>1</v>
      </c>
      <c r="AM316">
        <v>5</v>
      </c>
      <c r="AN316">
        <v>0</v>
      </c>
      <c r="AO316">
        <v>1</v>
      </c>
      <c r="AP316">
        <v>1</v>
      </c>
      <c r="AQ316">
        <v>0</v>
      </c>
      <c r="AR316">
        <v>0</v>
      </c>
      <c r="AS316" t="s">
        <v>6</v>
      </c>
      <c r="AT316">
        <v>0.1</v>
      </c>
      <c r="AU316" t="s">
        <v>24</v>
      </c>
      <c r="AV316">
        <v>0</v>
      </c>
      <c r="AW316">
        <v>2</v>
      </c>
      <c r="AX316">
        <v>86327596</v>
      </c>
      <c r="AY316">
        <v>1</v>
      </c>
      <c r="AZ316">
        <v>0</v>
      </c>
      <c r="BA316">
        <v>239</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CV316">
        <v>0</v>
      </c>
      <c r="CW316">
        <f>ROUND(Y316*Source!I252*DO316,9)</f>
        <v>0</v>
      </c>
      <c r="CX316">
        <f>ROUND(Y316*Source!I252,9)</f>
        <v>3.7184000000000002E-3</v>
      </c>
      <c r="CY316">
        <f>AB316</f>
        <v>883.33</v>
      </c>
      <c r="CZ316">
        <f>AF316</f>
        <v>112.67</v>
      </c>
      <c r="DA316">
        <f>AJ316</f>
        <v>7.84</v>
      </c>
      <c r="DB316">
        <f>ROUND((ROUND(AT316*CZ316,2)*1.12),2)</f>
        <v>12.62</v>
      </c>
      <c r="DC316">
        <f>ROUND((ROUND(AT316*AG316,2)*1.12),2)</f>
        <v>1.52</v>
      </c>
      <c r="DD316" t="s">
        <v>6</v>
      </c>
      <c r="DE316" t="s">
        <v>6</v>
      </c>
      <c r="DF316">
        <f t="shared" si="138"/>
        <v>0</v>
      </c>
      <c r="DG316">
        <f>ROUND(ROUND(AF316*AJ316,0)*CX316,0)</f>
        <v>3</v>
      </c>
      <c r="DH316">
        <f>Source!I252*SmtRes!Y316</f>
        <v>3.7184000000000006E-3</v>
      </c>
      <c r="DI316">
        <f>AB316</f>
        <v>883.33</v>
      </c>
      <c r="DJ316">
        <f>EtalonRes!Z239</f>
        <v>112.67</v>
      </c>
      <c r="DK316">
        <f>Source!BB252</f>
        <v>7.84</v>
      </c>
      <c r="DL316" t="s">
        <v>6</v>
      </c>
      <c r="DM316">
        <v>0</v>
      </c>
      <c r="DN316" t="s">
        <v>6</v>
      </c>
      <c r="DO316">
        <v>0</v>
      </c>
      <c r="GQ316">
        <v>-1</v>
      </c>
      <c r="GR316">
        <v>-1</v>
      </c>
    </row>
    <row r="317" spans="1:200" x14ac:dyDescent="0.2">
      <c r="A317">
        <f>ROW(Source!A252)</f>
        <v>252</v>
      </c>
      <c r="B317">
        <v>86326988</v>
      </c>
      <c r="C317">
        <v>86327584</v>
      </c>
      <c r="D317">
        <v>27441327</v>
      </c>
      <c r="E317">
        <v>1</v>
      </c>
      <c r="F317">
        <v>1</v>
      </c>
      <c r="G317">
        <v>1</v>
      </c>
      <c r="H317">
        <v>2</v>
      </c>
      <c r="I317" t="s">
        <v>637</v>
      </c>
      <c r="J317" t="s">
        <v>638</v>
      </c>
      <c r="K317" t="s">
        <v>639</v>
      </c>
      <c r="L317">
        <v>1368</v>
      </c>
      <c r="N317">
        <v>1011</v>
      </c>
      <c r="O317" t="s">
        <v>137</v>
      </c>
      <c r="P317" t="s">
        <v>137</v>
      </c>
      <c r="Q317">
        <v>1</v>
      </c>
      <c r="W317">
        <v>0</v>
      </c>
      <c r="X317">
        <v>-1583389094</v>
      </c>
      <c r="Y317">
        <f>(AT317*1.12)</f>
        <v>0.15680000000000002</v>
      </c>
      <c r="AA317">
        <v>0</v>
      </c>
      <c r="AB317">
        <v>732.02</v>
      </c>
      <c r="AC317">
        <v>231.46</v>
      </c>
      <c r="AD317">
        <v>0</v>
      </c>
      <c r="AE317">
        <v>0</v>
      </c>
      <c r="AF317">
        <v>93.37</v>
      </c>
      <c r="AG317">
        <v>11.69</v>
      </c>
      <c r="AH317">
        <v>0</v>
      </c>
      <c r="AI317">
        <v>1</v>
      </c>
      <c r="AJ317">
        <v>7.84</v>
      </c>
      <c r="AK317">
        <v>19.8</v>
      </c>
      <c r="AL317">
        <v>1</v>
      </c>
      <c r="AM317">
        <v>5</v>
      </c>
      <c r="AN317">
        <v>0</v>
      </c>
      <c r="AO317">
        <v>1</v>
      </c>
      <c r="AP317">
        <v>1</v>
      </c>
      <c r="AQ317">
        <v>0</v>
      </c>
      <c r="AR317">
        <v>0</v>
      </c>
      <c r="AS317" t="s">
        <v>6</v>
      </c>
      <c r="AT317">
        <v>0.14000000000000001</v>
      </c>
      <c r="AU317" t="s">
        <v>24</v>
      </c>
      <c r="AV317">
        <v>0</v>
      </c>
      <c r="AW317">
        <v>2</v>
      </c>
      <c r="AX317">
        <v>86327597</v>
      </c>
      <c r="AY317">
        <v>1</v>
      </c>
      <c r="AZ317">
        <v>0</v>
      </c>
      <c r="BA317">
        <v>240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CV317">
        <v>0</v>
      </c>
      <c r="CW317">
        <f>ROUND(Y317*Source!I252*DO317,9)</f>
        <v>0</v>
      </c>
      <c r="CX317">
        <f>ROUND(Y317*Source!I252,9)</f>
        <v>5.2057600000000002E-3</v>
      </c>
      <c r="CY317">
        <f>AB317</f>
        <v>732.02</v>
      </c>
      <c r="CZ317">
        <f>AF317</f>
        <v>93.37</v>
      </c>
      <c r="DA317">
        <f>AJ317</f>
        <v>7.84</v>
      </c>
      <c r="DB317">
        <f>ROUND((ROUND(AT317*CZ317,2)*1.12),2)</f>
        <v>14.64</v>
      </c>
      <c r="DC317">
        <f>ROUND((ROUND(AT317*AG317,2)*1.12),2)</f>
        <v>1.84</v>
      </c>
      <c r="DD317" t="s">
        <v>6</v>
      </c>
      <c r="DE317" t="s">
        <v>6</v>
      </c>
      <c r="DF317">
        <f t="shared" si="138"/>
        <v>0</v>
      </c>
      <c r="DG317">
        <f>ROUND(ROUND(AF317*AJ317,0)*CX317,0)</f>
        <v>4</v>
      </c>
      <c r="DH317">
        <f>Source!I252*SmtRes!Y317</f>
        <v>5.2057600000000011E-3</v>
      </c>
      <c r="DI317">
        <f>AB317</f>
        <v>732.02</v>
      </c>
      <c r="DJ317">
        <f>EtalonRes!Z240</f>
        <v>93.37</v>
      </c>
      <c r="DK317">
        <f>Source!BB252</f>
        <v>7.84</v>
      </c>
      <c r="DL317" t="s">
        <v>6</v>
      </c>
      <c r="DM317">
        <v>0</v>
      </c>
      <c r="DN317" t="s">
        <v>6</v>
      </c>
      <c r="DO317">
        <v>0</v>
      </c>
      <c r="GQ317">
        <v>-1</v>
      </c>
      <c r="GR317">
        <v>-1</v>
      </c>
    </row>
    <row r="318" spans="1:200" x14ac:dyDescent="0.2">
      <c r="A318">
        <f>ROW(Source!A252)</f>
        <v>252</v>
      </c>
      <c r="B318">
        <v>86326988</v>
      </c>
      <c r="C318">
        <v>86327584</v>
      </c>
      <c r="D318">
        <v>27377917</v>
      </c>
      <c r="E318">
        <v>1</v>
      </c>
      <c r="F318">
        <v>1</v>
      </c>
      <c r="G318">
        <v>1</v>
      </c>
      <c r="H318">
        <v>3</v>
      </c>
      <c r="I318" t="s">
        <v>316</v>
      </c>
      <c r="J318" t="s">
        <v>318</v>
      </c>
      <c r="K318" t="s">
        <v>317</v>
      </c>
      <c r="L318">
        <v>1348</v>
      </c>
      <c r="N318">
        <v>1009</v>
      </c>
      <c r="O318" t="s">
        <v>33</v>
      </c>
      <c r="P318" t="s">
        <v>33</v>
      </c>
      <c r="Q318">
        <v>1000</v>
      </c>
      <c r="W318">
        <v>0</v>
      </c>
      <c r="X318">
        <v>1988624183</v>
      </c>
      <c r="Y318">
        <f>AT318</f>
        <v>6.0000000000000001E-3</v>
      </c>
      <c r="AA318">
        <v>96250</v>
      </c>
      <c r="AB318">
        <v>0</v>
      </c>
      <c r="AC318">
        <v>0</v>
      </c>
      <c r="AD318">
        <v>0</v>
      </c>
      <c r="AE318">
        <v>13505.55</v>
      </c>
      <c r="AF318">
        <v>0</v>
      </c>
      <c r="AG318">
        <v>0</v>
      </c>
      <c r="AH318">
        <v>0</v>
      </c>
      <c r="AI318">
        <v>7.56</v>
      </c>
      <c r="AJ318">
        <v>1</v>
      </c>
      <c r="AK318">
        <v>1</v>
      </c>
      <c r="AL318">
        <v>1</v>
      </c>
      <c r="AM318">
        <v>0</v>
      </c>
      <c r="AN318">
        <v>0</v>
      </c>
      <c r="AO318">
        <v>0</v>
      </c>
      <c r="AP318">
        <v>1</v>
      </c>
      <c r="AQ318">
        <v>0</v>
      </c>
      <c r="AR318">
        <v>0</v>
      </c>
      <c r="AS318" t="s">
        <v>6</v>
      </c>
      <c r="AT318">
        <v>6.0000000000000001E-3</v>
      </c>
      <c r="AU318" t="s">
        <v>6</v>
      </c>
      <c r="AV318">
        <v>0</v>
      </c>
      <c r="AW318">
        <v>2</v>
      </c>
      <c r="AX318">
        <v>86327598</v>
      </c>
      <c r="AY318">
        <v>1</v>
      </c>
      <c r="AZ318">
        <v>16384</v>
      </c>
      <c r="BA318">
        <v>241</v>
      </c>
      <c r="BB318">
        <v>3</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CV318">
        <v>0</v>
      </c>
      <c r="CW318">
        <v>0</v>
      </c>
      <c r="CX318">
        <f>ROUND(Y318*Source!I252,9)</f>
        <v>1.9919999999999999E-4</v>
      </c>
      <c r="CY318">
        <f>AA318</f>
        <v>96250</v>
      </c>
      <c r="CZ318">
        <f>AE318</f>
        <v>13505.55</v>
      </c>
      <c r="DA318">
        <f>AI318</f>
        <v>7.56</v>
      </c>
      <c r="DB318">
        <f>ROUND(ROUND(AT318*CZ318,2),2)</f>
        <v>81.03</v>
      </c>
      <c r="DC318">
        <f>ROUND(ROUND(AT318*AG318,2),2)</f>
        <v>0</v>
      </c>
      <c r="DD318" t="s">
        <v>6</v>
      </c>
      <c r="DE318" t="s">
        <v>6</v>
      </c>
      <c r="DF318">
        <f>ROUND(ROUND(AE318*AI318,0)*CX318,0)</f>
        <v>20</v>
      </c>
      <c r="DG318">
        <f t="shared" ref="DG318:DG329" si="139">ROUND(ROUND(AF318,0)*CX318,0)</f>
        <v>0</v>
      </c>
      <c r="DH318">
        <f>Source!I252*SmtRes!Y318</f>
        <v>1.9920000000000002E-4</v>
      </c>
      <c r="DI318">
        <f>AA318</f>
        <v>96250</v>
      </c>
      <c r="DJ318">
        <f>EtalonRes!Y241</f>
        <v>10559.12</v>
      </c>
      <c r="DK318">
        <f>Source!BC252</f>
        <v>7.56</v>
      </c>
      <c r="DL318" t="s">
        <v>6</v>
      </c>
      <c r="DM318">
        <v>0</v>
      </c>
      <c r="DN318" t="s">
        <v>6</v>
      </c>
      <c r="DO318">
        <v>0</v>
      </c>
      <c r="GP318">
        <v>1</v>
      </c>
      <c r="GQ318">
        <v>-1</v>
      </c>
      <c r="GR318">
        <v>-1</v>
      </c>
    </row>
    <row r="319" spans="1:200" x14ac:dyDescent="0.2">
      <c r="A319">
        <f>ROW(Source!A252)</f>
        <v>252</v>
      </c>
      <c r="B319">
        <v>86326988</v>
      </c>
      <c r="C319">
        <v>86327584</v>
      </c>
      <c r="D319">
        <v>69205180</v>
      </c>
      <c r="E319">
        <v>1</v>
      </c>
      <c r="F319">
        <v>1</v>
      </c>
      <c r="G319">
        <v>1</v>
      </c>
      <c r="H319">
        <v>3</v>
      </c>
      <c r="I319" t="s">
        <v>360</v>
      </c>
      <c r="J319" t="s">
        <v>362</v>
      </c>
      <c r="K319" t="s">
        <v>361</v>
      </c>
      <c r="L319">
        <v>1348</v>
      </c>
      <c r="N319">
        <v>1009</v>
      </c>
      <c r="O319" t="s">
        <v>33</v>
      </c>
      <c r="P319" t="s">
        <v>33</v>
      </c>
      <c r="Q319">
        <v>1000</v>
      </c>
      <c r="W319">
        <v>0</v>
      </c>
      <c r="X319">
        <v>1093046587</v>
      </c>
      <c r="Y319">
        <f>AT319</f>
        <v>0.59337300000000004</v>
      </c>
      <c r="AA319">
        <v>111468.54</v>
      </c>
      <c r="AB319">
        <v>0</v>
      </c>
      <c r="AC319">
        <v>0</v>
      </c>
      <c r="AD319">
        <v>0</v>
      </c>
      <c r="AE319">
        <v>15449.310000000001</v>
      </c>
      <c r="AF319">
        <v>0</v>
      </c>
      <c r="AG319">
        <v>0</v>
      </c>
      <c r="AH319">
        <v>0</v>
      </c>
      <c r="AI319">
        <v>7.56</v>
      </c>
      <c r="AJ319">
        <v>1</v>
      </c>
      <c r="AK319">
        <v>1</v>
      </c>
      <c r="AL319">
        <v>1</v>
      </c>
      <c r="AM319">
        <v>0</v>
      </c>
      <c r="AN319">
        <v>0</v>
      </c>
      <c r="AO319">
        <v>0</v>
      </c>
      <c r="AP319">
        <v>1</v>
      </c>
      <c r="AQ319">
        <v>0</v>
      </c>
      <c r="AR319">
        <v>0</v>
      </c>
      <c r="AS319" t="s">
        <v>6</v>
      </c>
      <c r="AT319">
        <v>0.59337300000000004</v>
      </c>
      <c r="AU319" t="s">
        <v>6</v>
      </c>
      <c r="AV319">
        <v>0</v>
      </c>
      <c r="AW319">
        <v>1</v>
      </c>
      <c r="AX319">
        <v>-1</v>
      </c>
      <c r="AY319">
        <v>0</v>
      </c>
      <c r="AZ319">
        <v>0</v>
      </c>
      <c r="BA319" t="s">
        <v>6</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CV319">
        <v>0</v>
      </c>
      <c r="CW319">
        <v>0</v>
      </c>
      <c r="CX319">
        <f>ROUND(Y319*Source!I252,9)</f>
        <v>1.9699984E-2</v>
      </c>
      <c r="CY319">
        <f>AA319</f>
        <v>111468.54</v>
      </c>
      <c r="CZ319">
        <f>AE319</f>
        <v>15449.310000000001</v>
      </c>
      <c r="DA319">
        <f>AI319</f>
        <v>7.56</v>
      </c>
      <c r="DB319">
        <f>ROUND(ROUND(AT319*CZ319,2),2)</f>
        <v>9167.2000000000007</v>
      </c>
      <c r="DC319">
        <f>ROUND(ROUND(AT319*AG319,2),2)</f>
        <v>0</v>
      </c>
      <c r="DD319" t="s">
        <v>6</v>
      </c>
      <c r="DE319" t="s">
        <v>6</v>
      </c>
      <c r="DF319">
        <f>ROUND(ROUND(AE319*AI319,0)*CX319,0)</f>
        <v>2301</v>
      </c>
      <c r="DG319">
        <f t="shared" si="139"/>
        <v>0</v>
      </c>
      <c r="DH319">
        <f>Source!I252*SmtRes!Y319</f>
        <v>1.9699983600000002E-2</v>
      </c>
      <c r="DI319">
        <f>AA319</f>
        <v>111468.54</v>
      </c>
      <c r="DJ319">
        <f>DF319</f>
        <v>2301</v>
      </c>
      <c r="DK319">
        <f>Source!BC252</f>
        <v>7.56</v>
      </c>
      <c r="DL319" t="s">
        <v>6</v>
      </c>
      <c r="DM319">
        <v>0</v>
      </c>
      <c r="DN319" t="s">
        <v>6</v>
      </c>
      <c r="DO319">
        <v>0</v>
      </c>
      <c r="GP319">
        <v>1</v>
      </c>
      <c r="GQ319">
        <v>-1</v>
      </c>
      <c r="GR319">
        <v>-1</v>
      </c>
    </row>
    <row r="320" spans="1:200" x14ac:dyDescent="0.2">
      <c r="A320">
        <f>ROW(Source!A252)</f>
        <v>252</v>
      </c>
      <c r="B320">
        <v>86326988</v>
      </c>
      <c r="C320">
        <v>86327584</v>
      </c>
      <c r="D320">
        <v>0</v>
      </c>
      <c r="E320">
        <v>0</v>
      </c>
      <c r="F320">
        <v>1</v>
      </c>
      <c r="G320">
        <v>1</v>
      </c>
      <c r="H320">
        <v>3</v>
      </c>
      <c r="I320" t="s">
        <v>365</v>
      </c>
      <c r="J320" t="s">
        <v>362</v>
      </c>
      <c r="K320" t="s">
        <v>366</v>
      </c>
      <c r="L320">
        <v>1348</v>
      </c>
      <c r="N320">
        <v>1009</v>
      </c>
      <c r="O320" t="s">
        <v>33</v>
      </c>
      <c r="P320" t="s">
        <v>33</v>
      </c>
      <c r="Q320">
        <v>1000</v>
      </c>
      <c r="W320">
        <v>0</v>
      </c>
      <c r="X320">
        <v>-1150752990</v>
      </c>
      <c r="Y320">
        <f>AT320</f>
        <v>0.40662700000000002</v>
      </c>
      <c r="AA320">
        <v>220276.93</v>
      </c>
      <c r="AB320">
        <v>0</v>
      </c>
      <c r="AC320">
        <v>0</v>
      </c>
      <c r="AD320">
        <v>0</v>
      </c>
      <c r="AE320">
        <v>30529.920000000002</v>
      </c>
      <c r="AF320">
        <v>0</v>
      </c>
      <c r="AG320">
        <v>0</v>
      </c>
      <c r="AH320">
        <v>0</v>
      </c>
      <c r="AI320">
        <v>7.56</v>
      </c>
      <c r="AJ320">
        <v>1</v>
      </c>
      <c r="AK320">
        <v>1</v>
      </c>
      <c r="AL320">
        <v>1</v>
      </c>
      <c r="AM320">
        <v>0</v>
      </c>
      <c r="AN320">
        <v>0</v>
      </c>
      <c r="AO320">
        <v>0</v>
      </c>
      <c r="AP320">
        <v>0</v>
      </c>
      <c r="AQ320">
        <v>0</v>
      </c>
      <c r="AR320">
        <v>0</v>
      </c>
      <c r="AS320" t="s">
        <v>6</v>
      </c>
      <c r="AT320">
        <v>0.40662700000000002</v>
      </c>
      <c r="AU320" t="s">
        <v>6</v>
      </c>
      <c r="AV320">
        <v>0</v>
      </c>
      <c r="AW320">
        <v>1</v>
      </c>
      <c r="AX320">
        <v>-1</v>
      </c>
      <c r="AY320">
        <v>0</v>
      </c>
      <c r="AZ320">
        <v>0</v>
      </c>
      <c r="BA320" t="s">
        <v>6</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CV320">
        <v>0</v>
      </c>
      <c r="CW320">
        <v>0</v>
      </c>
      <c r="CX320">
        <f>ROUND(Y320*Source!I252,9)</f>
        <v>1.3500016E-2</v>
      </c>
      <c r="CY320">
        <f>AA320</f>
        <v>220276.93</v>
      </c>
      <c r="CZ320">
        <f>AE320</f>
        <v>30529.920000000002</v>
      </c>
      <c r="DA320">
        <f>AI320</f>
        <v>7.56</v>
      </c>
      <c r="DB320">
        <f>ROUND(ROUND(AT320*CZ320,2),2)</f>
        <v>12414.29</v>
      </c>
      <c r="DC320">
        <f>ROUND(ROUND(AT320*AG320,2),2)</f>
        <v>0</v>
      </c>
      <c r="DD320" t="s">
        <v>6</v>
      </c>
      <c r="DE320" t="s">
        <v>6</v>
      </c>
      <c r="DF320">
        <f>ROUND(ROUND(AE320*AI320,0)*CX320,0)</f>
        <v>3116</v>
      </c>
      <c r="DG320">
        <f t="shared" si="139"/>
        <v>0</v>
      </c>
      <c r="DH320">
        <f>Source!I252*SmtRes!Y320</f>
        <v>1.35000164E-2</v>
      </c>
      <c r="DI320">
        <f>AA320</f>
        <v>220276.93</v>
      </c>
      <c r="DJ320">
        <f>DF320</f>
        <v>3116</v>
      </c>
      <c r="DK320">
        <f>Source!BC252</f>
        <v>7.56</v>
      </c>
      <c r="DL320" t="s">
        <v>6</v>
      </c>
      <c r="DM320">
        <v>0</v>
      </c>
      <c r="DN320" t="s">
        <v>6</v>
      </c>
      <c r="DO320">
        <v>0</v>
      </c>
      <c r="GP320">
        <v>1</v>
      </c>
      <c r="GQ320">
        <v>-1</v>
      </c>
      <c r="GR320">
        <v>-1</v>
      </c>
    </row>
    <row r="321" spans="1:200" x14ac:dyDescent="0.2">
      <c r="A321">
        <f>ROW(Source!A259)</f>
        <v>259</v>
      </c>
      <c r="B321">
        <v>86326987</v>
      </c>
      <c r="C321">
        <v>86327603</v>
      </c>
      <c r="D321">
        <v>27496319</v>
      </c>
      <c r="E321">
        <v>1</v>
      </c>
      <c r="F321">
        <v>1</v>
      </c>
      <c r="G321">
        <v>1</v>
      </c>
      <c r="H321">
        <v>1</v>
      </c>
      <c r="I321" t="s">
        <v>672</v>
      </c>
      <c r="J321" t="s">
        <v>6</v>
      </c>
      <c r="K321" t="s">
        <v>673</v>
      </c>
      <c r="L321">
        <v>1369</v>
      </c>
      <c r="N321">
        <v>1013</v>
      </c>
      <c r="O321" t="s">
        <v>625</v>
      </c>
      <c r="P321" t="s">
        <v>625</v>
      </c>
      <c r="Q321">
        <v>1</v>
      </c>
      <c r="W321">
        <v>0</v>
      </c>
      <c r="X321">
        <v>1189128158</v>
      </c>
      <c r="Y321">
        <f>(AT321*1.05)</f>
        <v>28.644000000000002</v>
      </c>
      <c r="AA321">
        <v>0</v>
      </c>
      <c r="AB321">
        <v>0</v>
      </c>
      <c r="AC321">
        <v>0</v>
      </c>
      <c r="AD321">
        <v>8.01</v>
      </c>
      <c r="AE321">
        <v>0</v>
      </c>
      <c r="AF321">
        <v>0</v>
      </c>
      <c r="AG321">
        <v>0</v>
      </c>
      <c r="AH321">
        <v>8.01</v>
      </c>
      <c r="AI321">
        <v>1</v>
      </c>
      <c r="AJ321">
        <v>1</v>
      </c>
      <c r="AK321">
        <v>1</v>
      </c>
      <c r="AL321">
        <v>1</v>
      </c>
      <c r="AM321">
        <v>0</v>
      </c>
      <c r="AN321">
        <v>0</v>
      </c>
      <c r="AO321">
        <v>1</v>
      </c>
      <c r="AP321">
        <v>1</v>
      </c>
      <c r="AQ321">
        <v>0</v>
      </c>
      <c r="AR321">
        <v>0</v>
      </c>
      <c r="AS321" t="s">
        <v>6</v>
      </c>
      <c r="AT321">
        <v>27.28</v>
      </c>
      <c r="AU321" t="s">
        <v>25</v>
      </c>
      <c r="AV321">
        <v>1</v>
      </c>
      <c r="AW321">
        <v>2</v>
      </c>
      <c r="AX321">
        <v>86327611</v>
      </c>
      <c r="AY321">
        <v>1</v>
      </c>
      <c r="AZ321">
        <v>0</v>
      </c>
      <c r="BA321">
        <v>243</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CU321">
        <f>ROUND(AT321*Source!I259*AH321*AL321,0)</f>
        <v>27</v>
      </c>
      <c r="CV321">
        <f>ROUND(Y321*Source!I259,9)</f>
        <v>3.5976864000000002</v>
      </c>
      <c r="CW321">
        <v>0</v>
      </c>
      <c r="CX321">
        <f>ROUND(Y321*Source!I259,9)</f>
        <v>3.5976864000000002</v>
      </c>
      <c r="CY321">
        <f>AD321</f>
        <v>8.01</v>
      </c>
      <c r="CZ321">
        <f>AH321</f>
        <v>8.01</v>
      </c>
      <c r="DA321">
        <f>AL321</f>
        <v>1</v>
      </c>
      <c r="DB321">
        <f>ROUND((ROUND(AT321*CZ321,2)*1.05),2)</f>
        <v>229.44</v>
      </c>
      <c r="DC321">
        <f>ROUND((ROUND(AT321*AG321,2)*1.05),2)</f>
        <v>0</v>
      </c>
      <c r="DD321" t="s">
        <v>6</v>
      </c>
      <c r="DE321" t="s">
        <v>6</v>
      </c>
      <c r="DF321">
        <f t="shared" ref="DF321:DF332" si="140">ROUND(ROUND(AE321,0)*CX321,0)</f>
        <v>0</v>
      </c>
      <c r="DG321">
        <f t="shared" si="139"/>
        <v>0</v>
      </c>
      <c r="DH321">
        <f>Source!I259*SmtRes!Y321</f>
        <v>3.5976863999999997</v>
      </c>
      <c r="DI321">
        <f>AD321</f>
        <v>8.01</v>
      </c>
      <c r="DJ321">
        <f>EtalonRes!AB243</f>
        <v>8.01</v>
      </c>
      <c r="DK321">
        <f>Source!BA259</f>
        <v>1</v>
      </c>
      <c r="DL321" t="s">
        <v>6</v>
      </c>
      <c r="DM321">
        <v>0</v>
      </c>
      <c r="DN321" t="s">
        <v>6</v>
      </c>
      <c r="DO321">
        <v>0</v>
      </c>
      <c r="GQ321">
        <v>-1</v>
      </c>
      <c r="GR321">
        <v>-1</v>
      </c>
    </row>
    <row r="322" spans="1:200" x14ac:dyDescent="0.2">
      <c r="A322">
        <f>ROW(Source!A259)</f>
        <v>259</v>
      </c>
      <c r="B322">
        <v>86326987</v>
      </c>
      <c r="C322">
        <v>86327603</v>
      </c>
      <c r="D322">
        <v>121548</v>
      </c>
      <c r="E322">
        <v>1</v>
      </c>
      <c r="F322">
        <v>1</v>
      </c>
      <c r="G322">
        <v>1</v>
      </c>
      <c r="H322">
        <v>1</v>
      </c>
      <c r="I322" t="s">
        <v>40</v>
      </c>
      <c r="J322" t="s">
        <v>6</v>
      </c>
      <c r="K322" t="s">
        <v>626</v>
      </c>
      <c r="L322">
        <v>608254</v>
      </c>
      <c r="N322">
        <v>1013</v>
      </c>
      <c r="O322" t="s">
        <v>627</v>
      </c>
      <c r="P322" t="s">
        <v>627</v>
      </c>
      <c r="Q322">
        <v>1</v>
      </c>
      <c r="W322">
        <v>0</v>
      </c>
      <c r="X322">
        <v>-185737400</v>
      </c>
      <c r="Y322">
        <f>(AT322*1.12)</f>
        <v>0.62720000000000009</v>
      </c>
      <c r="AA322">
        <v>0</v>
      </c>
      <c r="AB322">
        <v>0</v>
      </c>
      <c r="AC322">
        <v>0</v>
      </c>
      <c r="AD322">
        <v>0</v>
      </c>
      <c r="AE322">
        <v>0</v>
      </c>
      <c r="AF322">
        <v>0</v>
      </c>
      <c r="AG322">
        <v>0</v>
      </c>
      <c r="AH322">
        <v>0</v>
      </c>
      <c r="AI322">
        <v>1</v>
      </c>
      <c r="AJ322">
        <v>1</v>
      </c>
      <c r="AK322">
        <v>1</v>
      </c>
      <c r="AL322">
        <v>1</v>
      </c>
      <c r="AM322">
        <v>0</v>
      </c>
      <c r="AN322">
        <v>0</v>
      </c>
      <c r="AO322">
        <v>1</v>
      </c>
      <c r="AP322">
        <v>1</v>
      </c>
      <c r="AQ322">
        <v>0</v>
      </c>
      <c r="AR322">
        <v>0</v>
      </c>
      <c r="AS322" t="s">
        <v>6</v>
      </c>
      <c r="AT322">
        <v>0.56000000000000005</v>
      </c>
      <c r="AU322" t="s">
        <v>24</v>
      </c>
      <c r="AV322">
        <v>2</v>
      </c>
      <c r="AW322">
        <v>2</v>
      </c>
      <c r="AX322">
        <v>86327612</v>
      </c>
      <c r="AY322">
        <v>1</v>
      </c>
      <c r="AZ322">
        <v>0</v>
      </c>
      <c r="BA322">
        <v>244</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CV322">
        <v>0</v>
      </c>
      <c r="CW322">
        <v>0</v>
      </c>
      <c r="CX322">
        <f>ROUND(Y322*Source!I259,9)</f>
        <v>7.8776319999999997E-2</v>
      </c>
      <c r="CY322">
        <f>AD322</f>
        <v>0</v>
      </c>
      <c r="CZ322">
        <f>AH322</f>
        <v>0</v>
      </c>
      <c r="DA322">
        <f>AL322</f>
        <v>1</v>
      </c>
      <c r="DB322">
        <f>ROUND((ROUND(AT322*CZ322,2)*1.12),2)</f>
        <v>0</v>
      </c>
      <c r="DC322">
        <f>ROUND((ROUND(AT322*AG322,2)*1.12),2)</f>
        <v>0</v>
      </c>
      <c r="DD322" t="s">
        <v>6</v>
      </c>
      <c r="DE322" t="s">
        <v>6</v>
      </c>
      <c r="DF322">
        <f t="shared" si="140"/>
        <v>0</v>
      </c>
      <c r="DG322">
        <f t="shared" si="139"/>
        <v>0</v>
      </c>
      <c r="DH322">
        <f>Source!I259*SmtRes!Y322</f>
        <v>7.8776320000000011E-2</v>
      </c>
      <c r="DI322">
        <f>AD322</f>
        <v>0</v>
      </c>
      <c r="DJ322">
        <f>EtalonRes!AB244</f>
        <v>0</v>
      </c>
      <c r="DK322">
        <f>Source!BA259</f>
        <v>1</v>
      </c>
      <c r="DL322" t="s">
        <v>6</v>
      </c>
      <c r="DM322">
        <v>0</v>
      </c>
      <c r="DN322" t="s">
        <v>6</v>
      </c>
      <c r="DO322">
        <v>0</v>
      </c>
      <c r="GQ322">
        <v>-1</v>
      </c>
      <c r="GR322">
        <v>-1</v>
      </c>
    </row>
    <row r="323" spans="1:200" x14ac:dyDescent="0.2">
      <c r="A323">
        <f>ROW(Source!A259)</f>
        <v>259</v>
      </c>
      <c r="B323">
        <v>86326987</v>
      </c>
      <c r="C323">
        <v>86327603</v>
      </c>
      <c r="D323">
        <v>27439419</v>
      </c>
      <c r="E323">
        <v>1</v>
      </c>
      <c r="F323">
        <v>1</v>
      </c>
      <c r="G323">
        <v>1</v>
      </c>
      <c r="H323">
        <v>2</v>
      </c>
      <c r="I323" t="s">
        <v>628</v>
      </c>
      <c r="J323" t="s">
        <v>629</v>
      </c>
      <c r="K323" t="s">
        <v>630</v>
      </c>
      <c r="L323">
        <v>1368</v>
      </c>
      <c r="N323">
        <v>1011</v>
      </c>
      <c r="O323" t="s">
        <v>137</v>
      </c>
      <c r="P323" t="s">
        <v>137</v>
      </c>
      <c r="Q323">
        <v>1</v>
      </c>
      <c r="W323">
        <v>0</v>
      </c>
      <c r="X323">
        <v>1804162481</v>
      </c>
      <c r="Y323">
        <f>(AT323*1.12)</f>
        <v>0.5152000000000001</v>
      </c>
      <c r="AA323">
        <v>0</v>
      </c>
      <c r="AB323">
        <v>115.64</v>
      </c>
      <c r="AC323">
        <v>13.61</v>
      </c>
      <c r="AD323">
        <v>0</v>
      </c>
      <c r="AE323">
        <v>0</v>
      </c>
      <c r="AF323">
        <v>115.64</v>
      </c>
      <c r="AG323">
        <v>13.61</v>
      </c>
      <c r="AH323">
        <v>0</v>
      </c>
      <c r="AI323">
        <v>1</v>
      </c>
      <c r="AJ323">
        <v>1</v>
      </c>
      <c r="AK323">
        <v>1</v>
      </c>
      <c r="AL323">
        <v>1</v>
      </c>
      <c r="AM323">
        <v>0</v>
      </c>
      <c r="AN323">
        <v>0</v>
      </c>
      <c r="AO323">
        <v>1</v>
      </c>
      <c r="AP323">
        <v>1</v>
      </c>
      <c r="AQ323">
        <v>0</v>
      </c>
      <c r="AR323">
        <v>0</v>
      </c>
      <c r="AS323" t="s">
        <v>6</v>
      </c>
      <c r="AT323">
        <v>0.46</v>
      </c>
      <c r="AU323" t="s">
        <v>24</v>
      </c>
      <c r="AV323">
        <v>0</v>
      </c>
      <c r="AW323">
        <v>1</v>
      </c>
      <c r="AX323">
        <v>-1</v>
      </c>
      <c r="AY323">
        <v>0</v>
      </c>
      <c r="AZ323">
        <v>0</v>
      </c>
      <c r="BA323" t="s">
        <v>6</v>
      </c>
      <c r="BB323">
        <v>5</v>
      </c>
      <c r="BC323">
        <v>0</v>
      </c>
      <c r="BD323">
        <v>59.577728000000015</v>
      </c>
      <c r="BE323">
        <v>7.0118720000000012</v>
      </c>
      <c r="BF323">
        <v>0</v>
      </c>
      <c r="BG323">
        <v>0</v>
      </c>
      <c r="BH323">
        <v>0</v>
      </c>
      <c r="BI323">
        <v>1</v>
      </c>
      <c r="BJ323">
        <v>0</v>
      </c>
      <c r="BK323">
        <v>0</v>
      </c>
      <c r="BL323">
        <v>0</v>
      </c>
      <c r="BM323">
        <v>0</v>
      </c>
      <c r="BN323">
        <v>0</v>
      </c>
      <c r="BO323">
        <v>0</v>
      </c>
      <c r="BP323">
        <v>0</v>
      </c>
      <c r="BQ323">
        <v>0</v>
      </c>
      <c r="BR323">
        <v>0</v>
      </c>
      <c r="BS323">
        <v>0</v>
      </c>
      <c r="BT323">
        <v>0</v>
      </c>
      <c r="BU323">
        <v>0</v>
      </c>
      <c r="BV323">
        <v>0</v>
      </c>
      <c r="BW323">
        <v>0</v>
      </c>
      <c r="CV323">
        <v>0</v>
      </c>
      <c r="CW323">
        <f>ROUND(Y323*Source!I259*DO323,9)</f>
        <v>0</v>
      </c>
      <c r="CX323">
        <f>ROUND(Y323*Source!I259,9)</f>
        <v>6.4709119999999995E-2</v>
      </c>
      <c r="CY323">
        <f>AB323</f>
        <v>115.64</v>
      </c>
      <c r="CZ323">
        <f>AF323</f>
        <v>115.64</v>
      </c>
      <c r="DA323">
        <f>AJ323</f>
        <v>1</v>
      </c>
      <c r="DB323">
        <f>ROUND((ROUND(AT323*CZ323,2)*1.12),2)</f>
        <v>59.57</v>
      </c>
      <c r="DC323">
        <f>ROUND((ROUND(AT323*AG323,2)*1.12),2)</f>
        <v>7.01</v>
      </c>
      <c r="DD323" t="s">
        <v>6</v>
      </c>
      <c r="DE323" t="s">
        <v>6</v>
      </c>
      <c r="DF323">
        <f t="shared" si="140"/>
        <v>0</v>
      </c>
      <c r="DG323">
        <f t="shared" si="139"/>
        <v>8</v>
      </c>
      <c r="DH323">
        <f>Source!I259*SmtRes!Y323</f>
        <v>6.4709120000000009E-2</v>
      </c>
      <c r="DI323">
        <f>AB323</f>
        <v>115.64</v>
      </c>
      <c r="DJ323">
        <f>DG323</f>
        <v>8</v>
      </c>
      <c r="DK323">
        <f>Source!BB259</f>
        <v>1</v>
      </c>
      <c r="DL323" t="s">
        <v>6</v>
      </c>
      <c r="DM323">
        <v>0</v>
      </c>
      <c r="DN323" t="s">
        <v>6</v>
      </c>
      <c r="DO323">
        <v>0</v>
      </c>
      <c r="GQ323">
        <v>-1</v>
      </c>
      <c r="GR323">
        <v>-1</v>
      </c>
    </row>
    <row r="324" spans="1:200" x14ac:dyDescent="0.2">
      <c r="A324">
        <f>ROW(Source!A259)</f>
        <v>259</v>
      </c>
      <c r="B324">
        <v>86326987</v>
      </c>
      <c r="C324">
        <v>86327603</v>
      </c>
      <c r="D324">
        <v>27439499</v>
      </c>
      <c r="E324">
        <v>1</v>
      </c>
      <c r="F324">
        <v>1</v>
      </c>
      <c r="G324">
        <v>1</v>
      </c>
      <c r="H324">
        <v>2</v>
      </c>
      <c r="I324" t="s">
        <v>631</v>
      </c>
      <c r="J324" t="s">
        <v>632</v>
      </c>
      <c r="K324" t="s">
        <v>633</v>
      </c>
      <c r="L324">
        <v>1368</v>
      </c>
      <c r="N324">
        <v>1011</v>
      </c>
      <c r="O324" t="s">
        <v>137</v>
      </c>
      <c r="P324" t="s">
        <v>137</v>
      </c>
      <c r="Q324">
        <v>1</v>
      </c>
      <c r="W324">
        <v>0</v>
      </c>
      <c r="X324">
        <v>1890856440</v>
      </c>
      <c r="Y324">
        <f>(AT324*1.12)</f>
        <v>0.11200000000000002</v>
      </c>
      <c r="AA324">
        <v>0</v>
      </c>
      <c r="AB324">
        <v>112.67</v>
      </c>
      <c r="AC324">
        <v>13.61</v>
      </c>
      <c r="AD324">
        <v>0</v>
      </c>
      <c r="AE324">
        <v>0</v>
      </c>
      <c r="AF324">
        <v>112.67</v>
      </c>
      <c r="AG324">
        <v>13.61</v>
      </c>
      <c r="AH324">
        <v>0</v>
      </c>
      <c r="AI324">
        <v>1</v>
      </c>
      <c r="AJ324">
        <v>1</v>
      </c>
      <c r="AK324">
        <v>1</v>
      </c>
      <c r="AL324">
        <v>1</v>
      </c>
      <c r="AM324">
        <v>0</v>
      </c>
      <c r="AN324">
        <v>0</v>
      </c>
      <c r="AO324">
        <v>1</v>
      </c>
      <c r="AP324">
        <v>1</v>
      </c>
      <c r="AQ324">
        <v>0</v>
      </c>
      <c r="AR324">
        <v>0</v>
      </c>
      <c r="AS324" t="s">
        <v>6</v>
      </c>
      <c r="AT324">
        <v>0.1</v>
      </c>
      <c r="AU324" t="s">
        <v>24</v>
      </c>
      <c r="AV324">
        <v>0</v>
      </c>
      <c r="AW324">
        <v>2</v>
      </c>
      <c r="AX324">
        <v>86327614</v>
      </c>
      <c r="AY324">
        <v>1</v>
      </c>
      <c r="AZ324">
        <v>0</v>
      </c>
      <c r="BA324">
        <v>246</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CV324">
        <v>0</v>
      </c>
      <c r="CW324">
        <f>ROUND(Y324*Source!I259*DO324,9)</f>
        <v>0</v>
      </c>
      <c r="CX324">
        <f>ROUND(Y324*Source!I259,9)</f>
        <v>1.40672E-2</v>
      </c>
      <c r="CY324">
        <f>AB324</f>
        <v>112.67</v>
      </c>
      <c r="CZ324">
        <f>AF324</f>
        <v>112.67</v>
      </c>
      <c r="DA324">
        <f>AJ324</f>
        <v>1</v>
      </c>
      <c r="DB324">
        <f>ROUND((ROUND(AT324*CZ324,2)*1.12),2)</f>
        <v>12.62</v>
      </c>
      <c r="DC324">
        <f>ROUND((ROUND(AT324*AG324,2)*1.12),2)</f>
        <v>1.52</v>
      </c>
      <c r="DD324" t="s">
        <v>6</v>
      </c>
      <c r="DE324" t="s">
        <v>6</v>
      </c>
      <c r="DF324">
        <f t="shared" si="140"/>
        <v>0</v>
      </c>
      <c r="DG324">
        <f t="shared" si="139"/>
        <v>2</v>
      </c>
      <c r="DH324">
        <f>Source!I259*SmtRes!Y324</f>
        <v>1.40672E-2</v>
      </c>
      <c r="DI324">
        <f>AB324</f>
        <v>112.67</v>
      </c>
      <c r="DJ324">
        <f>EtalonRes!Z246</f>
        <v>112.67</v>
      </c>
      <c r="DK324">
        <f>Source!BB259</f>
        <v>1</v>
      </c>
      <c r="DL324" t="s">
        <v>6</v>
      </c>
      <c r="DM324">
        <v>0</v>
      </c>
      <c r="DN324" t="s">
        <v>6</v>
      </c>
      <c r="DO324">
        <v>0</v>
      </c>
      <c r="GQ324">
        <v>-1</v>
      </c>
      <c r="GR324">
        <v>-1</v>
      </c>
    </row>
    <row r="325" spans="1:200" x14ac:dyDescent="0.2">
      <c r="A325">
        <f>ROW(Source!A259)</f>
        <v>259</v>
      </c>
      <c r="B325">
        <v>86326987</v>
      </c>
      <c r="C325">
        <v>86327603</v>
      </c>
      <c r="D325">
        <v>27441327</v>
      </c>
      <c r="E325">
        <v>1</v>
      </c>
      <c r="F325">
        <v>1</v>
      </c>
      <c r="G325">
        <v>1</v>
      </c>
      <c r="H325">
        <v>2</v>
      </c>
      <c r="I325" t="s">
        <v>637</v>
      </c>
      <c r="J325" t="s">
        <v>638</v>
      </c>
      <c r="K325" t="s">
        <v>639</v>
      </c>
      <c r="L325">
        <v>1368</v>
      </c>
      <c r="N325">
        <v>1011</v>
      </c>
      <c r="O325" t="s">
        <v>137</v>
      </c>
      <c r="P325" t="s">
        <v>137</v>
      </c>
      <c r="Q325">
        <v>1</v>
      </c>
      <c r="W325">
        <v>0</v>
      </c>
      <c r="X325">
        <v>-1583389094</v>
      </c>
      <c r="Y325">
        <f>(AT325*1.12)</f>
        <v>0.15680000000000002</v>
      </c>
      <c r="AA325">
        <v>0</v>
      </c>
      <c r="AB325">
        <v>93.37</v>
      </c>
      <c r="AC325">
        <v>11.69</v>
      </c>
      <c r="AD325">
        <v>0</v>
      </c>
      <c r="AE325">
        <v>0</v>
      </c>
      <c r="AF325">
        <v>93.37</v>
      </c>
      <c r="AG325">
        <v>11.69</v>
      </c>
      <c r="AH325">
        <v>0</v>
      </c>
      <c r="AI325">
        <v>1</v>
      </c>
      <c r="AJ325">
        <v>1</v>
      </c>
      <c r="AK325">
        <v>1</v>
      </c>
      <c r="AL325">
        <v>1</v>
      </c>
      <c r="AM325">
        <v>0</v>
      </c>
      <c r="AN325">
        <v>0</v>
      </c>
      <c r="AO325">
        <v>1</v>
      </c>
      <c r="AP325">
        <v>1</v>
      </c>
      <c r="AQ325">
        <v>0</v>
      </c>
      <c r="AR325">
        <v>0</v>
      </c>
      <c r="AS325" t="s">
        <v>6</v>
      </c>
      <c r="AT325">
        <v>0.14000000000000001</v>
      </c>
      <c r="AU325" t="s">
        <v>24</v>
      </c>
      <c r="AV325">
        <v>0</v>
      </c>
      <c r="AW325">
        <v>2</v>
      </c>
      <c r="AX325">
        <v>86327615</v>
      </c>
      <c r="AY325">
        <v>1</v>
      </c>
      <c r="AZ325">
        <v>0</v>
      </c>
      <c r="BA325">
        <v>247</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CV325">
        <v>0</v>
      </c>
      <c r="CW325">
        <f>ROUND(Y325*Source!I259*DO325,9)</f>
        <v>0</v>
      </c>
      <c r="CX325">
        <f>ROUND(Y325*Source!I259,9)</f>
        <v>1.9694079999999999E-2</v>
      </c>
      <c r="CY325">
        <f>AB325</f>
        <v>93.37</v>
      </c>
      <c r="CZ325">
        <f>AF325</f>
        <v>93.37</v>
      </c>
      <c r="DA325">
        <f>AJ325</f>
        <v>1</v>
      </c>
      <c r="DB325">
        <f>ROUND((ROUND(AT325*CZ325,2)*1.12),2)</f>
        <v>14.64</v>
      </c>
      <c r="DC325">
        <f>ROUND((ROUND(AT325*AG325,2)*1.12),2)</f>
        <v>1.84</v>
      </c>
      <c r="DD325" t="s">
        <v>6</v>
      </c>
      <c r="DE325" t="s">
        <v>6</v>
      </c>
      <c r="DF325">
        <f t="shared" si="140"/>
        <v>0</v>
      </c>
      <c r="DG325">
        <f t="shared" si="139"/>
        <v>2</v>
      </c>
      <c r="DH325">
        <f>Source!I259*SmtRes!Y325</f>
        <v>1.9694080000000003E-2</v>
      </c>
      <c r="DI325">
        <f>AB325</f>
        <v>93.37</v>
      </c>
      <c r="DJ325">
        <f>EtalonRes!Z247</f>
        <v>93.37</v>
      </c>
      <c r="DK325">
        <f>Source!BB259</f>
        <v>1</v>
      </c>
      <c r="DL325" t="s">
        <v>6</v>
      </c>
      <c r="DM325">
        <v>0</v>
      </c>
      <c r="DN325" t="s">
        <v>6</v>
      </c>
      <c r="DO325">
        <v>0</v>
      </c>
      <c r="GQ325">
        <v>-1</v>
      </c>
      <c r="GR325">
        <v>-1</v>
      </c>
    </row>
    <row r="326" spans="1:200" x14ac:dyDescent="0.2">
      <c r="A326">
        <f>ROW(Source!A259)</f>
        <v>259</v>
      </c>
      <c r="B326">
        <v>86326987</v>
      </c>
      <c r="C326">
        <v>86327603</v>
      </c>
      <c r="D326">
        <v>27377917</v>
      </c>
      <c r="E326">
        <v>1</v>
      </c>
      <c r="F326">
        <v>1</v>
      </c>
      <c r="G326">
        <v>1</v>
      </c>
      <c r="H326">
        <v>3</v>
      </c>
      <c r="I326" t="s">
        <v>316</v>
      </c>
      <c r="J326" t="s">
        <v>318</v>
      </c>
      <c r="K326" t="s">
        <v>317</v>
      </c>
      <c r="L326">
        <v>1348</v>
      </c>
      <c r="N326">
        <v>1009</v>
      </c>
      <c r="O326" t="s">
        <v>33</v>
      </c>
      <c r="P326" t="s">
        <v>33</v>
      </c>
      <c r="Q326">
        <v>1000</v>
      </c>
      <c r="W326">
        <v>0</v>
      </c>
      <c r="X326">
        <v>1988624183</v>
      </c>
      <c r="Y326">
        <f>AT326</f>
        <v>6.0000000000000001E-3</v>
      </c>
      <c r="AA326">
        <v>10559.12</v>
      </c>
      <c r="AB326">
        <v>0</v>
      </c>
      <c r="AC326">
        <v>0</v>
      </c>
      <c r="AD326">
        <v>0</v>
      </c>
      <c r="AE326">
        <v>10559.12</v>
      </c>
      <c r="AF326">
        <v>0</v>
      </c>
      <c r="AG326">
        <v>0</v>
      </c>
      <c r="AH326">
        <v>0</v>
      </c>
      <c r="AI326">
        <v>1</v>
      </c>
      <c r="AJ326">
        <v>1</v>
      </c>
      <c r="AK326">
        <v>1</v>
      </c>
      <c r="AL326">
        <v>1</v>
      </c>
      <c r="AM326">
        <v>0</v>
      </c>
      <c r="AN326">
        <v>0</v>
      </c>
      <c r="AO326">
        <v>0</v>
      </c>
      <c r="AP326">
        <v>1</v>
      </c>
      <c r="AQ326">
        <v>0</v>
      </c>
      <c r="AR326">
        <v>0</v>
      </c>
      <c r="AS326" t="s">
        <v>6</v>
      </c>
      <c r="AT326">
        <v>6.0000000000000001E-3</v>
      </c>
      <c r="AU326" t="s">
        <v>6</v>
      </c>
      <c r="AV326">
        <v>0</v>
      </c>
      <c r="AW326">
        <v>2</v>
      </c>
      <c r="AX326">
        <v>86327616</v>
      </c>
      <c r="AY326">
        <v>1</v>
      </c>
      <c r="AZ326">
        <v>0</v>
      </c>
      <c r="BA326">
        <v>248</v>
      </c>
      <c r="BB326">
        <v>3</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CV326">
        <v>0</v>
      </c>
      <c r="CW326">
        <v>0</v>
      </c>
      <c r="CX326">
        <f>ROUND(Y326*Source!I259,9)</f>
        <v>7.5359999999999999E-4</v>
      </c>
      <c r="CY326">
        <f>AA326</f>
        <v>10559.12</v>
      </c>
      <c r="CZ326">
        <f>AE326</f>
        <v>10559.12</v>
      </c>
      <c r="DA326">
        <f>AI326</f>
        <v>1</v>
      </c>
      <c r="DB326">
        <f>ROUND(ROUND(AT326*CZ326,2),2)</f>
        <v>63.35</v>
      </c>
      <c r="DC326">
        <f>ROUND(ROUND(AT326*AG326,2),2)</f>
        <v>0</v>
      </c>
      <c r="DD326" t="s">
        <v>6</v>
      </c>
      <c r="DE326" t="s">
        <v>6</v>
      </c>
      <c r="DF326">
        <f t="shared" si="140"/>
        <v>8</v>
      </c>
      <c r="DG326">
        <f t="shared" si="139"/>
        <v>0</v>
      </c>
      <c r="DH326">
        <f>Source!I259*SmtRes!Y326</f>
        <v>7.5359999999999999E-4</v>
      </c>
      <c r="DI326">
        <f>AA326</f>
        <v>10559.12</v>
      </c>
      <c r="DJ326">
        <f>EtalonRes!Y248</f>
        <v>10559.12</v>
      </c>
      <c r="DK326">
        <f>Source!BC259</f>
        <v>1</v>
      </c>
      <c r="DL326" t="s">
        <v>6</v>
      </c>
      <c r="DM326">
        <v>0</v>
      </c>
      <c r="DN326" t="s">
        <v>6</v>
      </c>
      <c r="DO326">
        <v>0</v>
      </c>
      <c r="GP326">
        <v>1</v>
      </c>
      <c r="GQ326">
        <v>-1</v>
      </c>
      <c r="GR326">
        <v>-1</v>
      </c>
    </row>
    <row r="327" spans="1:200" x14ac:dyDescent="0.2">
      <c r="A327">
        <f>ROW(Source!A259)</f>
        <v>259</v>
      </c>
      <c r="B327">
        <v>86326987</v>
      </c>
      <c r="C327">
        <v>86327603</v>
      </c>
      <c r="D327">
        <v>69205180</v>
      </c>
      <c r="E327">
        <v>1</v>
      </c>
      <c r="F327">
        <v>1</v>
      </c>
      <c r="G327">
        <v>1</v>
      </c>
      <c r="H327">
        <v>3</v>
      </c>
      <c r="I327" t="s">
        <v>360</v>
      </c>
      <c r="J327" t="s">
        <v>362</v>
      </c>
      <c r="K327" t="s">
        <v>361</v>
      </c>
      <c r="L327">
        <v>1348</v>
      </c>
      <c r="N327">
        <v>1009</v>
      </c>
      <c r="O327" t="s">
        <v>33</v>
      </c>
      <c r="P327" t="s">
        <v>33</v>
      </c>
      <c r="Q327">
        <v>1000</v>
      </c>
      <c r="W327">
        <v>0</v>
      </c>
      <c r="X327">
        <v>1093046587</v>
      </c>
      <c r="Y327">
        <f>AT327</f>
        <v>1</v>
      </c>
      <c r="AA327">
        <v>14744.52</v>
      </c>
      <c r="AB327">
        <v>0</v>
      </c>
      <c r="AC327">
        <v>0</v>
      </c>
      <c r="AD327">
        <v>0</v>
      </c>
      <c r="AE327">
        <v>14744.52</v>
      </c>
      <c r="AF327">
        <v>0</v>
      </c>
      <c r="AG327">
        <v>0</v>
      </c>
      <c r="AH327">
        <v>0</v>
      </c>
      <c r="AI327">
        <v>1</v>
      </c>
      <c r="AJ327">
        <v>1</v>
      </c>
      <c r="AK327">
        <v>1</v>
      </c>
      <c r="AL327">
        <v>1</v>
      </c>
      <c r="AM327">
        <v>0</v>
      </c>
      <c r="AN327">
        <v>0</v>
      </c>
      <c r="AO327">
        <v>0</v>
      </c>
      <c r="AP327">
        <v>1</v>
      </c>
      <c r="AQ327">
        <v>0</v>
      </c>
      <c r="AR327">
        <v>0</v>
      </c>
      <c r="AS327" t="s">
        <v>6</v>
      </c>
      <c r="AT327">
        <v>1</v>
      </c>
      <c r="AU327" t="s">
        <v>6</v>
      </c>
      <c r="AV327">
        <v>0</v>
      </c>
      <c r="AW327">
        <v>1</v>
      </c>
      <c r="AX327">
        <v>-1</v>
      </c>
      <c r="AY327">
        <v>0</v>
      </c>
      <c r="AZ327">
        <v>0</v>
      </c>
      <c r="BA327" t="s">
        <v>6</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CV327">
        <v>0</v>
      </c>
      <c r="CW327">
        <v>0</v>
      </c>
      <c r="CX327">
        <f>ROUND(Y327*Source!I259,9)</f>
        <v>0.12559999999999999</v>
      </c>
      <c r="CY327">
        <f>AA327</f>
        <v>14744.52</v>
      </c>
      <c r="CZ327">
        <f>AE327</f>
        <v>14744.52</v>
      </c>
      <c r="DA327">
        <f>AI327</f>
        <v>1</v>
      </c>
      <c r="DB327">
        <f>ROUND(ROUND(AT327*CZ327,2),2)</f>
        <v>14744.52</v>
      </c>
      <c r="DC327">
        <f>ROUND(ROUND(AT327*AG327,2),2)</f>
        <v>0</v>
      </c>
      <c r="DD327" t="s">
        <v>6</v>
      </c>
      <c r="DE327" t="s">
        <v>6</v>
      </c>
      <c r="DF327">
        <f t="shared" si="140"/>
        <v>1852</v>
      </c>
      <c r="DG327">
        <f t="shared" si="139"/>
        <v>0</v>
      </c>
      <c r="DH327">
        <f>Source!I259*SmtRes!Y327</f>
        <v>0.12559999999999999</v>
      </c>
      <c r="DI327">
        <f>AA327</f>
        <v>14744.52</v>
      </c>
      <c r="DJ327">
        <f>DF327</f>
        <v>1852</v>
      </c>
      <c r="DK327">
        <f>Source!BC259</f>
        <v>1</v>
      </c>
      <c r="DL327" t="s">
        <v>6</v>
      </c>
      <c r="DM327">
        <v>0</v>
      </c>
      <c r="DN327" t="s">
        <v>6</v>
      </c>
      <c r="DO327">
        <v>0</v>
      </c>
      <c r="GP327">
        <v>1</v>
      </c>
      <c r="GQ327">
        <v>-1</v>
      </c>
      <c r="GR327">
        <v>-1</v>
      </c>
    </row>
    <row r="328" spans="1:200" x14ac:dyDescent="0.2">
      <c r="A328">
        <f>ROW(Source!A260)</f>
        <v>260</v>
      </c>
      <c r="B328">
        <v>86326988</v>
      </c>
      <c r="C328">
        <v>86327603</v>
      </c>
      <c r="D328">
        <v>27496319</v>
      </c>
      <c r="E328">
        <v>1</v>
      </c>
      <c r="F328">
        <v>1</v>
      </c>
      <c r="G328">
        <v>1</v>
      </c>
      <c r="H328">
        <v>1</v>
      </c>
      <c r="I328" t="s">
        <v>672</v>
      </c>
      <c r="J328" t="s">
        <v>6</v>
      </c>
      <c r="K328" t="s">
        <v>673</v>
      </c>
      <c r="L328">
        <v>1369</v>
      </c>
      <c r="N328">
        <v>1013</v>
      </c>
      <c r="O328" t="s">
        <v>625</v>
      </c>
      <c r="P328" t="s">
        <v>625</v>
      </c>
      <c r="Q328">
        <v>1</v>
      </c>
      <c r="W328">
        <v>0</v>
      </c>
      <c r="X328">
        <v>1189128158</v>
      </c>
      <c r="Y328">
        <f>(AT328*1.05)</f>
        <v>28.644000000000002</v>
      </c>
      <c r="AA328">
        <v>0</v>
      </c>
      <c r="AB328">
        <v>0</v>
      </c>
      <c r="AC328">
        <v>0</v>
      </c>
      <c r="AD328">
        <v>203.13</v>
      </c>
      <c r="AE328">
        <v>0</v>
      </c>
      <c r="AF328">
        <v>0</v>
      </c>
      <c r="AG328">
        <v>0</v>
      </c>
      <c r="AH328">
        <v>8.01</v>
      </c>
      <c r="AI328">
        <v>1</v>
      </c>
      <c r="AJ328">
        <v>1</v>
      </c>
      <c r="AK328">
        <v>1</v>
      </c>
      <c r="AL328">
        <v>25.36</v>
      </c>
      <c r="AM328">
        <v>5</v>
      </c>
      <c r="AN328">
        <v>0</v>
      </c>
      <c r="AO328">
        <v>1</v>
      </c>
      <c r="AP328">
        <v>1</v>
      </c>
      <c r="AQ328">
        <v>0</v>
      </c>
      <c r="AR328">
        <v>0</v>
      </c>
      <c r="AS328" t="s">
        <v>6</v>
      </c>
      <c r="AT328">
        <v>27.28</v>
      </c>
      <c r="AU328" t="s">
        <v>25</v>
      </c>
      <c r="AV328">
        <v>1</v>
      </c>
      <c r="AW328">
        <v>2</v>
      </c>
      <c r="AX328">
        <v>86327611</v>
      </c>
      <c r="AY328">
        <v>1</v>
      </c>
      <c r="AZ328">
        <v>0</v>
      </c>
      <c r="BA328">
        <v>250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CU328">
        <f>ROUND(AT328*Source!I260*AH328*AL328,0)</f>
        <v>696</v>
      </c>
      <c r="CV328">
        <f>ROUND(Y328*Source!I260,9)</f>
        <v>3.5976864000000002</v>
      </c>
      <c r="CW328">
        <v>0</v>
      </c>
      <c r="CX328">
        <f>ROUND(Y328*Source!I260,9)</f>
        <v>3.5976864000000002</v>
      </c>
      <c r="CY328">
        <f>AD328</f>
        <v>203.13</v>
      </c>
      <c r="CZ328">
        <f>AH328</f>
        <v>8.01</v>
      </c>
      <c r="DA328">
        <f>AL328</f>
        <v>25.36</v>
      </c>
      <c r="DB328">
        <f>ROUND((ROUND(AT328*CZ328,2)*1.05),2)</f>
        <v>229.44</v>
      </c>
      <c r="DC328">
        <f>ROUND((ROUND(AT328*AG328,2)*1.05),2)</f>
        <v>0</v>
      </c>
      <c r="DD328" t="s">
        <v>6</v>
      </c>
      <c r="DE328" t="s">
        <v>6</v>
      </c>
      <c r="DF328">
        <f t="shared" si="140"/>
        <v>0</v>
      </c>
      <c r="DG328">
        <f t="shared" si="139"/>
        <v>0</v>
      </c>
      <c r="DH328">
        <f>Source!I260*SmtRes!Y328</f>
        <v>3.5976863999999997</v>
      </c>
      <c r="DI328">
        <f>AD328</f>
        <v>203.13</v>
      </c>
      <c r="DJ328">
        <f>EtalonRes!AB250</f>
        <v>8.01</v>
      </c>
      <c r="DK328">
        <f>Source!BA260</f>
        <v>25.36</v>
      </c>
      <c r="DL328" t="s">
        <v>6</v>
      </c>
      <c r="DM328">
        <v>0</v>
      </c>
      <c r="DN328" t="s">
        <v>6</v>
      </c>
      <c r="DO328">
        <v>0</v>
      </c>
      <c r="GQ328">
        <v>-1</v>
      </c>
      <c r="GR328">
        <v>-1</v>
      </c>
    </row>
    <row r="329" spans="1:200" x14ac:dyDescent="0.2">
      <c r="A329">
        <f>ROW(Source!A260)</f>
        <v>260</v>
      </c>
      <c r="B329">
        <v>86326988</v>
      </c>
      <c r="C329">
        <v>86327603</v>
      </c>
      <c r="D329">
        <v>121548</v>
      </c>
      <c r="E329">
        <v>1</v>
      </c>
      <c r="F329">
        <v>1</v>
      </c>
      <c r="G329">
        <v>1</v>
      </c>
      <c r="H329">
        <v>1</v>
      </c>
      <c r="I329" t="s">
        <v>40</v>
      </c>
      <c r="J329" t="s">
        <v>6</v>
      </c>
      <c r="K329" t="s">
        <v>626</v>
      </c>
      <c r="L329">
        <v>608254</v>
      </c>
      <c r="N329">
        <v>1013</v>
      </c>
      <c r="O329" t="s">
        <v>627</v>
      </c>
      <c r="P329" t="s">
        <v>627</v>
      </c>
      <c r="Q329">
        <v>1</v>
      </c>
      <c r="W329">
        <v>0</v>
      </c>
      <c r="X329">
        <v>-185737400</v>
      </c>
      <c r="Y329">
        <f>(AT329*1.12)</f>
        <v>0.62720000000000009</v>
      </c>
      <c r="AA329">
        <v>0</v>
      </c>
      <c r="AB329">
        <v>0</v>
      </c>
      <c r="AC329">
        <v>0</v>
      </c>
      <c r="AD329">
        <v>0</v>
      </c>
      <c r="AE329">
        <v>0</v>
      </c>
      <c r="AF329">
        <v>0</v>
      </c>
      <c r="AG329">
        <v>0</v>
      </c>
      <c r="AH329">
        <v>0</v>
      </c>
      <c r="AI329">
        <v>1</v>
      </c>
      <c r="AJ329">
        <v>1</v>
      </c>
      <c r="AK329">
        <v>19.8</v>
      </c>
      <c r="AL329">
        <v>1</v>
      </c>
      <c r="AM329">
        <v>5</v>
      </c>
      <c r="AN329">
        <v>0</v>
      </c>
      <c r="AO329">
        <v>1</v>
      </c>
      <c r="AP329">
        <v>1</v>
      </c>
      <c r="AQ329">
        <v>0</v>
      </c>
      <c r="AR329">
        <v>0</v>
      </c>
      <c r="AS329" t="s">
        <v>6</v>
      </c>
      <c r="AT329">
        <v>0.56000000000000005</v>
      </c>
      <c r="AU329" t="s">
        <v>24</v>
      </c>
      <c r="AV329">
        <v>2</v>
      </c>
      <c r="AW329">
        <v>2</v>
      </c>
      <c r="AX329">
        <v>86327612</v>
      </c>
      <c r="AY329">
        <v>1</v>
      </c>
      <c r="AZ329">
        <v>0</v>
      </c>
      <c r="BA329">
        <v>251</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CV329">
        <v>0</v>
      </c>
      <c r="CW329">
        <v>0</v>
      </c>
      <c r="CX329">
        <f>ROUND(Y329*Source!I260,9)</f>
        <v>7.8776319999999997E-2</v>
      </c>
      <c r="CY329">
        <f>AD329</f>
        <v>0</v>
      </c>
      <c r="CZ329">
        <f>AH329</f>
        <v>0</v>
      </c>
      <c r="DA329">
        <f>AL329</f>
        <v>1</v>
      </c>
      <c r="DB329">
        <f>ROUND((ROUND(AT329*CZ329,2)*1.12),2)</f>
        <v>0</v>
      </c>
      <c r="DC329">
        <f>ROUND((ROUND(AT329*AG329,2)*1.12),2)</f>
        <v>0</v>
      </c>
      <c r="DD329" t="s">
        <v>6</v>
      </c>
      <c r="DE329" t="s">
        <v>6</v>
      </c>
      <c r="DF329">
        <f t="shared" si="140"/>
        <v>0</v>
      </c>
      <c r="DG329">
        <f t="shared" si="139"/>
        <v>0</v>
      </c>
      <c r="DH329">
        <f>Source!I260*SmtRes!Y329</f>
        <v>7.8776320000000011E-2</v>
      </c>
      <c r="DI329">
        <f>AD329</f>
        <v>0</v>
      </c>
      <c r="DJ329">
        <f>EtalonRes!AB251</f>
        <v>0</v>
      </c>
      <c r="DK329">
        <f>Source!BA260</f>
        <v>25.36</v>
      </c>
      <c r="DL329" t="s">
        <v>6</v>
      </c>
      <c r="DM329">
        <v>0</v>
      </c>
      <c r="DN329" t="s">
        <v>6</v>
      </c>
      <c r="DO329">
        <v>0</v>
      </c>
      <c r="GQ329">
        <v>-1</v>
      </c>
      <c r="GR329">
        <v>-1</v>
      </c>
    </row>
    <row r="330" spans="1:200" x14ac:dyDescent="0.2">
      <c r="A330">
        <f>ROW(Source!A260)</f>
        <v>260</v>
      </c>
      <c r="B330">
        <v>86326988</v>
      </c>
      <c r="C330">
        <v>86327603</v>
      </c>
      <c r="D330">
        <v>27439419</v>
      </c>
      <c r="E330">
        <v>1</v>
      </c>
      <c r="F330">
        <v>1</v>
      </c>
      <c r="G330">
        <v>1</v>
      </c>
      <c r="H330">
        <v>2</v>
      </c>
      <c r="I330" t="s">
        <v>628</v>
      </c>
      <c r="J330" t="s">
        <v>629</v>
      </c>
      <c r="K330" t="s">
        <v>630</v>
      </c>
      <c r="L330">
        <v>1368</v>
      </c>
      <c r="N330">
        <v>1011</v>
      </c>
      <c r="O330" t="s">
        <v>137</v>
      </c>
      <c r="P330" t="s">
        <v>137</v>
      </c>
      <c r="Q330">
        <v>1</v>
      </c>
      <c r="W330">
        <v>0</v>
      </c>
      <c r="X330">
        <v>1804162481</v>
      </c>
      <c r="Y330">
        <f>(AT330*1.12)</f>
        <v>0.5152000000000001</v>
      </c>
      <c r="AA330">
        <v>0</v>
      </c>
      <c r="AB330">
        <v>906.62</v>
      </c>
      <c r="AC330">
        <v>269.48</v>
      </c>
      <c r="AD330">
        <v>0</v>
      </c>
      <c r="AE330">
        <v>0</v>
      </c>
      <c r="AF330">
        <v>115.64</v>
      </c>
      <c r="AG330">
        <v>13.61</v>
      </c>
      <c r="AH330">
        <v>0</v>
      </c>
      <c r="AI330">
        <v>1</v>
      </c>
      <c r="AJ330">
        <v>7.84</v>
      </c>
      <c r="AK330">
        <v>19.8</v>
      </c>
      <c r="AL330">
        <v>1</v>
      </c>
      <c r="AM330">
        <v>5</v>
      </c>
      <c r="AN330">
        <v>0</v>
      </c>
      <c r="AO330">
        <v>1</v>
      </c>
      <c r="AP330">
        <v>1</v>
      </c>
      <c r="AQ330">
        <v>0</v>
      </c>
      <c r="AR330">
        <v>0</v>
      </c>
      <c r="AS330" t="s">
        <v>6</v>
      </c>
      <c r="AT330">
        <v>0.46</v>
      </c>
      <c r="AU330" t="s">
        <v>24</v>
      </c>
      <c r="AV330">
        <v>0</v>
      </c>
      <c r="AW330">
        <v>1</v>
      </c>
      <c r="AX330">
        <v>-1</v>
      </c>
      <c r="AY330">
        <v>0</v>
      </c>
      <c r="AZ330">
        <v>0</v>
      </c>
      <c r="BA330" t="s">
        <v>6</v>
      </c>
      <c r="BB330">
        <v>5</v>
      </c>
      <c r="BC330">
        <v>0</v>
      </c>
      <c r="BD330">
        <v>59.577728000000015</v>
      </c>
      <c r="BE330">
        <v>7.0118720000000012</v>
      </c>
      <c r="BF330">
        <v>0</v>
      </c>
      <c r="BG330">
        <v>0</v>
      </c>
      <c r="BH330">
        <v>0</v>
      </c>
      <c r="BI330">
        <v>1</v>
      </c>
      <c r="BJ330">
        <v>0</v>
      </c>
      <c r="BK330">
        <v>0</v>
      </c>
      <c r="BL330">
        <v>0</v>
      </c>
      <c r="BM330">
        <v>0</v>
      </c>
      <c r="BN330">
        <v>0</v>
      </c>
      <c r="BO330">
        <v>0</v>
      </c>
      <c r="BP330">
        <v>0</v>
      </c>
      <c r="BQ330">
        <v>0</v>
      </c>
      <c r="BR330">
        <v>0</v>
      </c>
      <c r="BS330">
        <v>0</v>
      </c>
      <c r="BT330">
        <v>0</v>
      </c>
      <c r="BU330">
        <v>0</v>
      </c>
      <c r="BV330">
        <v>0</v>
      </c>
      <c r="BW330">
        <v>0</v>
      </c>
      <c r="CV330">
        <v>0</v>
      </c>
      <c r="CW330">
        <f>ROUND(Y330*Source!I260*DO330,9)</f>
        <v>0</v>
      </c>
      <c r="CX330">
        <f>ROUND(Y330*Source!I260,9)</f>
        <v>6.4709119999999995E-2</v>
      </c>
      <c r="CY330">
        <f>AB330</f>
        <v>906.62</v>
      </c>
      <c r="CZ330">
        <f>AF330</f>
        <v>115.64</v>
      </c>
      <c r="DA330">
        <f>AJ330</f>
        <v>7.84</v>
      </c>
      <c r="DB330">
        <f>ROUND((ROUND(AT330*CZ330,2)*1.12),2)</f>
        <v>59.57</v>
      </c>
      <c r="DC330">
        <f>ROUND((ROUND(AT330*AG330,2)*1.12),2)</f>
        <v>7.01</v>
      </c>
      <c r="DD330" t="s">
        <v>6</v>
      </c>
      <c r="DE330" t="s">
        <v>6</v>
      </c>
      <c r="DF330">
        <f t="shared" si="140"/>
        <v>0</v>
      </c>
      <c r="DG330">
        <f>ROUND(ROUND(AF330*AJ330,0)*CX330,0)</f>
        <v>59</v>
      </c>
      <c r="DH330">
        <f>Source!I260*SmtRes!Y330</f>
        <v>6.4709120000000009E-2</v>
      </c>
      <c r="DI330">
        <f>AB330</f>
        <v>906.62</v>
      </c>
      <c r="DJ330">
        <f>DG330</f>
        <v>59</v>
      </c>
      <c r="DK330">
        <f>Source!BB260</f>
        <v>7.84</v>
      </c>
      <c r="DL330" t="s">
        <v>6</v>
      </c>
      <c r="DM330">
        <v>0</v>
      </c>
      <c r="DN330" t="s">
        <v>6</v>
      </c>
      <c r="DO330">
        <v>0</v>
      </c>
      <c r="GQ330">
        <v>-1</v>
      </c>
      <c r="GR330">
        <v>-1</v>
      </c>
    </row>
    <row r="331" spans="1:200" x14ac:dyDescent="0.2">
      <c r="A331">
        <f>ROW(Source!A260)</f>
        <v>260</v>
      </c>
      <c r="B331">
        <v>86326988</v>
      </c>
      <c r="C331">
        <v>86327603</v>
      </c>
      <c r="D331">
        <v>27439499</v>
      </c>
      <c r="E331">
        <v>1</v>
      </c>
      <c r="F331">
        <v>1</v>
      </c>
      <c r="G331">
        <v>1</v>
      </c>
      <c r="H331">
        <v>2</v>
      </c>
      <c r="I331" t="s">
        <v>631</v>
      </c>
      <c r="J331" t="s">
        <v>632</v>
      </c>
      <c r="K331" t="s">
        <v>633</v>
      </c>
      <c r="L331">
        <v>1368</v>
      </c>
      <c r="N331">
        <v>1011</v>
      </c>
      <c r="O331" t="s">
        <v>137</v>
      </c>
      <c r="P331" t="s">
        <v>137</v>
      </c>
      <c r="Q331">
        <v>1</v>
      </c>
      <c r="W331">
        <v>0</v>
      </c>
      <c r="X331">
        <v>1890856440</v>
      </c>
      <c r="Y331">
        <f>(AT331*1.12)</f>
        <v>0.11200000000000002</v>
      </c>
      <c r="AA331">
        <v>0</v>
      </c>
      <c r="AB331">
        <v>883.33</v>
      </c>
      <c r="AC331">
        <v>269.48</v>
      </c>
      <c r="AD331">
        <v>0</v>
      </c>
      <c r="AE331">
        <v>0</v>
      </c>
      <c r="AF331">
        <v>112.67</v>
      </c>
      <c r="AG331">
        <v>13.61</v>
      </c>
      <c r="AH331">
        <v>0</v>
      </c>
      <c r="AI331">
        <v>1</v>
      </c>
      <c r="AJ331">
        <v>7.84</v>
      </c>
      <c r="AK331">
        <v>19.8</v>
      </c>
      <c r="AL331">
        <v>1</v>
      </c>
      <c r="AM331">
        <v>5</v>
      </c>
      <c r="AN331">
        <v>0</v>
      </c>
      <c r="AO331">
        <v>1</v>
      </c>
      <c r="AP331">
        <v>1</v>
      </c>
      <c r="AQ331">
        <v>0</v>
      </c>
      <c r="AR331">
        <v>0</v>
      </c>
      <c r="AS331" t="s">
        <v>6</v>
      </c>
      <c r="AT331">
        <v>0.1</v>
      </c>
      <c r="AU331" t="s">
        <v>24</v>
      </c>
      <c r="AV331">
        <v>0</v>
      </c>
      <c r="AW331">
        <v>2</v>
      </c>
      <c r="AX331">
        <v>86327614</v>
      </c>
      <c r="AY331">
        <v>1</v>
      </c>
      <c r="AZ331">
        <v>0</v>
      </c>
      <c r="BA331">
        <v>253</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CV331">
        <v>0</v>
      </c>
      <c r="CW331">
        <f>ROUND(Y331*Source!I260*DO331,9)</f>
        <v>0</v>
      </c>
      <c r="CX331">
        <f>ROUND(Y331*Source!I260,9)</f>
        <v>1.40672E-2</v>
      </c>
      <c r="CY331">
        <f>AB331</f>
        <v>883.33</v>
      </c>
      <c r="CZ331">
        <f>AF331</f>
        <v>112.67</v>
      </c>
      <c r="DA331">
        <f>AJ331</f>
        <v>7.84</v>
      </c>
      <c r="DB331">
        <f>ROUND((ROUND(AT331*CZ331,2)*1.12),2)</f>
        <v>12.62</v>
      </c>
      <c r="DC331">
        <f>ROUND((ROUND(AT331*AG331,2)*1.12),2)</f>
        <v>1.52</v>
      </c>
      <c r="DD331" t="s">
        <v>6</v>
      </c>
      <c r="DE331" t="s">
        <v>6</v>
      </c>
      <c r="DF331">
        <f t="shared" si="140"/>
        <v>0</v>
      </c>
      <c r="DG331">
        <f>ROUND(ROUND(AF331*AJ331,0)*CX331,0)</f>
        <v>12</v>
      </c>
      <c r="DH331">
        <f>Source!I260*SmtRes!Y331</f>
        <v>1.40672E-2</v>
      </c>
      <c r="DI331">
        <f>AB331</f>
        <v>883.33</v>
      </c>
      <c r="DJ331">
        <f>EtalonRes!Z253</f>
        <v>112.67</v>
      </c>
      <c r="DK331">
        <f>Source!BB260</f>
        <v>7.84</v>
      </c>
      <c r="DL331" t="s">
        <v>6</v>
      </c>
      <c r="DM331">
        <v>0</v>
      </c>
      <c r="DN331" t="s">
        <v>6</v>
      </c>
      <c r="DO331">
        <v>0</v>
      </c>
      <c r="GQ331">
        <v>-1</v>
      </c>
      <c r="GR331">
        <v>-1</v>
      </c>
    </row>
    <row r="332" spans="1:200" x14ac:dyDescent="0.2">
      <c r="A332">
        <f>ROW(Source!A260)</f>
        <v>260</v>
      </c>
      <c r="B332">
        <v>86326988</v>
      </c>
      <c r="C332">
        <v>86327603</v>
      </c>
      <c r="D332">
        <v>27441327</v>
      </c>
      <c r="E332">
        <v>1</v>
      </c>
      <c r="F332">
        <v>1</v>
      </c>
      <c r="G332">
        <v>1</v>
      </c>
      <c r="H332">
        <v>2</v>
      </c>
      <c r="I332" t="s">
        <v>637</v>
      </c>
      <c r="J332" t="s">
        <v>638</v>
      </c>
      <c r="K332" t="s">
        <v>639</v>
      </c>
      <c r="L332">
        <v>1368</v>
      </c>
      <c r="N332">
        <v>1011</v>
      </c>
      <c r="O332" t="s">
        <v>137</v>
      </c>
      <c r="P332" t="s">
        <v>137</v>
      </c>
      <c r="Q332">
        <v>1</v>
      </c>
      <c r="W332">
        <v>0</v>
      </c>
      <c r="X332">
        <v>-1583389094</v>
      </c>
      <c r="Y332">
        <f>(AT332*1.12)</f>
        <v>0.15680000000000002</v>
      </c>
      <c r="AA332">
        <v>0</v>
      </c>
      <c r="AB332">
        <v>732.02</v>
      </c>
      <c r="AC332">
        <v>231.46</v>
      </c>
      <c r="AD332">
        <v>0</v>
      </c>
      <c r="AE332">
        <v>0</v>
      </c>
      <c r="AF332">
        <v>93.37</v>
      </c>
      <c r="AG332">
        <v>11.69</v>
      </c>
      <c r="AH332">
        <v>0</v>
      </c>
      <c r="AI332">
        <v>1</v>
      </c>
      <c r="AJ332">
        <v>7.84</v>
      </c>
      <c r="AK332">
        <v>19.8</v>
      </c>
      <c r="AL332">
        <v>1</v>
      </c>
      <c r="AM332">
        <v>5</v>
      </c>
      <c r="AN332">
        <v>0</v>
      </c>
      <c r="AO332">
        <v>1</v>
      </c>
      <c r="AP332">
        <v>1</v>
      </c>
      <c r="AQ332">
        <v>0</v>
      </c>
      <c r="AR332">
        <v>0</v>
      </c>
      <c r="AS332" t="s">
        <v>6</v>
      </c>
      <c r="AT332">
        <v>0.14000000000000001</v>
      </c>
      <c r="AU332" t="s">
        <v>24</v>
      </c>
      <c r="AV332">
        <v>0</v>
      </c>
      <c r="AW332">
        <v>2</v>
      </c>
      <c r="AX332">
        <v>86327615</v>
      </c>
      <c r="AY332">
        <v>1</v>
      </c>
      <c r="AZ332">
        <v>0</v>
      </c>
      <c r="BA332">
        <v>254</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CV332">
        <v>0</v>
      </c>
      <c r="CW332">
        <f>ROUND(Y332*Source!I260*DO332,9)</f>
        <v>0</v>
      </c>
      <c r="CX332">
        <f>ROUND(Y332*Source!I260,9)</f>
        <v>1.9694079999999999E-2</v>
      </c>
      <c r="CY332">
        <f>AB332</f>
        <v>732.02</v>
      </c>
      <c r="CZ332">
        <f>AF332</f>
        <v>93.37</v>
      </c>
      <c r="DA332">
        <f>AJ332</f>
        <v>7.84</v>
      </c>
      <c r="DB332">
        <f>ROUND((ROUND(AT332*CZ332,2)*1.12),2)</f>
        <v>14.64</v>
      </c>
      <c r="DC332">
        <f>ROUND((ROUND(AT332*AG332,2)*1.12),2)</f>
        <v>1.84</v>
      </c>
      <c r="DD332" t="s">
        <v>6</v>
      </c>
      <c r="DE332" t="s">
        <v>6</v>
      </c>
      <c r="DF332">
        <f t="shared" si="140"/>
        <v>0</v>
      </c>
      <c r="DG332">
        <f>ROUND(ROUND(AF332*AJ332,0)*CX332,0)</f>
        <v>14</v>
      </c>
      <c r="DH332">
        <f>Source!I260*SmtRes!Y332</f>
        <v>1.9694080000000003E-2</v>
      </c>
      <c r="DI332">
        <f>AB332</f>
        <v>732.02</v>
      </c>
      <c r="DJ332">
        <f>EtalonRes!Z254</f>
        <v>93.37</v>
      </c>
      <c r="DK332">
        <f>Source!BB260</f>
        <v>7.84</v>
      </c>
      <c r="DL332" t="s">
        <v>6</v>
      </c>
      <c r="DM332">
        <v>0</v>
      </c>
      <c r="DN332" t="s">
        <v>6</v>
      </c>
      <c r="DO332">
        <v>0</v>
      </c>
      <c r="GQ332">
        <v>-1</v>
      </c>
      <c r="GR332">
        <v>-1</v>
      </c>
    </row>
    <row r="333" spans="1:200" x14ac:dyDescent="0.2">
      <c r="A333">
        <f>ROW(Source!A260)</f>
        <v>260</v>
      </c>
      <c r="B333">
        <v>86326988</v>
      </c>
      <c r="C333">
        <v>86327603</v>
      </c>
      <c r="D333">
        <v>27377917</v>
      </c>
      <c r="E333">
        <v>1</v>
      </c>
      <c r="F333">
        <v>1</v>
      </c>
      <c r="G333">
        <v>1</v>
      </c>
      <c r="H333">
        <v>3</v>
      </c>
      <c r="I333" t="s">
        <v>316</v>
      </c>
      <c r="J333" t="s">
        <v>318</v>
      </c>
      <c r="K333" t="s">
        <v>317</v>
      </c>
      <c r="L333">
        <v>1348</v>
      </c>
      <c r="N333">
        <v>1009</v>
      </c>
      <c r="O333" t="s">
        <v>33</v>
      </c>
      <c r="P333" t="s">
        <v>33</v>
      </c>
      <c r="Q333">
        <v>1000</v>
      </c>
      <c r="W333">
        <v>0</v>
      </c>
      <c r="X333">
        <v>1988624183</v>
      </c>
      <c r="Y333">
        <f>AT333</f>
        <v>6.0000000000000001E-3</v>
      </c>
      <c r="AA333">
        <v>96250</v>
      </c>
      <c r="AB333">
        <v>0</v>
      </c>
      <c r="AC333">
        <v>0</v>
      </c>
      <c r="AD333">
        <v>0</v>
      </c>
      <c r="AE333">
        <v>13505.55</v>
      </c>
      <c r="AF333">
        <v>0</v>
      </c>
      <c r="AG333">
        <v>0</v>
      </c>
      <c r="AH333">
        <v>0</v>
      </c>
      <c r="AI333">
        <v>7.56</v>
      </c>
      <c r="AJ333">
        <v>1</v>
      </c>
      <c r="AK333">
        <v>1</v>
      </c>
      <c r="AL333">
        <v>1</v>
      </c>
      <c r="AM333">
        <v>0</v>
      </c>
      <c r="AN333">
        <v>0</v>
      </c>
      <c r="AO333">
        <v>0</v>
      </c>
      <c r="AP333">
        <v>1</v>
      </c>
      <c r="AQ333">
        <v>0</v>
      </c>
      <c r="AR333">
        <v>0</v>
      </c>
      <c r="AS333" t="s">
        <v>6</v>
      </c>
      <c r="AT333">
        <v>6.0000000000000001E-3</v>
      </c>
      <c r="AU333" t="s">
        <v>6</v>
      </c>
      <c r="AV333">
        <v>0</v>
      </c>
      <c r="AW333">
        <v>2</v>
      </c>
      <c r="AX333">
        <v>86327616</v>
      </c>
      <c r="AY333">
        <v>1</v>
      </c>
      <c r="AZ333">
        <v>16384</v>
      </c>
      <c r="BA333">
        <v>255</v>
      </c>
      <c r="BB333">
        <v>3</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CV333">
        <v>0</v>
      </c>
      <c r="CW333">
        <v>0</v>
      </c>
      <c r="CX333">
        <f>ROUND(Y333*Source!I260,9)</f>
        <v>7.5359999999999999E-4</v>
      </c>
      <c r="CY333">
        <f>AA333</f>
        <v>96250</v>
      </c>
      <c r="CZ333">
        <f>AE333</f>
        <v>13505.55</v>
      </c>
      <c r="DA333">
        <f>AI333</f>
        <v>7.56</v>
      </c>
      <c r="DB333">
        <f>ROUND(ROUND(AT333*CZ333,2),2)</f>
        <v>81.03</v>
      </c>
      <c r="DC333">
        <f>ROUND(ROUND(AT333*AG333,2),2)</f>
        <v>0</v>
      </c>
      <c r="DD333" t="s">
        <v>6</v>
      </c>
      <c r="DE333" t="s">
        <v>6</v>
      </c>
      <c r="DF333">
        <f>ROUND(ROUND(AE333*AI333,0)*CX333,0)</f>
        <v>77</v>
      </c>
      <c r="DG333">
        <f t="shared" ref="DG333:DG344" si="141">ROUND(ROUND(AF333,0)*CX333,0)</f>
        <v>0</v>
      </c>
      <c r="DH333">
        <f>Source!I260*SmtRes!Y333</f>
        <v>7.5359999999999999E-4</v>
      </c>
      <c r="DI333">
        <f>AA333</f>
        <v>96250</v>
      </c>
      <c r="DJ333">
        <f>EtalonRes!Y255</f>
        <v>10559.12</v>
      </c>
      <c r="DK333">
        <f>Source!BC260</f>
        <v>7.56</v>
      </c>
      <c r="DL333" t="s">
        <v>6</v>
      </c>
      <c r="DM333">
        <v>0</v>
      </c>
      <c r="DN333" t="s">
        <v>6</v>
      </c>
      <c r="DO333">
        <v>0</v>
      </c>
      <c r="GP333">
        <v>1</v>
      </c>
      <c r="GQ333">
        <v>-1</v>
      </c>
      <c r="GR333">
        <v>-1</v>
      </c>
    </row>
    <row r="334" spans="1:200" x14ac:dyDescent="0.2">
      <c r="A334">
        <f>ROW(Source!A260)</f>
        <v>260</v>
      </c>
      <c r="B334">
        <v>86326988</v>
      </c>
      <c r="C334">
        <v>86327603</v>
      </c>
      <c r="D334">
        <v>69205180</v>
      </c>
      <c r="E334">
        <v>1</v>
      </c>
      <c r="F334">
        <v>1</v>
      </c>
      <c r="G334">
        <v>1</v>
      </c>
      <c r="H334">
        <v>3</v>
      </c>
      <c r="I334" t="s">
        <v>360</v>
      </c>
      <c r="J334" t="s">
        <v>362</v>
      </c>
      <c r="K334" t="s">
        <v>361</v>
      </c>
      <c r="L334">
        <v>1348</v>
      </c>
      <c r="N334">
        <v>1009</v>
      </c>
      <c r="O334" t="s">
        <v>33</v>
      </c>
      <c r="P334" t="s">
        <v>33</v>
      </c>
      <c r="Q334">
        <v>1000</v>
      </c>
      <c r="W334">
        <v>0</v>
      </c>
      <c r="X334">
        <v>1093046587</v>
      </c>
      <c r="Y334">
        <f>AT334</f>
        <v>1</v>
      </c>
      <c r="AA334">
        <v>111468.54</v>
      </c>
      <c r="AB334">
        <v>0</v>
      </c>
      <c r="AC334">
        <v>0</v>
      </c>
      <c r="AD334">
        <v>0</v>
      </c>
      <c r="AE334">
        <v>15449.310000000001</v>
      </c>
      <c r="AF334">
        <v>0</v>
      </c>
      <c r="AG334">
        <v>0</v>
      </c>
      <c r="AH334">
        <v>0</v>
      </c>
      <c r="AI334">
        <v>7.56</v>
      </c>
      <c r="AJ334">
        <v>1</v>
      </c>
      <c r="AK334">
        <v>1</v>
      </c>
      <c r="AL334">
        <v>1</v>
      </c>
      <c r="AM334">
        <v>0</v>
      </c>
      <c r="AN334">
        <v>0</v>
      </c>
      <c r="AO334">
        <v>0</v>
      </c>
      <c r="AP334">
        <v>1</v>
      </c>
      <c r="AQ334">
        <v>0</v>
      </c>
      <c r="AR334">
        <v>0</v>
      </c>
      <c r="AS334" t="s">
        <v>6</v>
      </c>
      <c r="AT334">
        <v>1</v>
      </c>
      <c r="AU334" t="s">
        <v>6</v>
      </c>
      <c r="AV334">
        <v>0</v>
      </c>
      <c r="AW334">
        <v>1</v>
      </c>
      <c r="AX334">
        <v>-1</v>
      </c>
      <c r="AY334">
        <v>0</v>
      </c>
      <c r="AZ334">
        <v>0</v>
      </c>
      <c r="BA334" t="s">
        <v>6</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CV334">
        <v>0</v>
      </c>
      <c r="CW334">
        <v>0</v>
      </c>
      <c r="CX334">
        <f>ROUND(Y334*Source!I260,9)</f>
        <v>0.12559999999999999</v>
      </c>
      <c r="CY334">
        <f>AA334</f>
        <v>111468.54</v>
      </c>
      <c r="CZ334">
        <f>AE334</f>
        <v>15449.310000000001</v>
      </c>
      <c r="DA334">
        <f>AI334</f>
        <v>7.56</v>
      </c>
      <c r="DB334">
        <f>ROUND(ROUND(AT334*CZ334,2),2)</f>
        <v>15449.31</v>
      </c>
      <c r="DC334">
        <f>ROUND(ROUND(AT334*AG334,2),2)</f>
        <v>0</v>
      </c>
      <c r="DD334" t="s">
        <v>6</v>
      </c>
      <c r="DE334" t="s">
        <v>6</v>
      </c>
      <c r="DF334">
        <f>ROUND(ROUND(AE334*AI334,0)*CX334,0)</f>
        <v>14670</v>
      </c>
      <c r="DG334">
        <f t="shared" si="141"/>
        <v>0</v>
      </c>
      <c r="DH334">
        <f>Source!I260*SmtRes!Y334</f>
        <v>0.12559999999999999</v>
      </c>
      <c r="DI334">
        <f>AA334</f>
        <v>111468.54</v>
      </c>
      <c r="DJ334">
        <f>DF334</f>
        <v>14670</v>
      </c>
      <c r="DK334">
        <f>Source!BC260</f>
        <v>7.56</v>
      </c>
      <c r="DL334" t="s">
        <v>6</v>
      </c>
      <c r="DM334">
        <v>0</v>
      </c>
      <c r="DN334" t="s">
        <v>6</v>
      </c>
      <c r="DO334">
        <v>0</v>
      </c>
      <c r="GP334">
        <v>1</v>
      </c>
      <c r="GQ334">
        <v>-1</v>
      </c>
      <c r="GR334">
        <v>-1</v>
      </c>
    </row>
    <row r="335" spans="1:200" x14ac:dyDescent="0.2">
      <c r="A335">
        <f>ROW(Source!A265)</f>
        <v>265</v>
      </c>
      <c r="B335">
        <v>86326987</v>
      </c>
      <c r="C335">
        <v>86327620</v>
      </c>
      <c r="D335">
        <v>27493137</v>
      </c>
      <c r="E335">
        <v>1</v>
      </c>
      <c r="F335">
        <v>1</v>
      </c>
      <c r="G335">
        <v>1</v>
      </c>
      <c r="H335">
        <v>1</v>
      </c>
      <c r="I335" t="s">
        <v>674</v>
      </c>
      <c r="J335" t="s">
        <v>6</v>
      </c>
      <c r="K335" t="s">
        <v>675</v>
      </c>
      <c r="L335">
        <v>1369</v>
      </c>
      <c r="N335">
        <v>1013</v>
      </c>
      <c r="O335" t="s">
        <v>625</v>
      </c>
      <c r="P335" t="s">
        <v>625</v>
      </c>
      <c r="Q335">
        <v>1</v>
      </c>
      <c r="W335">
        <v>0</v>
      </c>
      <c r="X335">
        <v>-1973258772</v>
      </c>
      <c r="Y335">
        <f t="shared" ref="Y335:Y350" si="142">(AT335*2)</f>
        <v>7.66</v>
      </c>
      <c r="AA335">
        <v>0</v>
      </c>
      <c r="AB335">
        <v>0</v>
      </c>
      <c r="AC335">
        <v>0</v>
      </c>
      <c r="AD335">
        <v>9.15</v>
      </c>
      <c r="AE335">
        <v>0</v>
      </c>
      <c r="AF335">
        <v>0</v>
      </c>
      <c r="AG335">
        <v>0</v>
      </c>
      <c r="AH335">
        <v>9.15</v>
      </c>
      <c r="AI335">
        <v>1</v>
      </c>
      <c r="AJ335">
        <v>1</v>
      </c>
      <c r="AK335">
        <v>1</v>
      </c>
      <c r="AL335">
        <v>1</v>
      </c>
      <c r="AM335">
        <v>-2</v>
      </c>
      <c r="AN335">
        <v>0</v>
      </c>
      <c r="AO335">
        <v>1</v>
      </c>
      <c r="AP335">
        <v>1</v>
      </c>
      <c r="AQ335">
        <v>0</v>
      </c>
      <c r="AR335">
        <v>0</v>
      </c>
      <c r="AS335" t="s">
        <v>6</v>
      </c>
      <c r="AT335">
        <v>3.83</v>
      </c>
      <c r="AU335" t="s">
        <v>379</v>
      </c>
      <c r="AV335">
        <v>1</v>
      </c>
      <c r="AW335">
        <v>2</v>
      </c>
      <c r="AX335">
        <v>86327629</v>
      </c>
      <c r="AY335">
        <v>1</v>
      </c>
      <c r="AZ335">
        <v>0</v>
      </c>
      <c r="BA335">
        <v>257</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CU335" t="e">
        <f>ROUND(AT335*Source!I265*AH335*AL335,0)</f>
        <v>#REF!</v>
      </c>
      <c r="CV335" t="e">
        <f>ROUND(Y335*Source!I265,9)</f>
        <v>#REF!</v>
      </c>
      <c r="CW335">
        <v>0</v>
      </c>
      <c r="CX335" t="e">
        <f>ROUND(Y335*Source!I265,9)</f>
        <v>#REF!</v>
      </c>
      <c r="CY335">
        <f>AD335</f>
        <v>9.15</v>
      </c>
      <c r="CZ335">
        <f>AH335</f>
        <v>9.15</v>
      </c>
      <c r="DA335">
        <f>AL335</f>
        <v>1</v>
      </c>
      <c r="DB335">
        <f t="shared" ref="DB335:DB350" si="143">ROUND((ROUND(AT335*CZ335,2)*2),2)</f>
        <v>70.08</v>
      </c>
      <c r="DC335">
        <f t="shared" ref="DC335:DC350" si="144">ROUND((ROUND(AT335*AG335,2)*2),2)</f>
        <v>0</v>
      </c>
      <c r="DD335" t="s">
        <v>6</v>
      </c>
      <c r="DE335" t="s">
        <v>6</v>
      </c>
      <c r="DF335" t="e">
        <f t="shared" ref="DF335:DF348" si="145">ROUND(ROUND(AE335,0)*CX335,0)</f>
        <v>#REF!</v>
      </c>
      <c r="DG335" t="e">
        <f t="shared" si="141"/>
        <v>#REF!</v>
      </c>
      <c r="DH335" t="e">
        <f>Source!I265*SmtRes!Y335</f>
        <v>#REF!</v>
      </c>
      <c r="DI335">
        <f>AD335</f>
        <v>9.15</v>
      </c>
      <c r="DJ335">
        <f>EtalonRes!AB257</f>
        <v>9.15</v>
      </c>
      <c r="DK335">
        <f>Source!BA265</f>
        <v>1</v>
      </c>
      <c r="DL335" t="s">
        <v>6</v>
      </c>
      <c r="DM335">
        <v>0</v>
      </c>
      <c r="DN335" t="s">
        <v>6</v>
      </c>
      <c r="DO335">
        <v>0</v>
      </c>
      <c r="GQ335">
        <v>-1</v>
      </c>
      <c r="GR335">
        <v>-1</v>
      </c>
    </row>
    <row r="336" spans="1:200" x14ac:dyDescent="0.2">
      <c r="A336">
        <f>ROW(Source!A265)</f>
        <v>265</v>
      </c>
      <c r="B336">
        <v>86326987</v>
      </c>
      <c r="C336">
        <v>86327620</v>
      </c>
      <c r="D336">
        <v>121548</v>
      </c>
      <c r="E336">
        <v>1</v>
      </c>
      <c r="F336">
        <v>1</v>
      </c>
      <c r="G336">
        <v>1</v>
      </c>
      <c r="H336">
        <v>1</v>
      </c>
      <c r="I336" t="s">
        <v>40</v>
      </c>
      <c r="J336" t="s">
        <v>6</v>
      </c>
      <c r="K336" t="s">
        <v>626</v>
      </c>
      <c r="L336">
        <v>608254</v>
      </c>
      <c r="N336">
        <v>1013</v>
      </c>
      <c r="O336" t="s">
        <v>627</v>
      </c>
      <c r="P336" t="s">
        <v>627</v>
      </c>
      <c r="Q336">
        <v>1</v>
      </c>
      <c r="W336">
        <v>0</v>
      </c>
      <c r="X336">
        <v>-185737400</v>
      </c>
      <c r="Y336">
        <f t="shared" si="142"/>
        <v>0.02</v>
      </c>
      <c r="AA336">
        <v>0</v>
      </c>
      <c r="AB336">
        <v>0</v>
      </c>
      <c r="AC336">
        <v>0</v>
      </c>
      <c r="AD336">
        <v>0</v>
      </c>
      <c r="AE336">
        <v>0</v>
      </c>
      <c r="AF336">
        <v>0</v>
      </c>
      <c r="AG336">
        <v>0</v>
      </c>
      <c r="AH336">
        <v>0</v>
      </c>
      <c r="AI336">
        <v>1</v>
      </c>
      <c r="AJ336">
        <v>1</v>
      </c>
      <c r="AK336">
        <v>1</v>
      </c>
      <c r="AL336">
        <v>1</v>
      </c>
      <c r="AM336">
        <v>-2</v>
      </c>
      <c r="AN336">
        <v>0</v>
      </c>
      <c r="AO336">
        <v>1</v>
      </c>
      <c r="AP336">
        <v>1</v>
      </c>
      <c r="AQ336">
        <v>0</v>
      </c>
      <c r="AR336">
        <v>0</v>
      </c>
      <c r="AS336" t="s">
        <v>6</v>
      </c>
      <c r="AT336">
        <v>0.01</v>
      </c>
      <c r="AU336" t="s">
        <v>379</v>
      </c>
      <c r="AV336">
        <v>2</v>
      </c>
      <c r="AW336">
        <v>2</v>
      </c>
      <c r="AX336">
        <v>86327630</v>
      </c>
      <c r="AY336">
        <v>1</v>
      </c>
      <c r="AZ336">
        <v>0</v>
      </c>
      <c r="BA336">
        <v>258</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CV336">
        <v>0</v>
      </c>
      <c r="CW336">
        <v>0</v>
      </c>
      <c r="CX336" t="e">
        <f>ROUND(Y336*Source!I265,9)</f>
        <v>#REF!</v>
      </c>
      <c r="CY336">
        <f>AD336</f>
        <v>0</v>
      </c>
      <c r="CZ336">
        <f>AH336</f>
        <v>0</v>
      </c>
      <c r="DA336">
        <f>AL336</f>
        <v>1</v>
      </c>
      <c r="DB336">
        <f t="shared" si="143"/>
        <v>0</v>
      </c>
      <c r="DC336">
        <f t="shared" si="144"/>
        <v>0</v>
      </c>
      <c r="DD336" t="s">
        <v>6</v>
      </c>
      <c r="DE336" t="s">
        <v>6</v>
      </c>
      <c r="DF336" t="e">
        <f t="shared" si="145"/>
        <v>#REF!</v>
      </c>
      <c r="DG336" t="e">
        <f t="shared" si="141"/>
        <v>#REF!</v>
      </c>
      <c r="DH336" t="e">
        <f>Source!I265*SmtRes!Y336</f>
        <v>#REF!</v>
      </c>
      <c r="DI336">
        <f>AD336</f>
        <v>0</v>
      </c>
      <c r="DJ336">
        <f>EtalonRes!AB258</f>
        <v>0</v>
      </c>
      <c r="DK336">
        <f>Source!BA265</f>
        <v>1</v>
      </c>
      <c r="DL336" t="s">
        <v>6</v>
      </c>
      <c r="DM336">
        <v>0</v>
      </c>
      <c r="DN336" t="s">
        <v>6</v>
      </c>
      <c r="DO336">
        <v>0</v>
      </c>
      <c r="GQ336">
        <v>-1</v>
      </c>
      <c r="GR336">
        <v>-1</v>
      </c>
    </row>
    <row r="337" spans="1:200" x14ac:dyDescent="0.2">
      <c r="A337">
        <f>ROW(Source!A265)</f>
        <v>265</v>
      </c>
      <c r="B337">
        <v>86326987</v>
      </c>
      <c r="C337">
        <v>86327620</v>
      </c>
      <c r="D337">
        <v>27439571</v>
      </c>
      <c r="E337">
        <v>1</v>
      </c>
      <c r="F337">
        <v>1</v>
      </c>
      <c r="G337">
        <v>1</v>
      </c>
      <c r="H337">
        <v>2</v>
      </c>
      <c r="I337" t="s">
        <v>676</v>
      </c>
      <c r="J337" t="s">
        <v>677</v>
      </c>
      <c r="K337" t="s">
        <v>678</v>
      </c>
      <c r="L337">
        <v>1368</v>
      </c>
      <c r="N337">
        <v>1011</v>
      </c>
      <c r="O337" t="s">
        <v>137</v>
      </c>
      <c r="P337" t="s">
        <v>137</v>
      </c>
      <c r="Q337">
        <v>1</v>
      </c>
      <c r="W337">
        <v>0</v>
      </c>
      <c r="X337">
        <v>1462286705</v>
      </c>
      <c r="Y337">
        <f t="shared" si="142"/>
        <v>0.02</v>
      </c>
      <c r="AA337">
        <v>0</v>
      </c>
      <c r="AB337">
        <v>88.42</v>
      </c>
      <c r="AC337">
        <v>10.14</v>
      </c>
      <c r="AD337">
        <v>0</v>
      </c>
      <c r="AE337">
        <v>0</v>
      </c>
      <c r="AF337">
        <v>88.42</v>
      </c>
      <c r="AG337">
        <v>10.14</v>
      </c>
      <c r="AH337">
        <v>0</v>
      </c>
      <c r="AI337">
        <v>1</v>
      </c>
      <c r="AJ337">
        <v>1</v>
      </c>
      <c r="AK337">
        <v>1</v>
      </c>
      <c r="AL337">
        <v>1</v>
      </c>
      <c r="AM337">
        <v>-2</v>
      </c>
      <c r="AN337">
        <v>0</v>
      </c>
      <c r="AO337">
        <v>1</v>
      </c>
      <c r="AP337">
        <v>1</v>
      </c>
      <c r="AQ337">
        <v>0</v>
      </c>
      <c r="AR337">
        <v>0</v>
      </c>
      <c r="AS337" t="s">
        <v>6</v>
      </c>
      <c r="AT337">
        <v>0.01</v>
      </c>
      <c r="AU337" t="s">
        <v>379</v>
      </c>
      <c r="AV337">
        <v>0</v>
      </c>
      <c r="AW337">
        <v>2</v>
      </c>
      <c r="AX337">
        <v>86327631</v>
      </c>
      <c r="AY337">
        <v>1</v>
      </c>
      <c r="AZ337">
        <v>0</v>
      </c>
      <c r="BA337">
        <v>259</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CV337">
        <v>0</v>
      </c>
      <c r="CW337" t="e">
        <f>ROUND(Y337*Source!I265*DO337,9)</f>
        <v>#REF!</v>
      </c>
      <c r="CX337" t="e">
        <f>ROUND(Y337*Source!I265,9)</f>
        <v>#REF!</v>
      </c>
      <c r="CY337">
        <f>AB337</f>
        <v>88.42</v>
      </c>
      <c r="CZ337">
        <f>AF337</f>
        <v>88.42</v>
      </c>
      <c r="DA337">
        <f>AJ337</f>
        <v>1</v>
      </c>
      <c r="DB337">
        <f t="shared" si="143"/>
        <v>1.76</v>
      </c>
      <c r="DC337">
        <f t="shared" si="144"/>
        <v>0.2</v>
      </c>
      <c r="DD337" t="s">
        <v>6</v>
      </c>
      <c r="DE337" t="s">
        <v>6</v>
      </c>
      <c r="DF337" t="e">
        <f t="shared" si="145"/>
        <v>#REF!</v>
      </c>
      <c r="DG337" t="e">
        <f t="shared" si="141"/>
        <v>#REF!</v>
      </c>
      <c r="DH337" t="e">
        <f>Source!I265*SmtRes!Y337</f>
        <v>#REF!</v>
      </c>
      <c r="DI337">
        <f>AB337</f>
        <v>88.42</v>
      </c>
      <c r="DJ337">
        <f>EtalonRes!Z259</f>
        <v>88.42</v>
      </c>
      <c r="DK337">
        <f>Source!BB265</f>
        <v>1</v>
      </c>
      <c r="DL337" t="s">
        <v>6</v>
      </c>
      <c r="DM337">
        <v>0</v>
      </c>
      <c r="DN337" t="s">
        <v>6</v>
      </c>
      <c r="DO337">
        <v>0</v>
      </c>
      <c r="GQ337">
        <v>-1</v>
      </c>
      <c r="GR337">
        <v>-1</v>
      </c>
    </row>
    <row r="338" spans="1:200" x14ac:dyDescent="0.2">
      <c r="A338">
        <f>ROW(Source!A265)</f>
        <v>265</v>
      </c>
      <c r="B338">
        <v>86326987</v>
      </c>
      <c r="C338">
        <v>86327620</v>
      </c>
      <c r="D338">
        <v>27439595</v>
      </c>
      <c r="E338">
        <v>1</v>
      </c>
      <c r="F338">
        <v>1</v>
      </c>
      <c r="G338">
        <v>1</v>
      </c>
      <c r="H338">
        <v>2</v>
      </c>
      <c r="I338" t="s">
        <v>679</v>
      </c>
      <c r="J338" t="s">
        <v>680</v>
      </c>
      <c r="K338" t="s">
        <v>681</v>
      </c>
      <c r="L338">
        <v>1368</v>
      </c>
      <c r="N338">
        <v>1011</v>
      </c>
      <c r="O338" t="s">
        <v>137</v>
      </c>
      <c r="P338" t="s">
        <v>137</v>
      </c>
      <c r="Q338">
        <v>1</v>
      </c>
      <c r="W338">
        <v>0</v>
      </c>
      <c r="X338">
        <v>2034592221</v>
      </c>
      <c r="Y338">
        <f t="shared" si="142"/>
        <v>0.02</v>
      </c>
      <c r="AA338">
        <v>0</v>
      </c>
      <c r="AB338">
        <v>2.17</v>
      </c>
      <c r="AC338">
        <v>0</v>
      </c>
      <c r="AD338">
        <v>0</v>
      </c>
      <c r="AE338">
        <v>0</v>
      </c>
      <c r="AF338">
        <v>2.17</v>
      </c>
      <c r="AG338">
        <v>0</v>
      </c>
      <c r="AH338">
        <v>0</v>
      </c>
      <c r="AI338">
        <v>1</v>
      </c>
      <c r="AJ338">
        <v>1</v>
      </c>
      <c r="AK338">
        <v>1</v>
      </c>
      <c r="AL338">
        <v>1</v>
      </c>
      <c r="AM338">
        <v>-2</v>
      </c>
      <c r="AN338">
        <v>0</v>
      </c>
      <c r="AO338">
        <v>1</v>
      </c>
      <c r="AP338">
        <v>1</v>
      </c>
      <c r="AQ338">
        <v>0</v>
      </c>
      <c r="AR338">
        <v>0</v>
      </c>
      <c r="AS338" t="s">
        <v>6</v>
      </c>
      <c r="AT338">
        <v>0.01</v>
      </c>
      <c r="AU338" t="s">
        <v>379</v>
      </c>
      <c r="AV338">
        <v>0</v>
      </c>
      <c r="AW338">
        <v>2</v>
      </c>
      <c r="AX338">
        <v>86327632</v>
      </c>
      <c r="AY338">
        <v>1</v>
      </c>
      <c r="AZ338">
        <v>0</v>
      </c>
      <c r="BA338">
        <v>260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CV338">
        <v>0</v>
      </c>
      <c r="CW338" t="e">
        <f>ROUND(Y338*Source!I265*DO338,9)</f>
        <v>#REF!</v>
      </c>
      <c r="CX338" t="e">
        <f>ROUND(Y338*Source!I265,9)</f>
        <v>#REF!</v>
      </c>
      <c r="CY338">
        <f>AB338</f>
        <v>2.17</v>
      </c>
      <c r="CZ338">
        <f>AF338</f>
        <v>2.17</v>
      </c>
      <c r="DA338">
        <f>AJ338</f>
        <v>1</v>
      </c>
      <c r="DB338">
        <f t="shared" si="143"/>
        <v>0.04</v>
      </c>
      <c r="DC338">
        <f t="shared" si="144"/>
        <v>0</v>
      </c>
      <c r="DD338" t="s">
        <v>6</v>
      </c>
      <c r="DE338" t="s">
        <v>6</v>
      </c>
      <c r="DF338" t="e">
        <f t="shared" si="145"/>
        <v>#REF!</v>
      </c>
      <c r="DG338" t="e">
        <f t="shared" si="141"/>
        <v>#REF!</v>
      </c>
      <c r="DH338" t="e">
        <f>Source!I265*SmtRes!Y338</f>
        <v>#REF!</v>
      </c>
      <c r="DI338">
        <f>AB338</f>
        <v>2.17</v>
      </c>
      <c r="DJ338">
        <f>EtalonRes!Z260</f>
        <v>2.17</v>
      </c>
      <c r="DK338">
        <f>Source!BB265</f>
        <v>1</v>
      </c>
      <c r="DL338" t="s">
        <v>6</v>
      </c>
      <c r="DM338">
        <v>0</v>
      </c>
      <c r="DN338" t="s">
        <v>6</v>
      </c>
      <c r="DO338">
        <v>0</v>
      </c>
      <c r="GQ338">
        <v>-1</v>
      </c>
      <c r="GR338">
        <v>-1</v>
      </c>
    </row>
    <row r="339" spans="1:200" x14ac:dyDescent="0.2">
      <c r="A339">
        <f>ROW(Source!A265)</f>
        <v>265</v>
      </c>
      <c r="B339">
        <v>86326987</v>
      </c>
      <c r="C339">
        <v>86327620</v>
      </c>
      <c r="D339">
        <v>27441139</v>
      </c>
      <c r="E339">
        <v>1</v>
      </c>
      <c r="F339">
        <v>1</v>
      </c>
      <c r="G339">
        <v>1</v>
      </c>
      <c r="H339">
        <v>2</v>
      </c>
      <c r="I339" t="s">
        <v>682</v>
      </c>
      <c r="J339" t="s">
        <v>683</v>
      </c>
      <c r="K339" t="s">
        <v>684</v>
      </c>
      <c r="L339">
        <v>1368</v>
      </c>
      <c r="N339">
        <v>1011</v>
      </c>
      <c r="O339" t="s">
        <v>137</v>
      </c>
      <c r="P339" t="s">
        <v>137</v>
      </c>
      <c r="Q339">
        <v>1</v>
      </c>
      <c r="W339">
        <v>0</v>
      </c>
      <c r="X339">
        <v>-1309944936</v>
      </c>
      <c r="Y339">
        <f t="shared" si="142"/>
        <v>1.3</v>
      </c>
      <c r="AA339">
        <v>0</v>
      </c>
      <c r="AB339">
        <v>6.81</v>
      </c>
      <c r="AC339">
        <v>0</v>
      </c>
      <c r="AD339">
        <v>0</v>
      </c>
      <c r="AE339">
        <v>0</v>
      </c>
      <c r="AF339">
        <v>6.81</v>
      </c>
      <c r="AG339">
        <v>0</v>
      </c>
      <c r="AH339">
        <v>0</v>
      </c>
      <c r="AI339">
        <v>1</v>
      </c>
      <c r="AJ339">
        <v>1</v>
      </c>
      <c r="AK339">
        <v>1</v>
      </c>
      <c r="AL339">
        <v>1</v>
      </c>
      <c r="AM339">
        <v>-2</v>
      </c>
      <c r="AN339">
        <v>0</v>
      </c>
      <c r="AO339">
        <v>1</v>
      </c>
      <c r="AP339">
        <v>1</v>
      </c>
      <c r="AQ339">
        <v>0</v>
      </c>
      <c r="AR339">
        <v>0</v>
      </c>
      <c r="AS339" t="s">
        <v>6</v>
      </c>
      <c r="AT339">
        <v>0.65</v>
      </c>
      <c r="AU339" t="s">
        <v>379</v>
      </c>
      <c r="AV339">
        <v>0</v>
      </c>
      <c r="AW339">
        <v>2</v>
      </c>
      <c r="AX339">
        <v>86327633</v>
      </c>
      <c r="AY339">
        <v>1</v>
      </c>
      <c r="AZ339">
        <v>0</v>
      </c>
      <c r="BA339">
        <v>261</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CV339">
        <v>0</v>
      </c>
      <c r="CW339" t="e">
        <f>ROUND(Y339*Source!I265*DO339,9)</f>
        <v>#REF!</v>
      </c>
      <c r="CX339" t="e">
        <f>ROUND(Y339*Source!I265,9)</f>
        <v>#REF!</v>
      </c>
      <c r="CY339">
        <f>AB339</f>
        <v>6.81</v>
      </c>
      <c r="CZ339">
        <f>AF339</f>
        <v>6.81</v>
      </c>
      <c r="DA339">
        <f>AJ339</f>
        <v>1</v>
      </c>
      <c r="DB339">
        <f t="shared" si="143"/>
        <v>8.86</v>
      </c>
      <c r="DC339">
        <f t="shared" si="144"/>
        <v>0</v>
      </c>
      <c r="DD339" t="s">
        <v>6</v>
      </c>
      <c r="DE339" t="s">
        <v>6</v>
      </c>
      <c r="DF339" t="e">
        <f t="shared" si="145"/>
        <v>#REF!</v>
      </c>
      <c r="DG339" t="e">
        <f t="shared" si="141"/>
        <v>#REF!</v>
      </c>
      <c r="DH339" t="e">
        <f>Source!I265*SmtRes!Y339</f>
        <v>#REF!</v>
      </c>
      <c r="DI339">
        <f>AB339</f>
        <v>6.81</v>
      </c>
      <c r="DJ339">
        <f>EtalonRes!Z261</f>
        <v>6.81</v>
      </c>
      <c r="DK339">
        <f>Source!BB265</f>
        <v>1</v>
      </c>
      <c r="DL339" t="s">
        <v>6</v>
      </c>
      <c r="DM339">
        <v>0</v>
      </c>
      <c r="DN339" t="s">
        <v>6</v>
      </c>
      <c r="DO339">
        <v>0</v>
      </c>
      <c r="GQ339">
        <v>-1</v>
      </c>
      <c r="GR339">
        <v>-1</v>
      </c>
    </row>
    <row r="340" spans="1:200" x14ac:dyDescent="0.2">
      <c r="A340">
        <f>ROW(Source!A265)</f>
        <v>265</v>
      </c>
      <c r="B340">
        <v>86326987</v>
      </c>
      <c r="C340">
        <v>86327620</v>
      </c>
      <c r="D340">
        <v>27441327</v>
      </c>
      <c r="E340">
        <v>1</v>
      </c>
      <c r="F340">
        <v>1</v>
      </c>
      <c r="G340">
        <v>1</v>
      </c>
      <c r="H340">
        <v>2</v>
      </c>
      <c r="I340" t="s">
        <v>637</v>
      </c>
      <c r="J340" t="s">
        <v>638</v>
      </c>
      <c r="K340" t="s">
        <v>639</v>
      </c>
      <c r="L340">
        <v>1368</v>
      </c>
      <c r="N340">
        <v>1011</v>
      </c>
      <c r="O340" t="s">
        <v>137</v>
      </c>
      <c r="P340" t="s">
        <v>137</v>
      </c>
      <c r="Q340">
        <v>1</v>
      </c>
      <c r="W340">
        <v>0</v>
      </c>
      <c r="X340">
        <v>-1583389094</v>
      </c>
      <c r="Y340">
        <f t="shared" si="142"/>
        <v>0.02</v>
      </c>
      <c r="AA340">
        <v>0</v>
      </c>
      <c r="AB340">
        <v>93.37</v>
      </c>
      <c r="AC340">
        <v>11.69</v>
      </c>
      <c r="AD340">
        <v>0</v>
      </c>
      <c r="AE340">
        <v>0</v>
      </c>
      <c r="AF340">
        <v>93.37</v>
      </c>
      <c r="AG340">
        <v>11.69</v>
      </c>
      <c r="AH340">
        <v>0</v>
      </c>
      <c r="AI340">
        <v>1</v>
      </c>
      <c r="AJ340">
        <v>1</v>
      </c>
      <c r="AK340">
        <v>1</v>
      </c>
      <c r="AL340">
        <v>1</v>
      </c>
      <c r="AM340">
        <v>-2</v>
      </c>
      <c r="AN340">
        <v>0</v>
      </c>
      <c r="AO340">
        <v>1</v>
      </c>
      <c r="AP340">
        <v>1</v>
      </c>
      <c r="AQ340">
        <v>0</v>
      </c>
      <c r="AR340">
        <v>0</v>
      </c>
      <c r="AS340" t="s">
        <v>6</v>
      </c>
      <c r="AT340">
        <v>0.01</v>
      </c>
      <c r="AU340" t="s">
        <v>379</v>
      </c>
      <c r="AV340">
        <v>0</v>
      </c>
      <c r="AW340">
        <v>2</v>
      </c>
      <c r="AX340">
        <v>86327634</v>
      </c>
      <c r="AY340">
        <v>1</v>
      </c>
      <c r="AZ340">
        <v>0</v>
      </c>
      <c r="BA340">
        <v>262</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CV340">
        <v>0</v>
      </c>
      <c r="CW340" t="e">
        <f>ROUND(Y340*Source!I265*DO340,9)</f>
        <v>#REF!</v>
      </c>
      <c r="CX340" t="e">
        <f>ROUND(Y340*Source!I265,9)</f>
        <v>#REF!</v>
      </c>
      <c r="CY340">
        <f>AB340</f>
        <v>93.37</v>
      </c>
      <c r="CZ340">
        <f>AF340</f>
        <v>93.37</v>
      </c>
      <c r="DA340">
        <f>AJ340</f>
        <v>1</v>
      </c>
      <c r="DB340">
        <f t="shared" si="143"/>
        <v>1.86</v>
      </c>
      <c r="DC340">
        <f t="shared" si="144"/>
        <v>0.24</v>
      </c>
      <c r="DD340" t="s">
        <v>6</v>
      </c>
      <c r="DE340" t="s">
        <v>6</v>
      </c>
      <c r="DF340" t="e">
        <f t="shared" si="145"/>
        <v>#REF!</v>
      </c>
      <c r="DG340" t="e">
        <f t="shared" si="141"/>
        <v>#REF!</v>
      </c>
      <c r="DH340" t="e">
        <f>Source!I265*SmtRes!Y340</f>
        <v>#REF!</v>
      </c>
      <c r="DI340">
        <f>AB340</f>
        <v>93.37</v>
      </c>
      <c r="DJ340">
        <f>EtalonRes!Z262</f>
        <v>93.37</v>
      </c>
      <c r="DK340">
        <f>Source!BB265</f>
        <v>1</v>
      </c>
      <c r="DL340" t="s">
        <v>6</v>
      </c>
      <c r="DM340">
        <v>0</v>
      </c>
      <c r="DN340" t="s">
        <v>6</v>
      </c>
      <c r="DO340">
        <v>0</v>
      </c>
      <c r="GQ340">
        <v>-1</v>
      </c>
      <c r="GR340">
        <v>-1</v>
      </c>
    </row>
    <row r="341" spans="1:200" x14ac:dyDescent="0.2">
      <c r="A341">
        <f>ROW(Source!A265)</f>
        <v>265</v>
      </c>
      <c r="B341">
        <v>86326987</v>
      </c>
      <c r="C341">
        <v>86327620</v>
      </c>
      <c r="D341">
        <v>27371445</v>
      </c>
      <c r="E341">
        <v>1</v>
      </c>
      <c r="F341">
        <v>1</v>
      </c>
      <c r="G341">
        <v>1</v>
      </c>
      <c r="H341">
        <v>3</v>
      </c>
      <c r="I341" t="s">
        <v>383</v>
      </c>
      <c r="J341" t="s">
        <v>385</v>
      </c>
      <c r="K341" t="s">
        <v>384</v>
      </c>
      <c r="L341">
        <v>1348</v>
      </c>
      <c r="N341">
        <v>1009</v>
      </c>
      <c r="O341" t="s">
        <v>33</v>
      </c>
      <c r="P341" t="s">
        <v>33</v>
      </c>
      <c r="Q341">
        <v>1000</v>
      </c>
      <c r="W341">
        <v>0</v>
      </c>
      <c r="X341">
        <v>186214095</v>
      </c>
      <c r="Y341">
        <f t="shared" si="142"/>
        <v>2.8E-3</v>
      </c>
      <c r="AA341">
        <v>6156.33</v>
      </c>
      <c r="AB341">
        <v>0</v>
      </c>
      <c r="AC341">
        <v>0</v>
      </c>
      <c r="AD341">
        <v>0</v>
      </c>
      <c r="AE341">
        <v>6156.33</v>
      </c>
      <c r="AF341">
        <v>0</v>
      </c>
      <c r="AG341">
        <v>0</v>
      </c>
      <c r="AH341">
        <v>0</v>
      </c>
      <c r="AI341">
        <v>1</v>
      </c>
      <c r="AJ341">
        <v>1</v>
      </c>
      <c r="AK341">
        <v>1</v>
      </c>
      <c r="AL341">
        <v>1</v>
      </c>
      <c r="AM341">
        <v>0</v>
      </c>
      <c r="AN341">
        <v>0</v>
      </c>
      <c r="AO341">
        <v>0</v>
      </c>
      <c r="AP341">
        <v>1</v>
      </c>
      <c r="AQ341">
        <v>0</v>
      </c>
      <c r="AR341">
        <v>0</v>
      </c>
      <c r="AS341" t="s">
        <v>6</v>
      </c>
      <c r="AT341">
        <v>1.4E-3</v>
      </c>
      <c r="AU341" t="s">
        <v>379</v>
      </c>
      <c r="AV341">
        <v>0</v>
      </c>
      <c r="AW341">
        <v>2</v>
      </c>
      <c r="AX341">
        <v>86327635</v>
      </c>
      <c r="AY341">
        <v>1</v>
      </c>
      <c r="AZ341">
        <v>0</v>
      </c>
      <c r="BA341">
        <v>263</v>
      </c>
      <c r="BB341">
        <v>3</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CV341">
        <v>0</v>
      </c>
      <c r="CW341">
        <v>0</v>
      </c>
      <c r="CX341" t="e">
        <f>ROUND(Y341*Source!I265,9)</f>
        <v>#REF!</v>
      </c>
      <c r="CY341">
        <f>AA341</f>
        <v>6156.33</v>
      </c>
      <c r="CZ341">
        <f>AE341</f>
        <v>6156.33</v>
      </c>
      <c r="DA341">
        <f>AI341</f>
        <v>1</v>
      </c>
      <c r="DB341">
        <f t="shared" si="143"/>
        <v>17.239999999999998</v>
      </c>
      <c r="DC341">
        <f t="shared" si="144"/>
        <v>0</v>
      </c>
      <c r="DD341" t="s">
        <v>6</v>
      </c>
      <c r="DE341" t="s">
        <v>6</v>
      </c>
      <c r="DF341" t="e">
        <f t="shared" si="145"/>
        <v>#REF!</v>
      </c>
      <c r="DG341" t="e">
        <f t="shared" si="141"/>
        <v>#REF!</v>
      </c>
      <c r="DH341" t="e">
        <f>Source!I265*SmtRes!Y341</f>
        <v>#REF!</v>
      </c>
      <c r="DI341">
        <f>AA341</f>
        <v>6156.33</v>
      </c>
      <c r="DJ341">
        <f>EtalonRes!Y263</f>
        <v>6156.33</v>
      </c>
      <c r="DK341">
        <f>Source!BC265</f>
        <v>1</v>
      </c>
      <c r="DL341" t="s">
        <v>6</v>
      </c>
      <c r="DM341">
        <v>0</v>
      </c>
      <c r="DN341" t="s">
        <v>6</v>
      </c>
      <c r="DO341">
        <v>0</v>
      </c>
      <c r="GP341">
        <v>1</v>
      </c>
      <c r="GQ341">
        <v>-1</v>
      </c>
      <c r="GR341">
        <v>-1</v>
      </c>
    </row>
    <row r="342" spans="1:200" x14ac:dyDescent="0.2">
      <c r="A342">
        <f>ROW(Source!A265)</f>
        <v>265</v>
      </c>
      <c r="B342">
        <v>86326987</v>
      </c>
      <c r="C342">
        <v>86327620</v>
      </c>
      <c r="D342">
        <v>27387231</v>
      </c>
      <c r="E342">
        <v>1</v>
      </c>
      <c r="F342">
        <v>1</v>
      </c>
      <c r="G342">
        <v>1</v>
      </c>
      <c r="H342">
        <v>3</v>
      </c>
      <c r="I342" t="s">
        <v>388</v>
      </c>
      <c r="J342" t="s">
        <v>390</v>
      </c>
      <c r="K342" t="s">
        <v>389</v>
      </c>
      <c r="L342">
        <v>1348</v>
      </c>
      <c r="N342">
        <v>1009</v>
      </c>
      <c r="O342" t="s">
        <v>33</v>
      </c>
      <c r="P342" t="s">
        <v>33</v>
      </c>
      <c r="Q342">
        <v>1000</v>
      </c>
      <c r="W342">
        <v>0</v>
      </c>
      <c r="X342">
        <v>99884446</v>
      </c>
      <c r="Y342">
        <f t="shared" si="142"/>
        <v>3.7999999999999999E-2</v>
      </c>
      <c r="AA342">
        <v>14313</v>
      </c>
      <c r="AB342">
        <v>0</v>
      </c>
      <c r="AC342">
        <v>0</v>
      </c>
      <c r="AD342">
        <v>0</v>
      </c>
      <c r="AE342">
        <v>14313</v>
      </c>
      <c r="AF342">
        <v>0</v>
      </c>
      <c r="AG342">
        <v>0</v>
      </c>
      <c r="AH342">
        <v>0</v>
      </c>
      <c r="AI342">
        <v>1</v>
      </c>
      <c r="AJ342">
        <v>1</v>
      </c>
      <c r="AK342">
        <v>1</v>
      </c>
      <c r="AL342">
        <v>1</v>
      </c>
      <c r="AM342">
        <v>0</v>
      </c>
      <c r="AN342">
        <v>0</v>
      </c>
      <c r="AO342">
        <v>0</v>
      </c>
      <c r="AP342">
        <v>1</v>
      </c>
      <c r="AQ342">
        <v>0</v>
      </c>
      <c r="AR342">
        <v>0</v>
      </c>
      <c r="AS342" t="s">
        <v>6</v>
      </c>
      <c r="AT342">
        <v>1.9E-2</v>
      </c>
      <c r="AU342" t="s">
        <v>379</v>
      </c>
      <c r="AV342">
        <v>0</v>
      </c>
      <c r="AW342">
        <v>2</v>
      </c>
      <c r="AX342">
        <v>86327636</v>
      </c>
      <c r="AY342">
        <v>1</v>
      </c>
      <c r="AZ342">
        <v>0</v>
      </c>
      <c r="BA342">
        <v>264</v>
      </c>
      <c r="BB342">
        <v>3</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CV342">
        <v>0</v>
      </c>
      <c r="CW342">
        <v>0</v>
      </c>
      <c r="CX342" t="e">
        <f>ROUND(Y342*Source!I265,9)</f>
        <v>#REF!</v>
      </c>
      <c r="CY342">
        <f>AA342</f>
        <v>14313</v>
      </c>
      <c r="CZ342">
        <f>AE342</f>
        <v>14313</v>
      </c>
      <c r="DA342">
        <f>AI342</f>
        <v>1</v>
      </c>
      <c r="DB342">
        <f t="shared" si="143"/>
        <v>543.9</v>
      </c>
      <c r="DC342">
        <f t="shared" si="144"/>
        <v>0</v>
      </c>
      <c r="DD342" t="s">
        <v>6</v>
      </c>
      <c r="DE342" t="s">
        <v>6</v>
      </c>
      <c r="DF342" t="e">
        <f t="shared" si="145"/>
        <v>#REF!</v>
      </c>
      <c r="DG342" t="e">
        <f t="shared" si="141"/>
        <v>#REF!</v>
      </c>
      <c r="DH342" t="e">
        <f>Source!I265*SmtRes!Y342</f>
        <v>#REF!</v>
      </c>
      <c r="DI342">
        <f>AA342</f>
        <v>14313</v>
      </c>
      <c r="DJ342">
        <f>EtalonRes!Y264</f>
        <v>14313</v>
      </c>
      <c r="DK342">
        <f>Source!BC265</f>
        <v>1</v>
      </c>
      <c r="DL342" t="s">
        <v>6</v>
      </c>
      <c r="DM342">
        <v>0</v>
      </c>
      <c r="DN342" t="s">
        <v>6</v>
      </c>
      <c r="DO342">
        <v>0</v>
      </c>
      <c r="GP342">
        <v>1</v>
      </c>
      <c r="GQ342">
        <v>-1</v>
      </c>
      <c r="GR342">
        <v>-1</v>
      </c>
    </row>
    <row r="343" spans="1:200" x14ac:dyDescent="0.2">
      <c r="A343">
        <f>ROW(Source!A266)</f>
        <v>266</v>
      </c>
      <c r="B343">
        <v>86326988</v>
      </c>
      <c r="C343">
        <v>86327620</v>
      </c>
      <c r="D343">
        <v>27493137</v>
      </c>
      <c r="E343">
        <v>1</v>
      </c>
      <c r="F343">
        <v>1</v>
      </c>
      <c r="G343">
        <v>1</v>
      </c>
      <c r="H343">
        <v>1</v>
      </c>
      <c r="I343" t="s">
        <v>674</v>
      </c>
      <c r="J343" t="s">
        <v>6</v>
      </c>
      <c r="K343" t="s">
        <v>675</v>
      </c>
      <c r="L343">
        <v>1369</v>
      </c>
      <c r="N343">
        <v>1013</v>
      </c>
      <c r="O343" t="s">
        <v>625</v>
      </c>
      <c r="P343" t="s">
        <v>625</v>
      </c>
      <c r="Q343">
        <v>1</v>
      </c>
      <c r="W343">
        <v>0</v>
      </c>
      <c r="X343">
        <v>-1973258772</v>
      </c>
      <c r="Y343">
        <f t="shared" si="142"/>
        <v>7.66</v>
      </c>
      <c r="AA343">
        <v>0</v>
      </c>
      <c r="AB343">
        <v>0</v>
      </c>
      <c r="AC343">
        <v>0</v>
      </c>
      <c r="AD343">
        <v>246.59</v>
      </c>
      <c r="AE343">
        <v>0</v>
      </c>
      <c r="AF343">
        <v>0</v>
      </c>
      <c r="AG343">
        <v>0</v>
      </c>
      <c r="AH343">
        <v>9.15</v>
      </c>
      <c r="AI343">
        <v>1</v>
      </c>
      <c r="AJ343">
        <v>1</v>
      </c>
      <c r="AK343">
        <v>1</v>
      </c>
      <c r="AL343">
        <v>26.95</v>
      </c>
      <c r="AM343">
        <v>5</v>
      </c>
      <c r="AN343">
        <v>0</v>
      </c>
      <c r="AO343">
        <v>1</v>
      </c>
      <c r="AP343">
        <v>1</v>
      </c>
      <c r="AQ343">
        <v>0</v>
      </c>
      <c r="AR343">
        <v>0</v>
      </c>
      <c r="AS343" t="s">
        <v>6</v>
      </c>
      <c r="AT343">
        <v>3.83</v>
      </c>
      <c r="AU343" t="s">
        <v>379</v>
      </c>
      <c r="AV343">
        <v>1</v>
      </c>
      <c r="AW343">
        <v>2</v>
      </c>
      <c r="AX343">
        <v>86327629</v>
      </c>
      <c r="AY343">
        <v>1</v>
      </c>
      <c r="AZ343">
        <v>0</v>
      </c>
      <c r="BA343">
        <v>265</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CU343" t="e">
        <f>ROUND(AT343*Source!I266*AH343*AL343,0)</f>
        <v>#REF!</v>
      </c>
      <c r="CV343" t="e">
        <f>ROUND(Y343*Source!I266,9)</f>
        <v>#REF!</v>
      </c>
      <c r="CW343">
        <v>0</v>
      </c>
      <c r="CX343" t="e">
        <f>ROUND(Y343*Source!I266,9)</f>
        <v>#REF!</v>
      </c>
      <c r="CY343">
        <f>AD343</f>
        <v>246.59</v>
      </c>
      <c r="CZ343">
        <f>AH343</f>
        <v>9.15</v>
      </c>
      <c r="DA343">
        <f>AL343</f>
        <v>26.95</v>
      </c>
      <c r="DB343">
        <f t="shared" si="143"/>
        <v>70.08</v>
      </c>
      <c r="DC343">
        <f t="shared" si="144"/>
        <v>0</v>
      </c>
      <c r="DD343" t="s">
        <v>6</v>
      </c>
      <c r="DE343" t="s">
        <v>6</v>
      </c>
      <c r="DF343" t="e">
        <f t="shared" si="145"/>
        <v>#REF!</v>
      </c>
      <c r="DG343" t="e">
        <f t="shared" si="141"/>
        <v>#REF!</v>
      </c>
      <c r="DH343" t="e">
        <f>Source!I266*SmtRes!Y343</f>
        <v>#REF!</v>
      </c>
      <c r="DI343">
        <f>AD343</f>
        <v>246.59</v>
      </c>
      <c r="DJ343">
        <f>EtalonRes!AB265</f>
        <v>9.15</v>
      </c>
      <c r="DK343">
        <f>Source!BA266</f>
        <v>26.95</v>
      </c>
      <c r="DL343" t="s">
        <v>6</v>
      </c>
      <c r="DM343">
        <v>0</v>
      </c>
      <c r="DN343" t="s">
        <v>6</v>
      </c>
      <c r="DO343">
        <v>0</v>
      </c>
      <c r="GQ343">
        <v>-1</v>
      </c>
      <c r="GR343">
        <v>-1</v>
      </c>
    </row>
    <row r="344" spans="1:200" x14ac:dyDescent="0.2">
      <c r="A344">
        <f>ROW(Source!A266)</f>
        <v>266</v>
      </c>
      <c r="B344">
        <v>86326988</v>
      </c>
      <c r="C344">
        <v>86327620</v>
      </c>
      <c r="D344">
        <v>121548</v>
      </c>
      <c r="E344">
        <v>1</v>
      </c>
      <c r="F344">
        <v>1</v>
      </c>
      <c r="G344">
        <v>1</v>
      </c>
      <c r="H344">
        <v>1</v>
      </c>
      <c r="I344" t="s">
        <v>40</v>
      </c>
      <c r="J344" t="s">
        <v>6</v>
      </c>
      <c r="K344" t="s">
        <v>626</v>
      </c>
      <c r="L344">
        <v>608254</v>
      </c>
      <c r="N344">
        <v>1013</v>
      </c>
      <c r="O344" t="s">
        <v>627</v>
      </c>
      <c r="P344" t="s">
        <v>627</v>
      </c>
      <c r="Q344">
        <v>1</v>
      </c>
      <c r="W344">
        <v>0</v>
      </c>
      <c r="X344">
        <v>-185737400</v>
      </c>
      <c r="Y344">
        <f t="shared" si="142"/>
        <v>0.02</v>
      </c>
      <c r="AA344">
        <v>0</v>
      </c>
      <c r="AB344">
        <v>0</v>
      </c>
      <c r="AC344">
        <v>0</v>
      </c>
      <c r="AD344">
        <v>0</v>
      </c>
      <c r="AE344">
        <v>0</v>
      </c>
      <c r="AF344">
        <v>0</v>
      </c>
      <c r="AG344">
        <v>0</v>
      </c>
      <c r="AH344">
        <v>0</v>
      </c>
      <c r="AI344">
        <v>1</v>
      </c>
      <c r="AJ344">
        <v>1</v>
      </c>
      <c r="AK344">
        <v>19.8</v>
      </c>
      <c r="AL344">
        <v>1</v>
      </c>
      <c r="AM344">
        <v>5</v>
      </c>
      <c r="AN344">
        <v>0</v>
      </c>
      <c r="AO344">
        <v>1</v>
      </c>
      <c r="AP344">
        <v>1</v>
      </c>
      <c r="AQ344">
        <v>0</v>
      </c>
      <c r="AR344">
        <v>0</v>
      </c>
      <c r="AS344" t="s">
        <v>6</v>
      </c>
      <c r="AT344">
        <v>0.01</v>
      </c>
      <c r="AU344" t="s">
        <v>379</v>
      </c>
      <c r="AV344">
        <v>2</v>
      </c>
      <c r="AW344">
        <v>2</v>
      </c>
      <c r="AX344">
        <v>86327630</v>
      </c>
      <c r="AY344">
        <v>1</v>
      </c>
      <c r="AZ344">
        <v>0</v>
      </c>
      <c r="BA344">
        <v>266</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0</v>
      </c>
      <c r="BW344">
        <v>0</v>
      </c>
      <c r="CV344">
        <v>0</v>
      </c>
      <c r="CW344">
        <v>0</v>
      </c>
      <c r="CX344" t="e">
        <f>ROUND(Y344*Source!I266,9)</f>
        <v>#REF!</v>
      </c>
      <c r="CY344">
        <f>AD344</f>
        <v>0</v>
      </c>
      <c r="CZ344">
        <f>AH344</f>
        <v>0</v>
      </c>
      <c r="DA344">
        <f>AL344</f>
        <v>1</v>
      </c>
      <c r="DB344">
        <f t="shared" si="143"/>
        <v>0</v>
      </c>
      <c r="DC344">
        <f t="shared" si="144"/>
        <v>0</v>
      </c>
      <c r="DD344" t="s">
        <v>6</v>
      </c>
      <c r="DE344" t="s">
        <v>6</v>
      </c>
      <c r="DF344" t="e">
        <f t="shared" si="145"/>
        <v>#REF!</v>
      </c>
      <c r="DG344" t="e">
        <f t="shared" si="141"/>
        <v>#REF!</v>
      </c>
      <c r="DH344" t="e">
        <f>Source!I266*SmtRes!Y344</f>
        <v>#REF!</v>
      </c>
      <c r="DI344">
        <f>AD344</f>
        <v>0</v>
      </c>
      <c r="DJ344">
        <f>EtalonRes!AB266</f>
        <v>0</v>
      </c>
      <c r="DK344">
        <f>Source!BA266</f>
        <v>26.95</v>
      </c>
      <c r="DL344" t="s">
        <v>6</v>
      </c>
      <c r="DM344">
        <v>0</v>
      </c>
      <c r="DN344" t="s">
        <v>6</v>
      </c>
      <c r="DO344">
        <v>0</v>
      </c>
      <c r="GQ344">
        <v>-1</v>
      </c>
      <c r="GR344">
        <v>-1</v>
      </c>
    </row>
    <row r="345" spans="1:200" x14ac:dyDescent="0.2">
      <c r="A345">
        <f>ROW(Source!A266)</f>
        <v>266</v>
      </c>
      <c r="B345">
        <v>86326988</v>
      </c>
      <c r="C345">
        <v>86327620</v>
      </c>
      <c r="D345">
        <v>27439571</v>
      </c>
      <c r="E345">
        <v>1</v>
      </c>
      <c r="F345">
        <v>1</v>
      </c>
      <c r="G345">
        <v>1</v>
      </c>
      <c r="H345">
        <v>2</v>
      </c>
      <c r="I345" t="s">
        <v>676</v>
      </c>
      <c r="J345" t="s">
        <v>677</v>
      </c>
      <c r="K345" t="s">
        <v>678</v>
      </c>
      <c r="L345">
        <v>1368</v>
      </c>
      <c r="N345">
        <v>1011</v>
      </c>
      <c r="O345" t="s">
        <v>137</v>
      </c>
      <c r="P345" t="s">
        <v>137</v>
      </c>
      <c r="Q345">
        <v>1</v>
      </c>
      <c r="W345">
        <v>0</v>
      </c>
      <c r="X345">
        <v>1462286705</v>
      </c>
      <c r="Y345">
        <f t="shared" si="142"/>
        <v>0.02</v>
      </c>
      <c r="AA345">
        <v>0</v>
      </c>
      <c r="AB345">
        <v>822.31</v>
      </c>
      <c r="AC345">
        <v>200.77</v>
      </c>
      <c r="AD345">
        <v>0</v>
      </c>
      <c r="AE345">
        <v>0</v>
      </c>
      <c r="AF345">
        <v>88.42</v>
      </c>
      <c r="AG345">
        <v>10.14</v>
      </c>
      <c r="AH345">
        <v>0</v>
      </c>
      <c r="AI345">
        <v>1</v>
      </c>
      <c r="AJ345">
        <v>9.3000000000000007</v>
      </c>
      <c r="AK345">
        <v>19.8</v>
      </c>
      <c r="AL345">
        <v>1</v>
      </c>
      <c r="AM345">
        <v>5</v>
      </c>
      <c r="AN345">
        <v>0</v>
      </c>
      <c r="AO345">
        <v>1</v>
      </c>
      <c r="AP345">
        <v>1</v>
      </c>
      <c r="AQ345">
        <v>0</v>
      </c>
      <c r="AR345">
        <v>0</v>
      </c>
      <c r="AS345" t="s">
        <v>6</v>
      </c>
      <c r="AT345">
        <v>0.01</v>
      </c>
      <c r="AU345" t="s">
        <v>379</v>
      </c>
      <c r="AV345">
        <v>0</v>
      </c>
      <c r="AW345">
        <v>2</v>
      </c>
      <c r="AX345">
        <v>86327631</v>
      </c>
      <c r="AY345">
        <v>1</v>
      </c>
      <c r="AZ345">
        <v>0</v>
      </c>
      <c r="BA345">
        <v>267</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CV345">
        <v>0</v>
      </c>
      <c r="CW345" t="e">
        <f>ROUND(Y345*Source!I266*DO345,9)</f>
        <v>#REF!</v>
      </c>
      <c r="CX345" t="e">
        <f>ROUND(Y345*Source!I266,9)</f>
        <v>#REF!</v>
      </c>
      <c r="CY345">
        <f>AB345</f>
        <v>822.31</v>
      </c>
      <c r="CZ345">
        <f>AF345</f>
        <v>88.42</v>
      </c>
      <c r="DA345">
        <f>AJ345</f>
        <v>9.3000000000000007</v>
      </c>
      <c r="DB345">
        <f t="shared" si="143"/>
        <v>1.76</v>
      </c>
      <c r="DC345">
        <f t="shared" si="144"/>
        <v>0.2</v>
      </c>
      <c r="DD345" t="s">
        <v>6</v>
      </c>
      <c r="DE345" t="s">
        <v>6</v>
      </c>
      <c r="DF345" t="e">
        <f t="shared" si="145"/>
        <v>#REF!</v>
      </c>
      <c r="DG345" t="e">
        <f>ROUND(ROUND(AF345*AJ345,0)*CX345,0)</f>
        <v>#REF!</v>
      </c>
      <c r="DH345" t="e">
        <f>Source!I266*SmtRes!Y345</f>
        <v>#REF!</v>
      </c>
      <c r="DI345">
        <f>AB345</f>
        <v>822.31</v>
      </c>
      <c r="DJ345">
        <f>EtalonRes!Z267</f>
        <v>88.42</v>
      </c>
      <c r="DK345">
        <f>Source!BB266</f>
        <v>9.3000000000000007</v>
      </c>
      <c r="DL345" t="s">
        <v>6</v>
      </c>
      <c r="DM345">
        <v>0</v>
      </c>
      <c r="DN345" t="s">
        <v>6</v>
      </c>
      <c r="DO345">
        <v>0</v>
      </c>
      <c r="GQ345">
        <v>-1</v>
      </c>
      <c r="GR345">
        <v>-1</v>
      </c>
    </row>
    <row r="346" spans="1:200" x14ac:dyDescent="0.2">
      <c r="A346">
        <f>ROW(Source!A266)</f>
        <v>266</v>
      </c>
      <c r="B346">
        <v>86326988</v>
      </c>
      <c r="C346">
        <v>86327620</v>
      </c>
      <c r="D346">
        <v>27439595</v>
      </c>
      <c r="E346">
        <v>1</v>
      </c>
      <c r="F346">
        <v>1</v>
      </c>
      <c r="G346">
        <v>1</v>
      </c>
      <c r="H346">
        <v>2</v>
      </c>
      <c r="I346" t="s">
        <v>679</v>
      </c>
      <c r="J346" t="s">
        <v>680</v>
      </c>
      <c r="K346" t="s">
        <v>681</v>
      </c>
      <c r="L346">
        <v>1368</v>
      </c>
      <c r="N346">
        <v>1011</v>
      </c>
      <c r="O346" t="s">
        <v>137</v>
      </c>
      <c r="P346" t="s">
        <v>137</v>
      </c>
      <c r="Q346">
        <v>1</v>
      </c>
      <c r="W346">
        <v>0</v>
      </c>
      <c r="X346">
        <v>2034592221</v>
      </c>
      <c r="Y346">
        <f t="shared" si="142"/>
        <v>0.02</v>
      </c>
      <c r="AA346">
        <v>0</v>
      </c>
      <c r="AB346">
        <v>20.18</v>
      </c>
      <c r="AC346">
        <v>0</v>
      </c>
      <c r="AD346">
        <v>0</v>
      </c>
      <c r="AE346">
        <v>0</v>
      </c>
      <c r="AF346">
        <v>2.17</v>
      </c>
      <c r="AG346">
        <v>0</v>
      </c>
      <c r="AH346">
        <v>0</v>
      </c>
      <c r="AI346">
        <v>1</v>
      </c>
      <c r="AJ346">
        <v>9.3000000000000007</v>
      </c>
      <c r="AK346">
        <v>19.8</v>
      </c>
      <c r="AL346">
        <v>1</v>
      </c>
      <c r="AM346">
        <v>5</v>
      </c>
      <c r="AN346">
        <v>0</v>
      </c>
      <c r="AO346">
        <v>1</v>
      </c>
      <c r="AP346">
        <v>1</v>
      </c>
      <c r="AQ346">
        <v>0</v>
      </c>
      <c r="AR346">
        <v>0</v>
      </c>
      <c r="AS346" t="s">
        <v>6</v>
      </c>
      <c r="AT346">
        <v>0.01</v>
      </c>
      <c r="AU346" t="s">
        <v>379</v>
      </c>
      <c r="AV346">
        <v>0</v>
      </c>
      <c r="AW346">
        <v>2</v>
      </c>
      <c r="AX346">
        <v>86327632</v>
      </c>
      <c r="AY346">
        <v>1</v>
      </c>
      <c r="AZ346">
        <v>0</v>
      </c>
      <c r="BA346">
        <v>268</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CV346">
        <v>0</v>
      </c>
      <c r="CW346" t="e">
        <f>ROUND(Y346*Source!I266*DO346,9)</f>
        <v>#REF!</v>
      </c>
      <c r="CX346" t="e">
        <f>ROUND(Y346*Source!I266,9)</f>
        <v>#REF!</v>
      </c>
      <c r="CY346">
        <f>AB346</f>
        <v>20.18</v>
      </c>
      <c r="CZ346">
        <f>AF346</f>
        <v>2.17</v>
      </c>
      <c r="DA346">
        <f>AJ346</f>
        <v>9.3000000000000007</v>
      </c>
      <c r="DB346">
        <f t="shared" si="143"/>
        <v>0.04</v>
      </c>
      <c r="DC346">
        <f t="shared" si="144"/>
        <v>0</v>
      </c>
      <c r="DD346" t="s">
        <v>6</v>
      </c>
      <c r="DE346" t="s">
        <v>6</v>
      </c>
      <c r="DF346" t="e">
        <f t="shared" si="145"/>
        <v>#REF!</v>
      </c>
      <c r="DG346" t="e">
        <f>ROUND(ROUND(AF346*AJ346,0)*CX346,0)</f>
        <v>#REF!</v>
      </c>
      <c r="DH346" t="e">
        <f>Source!I266*SmtRes!Y346</f>
        <v>#REF!</v>
      </c>
      <c r="DI346">
        <f>AB346</f>
        <v>20.18</v>
      </c>
      <c r="DJ346">
        <f>EtalonRes!Z268</f>
        <v>2.17</v>
      </c>
      <c r="DK346">
        <f>Source!BB266</f>
        <v>9.3000000000000007</v>
      </c>
      <c r="DL346" t="s">
        <v>6</v>
      </c>
      <c r="DM346">
        <v>0</v>
      </c>
      <c r="DN346" t="s">
        <v>6</v>
      </c>
      <c r="DO346">
        <v>0</v>
      </c>
      <c r="GQ346">
        <v>-1</v>
      </c>
      <c r="GR346">
        <v>-1</v>
      </c>
    </row>
    <row r="347" spans="1:200" x14ac:dyDescent="0.2">
      <c r="A347">
        <f>ROW(Source!A266)</f>
        <v>266</v>
      </c>
      <c r="B347">
        <v>86326988</v>
      </c>
      <c r="C347">
        <v>86327620</v>
      </c>
      <c r="D347">
        <v>27441139</v>
      </c>
      <c r="E347">
        <v>1</v>
      </c>
      <c r="F347">
        <v>1</v>
      </c>
      <c r="G347">
        <v>1</v>
      </c>
      <c r="H347">
        <v>2</v>
      </c>
      <c r="I347" t="s">
        <v>682</v>
      </c>
      <c r="J347" t="s">
        <v>683</v>
      </c>
      <c r="K347" t="s">
        <v>684</v>
      </c>
      <c r="L347">
        <v>1368</v>
      </c>
      <c r="N347">
        <v>1011</v>
      </c>
      <c r="O347" t="s">
        <v>137</v>
      </c>
      <c r="P347" t="s">
        <v>137</v>
      </c>
      <c r="Q347">
        <v>1</v>
      </c>
      <c r="W347">
        <v>0</v>
      </c>
      <c r="X347">
        <v>-1309944936</v>
      </c>
      <c r="Y347">
        <f t="shared" si="142"/>
        <v>1.3</v>
      </c>
      <c r="AA347">
        <v>0</v>
      </c>
      <c r="AB347">
        <v>63.33</v>
      </c>
      <c r="AC347">
        <v>0</v>
      </c>
      <c r="AD347">
        <v>0</v>
      </c>
      <c r="AE347">
        <v>0</v>
      </c>
      <c r="AF347">
        <v>6.81</v>
      </c>
      <c r="AG347">
        <v>0</v>
      </c>
      <c r="AH347">
        <v>0</v>
      </c>
      <c r="AI347">
        <v>1</v>
      </c>
      <c r="AJ347">
        <v>9.3000000000000007</v>
      </c>
      <c r="AK347">
        <v>19.8</v>
      </c>
      <c r="AL347">
        <v>1</v>
      </c>
      <c r="AM347">
        <v>5</v>
      </c>
      <c r="AN347">
        <v>0</v>
      </c>
      <c r="AO347">
        <v>1</v>
      </c>
      <c r="AP347">
        <v>1</v>
      </c>
      <c r="AQ347">
        <v>0</v>
      </c>
      <c r="AR347">
        <v>0</v>
      </c>
      <c r="AS347" t="s">
        <v>6</v>
      </c>
      <c r="AT347">
        <v>0.65</v>
      </c>
      <c r="AU347" t="s">
        <v>379</v>
      </c>
      <c r="AV347">
        <v>0</v>
      </c>
      <c r="AW347">
        <v>2</v>
      </c>
      <c r="AX347">
        <v>86327633</v>
      </c>
      <c r="AY347">
        <v>1</v>
      </c>
      <c r="AZ347">
        <v>0</v>
      </c>
      <c r="BA347">
        <v>269</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CV347">
        <v>0</v>
      </c>
      <c r="CW347" t="e">
        <f>ROUND(Y347*Source!I266*DO347,9)</f>
        <v>#REF!</v>
      </c>
      <c r="CX347" t="e">
        <f>ROUND(Y347*Source!I266,9)</f>
        <v>#REF!</v>
      </c>
      <c r="CY347">
        <f>AB347</f>
        <v>63.33</v>
      </c>
      <c r="CZ347">
        <f>AF347</f>
        <v>6.81</v>
      </c>
      <c r="DA347">
        <f>AJ347</f>
        <v>9.3000000000000007</v>
      </c>
      <c r="DB347">
        <f t="shared" si="143"/>
        <v>8.86</v>
      </c>
      <c r="DC347">
        <f t="shared" si="144"/>
        <v>0</v>
      </c>
      <c r="DD347" t="s">
        <v>6</v>
      </c>
      <c r="DE347" t="s">
        <v>6</v>
      </c>
      <c r="DF347" t="e">
        <f t="shared" si="145"/>
        <v>#REF!</v>
      </c>
      <c r="DG347" t="e">
        <f>ROUND(ROUND(AF347*AJ347,0)*CX347,0)</f>
        <v>#REF!</v>
      </c>
      <c r="DH347" t="e">
        <f>Source!I266*SmtRes!Y347</f>
        <v>#REF!</v>
      </c>
      <c r="DI347">
        <f>AB347</f>
        <v>63.33</v>
      </c>
      <c r="DJ347">
        <f>EtalonRes!Z269</f>
        <v>6.81</v>
      </c>
      <c r="DK347">
        <f>Source!BB266</f>
        <v>9.3000000000000007</v>
      </c>
      <c r="DL347" t="s">
        <v>6</v>
      </c>
      <c r="DM347">
        <v>0</v>
      </c>
      <c r="DN347" t="s">
        <v>6</v>
      </c>
      <c r="DO347">
        <v>0</v>
      </c>
      <c r="GQ347">
        <v>-1</v>
      </c>
      <c r="GR347">
        <v>-1</v>
      </c>
    </row>
    <row r="348" spans="1:200" x14ac:dyDescent="0.2">
      <c r="A348">
        <f>ROW(Source!A266)</f>
        <v>266</v>
      </c>
      <c r="B348">
        <v>86326988</v>
      </c>
      <c r="C348">
        <v>86327620</v>
      </c>
      <c r="D348">
        <v>27441327</v>
      </c>
      <c r="E348">
        <v>1</v>
      </c>
      <c r="F348">
        <v>1</v>
      </c>
      <c r="G348">
        <v>1</v>
      </c>
      <c r="H348">
        <v>2</v>
      </c>
      <c r="I348" t="s">
        <v>637</v>
      </c>
      <c r="J348" t="s">
        <v>638</v>
      </c>
      <c r="K348" t="s">
        <v>639</v>
      </c>
      <c r="L348">
        <v>1368</v>
      </c>
      <c r="N348">
        <v>1011</v>
      </c>
      <c r="O348" t="s">
        <v>137</v>
      </c>
      <c r="P348" t="s">
        <v>137</v>
      </c>
      <c r="Q348">
        <v>1</v>
      </c>
      <c r="W348">
        <v>0</v>
      </c>
      <c r="X348">
        <v>-1583389094</v>
      </c>
      <c r="Y348">
        <f t="shared" si="142"/>
        <v>0.02</v>
      </c>
      <c r="AA348">
        <v>0</v>
      </c>
      <c r="AB348">
        <v>868.34</v>
      </c>
      <c r="AC348">
        <v>231.46</v>
      </c>
      <c r="AD348">
        <v>0</v>
      </c>
      <c r="AE348">
        <v>0</v>
      </c>
      <c r="AF348">
        <v>93.37</v>
      </c>
      <c r="AG348">
        <v>11.69</v>
      </c>
      <c r="AH348">
        <v>0</v>
      </c>
      <c r="AI348">
        <v>1</v>
      </c>
      <c r="AJ348">
        <v>9.3000000000000007</v>
      </c>
      <c r="AK348">
        <v>19.8</v>
      </c>
      <c r="AL348">
        <v>1</v>
      </c>
      <c r="AM348">
        <v>5</v>
      </c>
      <c r="AN348">
        <v>0</v>
      </c>
      <c r="AO348">
        <v>1</v>
      </c>
      <c r="AP348">
        <v>1</v>
      </c>
      <c r="AQ348">
        <v>0</v>
      </c>
      <c r="AR348">
        <v>0</v>
      </c>
      <c r="AS348" t="s">
        <v>6</v>
      </c>
      <c r="AT348">
        <v>0.01</v>
      </c>
      <c r="AU348" t="s">
        <v>379</v>
      </c>
      <c r="AV348">
        <v>0</v>
      </c>
      <c r="AW348">
        <v>2</v>
      </c>
      <c r="AX348">
        <v>86327634</v>
      </c>
      <c r="AY348">
        <v>1</v>
      </c>
      <c r="AZ348">
        <v>0</v>
      </c>
      <c r="BA348">
        <v>270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CV348">
        <v>0</v>
      </c>
      <c r="CW348" t="e">
        <f>ROUND(Y348*Source!I266*DO348,9)</f>
        <v>#REF!</v>
      </c>
      <c r="CX348" t="e">
        <f>ROUND(Y348*Source!I266,9)</f>
        <v>#REF!</v>
      </c>
      <c r="CY348">
        <f>AB348</f>
        <v>868.34</v>
      </c>
      <c r="CZ348">
        <f>AF348</f>
        <v>93.37</v>
      </c>
      <c r="DA348">
        <f>AJ348</f>
        <v>9.3000000000000007</v>
      </c>
      <c r="DB348">
        <f t="shared" si="143"/>
        <v>1.86</v>
      </c>
      <c r="DC348">
        <f t="shared" si="144"/>
        <v>0.24</v>
      </c>
      <c r="DD348" t="s">
        <v>6</v>
      </c>
      <c r="DE348" t="s">
        <v>6</v>
      </c>
      <c r="DF348" t="e">
        <f t="shared" si="145"/>
        <v>#REF!</v>
      </c>
      <c r="DG348" t="e">
        <f>ROUND(ROUND(AF348*AJ348,0)*CX348,0)</f>
        <v>#REF!</v>
      </c>
      <c r="DH348" t="e">
        <f>Source!I266*SmtRes!Y348</f>
        <v>#REF!</v>
      </c>
      <c r="DI348">
        <f>AB348</f>
        <v>868.34</v>
      </c>
      <c r="DJ348">
        <f>EtalonRes!Z270</f>
        <v>93.37</v>
      </c>
      <c r="DK348">
        <f>Source!BB266</f>
        <v>9.3000000000000007</v>
      </c>
      <c r="DL348" t="s">
        <v>6</v>
      </c>
      <c r="DM348">
        <v>0</v>
      </c>
      <c r="DN348" t="s">
        <v>6</v>
      </c>
      <c r="DO348">
        <v>0</v>
      </c>
      <c r="GQ348">
        <v>-1</v>
      </c>
      <c r="GR348">
        <v>-1</v>
      </c>
    </row>
    <row r="349" spans="1:200" x14ac:dyDescent="0.2">
      <c r="A349">
        <f>ROW(Source!A266)</f>
        <v>266</v>
      </c>
      <c r="B349">
        <v>86326988</v>
      </c>
      <c r="C349">
        <v>86327620</v>
      </c>
      <c r="D349">
        <v>27371445</v>
      </c>
      <c r="E349">
        <v>1</v>
      </c>
      <c r="F349">
        <v>1</v>
      </c>
      <c r="G349">
        <v>1</v>
      </c>
      <c r="H349">
        <v>3</v>
      </c>
      <c r="I349" t="s">
        <v>383</v>
      </c>
      <c r="J349" t="s">
        <v>385</v>
      </c>
      <c r="K349" t="s">
        <v>384</v>
      </c>
      <c r="L349">
        <v>1348</v>
      </c>
      <c r="N349">
        <v>1009</v>
      </c>
      <c r="O349" t="s">
        <v>33</v>
      </c>
      <c r="P349" t="s">
        <v>33</v>
      </c>
      <c r="Q349">
        <v>1000</v>
      </c>
      <c r="W349">
        <v>0</v>
      </c>
      <c r="X349">
        <v>186214095</v>
      </c>
      <c r="Y349">
        <f t="shared" si="142"/>
        <v>2.8E-3</v>
      </c>
      <c r="AA349">
        <v>98057</v>
      </c>
      <c r="AB349">
        <v>0</v>
      </c>
      <c r="AC349">
        <v>0</v>
      </c>
      <c r="AD349">
        <v>0</v>
      </c>
      <c r="AE349">
        <v>13759.11</v>
      </c>
      <c r="AF349">
        <v>0</v>
      </c>
      <c r="AG349">
        <v>0</v>
      </c>
      <c r="AH349">
        <v>0</v>
      </c>
      <c r="AI349">
        <v>7.56</v>
      </c>
      <c r="AJ349">
        <v>1</v>
      </c>
      <c r="AK349">
        <v>1</v>
      </c>
      <c r="AL349">
        <v>1</v>
      </c>
      <c r="AM349">
        <v>0</v>
      </c>
      <c r="AN349">
        <v>0</v>
      </c>
      <c r="AO349">
        <v>0</v>
      </c>
      <c r="AP349">
        <v>1</v>
      </c>
      <c r="AQ349">
        <v>0</v>
      </c>
      <c r="AR349">
        <v>0</v>
      </c>
      <c r="AS349" t="s">
        <v>6</v>
      </c>
      <c r="AT349">
        <v>1.4E-3</v>
      </c>
      <c r="AU349" t="s">
        <v>379</v>
      </c>
      <c r="AV349">
        <v>0</v>
      </c>
      <c r="AW349">
        <v>2</v>
      </c>
      <c r="AX349">
        <v>86327635</v>
      </c>
      <c r="AY349">
        <v>1</v>
      </c>
      <c r="AZ349">
        <v>16384</v>
      </c>
      <c r="BA349">
        <v>271</v>
      </c>
      <c r="BB349">
        <v>3</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CV349">
        <v>0</v>
      </c>
      <c r="CW349">
        <v>0</v>
      </c>
      <c r="CX349" t="e">
        <f>ROUND(Y349*Source!I266,9)</f>
        <v>#REF!</v>
      </c>
      <c r="CY349">
        <f>AA349</f>
        <v>98057</v>
      </c>
      <c r="CZ349">
        <f>AE349</f>
        <v>13759.11</v>
      </c>
      <c r="DA349">
        <f>AI349</f>
        <v>7.56</v>
      </c>
      <c r="DB349">
        <f t="shared" si="143"/>
        <v>38.520000000000003</v>
      </c>
      <c r="DC349">
        <f t="shared" si="144"/>
        <v>0</v>
      </c>
      <c r="DD349" t="s">
        <v>6</v>
      </c>
      <c r="DE349" t="s">
        <v>6</v>
      </c>
      <c r="DF349" t="e">
        <f>ROUND(ROUND(AE349*AI349,0)*CX349,0)</f>
        <v>#REF!</v>
      </c>
      <c r="DG349" t="e">
        <f t="shared" ref="DG349:DG356" si="146">ROUND(ROUND(AF349,0)*CX349,0)</f>
        <v>#REF!</v>
      </c>
      <c r="DH349" t="e">
        <f>Source!I266*SmtRes!Y349</f>
        <v>#REF!</v>
      </c>
      <c r="DI349">
        <f>AA349</f>
        <v>98057</v>
      </c>
      <c r="DJ349">
        <f>EtalonRes!Y271</f>
        <v>6156.33</v>
      </c>
      <c r="DK349">
        <f>Source!BC266</f>
        <v>7.56</v>
      </c>
      <c r="DL349" t="s">
        <v>6</v>
      </c>
      <c r="DM349">
        <v>0</v>
      </c>
      <c r="DN349" t="s">
        <v>6</v>
      </c>
      <c r="DO349">
        <v>0</v>
      </c>
      <c r="GP349">
        <v>1</v>
      </c>
      <c r="GQ349">
        <v>-1</v>
      </c>
      <c r="GR349">
        <v>-1</v>
      </c>
    </row>
    <row r="350" spans="1:200" x14ac:dyDescent="0.2">
      <c r="A350">
        <f>ROW(Source!A266)</f>
        <v>266</v>
      </c>
      <c r="B350">
        <v>86326988</v>
      </c>
      <c r="C350">
        <v>86327620</v>
      </c>
      <c r="D350">
        <v>27387231</v>
      </c>
      <c r="E350">
        <v>1</v>
      </c>
      <c r="F350">
        <v>1</v>
      </c>
      <c r="G350">
        <v>1</v>
      </c>
      <c r="H350">
        <v>3</v>
      </c>
      <c r="I350" t="s">
        <v>388</v>
      </c>
      <c r="J350" t="s">
        <v>390</v>
      </c>
      <c r="K350" t="s">
        <v>389</v>
      </c>
      <c r="L350">
        <v>1348</v>
      </c>
      <c r="N350">
        <v>1009</v>
      </c>
      <c r="O350" t="s">
        <v>33</v>
      </c>
      <c r="P350" t="s">
        <v>33</v>
      </c>
      <c r="Q350">
        <v>1000</v>
      </c>
      <c r="W350">
        <v>0</v>
      </c>
      <c r="X350">
        <v>99884446</v>
      </c>
      <c r="Y350">
        <f t="shared" si="142"/>
        <v>3.7999999999999999E-2</v>
      </c>
      <c r="AA350">
        <v>124030</v>
      </c>
      <c r="AB350">
        <v>0</v>
      </c>
      <c r="AC350">
        <v>0</v>
      </c>
      <c r="AD350">
        <v>0</v>
      </c>
      <c r="AE350">
        <v>17403.570000000003</v>
      </c>
      <c r="AF350">
        <v>0</v>
      </c>
      <c r="AG350">
        <v>0</v>
      </c>
      <c r="AH350">
        <v>0</v>
      </c>
      <c r="AI350">
        <v>7.56</v>
      </c>
      <c r="AJ350">
        <v>1</v>
      </c>
      <c r="AK350">
        <v>1</v>
      </c>
      <c r="AL350">
        <v>1</v>
      </c>
      <c r="AM350">
        <v>0</v>
      </c>
      <c r="AN350">
        <v>0</v>
      </c>
      <c r="AO350">
        <v>0</v>
      </c>
      <c r="AP350">
        <v>1</v>
      </c>
      <c r="AQ350">
        <v>0</v>
      </c>
      <c r="AR350">
        <v>0</v>
      </c>
      <c r="AS350" t="s">
        <v>6</v>
      </c>
      <c r="AT350">
        <v>1.9E-2</v>
      </c>
      <c r="AU350" t="s">
        <v>379</v>
      </c>
      <c r="AV350">
        <v>0</v>
      </c>
      <c r="AW350">
        <v>2</v>
      </c>
      <c r="AX350">
        <v>86327636</v>
      </c>
      <c r="AY350">
        <v>1</v>
      </c>
      <c r="AZ350">
        <v>16384</v>
      </c>
      <c r="BA350">
        <v>272</v>
      </c>
      <c r="BB350">
        <v>3</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CV350">
        <v>0</v>
      </c>
      <c r="CW350">
        <v>0</v>
      </c>
      <c r="CX350" t="e">
        <f>ROUND(Y350*Source!I266,9)</f>
        <v>#REF!</v>
      </c>
      <c r="CY350">
        <f>AA350</f>
        <v>124030</v>
      </c>
      <c r="CZ350">
        <f>AE350</f>
        <v>17403.570000000003</v>
      </c>
      <c r="DA350">
        <f>AI350</f>
        <v>7.56</v>
      </c>
      <c r="DB350">
        <f t="shared" si="143"/>
        <v>661.34</v>
      </c>
      <c r="DC350">
        <f t="shared" si="144"/>
        <v>0</v>
      </c>
      <c r="DD350" t="s">
        <v>6</v>
      </c>
      <c r="DE350" t="s">
        <v>6</v>
      </c>
      <c r="DF350" t="e">
        <f>ROUND(ROUND(AE350*AI350,0)*CX350,0)</f>
        <v>#REF!</v>
      </c>
      <c r="DG350" t="e">
        <f t="shared" si="146"/>
        <v>#REF!</v>
      </c>
      <c r="DH350" t="e">
        <f>Source!I266*SmtRes!Y350</f>
        <v>#REF!</v>
      </c>
      <c r="DI350">
        <f>AA350</f>
        <v>124030</v>
      </c>
      <c r="DJ350">
        <f>EtalonRes!Y272</f>
        <v>14313</v>
      </c>
      <c r="DK350">
        <f>Source!BC266</f>
        <v>7.56</v>
      </c>
      <c r="DL350" t="s">
        <v>6</v>
      </c>
      <c r="DM350">
        <v>0</v>
      </c>
      <c r="DN350" t="s">
        <v>6</v>
      </c>
      <c r="DO350">
        <v>0</v>
      </c>
      <c r="GP350">
        <v>1</v>
      </c>
      <c r="GQ350">
        <v>-1</v>
      </c>
      <c r="GR350">
        <v>-1</v>
      </c>
    </row>
    <row r="351" spans="1:200" x14ac:dyDescent="0.2">
      <c r="A351">
        <f>ROW(Source!A273)</f>
        <v>273</v>
      </c>
      <c r="B351">
        <v>86326987</v>
      </c>
      <c r="C351">
        <v>86327640</v>
      </c>
      <c r="D351">
        <v>27493458</v>
      </c>
      <c r="E351">
        <v>1</v>
      </c>
      <c r="F351">
        <v>1</v>
      </c>
      <c r="G351">
        <v>1</v>
      </c>
      <c r="H351">
        <v>1</v>
      </c>
      <c r="I351" t="s">
        <v>685</v>
      </c>
      <c r="J351" t="s">
        <v>6</v>
      </c>
      <c r="K351" t="s">
        <v>686</v>
      </c>
      <c r="L351">
        <v>1369</v>
      </c>
      <c r="N351">
        <v>1013</v>
      </c>
      <c r="O351" t="s">
        <v>625</v>
      </c>
      <c r="P351" t="s">
        <v>625</v>
      </c>
      <c r="Q351">
        <v>1</v>
      </c>
      <c r="W351">
        <v>0</v>
      </c>
      <c r="X351">
        <v>-115882720</v>
      </c>
      <c r="Y351">
        <f t="shared" ref="Y351:Y360" si="147">AT351</f>
        <v>8.6999999999999993</v>
      </c>
      <c r="AA351">
        <v>0</v>
      </c>
      <c r="AB351">
        <v>0</v>
      </c>
      <c r="AC351">
        <v>0</v>
      </c>
      <c r="AD351">
        <v>8.6</v>
      </c>
      <c r="AE351">
        <v>0</v>
      </c>
      <c r="AF351">
        <v>0</v>
      </c>
      <c r="AG351">
        <v>0</v>
      </c>
      <c r="AH351">
        <v>8.6</v>
      </c>
      <c r="AI351">
        <v>1</v>
      </c>
      <c r="AJ351">
        <v>1</v>
      </c>
      <c r="AK351">
        <v>1</v>
      </c>
      <c r="AL351">
        <v>1</v>
      </c>
      <c r="AM351">
        <v>-2</v>
      </c>
      <c r="AN351">
        <v>0</v>
      </c>
      <c r="AO351">
        <v>1</v>
      </c>
      <c r="AP351">
        <v>0</v>
      </c>
      <c r="AQ351">
        <v>0</v>
      </c>
      <c r="AR351">
        <v>0</v>
      </c>
      <c r="AS351" t="s">
        <v>6</v>
      </c>
      <c r="AT351">
        <v>8.6999999999999993</v>
      </c>
      <c r="AU351" t="s">
        <v>6</v>
      </c>
      <c r="AV351">
        <v>1</v>
      </c>
      <c r="AW351">
        <v>2</v>
      </c>
      <c r="AX351">
        <v>86327646</v>
      </c>
      <c r="AY351">
        <v>1</v>
      </c>
      <c r="AZ351">
        <v>0</v>
      </c>
      <c r="BA351">
        <v>273</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CU351" t="e">
        <f>ROUND(AT351*Source!I273*AH351*AL351,0)</f>
        <v>#REF!</v>
      </c>
      <c r="CV351" t="e">
        <f>ROUND(Y351*Source!I273,9)</f>
        <v>#REF!</v>
      </c>
      <c r="CW351">
        <v>0</v>
      </c>
      <c r="CX351" t="e">
        <f>ROUND(Y351*Source!I273,9)</f>
        <v>#REF!</v>
      </c>
      <c r="CY351">
        <f>AD351</f>
        <v>8.6</v>
      </c>
      <c r="CZ351">
        <f>AH351</f>
        <v>8.6</v>
      </c>
      <c r="DA351">
        <f>AL351</f>
        <v>1</v>
      </c>
      <c r="DB351">
        <f t="shared" ref="DB351:DB360" si="148">ROUND(ROUND(AT351*CZ351,2),2)</f>
        <v>74.819999999999993</v>
      </c>
      <c r="DC351">
        <f t="shared" ref="DC351:DC360" si="149">ROUND(ROUND(AT351*AG351,2),2)</f>
        <v>0</v>
      </c>
      <c r="DD351" t="s">
        <v>6</v>
      </c>
      <c r="DE351" t="s">
        <v>6</v>
      </c>
      <c r="DF351" t="e">
        <f t="shared" ref="DF351:DF358" si="150">ROUND(ROUND(AE351,0)*CX351,0)</f>
        <v>#REF!</v>
      </c>
      <c r="DG351" t="e">
        <f t="shared" si="146"/>
        <v>#REF!</v>
      </c>
      <c r="DH351" t="e">
        <f>Source!I273*SmtRes!Y351</f>
        <v>#REF!</v>
      </c>
      <c r="DI351">
        <f>AD351</f>
        <v>8.6</v>
      </c>
      <c r="DJ351">
        <f>EtalonRes!AB273</f>
        <v>8.6</v>
      </c>
      <c r="DK351">
        <f>Source!BA273</f>
        <v>1</v>
      </c>
      <c r="DL351" t="s">
        <v>6</v>
      </c>
      <c r="DM351">
        <v>0</v>
      </c>
      <c r="DN351" t="s">
        <v>6</v>
      </c>
      <c r="DO351">
        <v>0</v>
      </c>
      <c r="GQ351">
        <v>-1</v>
      </c>
      <c r="GR351">
        <v>-1</v>
      </c>
    </row>
    <row r="352" spans="1:200" x14ac:dyDescent="0.2">
      <c r="A352">
        <f>ROW(Source!A273)</f>
        <v>273</v>
      </c>
      <c r="B352">
        <v>86326987</v>
      </c>
      <c r="C352">
        <v>86327640</v>
      </c>
      <c r="D352">
        <v>27439746</v>
      </c>
      <c r="E352">
        <v>1</v>
      </c>
      <c r="F352">
        <v>1</v>
      </c>
      <c r="G352">
        <v>1</v>
      </c>
      <c r="H352">
        <v>2</v>
      </c>
      <c r="I352" t="s">
        <v>687</v>
      </c>
      <c r="J352" t="s">
        <v>688</v>
      </c>
      <c r="K352" t="s">
        <v>689</v>
      </c>
      <c r="L352">
        <v>1368</v>
      </c>
      <c r="N352">
        <v>1011</v>
      </c>
      <c r="O352" t="s">
        <v>137</v>
      </c>
      <c r="P352" t="s">
        <v>137</v>
      </c>
      <c r="Q352">
        <v>1</v>
      </c>
      <c r="W352">
        <v>0</v>
      </c>
      <c r="X352">
        <v>1382346422</v>
      </c>
      <c r="Y352">
        <f t="shared" si="147"/>
        <v>0.31</v>
      </c>
      <c r="AA352">
        <v>0</v>
      </c>
      <c r="AB352">
        <v>32.5</v>
      </c>
      <c r="AC352">
        <v>0</v>
      </c>
      <c r="AD352">
        <v>0</v>
      </c>
      <c r="AE352">
        <v>0</v>
      </c>
      <c r="AF352">
        <v>32.5</v>
      </c>
      <c r="AG352">
        <v>0</v>
      </c>
      <c r="AH352">
        <v>0</v>
      </c>
      <c r="AI352">
        <v>1</v>
      </c>
      <c r="AJ352">
        <v>1</v>
      </c>
      <c r="AK352">
        <v>1</v>
      </c>
      <c r="AL352">
        <v>1</v>
      </c>
      <c r="AM352">
        <v>-2</v>
      </c>
      <c r="AN352">
        <v>0</v>
      </c>
      <c r="AO352">
        <v>1</v>
      </c>
      <c r="AP352">
        <v>0</v>
      </c>
      <c r="AQ352">
        <v>0</v>
      </c>
      <c r="AR352">
        <v>0</v>
      </c>
      <c r="AS352" t="s">
        <v>6</v>
      </c>
      <c r="AT352">
        <v>0.31</v>
      </c>
      <c r="AU352" t="s">
        <v>6</v>
      </c>
      <c r="AV352">
        <v>0</v>
      </c>
      <c r="AW352">
        <v>2</v>
      </c>
      <c r="AX352">
        <v>86327647</v>
      </c>
      <c r="AY352">
        <v>1</v>
      </c>
      <c r="AZ352">
        <v>0</v>
      </c>
      <c r="BA352">
        <v>274</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CV352">
        <v>0</v>
      </c>
      <c r="CW352" t="e">
        <f>ROUND(Y352*Source!I273*DO352,9)</f>
        <v>#REF!</v>
      </c>
      <c r="CX352" t="e">
        <f>ROUND(Y352*Source!I273,9)</f>
        <v>#REF!</v>
      </c>
      <c r="CY352">
        <f>AB352</f>
        <v>32.5</v>
      </c>
      <c r="CZ352">
        <f>AF352</f>
        <v>32.5</v>
      </c>
      <c r="DA352">
        <f>AJ352</f>
        <v>1</v>
      </c>
      <c r="DB352">
        <f t="shared" si="148"/>
        <v>10.08</v>
      </c>
      <c r="DC352">
        <f t="shared" si="149"/>
        <v>0</v>
      </c>
      <c r="DD352" t="s">
        <v>6</v>
      </c>
      <c r="DE352" t="s">
        <v>6</v>
      </c>
      <c r="DF352" t="e">
        <f t="shared" si="150"/>
        <v>#REF!</v>
      </c>
      <c r="DG352" t="e">
        <f t="shared" si="146"/>
        <v>#REF!</v>
      </c>
      <c r="DH352" t="e">
        <f>Source!I273*SmtRes!Y352</f>
        <v>#REF!</v>
      </c>
      <c r="DI352">
        <f>AB352</f>
        <v>32.5</v>
      </c>
      <c r="DJ352">
        <f>EtalonRes!Z274</f>
        <v>32.5</v>
      </c>
      <c r="DK352">
        <f>Source!BB273</f>
        <v>1</v>
      </c>
      <c r="DL352" t="s">
        <v>6</v>
      </c>
      <c r="DM352">
        <v>0</v>
      </c>
      <c r="DN352" t="s">
        <v>6</v>
      </c>
      <c r="DO352">
        <v>0</v>
      </c>
      <c r="GQ352">
        <v>-1</v>
      </c>
      <c r="GR352">
        <v>-1</v>
      </c>
    </row>
    <row r="353" spans="1:200" x14ac:dyDescent="0.2">
      <c r="A353">
        <f>ROW(Source!A273)</f>
        <v>273</v>
      </c>
      <c r="B353">
        <v>86326987</v>
      </c>
      <c r="C353">
        <v>86327640</v>
      </c>
      <c r="D353">
        <v>27441078</v>
      </c>
      <c r="E353">
        <v>1</v>
      </c>
      <c r="F353">
        <v>1</v>
      </c>
      <c r="G353">
        <v>1</v>
      </c>
      <c r="H353">
        <v>2</v>
      </c>
      <c r="I353" t="s">
        <v>669</v>
      </c>
      <c r="J353" t="s">
        <v>670</v>
      </c>
      <c r="K353" t="s">
        <v>671</v>
      </c>
      <c r="L353">
        <v>1368</v>
      </c>
      <c r="N353">
        <v>1011</v>
      </c>
      <c r="O353" t="s">
        <v>137</v>
      </c>
      <c r="P353" t="s">
        <v>137</v>
      </c>
      <c r="Q353">
        <v>1</v>
      </c>
      <c r="W353">
        <v>0</v>
      </c>
      <c r="X353">
        <v>-380487195</v>
      </c>
      <c r="Y353">
        <f t="shared" si="147"/>
        <v>3.96</v>
      </c>
      <c r="AA353">
        <v>0</v>
      </c>
      <c r="AB353">
        <v>2.0699999999999998</v>
      </c>
      <c r="AC353">
        <v>0</v>
      </c>
      <c r="AD353">
        <v>0</v>
      </c>
      <c r="AE353">
        <v>0</v>
      </c>
      <c r="AF353">
        <v>2.0699999999999998</v>
      </c>
      <c r="AG353">
        <v>0</v>
      </c>
      <c r="AH353">
        <v>0</v>
      </c>
      <c r="AI353">
        <v>1</v>
      </c>
      <c r="AJ353">
        <v>1</v>
      </c>
      <c r="AK353">
        <v>1</v>
      </c>
      <c r="AL353">
        <v>1</v>
      </c>
      <c r="AM353">
        <v>-2</v>
      </c>
      <c r="AN353">
        <v>0</v>
      </c>
      <c r="AO353">
        <v>1</v>
      </c>
      <c r="AP353">
        <v>0</v>
      </c>
      <c r="AQ353">
        <v>0</v>
      </c>
      <c r="AR353">
        <v>0</v>
      </c>
      <c r="AS353" t="s">
        <v>6</v>
      </c>
      <c r="AT353">
        <v>3.96</v>
      </c>
      <c r="AU353" t="s">
        <v>6</v>
      </c>
      <c r="AV353">
        <v>0</v>
      </c>
      <c r="AW353">
        <v>2</v>
      </c>
      <c r="AX353">
        <v>86327648</v>
      </c>
      <c r="AY353">
        <v>1</v>
      </c>
      <c r="AZ353">
        <v>0</v>
      </c>
      <c r="BA353">
        <v>275</v>
      </c>
      <c r="BB353">
        <v>0</v>
      </c>
      <c r="BC353">
        <v>0</v>
      </c>
      <c r="BD353">
        <v>0</v>
      </c>
      <c r="BE353">
        <v>0</v>
      </c>
      <c r="BF353">
        <v>0</v>
      </c>
      <c r="BG353">
        <v>0</v>
      </c>
      <c r="BH353">
        <v>0</v>
      </c>
      <c r="BI353">
        <v>0</v>
      </c>
      <c r="BJ353">
        <v>0</v>
      </c>
      <c r="BK353">
        <v>0</v>
      </c>
      <c r="BL353">
        <v>0</v>
      </c>
      <c r="BM353">
        <v>0</v>
      </c>
      <c r="BN353">
        <v>0</v>
      </c>
      <c r="BO353">
        <v>0</v>
      </c>
      <c r="BP353">
        <v>0</v>
      </c>
      <c r="BQ353">
        <v>0</v>
      </c>
      <c r="BR353">
        <v>0</v>
      </c>
      <c r="BS353">
        <v>0</v>
      </c>
      <c r="BT353">
        <v>0</v>
      </c>
      <c r="BU353">
        <v>0</v>
      </c>
      <c r="BV353">
        <v>0</v>
      </c>
      <c r="BW353">
        <v>0</v>
      </c>
      <c r="CV353">
        <v>0</v>
      </c>
      <c r="CW353" t="e">
        <f>ROUND(Y353*Source!I273*DO353,9)</f>
        <v>#REF!</v>
      </c>
      <c r="CX353" t="e">
        <f>ROUND(Y353*Source!I273,9)</f>
        <v>#REF!</v>
      </c>
      <c r="CY353">
        <f>AB353</f>
        <v>2.0699999999999998</v>
      </c>
      <c r="CZ353">
        <f>AF353</f>
        <v>2.0699999999999998</v>
      </c>
      <c r="DA353">
        <f>AJ353</f>
        <v>1</v>
      </c>
      <c r="DB353">
        <f t="shared" si="148"/>
        <v>8.1999999999999993</v>
      </c>
      <c r="DC353">
        <f t="shared" si="149"/>
        <v>0</v>
      </c>
      <c r="DD353" t="s">
        <v>6</v>
      </c>
      <c r="DE353" t="s">
        <v>6</v>
      </c>
      <c r="DF353" t="e">
        <f t="shared" si="150"/>
        <v>#REF!</v>
      </c>
      <c r="DG353" t="e">
        <f t="shared" si="146"/>
        <v>#REF!</v>
      </c>
      <c r="DH353" t="e">
        <f>Source!I273*SmtRes!Y353</f>
        <v>#REF!</v>
      </c>
      <c r="DI353">
        <f>AB353</f>
        <v>2.0699999999999998</v>
      </c>
      <c r="DJ353">
        <f>EtalonRes!Z275</f>
        <v>2.0699999999999998</v>
      </c>
      <c r="DK353">
        <f>Source!BB273</f>
        <v>1</v>
      </c>
      <c r="DL353" t="s">
        <v>6</v>
      </c>
      <c r="DM353">
        <v>0</v>
      </c>
      <c r="DN353" t="s">
        <v>6</v>
      </c>
      <c r="DO353">
        <v>0</v>
      </c>
      <c r="GQ353">
        <v>-1</v>
      </c>
      <c r="GR353">
        <v>-1</v>
      </c>
    </row>
    <row r="354" spans="1:200" x14ac:dyDescent="0.2">
      <c r="A354">
        <f>ROW(Source!A273)</f>
        <v>273</v>
      </c>
      <c r="B354">
        <v>86326987</v>
      </c>
      <c r="C354">
        <v>86327640</v>
      </c>
      <c r="D354">
        <v>27431498</v>
      </c>
      <c r="E354">
        <v>1</v>
      </c>
      <c r="F354">
        <v>1</v>
      </c>
      <c r="G354">
        <v>1</v>
      </c>
      <c r="H354">
        <v>3</v>
      </c>
      <c r="I354" t="s">
        <v>406</v>
      </c>
      <c r="J354" t="s">
        <v>408</v>
      </c>
      <c r="K354" t="s">
        <v>407</v>
      </c>
      <c r="L354">
        <v>53010780</v>
      </c>
      <c r="N354">
        <v>1010</v>
      </c>
      <c r="O354" t="s">
        <v>323</v>
      </c>
      <c r="P354" t="s">
        <v>325</v>
      </c>
      <c r="Q354">
        <v>1</v>
      </c>
      <c r="W354">
        <v>0</v>
      </c>
      <c r="X354">
        <v>231135007</v>
      </c>
      <c r="Y354">
        <f t="shared" si="147"/>
        <v>7.6666670000000003</v>
      </c>
      <c r="AA354">
        <v>391.34</v>
      </c>
      <c r="AB354">
        <v>0</v>
      </c>
      <c r="AC354">
        <v>0</v>
      </c>
      <c r="AD354">
        <v>0</v>
      </c>
      <c r="AE354">
        <v>391.34</v>
      </c>
      <c r="AF354">
        <v>0</v>
      </c>
      <c r="AG354">
        <v>0</v>
      </c>
      <c r="AH354">
        <v>0</v>
      </c>
      <c r="AI354">
        <v>1</v>
      </c>
      <c r="AJ354">
        <v>1</v>
      </c>
      <c r="AK354">
        <v>1</v>
      </c>
      <c r="AL354">
        <v>1</v>
      </c>
      <c r="AM354">
        <v>0</v>
      </c>
      <c r="AN354">
        <v>0</v>
      </c>
      <c r="AO354">
        <v>0</v>
      </c>
      <c r="AP354">
        <v>0</v>
      </c>
      <c r="AQ354">
        <v>0</v>
      </c>
      <c r="AR354">
        <v>0</v>
      </c>
      <c r="AS354" t="s">
        <v>6</v>
      </c>
      <c r="AT354">
        <v>7.6666670000000003</v>
      </c>
      <c r="AU354" t="s">
        <v>6</v>
      </c>
      <c r="AV354">
        <v>0</v>
      </c>
      <c r="AW354">
        <v>1</v>
      </c>
      <c r="AX354">
        <v>-1</v>
      </c>
      <c r="AY354">
        <v>0</v>
      </c>
      <c r="AZ354">
        <v>0</v>
      </c>
      <c r="BA354" t="s">
        <v>6</v>
      </c>
      <c r="BB354">
        <v>0</v>
      </c>
      <c r="BC354">
        <v>0</v>
      </c>
      <c r="BD354">
        <v>0</v>
      </c>
      <c r="BE354">
        <v>0</v>
      </c>
      <c r="BF354">
        <v>0</v>
      </c>
      <c r="BG354">
        <v>0</v>
      </c>
      <c r="BH354">
        <v>0</v>
      </c>
      <c r="BI354">
        <v>0</v>
      </c>
      <c r="BJ354">
        <v>0</v>
      </c>
      <c r="BK354">
        <v>0</v>
      </c>
      <c r="BL354">
        <v>0</v>
      </c>
      <c r="BM354">
        <v>0</v>
      </c>
      <c r="BN354">
        <v>0</v>
      </c>
      <c r="BO354">
        <v>0</v>
      </c>
      <c r="BP354">
        <v>0</v>
      </c>
      <c r="BQ354">
        <v>0</v>
      </c>
      <c r="BR354">
        <v>0</v>
      </c>
      <c r="BS354">
        <v>0</v>
      </c>
      <c r="BT354">
        <v>0</v>
      </c>
      <c r="BU354">
        <v>0</v>
      </c>
      <c r="BV354">
        <v>0</v>
      </c>
      <c r="BW354">
        <v>0</v>
      </c>
      <c r="CV354">
        <v>0</v>
      </c>
      <c r="CW354">
        <v>0</v>
      </c>
      <c r="CX354" t="e">
        <f>ROUND(Y354*Source!I273,9)</f>
        <v>#REF!</v>
      </c>
      <c r="CY354">
        <f>AA354</f>
        <v>391.34</v>
      </c>
      <c r="CZ354">
        <f>AE354</f>
        <v>391.34</v>
      </c>
      <c r="DA354">
        <f>AI354</f>
        <v>1</v>
      </c>
      <c r="DB354">
        <f t="shared" si="148"/>
        <v>3000.27</v>
      </c>
      <c r="DC354">
        <f t="shared" si="149"/>
        <v>0</v>
      </c>
      <c r="DD354" t="s">
        <v>6</v>
      </c>
      <c r="DE354" t="s">
        <v>6</v>
      </c>
      <c r="DF354" t="e">
        <f t="shared" si="150"/>
        <v>#REF!</v>
      </c>
      <c r="DG354" t="e">
        <f t="shared" si="146"/>
        <v>#REF!</v>
      </c>
      <c r="DH354" t="e">
        <f>Source!I273*SmtRes!Y354</f>
        <v>#REF!</v>
      </c>
      <c r="DI354">
        <f>AA354</f>
        <v>391.34</v>
      </c>
      <c r="DJ354" t="e">
        <f>DF354</f>
        <v>#REF!</v>
      </c>
      <c r="DK354">
        <f>Source!BC273</f>
        <v>1</v>
      </c>
      <c r="DL354" t="s">
        <v>6</v>
      </c>
      <c r="DM354">
        <v>0</v>
      </c>
      <c r="DN354" t="s">
        <v>6</v>
      </c>
      <c r="DO354">
        <v>0</v>
      </c>
      <c r="GP354">
        <v>1</v>
      </c>
      <c r="GQ354">
        <v>-1</v>
      </c>
      <c r="GR354">
        <v>-1</v>
      </c>
    </row>
    <row r="355" spans="1:200" x14ac:dyDescent="0.2">
      <c r="A355">
        <f>ROW(Source!A273)</f>
        <v>273</v>
      </c>
      <c r="B355">
        <v>86326987</v>
      </c>
      <c r="C355">
        <v>86327640</v>
      </c>
      <c r="D355">
        <v>69205384</v>
      </c>
      <c r="E355">
        <v>1</v>
      </c>
      <c r="F355">
        <v>1</v>
      </c>
      <c r="G355">
        <v>1</v>
      </c>
      <c r="H355">
        <v>3</v>
      </c>
      <c r="I355" t="s">
        <v>401</v>
      </c>
      <c r="J355" t="s">
        <v>403</v>
      </c>
      <c r="K355" t="s">
        <v>402</v>
      </c>
      <c r="L355">
        <v>1348</v>
      </c>
      <c r="N355">
        <v>1009</v>
      </c>
      <c r="O355" t="s">
        <v>33</v>
      </c>
      <c r="P355" t="s">
        <v>33</v>
      </c>
      <c r="Q355">
        <v>1000</v>
      </c>
      <c r="W355">
        <v>0</v>
      </c>
      <c r="X355">
        <v>-1182898848</v>
      </c>
      <c r="Y355">
        <f t="shared" si="147"/>
        <v>3.9E-2</v>
      </c>
      <c r="AA355">
        <v>18003.77</v>
      </c>
      <c r="AB355">
        <v>0</v>
      </c>
      <c r="AC355">
        <v>0</v>
      </c>
      <c r="AD355">
        <v>0</v>
      </c>
      <c r="AE355">
        <v>18003.77</v>
      </c>
      <c r="AF355">
        <v>0</v>
      </c>
      <c r="AG355">
        <v>0</v>
      </c>
      <c r="AH355">
        <v>0</v>
      </c>
      <c r="AI355">
        <v>1</v>
      </c>
      <c r="AJ355">
        <v>1</v>
      </c>
      <c r="AK355">
        <v>1</v>
      </c>
      <c r="AL355">
        <v>1</v>
      </c>
      <c r="AM355">
        <v>0</v>
      </c>
      <c r="AN355">
        <v>0</v>
      </c>
      <c r="AO355">
        <v>0</v>
      </c>
      <c r="AP355">
        <v>0</v>
      </c>
      <c r="AQ355">
        <v>0</v>
      </c>
      <c r="AR355">
        <v>0</v>
      </c>
      <c r="AS355" t="s">
        <v>6</v>
      </c>
      <c r="AT355">
        <v>3.9E-2</v>
      </c>
      <c r="AU355" t="s">
        <v>6</v>
      </c>
      <c r="AV355">
        <v>0</v>
      </c>
      <c r="AW355">
        <v>1</v>
      </c>
      <c r="AX355">
        <v>-1</v>
      </c>
      <c r="AY355">
        <v>0</v>
      </c>
      <c r="AZ355">
        <v>0</v>
      </c>
      <c r="BA355" t="s">
        <v>6</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CV355">
        <v>0</v>
      </c>
      <c r="CW355">
        <v>0</v>
      </c>
      <c r="CX355" t="e">
        <f>ROUND(Y355*Source!I273,9)</f>
        <v>#REF!</v>
      </c>
      <c r="CY355">
        <f>AA355</f>
        <v>18003.77</v>
      </c>
      <c r="CZ355">
        <f>AE355</f>
        <v>18003.77</v>
      </c>
      <c r="DA355">
        <f>AI355</f>
        <v>1</v>
      </c>
      <c r="DB355">
        <f t="shared" si="148"/>
        <v>702.15</v>
      </c>
      <c r="DC355">
        <f t="shared" si="149"/>
        <v>0</v>
      </c>
      <c r="DD355" t="s">
        <v>6</v>
      </c>
      <c r="DE355" t="s">
        <v>6</v>
      </c>
      <c r="DF355" t="e">
        <f t="shared" si="150"/>
        <v>#REF!</v>
      </c>
      <c r="DG355" t="e">
        <f t="shared" si="146"/>
        <v>#REF!</v>
      </c>
      <c r="DH355" t="e">
        <f>Source!I273*SmtRes!Y355</f>
        <v>#REF!</v>
      </c>
      <c r="DI355">
        <f>AA355</f>
        <v>18003.77</v>
      </c>
      <c r="DJ355" t="e">
        <f>DF355</f>
        <v>#REF!</v>
      </c>
      <c r="DK355">
        <f>Source!BC273</f>
        <v>1</v>
      </c>
      <c r="DL355" t="s">
        <v>6</v>
      </c>
      <c r="DM355">
        <v>0</v>
      </c>
      <c r="DN355" t="s">
        <v>6</v>
      </c>
      <c r="DO355">
        <v>0</v>
      </c>
      <c r="GP355">
        <v>1</v>
      </c>
      <c r="GQ355">
        <v>-1</v>
      </c>
      <c r="GR355">
        <v>-1</v>
      </c>
    </row>
    <row r="356" spans="1:200" x14ac:dyDescent="0.2">
      <c r="A356">
        <f>ROW(Source!A274)</f>
        <v>274</v>
      </c>
      <c r="B356">
        <v>86326988</v>
      </c>
      <c r="C356">
        <v>86327640</v>
      </c>
      <c r="D356">
        <v>27493458</v>
      </c>
      <c r="E356">
        <v>1</v>
      </c>
      <c r="F356">
        <v>1</v>
      </c>
      <c r="G356">
        <v>1</v>
      </c>
      <c r="H356">
        <v>1</v>
      </c>
      <c r="I356" t="s">
        <v>685</v>
      </c>
      <c r="J356" t="s">
        <v>6</v>
      </c>
      <c r="K356" t="s">
        <v>686</v>
      </c>
      <c r="L356">
        <v>1369</v>
      </c>
      <c r="N356">
        <v>1013</v>
      </c>
      <c r="O356" t="s">
        <v>625</v>
      </c>
      <c r="P356" t="s">
        <v>625</v>
      </c>
      <c r="Q356">
        <v>1</v>
      </c>
      <c r="W356">
        <v>0</v>
      </c>
      <c r="X356">
        <v>-115882720</v>
      </c>
      <c r="Y356">
        <f t="shared" si="147"/>
        <v>8.6999999999999993</v>
      </c>
      <c r="AA356">
        <v>0</v>
      </c>
      <c r="AB356">
        <v>0</v>
      </c>
      <c r="AC356">
        <v>0</v>
      </c>
      <c r="AD356">
        <v>218.1</v>
      </c>
      <c r="AE356">
        <v>0</v>
      </c>
      <c r="AF356">
        <v>0</v>
      </c>
      <c r="AG356">
        <v>0</v>
      </c>
      <c r="AH356">
        <v>8.6</v>
      </c>
      <c r="AI356">
        <v>1</v>
      </c>
      <c r="AJ356">
        <v>1</v>
      </c>
      <c r="AK356">
        <v>1</v>
      </c>
      <c r="AL356">
        <v>25.36</v>
      </c>
      <c r="AM356">
        <v>5</v>
      </c>
      <c r="AN356">
        <v>0</v>
      </c>
      <c r="AO356">
        <v>1</v>
      </c>
      <c r="AP356">
        <v>0</v>
      </c>
      <c r="AQ356">
        <v>0</v>
      </c>
      <c r="AR356">
        <v>0</v>
      </c>
      <c r="AS356" t="s">
        <v>6</v>
      </c>
      <c r="AT356">
        <v>8.6999999999999993</v>
      </c>
      <c r="AU356" t="s">
        <v>6</v>
      </c>
      <c r="AV356">
        <v>1</v>
      </c>
      <c r="AW356">
        <v>2</v>
      </c>
      <c r="AX356">
        <v>86327646</v>
      </c>
      <c r="AY356">
        <v>1</v>
      </c>
      <c r="AZ356">
        <v>0</v>
      </c>
      <c r="BA356">
        <v>278</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CU356" t="e">
        <f>ROUND(AT356*Source!I274*AH356*AL356,0)</f>
        <v>#REF!</v>
      </c>
      <c r="CV356" t="e">
        <f>ROUND(Y356*Source!I274,9)</f>
        <v>#REF!</v>
      </c>
      <c r="CW356">
        <v>0</v>
      </c>
      <c r="CX356" t="e">
        <f>ROUND(Y356*Source!I274,9)</f>
        <v>#REF!</v>
      </c>
      <c r="CY356">
        <f>AD356</f>
        <v>218.1</v>
      </c>
      <c r="CZ356">
        <f>AH356</f>
        <v>8.6</v>
      </c>
      <c r="DA356">
        <f>AL356</f>
        <v>25.36</v>
      </c>
      <c r="DB356">
        <f t="shared" si="148"/>
        <v>74.819999999999993</v>
      </c>
      <c r="DC356">
        <f t="shared" si="149"/>
        <v>0</v>
      </c>
      <c r="DD356" t="s">
        <v>6</v>
      </c>
      <c r="DE356" t="s">
        <v>6</v>
      </c>
      <c r="DF356" t="e">
        <f t="shared" si="150"/>
        <v>#REF!</v>
      </c>
      <c r="DG356" t="e">
        <f t="shared" si="146"/>
        <v>#REF!</v>
      </c>
      <c r="DH356" t="e">
        <f>Source!I274*SmtRes!Y356</f>
        <v>#REF!</v>
      </c>
      <c r="DI356">
        <f>AD356</f>
        <v>218.1</v>
      </c>
      <c r="DJ356">
        <f>EtalonRes!AB278</f>
        <v>8.6</v>
      </c>
      <c r="DK356">
        <f>Source!BA274</f>
        <v>25.36</v>
      </c>
      <c r="DL356" t="s">
        <v>6</v>
      </c>
      <c r="DM356">
        <v>0</v>
      </c>
      <c r="DN356" t="s">
        <v>6</v>
      </c>
      <c r="DO356">
        <v>0</v>
      </c>
      <c r="GQ356">
        <v>-1</v>
      </c>
      <c r="GR356">
        <v>-1</v>
      </c>
    </row>
    <row r="357" spans="1:200" x14ac:dyDescent="0.2">
      <c r="A357">
        <f>ROW(Source!A274)</f>
        <v>274</v>
      </c>
      <c r="B357">
        <v>86326988</v>
      </c>
      <c r="C357">
        <v>86327640</v>
      </c>
      <c r="D357">
        <v>27439746</v>
      </c>
      <c r="E357">
        <v>1</v>
      </c>
      <c r="F357">
        <v>1</v>
      </c>
      <c r="G357">
        <v>1</v>
      </c>
      <c r="H357">
        <v>2</v>
      </c>
      <c r="I357" t="s">
        <v>687</v>
      </c>
      <c r="J357" t="s">
        <v>688</v>
      </c>
      <c r="K357" t="s">
        <v>689</v>
      </c>
      <c r="L357">
        <v>1368</v>
      </c>
      <c r="N357">
        <v>1011</v>
      </c>
      <c r="O357" t="s">
        <v>137</v>
      </c>
      <c r="P357" t="s">
        <v>137</v>
      </c>
      <c r="Q357">
        <v>1</v>
      </c>
      <c r="W357">
        <v>0</v>
      </c>
      <c r="X357">
        <v>1382346422</v>
      </c>
      <c r="Y357">
        <f t="shared" si="147"/>
        <v>0.31</v>
      </c>
      <c r="AA357">
        <v>0</v>
      </c>
      <c r="AB357">
        <v>254.8</v>
      </c>
      <c r="AC357">
        <v>0</v>
      </c>
      <c r="AD357">
        <v>0</v>
      </c>
      <c r="AE357">
        <v>0</v>
      </c>
      <c r="AF357">
        <v>32.5</v>
      </c>
      <c r="AG357">
        <v>0</v>
      </c>
      <c r="AH357">
        <v>0</v>
      </c>
      <c r="AI357">
        <v>1</v>
      </c>
      <c r="AJ357">
        <v>7.84</v>
      </c>
      <c r="AK357">
        <v>19.8</v>
      </c>
      <c r="AL357">
        <v>1</v>
      </c>
      <c r="AM357">
        <v>5</v>
      </c>
      <c r="AN357">
        <v>0</v>
      </c>
      <c r="AO357">
        <v>1</v>
      </c>
      <c r="AP357">
        <v>0</v>
      </c>
      <c r="AQ357">
        <v>0</v>
      </c>
      <c r="AR357">
        <v>0</v>
      </c>
      <c r="AS357" t="s">
        <v>6</v>
      </c>
      <c r="AT357">
        <v>0.31</v>
      </c>
      <c r="AU357" t="s">
        <v>6</v>
      </c>
      <c r="AV357">
        <v>0</v>
      </c>
      <c r="AW357">
        <v>2</v>
      </c>
      <c r="AX357">
        <v>86327647</v>
      </c>
      <c r="AY357">
        <v>1</v>
      </c>
      <c r="AZ357">
        <v>0</v>
      </c>
      <c r="BA357">
        <v>279</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CV357">
        <v>0</v>
      </c>
      <c r="CW357" t="e">
        <f>ROUND(Y357*Source!I274*DO357,9)</f>
        <v>#REF!</v>
      </c>
      <c r="CX357" t="e">
        <f>ROUND(Y357*Source!I274,9)</f>
        <v>#REF!</v>
      </c>
      <c r="CY357">
        <f>AB357</f>
        <v>254.8</v>
      </c>
      <c r="CZ357">
        <f>AF357</f>
        <v>32.5</v>
      </c>
      <c r="DA357">
        <f>AJ357</f>
        <v>7.84</v>
      </c>
      <c r="DB357">
        <f t="shared" si="148"/>
        <v>10.08</v>
      </c>
      <c r="DC357">
        <f t="shared" si="149"/>
        <v>0</v>
      </c>
      <c r="DD357" t="s">
        <v>6</v>
      </c>
      <c r="DE357" t="s">
        <v>6</v>
      </c>
      <c r="DF357" t="e">
        <f t="shared" si="150"/>
        <v>#REF!</v>
      </c>
      <c r="DG357" t="e">
        <f>ROUND(ROUND(AF357*AJ357,0)*CX357,0)</f>
        <v>#REF!</v>
      </c>
      <c r="DH357" t="e">
        <f>Source!I274*SmtRes!Y357</f>
        <v>#REF!</v>
      </c>
      <c r="DI357">
        <f>AB357</f>
        <v>254.8</v>
      </c>
      <c r="DJ357">
        <f>EtalonRes!Z279</f>
        <v>32.5</v>
      </c>
      <c r="DK357">
        <f>Source!BB274</f>
        <v>7.84</v>
      </c>
      <c r="DL357" t="s">
        <v>6</v>
      </c>
      <c r="DM357">
        <v>0</v>
      </c>
      <c r="DN357" t="s">
        <v>6</v>
      </c>
      <c r="DO357">
        <v>0</v>
      </c>
      <c r="GQ357">
        <v>-1</v>
      </c>
      <c r="GR357">
        <v>-1</v>
      </c>
    </row>
    <row r="358" spans="1:200" x14ac:dyDescent="0.2">
      <c r="A358">
        <f>ROW(Source!A274)</f>
        <v>274</v>
      </c>
      <c r="B358">
        <v>86326988</v>
      </c>
      <c r="C358">
        <v>86327640</v>
      </c>
      <c r="D358">
        <v>27441078</v>
      </c>
      <c r="E358">
        <v>1</v>
      </c>
      <c r="F358">
        <v>1</v>
      </c>
      <c r="G358">
        <v>1</v>
      </c>
      <c r="H358">
        <v>2</v>
      </c>
      <c r="I358" t="s">
        <v>669</v>
      </c>
      <c r="J358" t="s">
        <v>670</v>
      </c>
      <c r="K358" t="s">
        <v>671</v>
      </c>
      <c r="L358">
        <v>1368</v>
      </c>
      <c r="N358">
        <v>1011</v>
      </c>
      <c r="O358" t="s">
        <v>137</v>
      </c>
      <c r="P358" t="s">
        <v>137</v>
      </c>
      <c r="Q358">
        <v>1</v>
      </c>
      <c r="W358">
        <v>0</v>
      </c>
      <c r="X358">
        <v>-380487195</v>
      </c>
      <c r="Y358">
        <f t="shared" si="147"/>
        <v>3.96</v>
      </c>
      <c r="AA358">
        <v>0</v>
      </c>
      <c r="AB358">
        <v>16.23</v>
      </c>
      <c r="AC358">
        <v>0</v>
      </c>
      <c r="AD358">
        <v>0</v>
      </c>
      <c r="AE358">
        <v>0</v>
      </c>
      <c r="AF358">
        <v>2.0699999999999998</v>
      </c>
      <c r="AG358">
        <v>0</v>
      </c>
      <c r="AH358">
        <v>0</v>
      </c>
      <c r="AI358">
        <v>1</v>
      </c>
      <c r="AJ358">
        <v>7.84</v>
      </c>
      <c r="AK358">
        <v>19.8</v>
      </c>
      <c r="AL358">
        <v>1</v>
      </c>
      <c r="AM358">
        <v>5</v>
      </c>
      <c r="AN358">
        <v>0</v>
      </c>
      <c r="AO358">
        <v>1</v>
      </c>
      <c r="AP358">
        <v>0</v>
      </c>
      <c r="AQ358">
        <v>0</v>
      </c>
      <c r="AR358">
        <v>0</v>
      </c>
      <c r="AS358" t="s">
        <v>6</v>
      </c>
      <c r="AT358">
        <v>3.96</v>
      </c>
      <c r="AU358" t="s">
        <v>6</v>
      </c>
      <c r="AV358">
        <v>0</v>
      </c>
      <c r="AW358">
        <v>2</v>
      </c>
      <c r="AX358">
        <v>86327648</v>
      </c>
      <c r="AY358">
        <v>1</v>
      </c>
      <c r="AZ358">
        <v>0</v>
      </c>
      <c r="BA358">
        <v>280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CV358">
        <v>0</v>
      </c>
      <c r="CW358" t="e">
        <f>ROUND(Y358*Source!I274*DO358,9)</f>
        <v>#REF!</v>
      </c>
      <c r="CX358" t="e">
        <f>ROUND(Y358*Source!I274,9)</f>
        <v>#REF!</v>
      </c>
      <c r="CY358">
        <f>AB358</f>
        <v>16.23</v>
      </c>
      <c r="CZ358">
        <f>AF358</f>
        <v>2.0699999999999998</v>
      </c>
      <c r="DA358">
        <f>AJ358</f>
        <v>7.84</v>
      </c>
      <c r="DB358">
        <f t="shared" si="148"/>
        <v>8.1999999999999993</v>
      </c>
      <c r="DC358">
        <f t="shared" si="149"/>
        <v>0</v>
      </c>
      <c r="DD358" t="s">
        <v>6</v>
      </c>
      <c r="DE358" t="s">
        <v>6</v>
      </c>
      <c r="DF358" t="e">
        <f t="shared" si="150"/>
        <v>#REF!</v>
      </c>
      <c r="DG358" t="e">
        <f>ROUND(ROUND(AF358*AJ358,0)*CX358,0)</f>
        <v>#REF!</v>
      </c>
      <c r="DH358" t="e">
        <f>Source!I274*SmtRes!Y358</f>
        <v>#REF!</v>
      </c>
      <c r="DI358">
        <f>AB358</f>
        <v>16.23</v>
      </c>
      <c r="DJ358">
        <f>EtalonRes!Z280</f>
        <v>2.0699999999999998</v>
      </c>
      <c r="DK358">
        <f>Source!BB274</f>
        <v>7.84</v>
      </c>
      <c r="DL358" t="s">
        <v>6</v>
      </c>
      <c r="DM358">
        <v>0</v>
      </c>
      <c r="DN358" t="s">
        <v>6</v>
      </c>
      <c r="DO358">
        <v>0</v>
      </c>
      <c r="GQ358">
        <v>-1</v>
      </c>
      <c r="GR358">
        <v>-1</v>
      </c>
    </row>
    <row r="359" spans="1:200" x14ac:dyDescent="0.2">
      <c r="A359">
        <f>ROW(Source!A274)</f>
        <v>274</v>
      </c>
      <c r="B359">
        <v>86326988</v>
      </c>
      <c r="C359">
        <v>86327640</v>
      </c>
      <c r="D359">
        <v>27431498</v>
      </c>
      <c r="E359">
        <v>1</v>
      </c>
      <c r="F359">
        <v>1</v>
      </c>
      <c r="G359">
        <v>1</v>
      </c>
      <c r="H359">
        <v>3</v>
      </c>
      <c r="I359" t="s">
        <v>406</v>
      </c>
      <c r="J359" t="s">
        <v>408</v>
      </c>
      <c r="K359" t="s">
        <v>407</v>
      </c>
      <c r="L359">
        <v>53010780</v>
      </c>
      <c r="N359">
        <v>1010</v>
      </c>
      <c r="O359" t="s">
        <v>323</v>
      </c>
      <c r="P359" t="s">
        <v>325</v>
      </c>
      <c r="Q359">
        <v>1</v>
      </c>
      <c r="W359">
        <v>0</v>
      </c>
      <c r="X359">
        <v>231135007</v>
      </c>
      <c r="Y359">
        <f t="shared" si="147"/>
        <v>7.6666670000000003</v>
      </c>
      <c r="AA359">
        <v>2222.2199999999998</v>
      </c>
      <c r="AB359">
        <v>0</v>
      </c>
      <c r="AC359">
        <v>0</v>
      </c>
      <c r="AD359">
        <v>0</v>
      </c>
      <c r="AE359">
        <v>311.81</v>
      </c>
      <c r="AF359">
        <v>0</v>
      </c>
      <c r="AG359">
        <v>0</v>
      </c>
      <c r="AH359">
        <v>0</v>
      </c>
      <c r="AI359">
        <v>7.56</v>
      </c>
      <c r="AJ359">
        <v>1</v>
      </c>
      <c r="AK359">
        <v>1</v>
      </c>
      <c r="AL359">
        <v>1</v>
      </c>
      <c r="AM359">
        <v>0</v>
      </c>
      <c r="AN359">
        <v>0</v>
      </c>
      <c r="AO359">
        <v>0</v>
      </c>
      <c r="AP359">
        <v>0</v>
      </c>
      <c r="AQ359">
        <v>0</v>
      </c>
      <c r="AR359">
        <v>0</v>
      </c>
      <c r="AS359" t="s">
        <v>6</v>
      </c>
      <c r="AT359">
        <v>7.6666670000000003</v>
      </c>
      <c r="AU359" t="s">
        <v>6</v>
      </c>
      <c r="AV359">
        <v>0</v>
      </c>
      <c r="AW359">
        <v>1</v>
      </c>
      <c r="AX359">
        <v>-1</v>
      </c>
      <c r="AY359">
        <v>0</v>
      </c>
      <c r="AZ359">
        <v>0</v>
      </c>
      <c r="BA359" t="s">
        <v>6</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CV359">
        <v>0</v>
      </c>
      <c r="CW359">
        <v>0</v>
      </c>
      <c r="CX359" t="e">
        <f>ROUND(Y359*Source!I274,9)</f>
        <v>#REF!</v>
      </c>
      <c r="CY359">
        <f>AA359</f>
        <v>2222.2199999999998</v>
      </c>
      <c r="CZ359">
        <f>AE359</f>
        <v>311.81</v>
      </c>
      <c r="DA359">
        <f>AI359</f>
        <v>7.56</v>
      </c>
      <c r="DB359">
        <f t="shared" si="148"/>
        <v>2390.54</v>
      </c>
      <c r="DC359">
        <f t="shared" si="149"/>
        <v>0</v>
      </c>
      <c r="DD359" t="s">
        <v>6</v>
      </c>
      <c r="DE359" t="s">
        <v>6</v>
      </c>
      <c r="DF359" t="e">
        <f>ROUND(ROUND(AE359*AI359,0)*CX359,0)</f>
        <v>#REF!</v>
      </c>
      <c r="DG359" t="e">
        <f t="shared" ref="DG359:DG364" si="151">ROUND(ROUND(AF359,0)*CX359,0)</f>
        <v>#REF!</v>
      </c>
      <c r="DH359" t="e">
        <f>Source!I274*SmtRes!Y359</f>
        <v>#REF!</v>
      </c>
      <c r="DI359">
        <f>AA359</f>
        <v>2222.2199999999998</v>
      </c>
      <c r="DJ359" t="e">
        <f>DF359</f>
        <v>#REF!</v>
      </c>
      <c r="DK359">
        <f>Source!BC274</f>
        <v>7.56</v>
      </c>
      <c r="DL359" t="s">
        <v>6</v>
      </c>
      <c r="DM359">
        <v>0</v>
      </c>
      <c r="DN359" t="s">
        <v>6</v>
      </c>
      <c r="DO359">
        <v>0</v>
      </c>
      <c r="GP359">
        <v>1</v>
      </c>
      <c r="GQ359">
        <v>-1</v>
      </c>
      <c r="GR359">
        <v>-1</v>
      </c>
    </row>
    <row r="360" spans="1:200" x14ac:dyDescent="0.2">
      <c r="A360">
        <f>ROW(Source!A274)</f>
        <v>274</v>
      </c>
      <c r="B360">
        <v>86326988</v>
      </c>
      <c r="C360">
        <v>86327640</v>
      </c>
      <c r="D360">
        <v>69205384</v>
      </c>
      <c r="E360">
        <v>1</v>
      </c>
      <c r="F360">
        <v>1</v>
      </c>
      <c r="G360">
        <v>1</v>
      </c>
      <c r="H360">
        <v>3</v>
      </c>
      <c r="I360" t="s">
        <v>401</v>
      </c>
      <c r="J360" t="s">
        <v>403</v>
      </c>
      <c r="K360" t="s">
        <v>402</v>
      </c>
      <c r="L360">
        <v>1348</v>
      </c>
      <c r="N360">
        <v>1009</v>
      </c>
      <c r="O360" t="s">
        <v>33</v>
      </c>
      <c r="P360" t="s">
        <v>33</v>
      </c>
      <c r="Q360">
        <v>1000</v>
      </c>
      <c r="W360">
        <v>0</v>
      </c>
      <c r="X360">
        <v>-1182898848</v>
      </c>
      <c r="Y360">
        <f t="shared" si="147"/>
        <v>3.9E-2</v>
      </c>
      <c r="AA360">
        <v>129899.35</v>
      </c>
      <c r="AB360">
        <v>0</v>
      </c>
      <c r="AC360">
        <v>0</v>
      </c>
      <c r="AD360">
        <v>0</v>
      </c>
      <c r="AE360">
        <v>18003.77</v>
      </c>
      <c r="AF360">
        <v>0</v>
      </c>
      <c r="AG360">
        <v>0</v>
      </c>
      <c r="AH360">
        <v>0</v>
      </c>
      <c r="AI360">
        <v>7.56</v>
      </c>
      <c r="AJ360">
        <v>1</v>
      </c>
      <c r="AK360">
        <v>1</v>
      </c>
      <c r="AL360">
        <v>1</v>
      </c>
      <c r="AM360">
        <v>0</v>
      </c>
      <c r="AN360">
        <v>0</v>
      </c>
      <c r="AO360">
        <v>0</v>
      </c>
      <c r="AP360">
        <v>0</v>
      </c>
      <c r="AQ360">
        <v>0</v>
      </c>
      <c r="AR360">
        <v>0</v>
      </c>
      <c r="AS360" t="s">
        <v>6</v>
      </c>
      <c r="AT360">
        <v>3.9E-2</v>
      </c>
      <c r="AU360" t="s">
        <v>6</v>
      </c>
      <c r="AV360">
        <v>0</v>
      </c>
      <c r="AW360">
        <v>1</v>
      </c>
      <c r="AX360">
        <v>-1</v>
      </c>
      <c r="AY360">
        <v>0</v>
      </c>
      <c r="AZ360">
        <v>0</v>
      </c>
      <c r="BA360" t="s">
        <v>6</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CV360">
        <v>0</v>
      </c>
      <c r="CW360">
        <v>0</v>
      </c>
      <c r="CX360" t="e">
        <f>ROUND(Y360*Source!I274,9)</f>
        <v>#REF!</v>
      </c>
      <c r="CY360">
        <f>AA360</f>
        <v>129899.35</v>
      </c>
      <c r="CZ360">
        <f>AE360</f>
        <v>18003.77</v>
      </c>
      <c r="DA360">
        <f>AI360</f>
        <v>7.56</v>
      </c>
      <c r="DB360">
        <f t="shared" si="148"/>
        <v>702.15</v>
      </c>
      <c r="DC360">
        <f t="shared" si="149"/>
        <v>0</v>
      </c>
      <c r="DD360" t="s">
        <v>6</v>
      </c>
      <c r="DE360" t="s">
        <v>6</v>
      </c>
      <c r="DF360" t="e">
        <f>ROUND(ROUND(AE360*AI360,0)*CX360,0)</f>
        <v>#REF!</v>
      </c>
      <c r="DG360" t="e">
        <f t="shared" si="151"/>
        <v>#REF!</v>
      </c>
      <c r="DH360" t="e">
        <f>Source!I274*SmtRes!Y360</f>
        <v>#REF!</v>
      </c>
      <c r="DI360">
        <f>AA360</f>
        <v>129899.35</v>
      </c>
      <c r="DJ360" t="e">
        <f>DF360</f>
        <v>#REF!</v>
      </c>
      <c r="DK360">
        <f>Source!BC274</f>
        <v>7.56</v>
      </c>
      <c r="DL360" t="s">
        <v>6</v>
      </c>
      <c r="DM360">
        <v>0</v>
      </c>
      <c r="DN360" t="s">
        <v>6</v>
      </c>
      <c r="DO360">
        <v>0</v>
      </c>
      <c r="GP360">
        <v>1</v>
      </c>
      <c r="GQ360">
        <v>-1</v>
      </c>
      <c r="GR360">
        <v>-1</v>
      </c>
    </row>
    <row r="361" spans="1:200" x14ac:dyDescent="0.2">
      <c r="A361">
        <f>ROW(Source!A279)</f>
        <v>279</v>
      </c>
      <c r="B361">
        <v>86326987</v>
      </c>
      <c r="C361">
        <v>86327653</v>
      </c>
      <c r="D361">
        <v>27493458</v>
      </c>
      <c r="E361">
        <v>1</v>
      </c>
      <c r="F361">
        <v>1</v>
      </c>
      <c r="G361">
        <v>1</v>
      </c>
      <c r="H361">
        <v>1</v>
      </c>
      <c r="I361" t="s">
        <v>685</v>
      </c>
      <c r="J361" t="s">
        <v>6</v>
      </c>
      <c r="K361" t="s">
        <v>686</v>
      </c>
      <c r="L361">
        <v>1369</v>
      </c>
      <c r="N361">
        <v>1013</v>
      </c>
      <c r="O361" t="s">
        <v>625</v>
      </c>
      <c r="P361" t="s">
        <v>625</v>
      </c>
      <c r="Q361">
        <v>1</v>
      </c>
      <c r="W361">
        <v>0</v>
      </c>
      <c r="X361">
        <v>-115882720</v>
      </c>
      <c r="Y361">
        <f t="shared" ref="Y361:Y366" si="152">(AT361*12.5)</f>
        <v>10.25</v>
      </c>
      <c r="AA361">
        <v>0</v>
      </c>
      <c r="AB361">
        <v>0</v>
      </c>
      <c r="AC361">
        <v>0</v>
      </c>
      <c r="AD361">
        <v>8.6</v>
      </c>
      <c r="AE361">
        <v>0</v>
      </c>
      <c r="AF361">
        <v>0</v>
      </c>
      <c r="AG361">
        <v>0</v>
      </c>
      <c r="AH361">
        <v>8.6</v>
      </c>
      <c r="AI361">
        <v>1</v>
      </c>
      <c r="AJ361">
        <v>1</v>
      </c>
      <c r="AK361">
        <v>1</v>
      </c>
      <c r="AL361">
        <v>1</v>
      </c>
      <c r="AM361">
        <v>-2</v>
      </c>
      <c r="AN361">
        <v>0</v>
      </c>
      <c r="AO361">
        <v>1</v>
      </c>
      <c r="AP361">
        <v>1</v>
      </c>
      <c r="AQ361">
        <v>0</v>
      </c>
      <c r="AR361">
        <v>0</v>
      </c>
      <c r="AS361" t="s">
        <v>6</v>
      </c>
      <c r="AT361">
        <v>0.82</v>
      </c>
      <c r="AU361" t="s">
        <v>414</v>
      </c>
      <c r="AV361">
        <v>1</v>
      </c>
      <c r="AW361">
        <v>2</v>
      </c>
      <c r="AX361">
        <v>86327657</v>
      </c>
      <c r="AY361">
        <v>1</v>
      </c>
      <c r="AZ361">
        <v>0</v>
      </c>
      <c r="BA361">
        <v>283</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CU361" t="e">
        <f>ROUND(AT361*Source!I279*AH361*AL361,0)</f>
        <v>#REF!</v>
      </c>
      <c r="CV361" t="e">
        <f>ROUND(Y361*Source!I279,9)</f>
        <v>#REF!</v>
      </c>
      <c r="CW361">
        <v>0</v>
      </c>
      <c r="CX361" t="e">
        <f>ROUND(Y361*Source!I279,9)</f>
        <v>#REF!</v>
      </c>
      <c r="CY361">
        <f>AD361</f>
        <v>8.6</v>
      </c>
      <c r="CZ361">
        <f>AH361</f>
        <v>8.6</v>
      </c>
      <c r="DA361">
        <f>AL361</f>
        <v>1</v>
      </c>
      <c r="DB361">
        <f t="shared" ref="DB361:DB366" si="153">ROUND((ROUND(AT361*CZ361,2)*12.5),2)</f>
        <v>88.13</v>
      </c>
      <c r="DC361">
        <f t="shared" ref="DC361:DC366" si="154">ROUND((ROUND(AT361*AG361,2)*12.5),2)</f>
        <v>0</v>
      </c>
      <c r="DD361" t="s">
        <v>6</v>
      </c>
      <c r="DE361" t="s">
        <v>6</v>
      </c>
      <c r="DF361" t="e">
        <f t="shared" ref="DF361:DF381" si="155">ROUND(ROUND(AE361,0)*CX361,0)</f>
        <v>#REF!</v>
      </c>
      <c r="DG361" t="e">
        <f t="shared" si="151"/>
        <v>#REF!</v>
      </c>
      <c r="DH361" t="e">
        <f>Source!I279*SmtRes!Y361</f>
        <v>#REF!</v>
      </c>
      <c r="DI361">
        <f>AD361</f>
        <v>8.6</v>
      </c>
      <c r="DJ361">
        <f>EtalonRes!AB283</f>
        <v>8.6</v>
      </c>
      <c r="DK361">
        <f>Source!BA279</f>
        <v>1</v>
      </c>
      <c r="DL361" t="s">
        <v>6</v>
      </c>
      <c r="DM361">
        <v>0</v>
      </c>
      <c r="DN361" t="s">
        <v>6</v>
      </c>
      <c r="DO361">
        <v>0</v>
      </c>
      <c r="GQ361">
        <v>-1</v>
      </c>
      <c r="GR361">
        <v>-1</v>
      </c>
    </row>
    <row r="362" spans="1:200" x14ac:dyDescent="0.2">
      <c r="A362">
        <f>ROW(Source!A279)</f>
        <v>279</v>
      </c>
      <c r="B362">
        <v>86326987</v>
      </c>
      <c r="C362">
        <v>86327653</v>
      </c>
      <c r="D362">
        <v>27439746</v>
      </c>
      <c r="E362">
        <v>1</v>
      </c>
      <c r="F362">
        <v>1</v>
      </c>
      <c r="G362">
        <v>1</v>
      </c>
      <c r="H362">
        <v>2</v>
      </c>
      <c r="I362" t="s">
        <v>687</v>
      </c>
      <c r="J362" t="s">
        <v>688</v>
      </c>
      <c r="K362" t="s">
        <v>689</v>
      </c>
      <c r="L362">
        <v>1368</v>
      </c>
      <c r="N362">
        <v>1011</v>
      </c>
      <c r="O362" t="s">
        <v>137</v>
      </c>
      <c r="P362" t="s">
        <v>137</v>
      </c>
      <c r="Q362">
        <v>1</v>
      </c>
      <c r="W362">
        <v>0</v>
      </c>
      <c r="X362">
        <v>1382346422</v>
      </c>
      <c r="Y362">
        <f t="shared" si="152"/>
        <v>0.375</v>
      </c>
      <c r="AA362">
        <v>0</v>
      </c>
      <c r="AB362">
        <v>32.5</v>
      </c>
      <c r="AC362">
        <v>0</v>
      </c>
      <c r="AD362">
        <v>0</v>
      </c>
      <c r="AE362">
        <v>0</v>
      </c>
      <c r="AF362">
        <v>32.5</v>
      </c>
      <c r="AG362">
        <v>0</v>
      </c>
      <c r="AH362">
        <v>0</v>
      </c>
      <c r="AI362">
        <v>1</v>
      </c>
      <c r="AJ362">
        <v>1</v>
      </c>
      <c r="AK362">
        <v>1</v>
      </c>
      <c r="AL362">
        <v>1</v>
      </c>
      <c r="AM362">
        <v>-2</v>
      </c>
      <c r="AN362">
        <v>0</v>
      </c>
      <c r="AO362">
        <v>1</v>
      </c>
      <c r="AP362">
        <v>1</v>
      </c>
      <c r="AQ362">
        <v>0</v>
      </c>
      <c r="AR362">
        <v>0</v>
      </c>
      <c r="AS362" t="s">
        <v>6</v>
      </c>
      <c r="AT362">
        <v>0.03</v>
      </c>
      <c r="AU362" t="s">
        <v>414</v>
      </c>
      <c r="AV362">
        <v>0</v>
      </c>
      <c r="AW362">
        <v>2</v>
      </c>
      <c r="AX362">
        <v>86327658</v>
      </c>
      <c r="AY362">
        <v>1</v>
      </c>
      <c r="AZ362">
        <v>0</v>
      </c>
      <c r="BA362">
        <v>284</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CV362">
        <v>0</v>
      </c>
      <c r="CW362" t="e">
        <f>ROUND(Y362*Source!I279*DO362,9)</f>
        <v>#REF!</v>
      </c>
      <c r="CX362" t="e">
        <f>ROUND(Y362*Source!I279,9)</f>
        <v>#REF!</v>
      </c>
      <c r="CY362">
        <f>AB362</f>
        <v>32.5</v>
      </c>
      <c r="CZ362">
        <f>AF362</f>
        <v>32.5</v>
      </c>
      <c r="DA362">
        <f>AJ362</f>
        <v>1</v>
      </c>
      <c r="DB362">
        <f t="shared" si="153"/>
        <v>12.25</v>
      </c>
      <c r="DC362">
        <f t="shared" si="154"/>
        <v>0</v>
      </c>
      <c r="DD362" t="s">
        <v>6</v>
      </c>
      <c r="DE362" t="s">
        <v>6</v>
      </c>
      <c r="DF362" t="e">
        <f t="shared" si="155"/>
        <v>#REF!</v>
      </c>
      <c r="DG362" t="e">
        <f t="shared" si="151"/>
        <v>#REF!</v>
      </c>
      <c r="DH362" t="e">
        <f>Source!I279*SmtRes!Y362</f>
        <v>#REF!</v>
      </c>
      <c r="DI362">
        <f>AB362</f>
        <v>32.5</v>
      </c>
      <c r="DJ362">
        <f>EtalonRes!Z284</f>
        <v>32.5</v>
      </c>
      <c r="DK362">
        <f>Source!BB279</f>
        <v>1</v>
      </c>
      <c r="DL362" t="s">
        <v>6</v>
      </c>
      <c r="DM362">
        <v>0</v>
      </c>
      <c r="DN362" t="s">
        <v>6</v>
      </c>
      <c r="DO362">
        <v>0</v>
      </c>
      <c r="GQ362">
        <v>-1</v>
      </c>
      <c r="GR362">
        <v>-1</v>
      </c>
    </row>
    <row r="363" spans="1:200" x14ac:dyDescent="0.2">
      <c r="A363">
        <f>ROW(Source!A279)</f>
        <v>279</v>
      </c>
      <c r="B363">
        <v>86326987</v>
      </c>
      <c r="C363">
        <v>86327653</v>
      </c>
      <c r="D363">
        <v>27441078</v>
      </c>
      <c r="E363">
        <v>1</v>
      </c>
      <c r="F363">
        <v>1</v>
      </c>
      <c r="G363">
        <v>1</v>
      </c>
      <c r="H363">
        <v>2</v>
      </c>
      <c r="I363" t="s">
        <v>669</v>
      </c>
      <c r="J363" t="s">
        <v>670</v>
      </c>
      <c r="K363" t="s">
        <v>671</v>
      </c>
      <c r="L363">
        <v>1368</v>
      </c>
      <c r="N363">
        <v>1011</v>
      </c>
      <c r="O363" t="s">
        <v>137</v>
      </c>
      <c r="P363" t="s">
        <v>137</v>
      </c>
      <c r="Q363">
        <v>1</v>
      </c>
      <c r="W363">
        <v>0</v>
      </c>
      <c r="X363">
        <v>-380487195</v>
      </c>
      <c r="Y363">
        <f t="shared" si="152"/>
        <v>4.375</v>
      </c>
      <c r="AA363">
        <v>0</v>
      </c>
      <c r="AB363">
        <v>2.0699999999999998</v>
      </c>
      <c r="AC363">
        <v>0</v>
      </c>
      <c r="AD363">
        <v>0</v>
      </c>
      <c r="AE363">
        <v>0</v>
      </c>
      <c r="AF363">
        <v>2.0699999999999998</v>
      </c>
      <c r="AG363">
        <v>0</v>
      </c>
      <c r="AH363">
        <v>0</v>
      </c>
      <c r="AI363">
        <v>1</v>
      </c>
      <c r="AJ363">
        <v>1</v>
      </c>
      <c r="AK363">
        <v>1</v>
      </c>
      <c r="AL363">
        <v>1</v>
      </c>
      <c r="AM363">
        <v>-2</v>
      </c>
      <c r="AN363">
        <v>0</v>
      </c>
      <c r="AO363">
        <v>1</v>
      </c>
      <c r="AP363">
        <v>1</v>
      </c>
      <c r="AQ363">
        <v>0</v>
      </c>
      <c r="AR363">
        <v>0</v>
      </c>
      <c r="AS363" t="s">
        <v>6</v>
      </c>
      <c r="AT363">
        <v>0.35</v>
      </c>
      <c r="AU363" t="s">
        <v>414</v>
      </c>
      <c r="AV363">
        <v>0</v>
      </c>
      <c r="AW363">
        <v>2</v>
      </c>
      <c r="AX363">
        <v>86327659</v>
      </c>
      <c r="AY363">
        <v>1</v>
      </c>
      <c r="AZ363">
        <v>0</v>
      </c>
      <c r="BA363">
        <v>285</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CV363">
        <v>0</v>
      </c>
      <c r="CW363" t="e">
        <f>ROUND(Y363*Source!I279*DO363,9)</f>
        <v>#REF!</v>
      </c>
      <c r="CX363" t="e">
        <f>ROUND(Y363*Source!I279,9)</f>
        <v>#REF!</v>
      </c>
      <c r="CY363">
        <f>AB363</f>
        <v>2.0699999999999998</v>
      </c>
      <c r="CZ363">
        <f>AF363</f>
        <v>2.0699999999999998</v>
      </c>
      <c r="DA363">
        <f>AJ363</f>
        <v>1</v>
      </c>
      <c r="DB363">
        <f t="shared" si="153"/>
        <v>9</v>
      </c>
      <c r="DC363">
        <f t="shared" si="154"/>
        <v>0</v>
      </c>
      <c r="DD363" t="s">
        <v>6</v>
      </c>
      <c r="DE363" t="s">
        <v>6</v>
      </c>
      <c r="DF363" t="e">
        <f t="shared" si="155"/>
        <v>#REF!</v>
      </c>
      <c r="DG363" t="e">
        <f t="shared" si="151"/>
        <v>#REF!</v>
      </c>
      <c r="DH363" t="e">
        <f>Source!I279*SmtRes!Y363</f>
        <v>#REF!</v>
      </c>
      <c r="DI363">
        <f>AB363</f>
        <v>2.0699999999999998</v>
      </c>
      <c r="DJ363">
        <f>EtalonRes!Z285</f>
        <v>2.0699999999999998</v>
      </c>
      <c r="DK363">
        <f>Source!BB279</f>
        <v>1</v>
      </c>
      <c r="DL363" t="s">
        <v>6</v>
      </c>
      <c r="DM363">
        <v>0</v>
      </c>
      <c r="DN363" t="s">
        <v>6</v>
      </c>
      <c r="DO363">
        <v>0</v>
      </c>
      <c r="GQ363">
        <v>-1</v>
      </c>
      <c r="GR363">
        <v>-1</v>
      </c>
    </row>
    <row r="364" spans="1:200" x14ac:dyDescent="0.2">
      <c r="A364">
        <f>ROW(Source!A280)</f>
        <v>280</v>
      </c>
      <c r="B364">
        <v>86326988</v>
      </c>
      <c r="C364">
        <v>86327653</v>
      </c>
      <c r="D364">
        <v>27493458</v>
      </c>
      <c r="E364">
        <v>1</v>
      </c>
      <c r="F364">
        <v>1</v>
      </c>
      <c r="G364">
        <v>1</v>
      </c>
      <c r="H364">
        <v>1</v>
      </c>
      <c r="I364" t="s">
        <v>685</v>
      </c>
      <c r="J364" t="s">
        <v>6</v>
      </c>
      <c r="K364" t="s">
        <v>686</v>
      </c>
      <c r="L364">
        <v>1369</v>
      </c>
      <c r="N364">
        <v>1013</v>
      </c>
      <c r="O364" t="s">
        <v>625</v>
      </c>
      <c r="P364" t="s">
        <v>625</v>
      </c>
      <c r="Q364">
        <v>1</v>
      </c>
      <c r="W364">
        <v>0</v>
      </c>
      <c r="X364">
        <v>-115882720</v>
      </c>
      <c r="Y364">
        <f t="shared" si="152"/>
        <v>10.25</v>
      </c>
      <c r="AA364">
        <v>0</v>
      </c>
      <c r="AB364">
        <v>0</v>
      </c>
      <c r="AC364">
        <v>0</v>
      </c>
      <c r="AD364">
        <v>218.1</v>
      </c>
      <c r="AE364">
        <v>0</v>
      </c>
      <c r="AF364">
        <v>0</v>
      </c>
      <c r="AG364">
        <v>0</v>
      </c>
      <c r="AH364">
        <v>8.6</v>
      </c>
      <c r="AI364">
        <v>1</v>
      </c>
      <c r="AJ364">
        <v>1</v>
      </c>
      <c r="AK364">
        <v>1</v>
      </c>
      <c r="AL364">
        <v>25.36</v>
      </c>
      <c r="AM364">
        <v>5</v>
      </c>
      <c r="AN364">
        <v>0</v>
      </c>
      <c r="AO364">
        <v>1</v>
      </c>
      <c r="AP364">
        <v>1</v>
      </c>
      <c r="AQ364">
        <v>0</v>
      </c>
      <c r="AR364">
        <v>0</v>
      </c>
      <c r="AS364" t="s">
        <v>6</v>
      </c>
      <c r="AT364">
        <v>0.82</v>
      </c>
      <c r="AU364" t="s">
        <v>414</v>
      </c>
      <c r="AV364">
        <v>1</v>
      </c>
      <c r="AW364">
        <v>2</v>
      </c>
      <c r="AX364">
        <v>86327657</v>
      </c>
      <c r="AY364">
        <v>1</v>
      </c>
      <c r="AZ364">
        <v>0</v>
      </c>
      <c r="BA364">
        <v>288</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CU364" t="e">
        <f>ROUND(AT364*Source!I280*AH364*AL364,0)</f>
        <v>#REF!</v>
      </c>
      <c r="CV364" t="e">
        <f>ROUND(Y364*Source!I280,9)</f>
        <v>#REF!</v>
      </c>
      <c r="CW364">
        <v>0</v>
      </c>
      <c r="CX364" t="e">
        <f>ROUND(Y364*Source!I280,9)</f>
        <v>#REF!</v>
      </c>
      <c r="CY364">
        <f>AD364</f>
        <v>218.1</v>
      </c>
      <c r="CZ364">
        <f>AH364</f>
        <v>8.6</v>
      </c>
      <c r="DA364">
        <f>AL364</f>
        <v>25.36</v>
      </c>
      <c r="DB364">
        <f t="shared" si="153"/>
        <v>88.13</v>
      </c>
      <c r="DC364">
        <f t="shared" si="154"/>
        <v>0</v>
      </c>
      <c r="DD364" t="s">
        <v>6</v>
      </c>
      <c r="DE364" t="s">
        <v>6</v>
      </c>
      <c r="DF364" t="e">
        <f t="shared" si="155"/>
        <v>#REF!</v>
      </c>
      <c r="DG364" t="e">
        <f t="shared" si="151"/>
        <v>#REF!</v>
      </c>
      <c r="DH364" t="e">
        <f>Source!I280*SmtRes!Y364</f>
        <v>#REF!</v>
      </c>
      <c r="DI364">
        <f>AD364</f>
        <v>218.1</v>
      </c>
      <c r="DJ364">
        <f>EtalonRes!AB288</f>
        <v>8.6</v>
      </c>
      <c r="DK364">
        <f>Source!BA280</f>
        <v>25.36</v>
      </c>
      <c r="DL364" t="s">
        <v>6</v>
      </c>
      <c r="DM364">
        <v>0</v>
      </c>
      <c r="DN364" t="s">
        <v>6</v>
      </c>
      <c r="DO364">
        <v>0</v>
      </c>
      <c r="GQ364">
        <v>-1</v>
      </c>
      <c r="GR364">
        <v>-1</v>
      </c>
    </row>
    <row r="365" spans="1:200" x14ac:dyDescent="0.2">
      <c r="A365">
        <f>ROW(Source!A280)</f>
        <v>280</v>
      </c>
      <c r="B365">
        <v>86326988</v>
      </c>
      <c r="C365">
        <v>86327653</v>
      </c>
      <c r="D365">
        <v>27439746</v>
      </c>
      <c r="E365">
        <v>1</v>
      </c>
      <c r="F365">
        <v>1</v>
      </c>
      <c r="G365">
        <v>1</v>
      </c>
      <c r="H365">
        <v>2</v>
      </c>
      <c r="I365" t="s">
        <v>687</v>
      </c>
      <c r="J365" t="s">
        <v>688</v>
      </c>
      <c r="K365" t="s">
        <v>689</v>
      </c>
      <c r="L365">
        <v>1368</v>
      </c>
      <c r="N365">
        <v>1011</v>
      </c>
      <c r="O365" t="s">
        <v>137</v>
      </c>
      <c r="P365" t="s">
        <v>137</v>
      </c>
      <c r="Q365">
        <v>1</v>
      </c>
      <c r="W365">
        <v>0</v>
      </c>
      <c r="X365">
        <v>1382346422</v>
      </c>
      <c r="Y365">
        <f t="shared" si="152"/>
        <v>0.375</v>
      </c>
      <c r="AA365">
        <v>0</v>
      </c>
      <c r="AB365">
        <v>254.8</v>
      </c>
      <c r="AC365">
        <v>0</v>
      </c>
      <c r="AD365">
        <v>0</v>
      </c>
      <c r="AE365">
        <v>0</v>
      </c>
      <c r="AF365">
        <v>32.5</v>
      </c>
      <c r="AG365">
        <v>0</v>
      </c>
      <c r="AH365">
        <v>0</v>
      </c>
      <c r="AI365">
        <v>1</v>
      </c>
      <c r="AJ365">
        <v>7.84</v>
      </c>
      <c r="AK365">
        <v>19.8</v>
      </c>
      <c r="AL365">
        <v>1</v>
      </c>
      <c r="AM365">
        <v>5</v>
      </c>
      <c r="AN365">
        <v>0</v>
      </c>
      <c r="AO365">
        <v>1</v>
      </c>
      <c r="AP365">
        <v>1</v>
      </c>
      <c r="AQ365">
        <v>0</v>
      </c>
      <c r="AR365">
        <v>0</v>
      </c>
      <c r="AS365" t="s">
        <v>6</v>
      </c>
      <c r="AT365">
        <v>0.03</v>
      </c>
      <c r="AU365" t="s">
        <v>414</v>
      </c>
      <c r="AV365">
        <v>0</v>
      </c>
      <c r="AW365">
        <v>2</v>
      </c>
      <c r="AX365">
        <v>86327658</v>
      </c>
      <c r="AY365">
        <v>1</v>
      </c>
      <c r="AZ365">
        <v>0</v>
      </c>
      <c r="BA365">
        <v>289</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CV365">
        <v>0</v>
      </c>
      <c r="CW365" t="e">
        <f>ROUND(Y365*Source!I280*DO365,9)</f>
        <v>#REF!</v>
      </c>
      <c r="CX365" t="e">
        <f>ROUND(Y365*Source!I280,9)</f>
        <v>#REF!</v>
      </c>
      <c r="CY365">
        <f>AB365</f>
        <v>254.8</v>
      </c>
      <c r="CZ365">
        <f>AF365</f>
        <v>32.5</v>
      </c>
      <c r="DA365">
        <f>AJ365</f>
        <v>7.84</v>
      </c>
      <c r="DB365">
        <f t="shared" si="153"/>
        <v>12.25</v>
      </c>
      <c r="DC365">
        <f t="shared" si="154"/>
        <v>0</v>
      </c>
      <c r="DD365" t="s">
        <v>6</v>
      </c>
      <c r="DE365" t="s">
        <v>6</v>
      </c>
      <c r="DF365" t="e">
        <f t="shared" si="155"/>
        <v>#REF!</v>
      </c>
      <c r="DG365" t="e">
        <f>ROUND(ROUND(AF365*AJ365,0)*CX365,0)</f>
        <v>#REF!</v>
      </c>
      <c r="DH365" t="e">
        <f>Source!I280*SmtRes!Y365</f>
        <v>#REF!</v>
      </c>
      <c r="DI365">
        <f>AB365</f>
        <v>254.8</v>
      </c>
      <c r="DJ365">
        <f>EtalonRes!Z289</f>
        <v>32.5</v>
      </c>
      <c r="DK365">
        <f>Source!BB280</f>
        <v>7.84</v>
      </c>
      <c r="DL365" t="s">
        <v>6</v>
      </c>
      <c r="DM365">
        <v>0</v>
      </c>
      <c r="DN365" t="s">
        <v>6</v>
      </c>
      <c r="DO365">
        <v>0</v>
      </c>
      <c r="GQ365">
        <v>-1</v>
      </c>
      <c r="GR365">
        <v>-1</v>
      </c>
    </row>
    <row r="366" spans="1:200" x14ac:dyDescent="0.2">
      <c r="A366">
        <f>ROW(Source!A280)</f>
        <v>280</v>
      </c>
      <c r="B366">
        <v>86326988</v>
      </c>
      <c r="C366">
        <v>86327653</v>
      </c>
      <c r="D366">
        <v>27441078</v>
      </c>
      <c r="E366">
        <v>1</v>
      </c>
      <c r="F366">
        <v>1</v>
      </c>
      <c r="G366">
        <v>1</v>
      </c>
      <c r="H366">
        <v>2</v>
      </c>
      <c r="I366" t="s">
        <v>669</v>
      </c>
      <c r="J366" t="s">
        <v>670</v>
      </c>
      <c r="K366" t="s">
        <v>671</v>
      </c>
      <c r="L366">
        <v>1368</v>
      </c>
      <c r="N366">
        <v>1011</v>
      </c>
      <c r="O366" t="s">
        <v>137</v>
      </c>
      <c r="P366" t="s">
        <v>137</v>
      </c>
      <c r="Q366">
        <v>1</v>
      </c>
      <c r="W366">
        <v>0</v>
      </c>
      <c r="X366">
        <v>-380487195</v>
      </c>
      <c r="Y366">
        <f t="shared" si="152"/>
        <v>4.375</v>
      </c>
      <c r="AA366">
        <v>0</v>
      </c>
      <c r="AB366">
        <v>16.23</v>
      </c>
      <c r="AC366">
        <v>0</v>
      </c>
      <c r="AD366">
        <v>0</v>
      </c>
      <c r="AE366">
        <v>0</v>
      </c>
      <c r="AF366">
        <v>2.0699999999999998</v>
      </c>
      <c r="AG366">
        <v>0</v>
      </c>
      <c r="AH366">
        <v>0</v>
      </c>
      <c r="AI366">
        <v>1</v>
      </c>
      <c r="AJ366">
        <v>7.84</v>
      </c>
      <c r="AK366">
        <v>19.8</v>
      </c>
      <c r="AL366">
        <v>1</v>
      </c>
      <c r="AM366">
        <v>5</v>
      </c>
      <c r="AN366">
        <v>0</v>
      </c>
      <c r="AO366">
        <v>1</v>
      </c>
      <c r="AP366">
        <v>1</v>
      </c>
      <c r="AQ366">
        <v>0</v>
      </c>
      <c r="AR366">
        <v>0</v>
      </c>
      <c r="AS366" t="s">
        <v>6</v>
      </c>
      <c r="AT366">
        <v>0.35</v>
      </c>
      <c r="AU366" t="s">
        <v>414</v>
      </c>
      <c r="AV366">
        <v>0</v>
      </c>
      <c r="AW366">
        <v>2</v>
      </c>
      <c r="AX366">
        <v>86327659</v>
      </c>
      <c r="AY366">
        <v>1</v>
      </c>
      <c r="AZ366">
        <v>0</v>
      </c>
      <c r="BA366">
        <v>290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CV366">
        <v>0</v>
      </c>
      <c r="CW366" t="e">
        <f>ROUND(Y366*Source!I280*DO366,9)</f>
        <v>#REF!</v>
      </c>
      <c r="CX366" t="e">
        <f>ROUND(Y366*Source!I280,9)</f>
        <v>#REF!</v>
      </c>
      <c r="CY366">
        <f>AB366</f>
        <v>16.23</v>
      </c>
      <c r="CZ366">
        <f>AF366</f>
        <v>2.0699999999999998</v>
      </c>
      <c r="DA366">
        <f>AJ366</f>
        <v>7.84</v>
      </c>
      <c r="DB366">
        <f t="shared" si="153"/>
        <v>9</v>
      </c>
      <c r="DC366">
        <f t="shared" si="154"/>
        <v>0</v>
      </c>
      <c r="DD366" t="s">
        <v>6</v>
      </c>
      <c r="DE366" t="s">
        <v>6</v>
      </c>
      <c r="DF366" t="e">
        <f t="shared" si="155"/>
        <v>#REF!</v>
      </c>
      <c r="DG366" t="e">
        <f>ROUND(ROUND(AF366*AJ366,0)*CX366,0)</f>
        <v>#REF!</v>
      </c>
      <c r="DH366" t="e">
        <f>Source!I280*SmtRes!Y366</f>
        <v>#REF!</v>
      </c>
      <c r="DI366">
        <f>AB366</f>
        <v>16.23</v>
      </c>
      <c r="DJ366">
        <f>EtalonRes!Z290</f>
        <v>2.0699999999999998</v>
      </c>
      <c r="DK366">
        <f>Source!BB280</f>
        <v>7.84</v>
      </c>
      <c r="DL366" t="s">
        <v>6</v>
      </c>
      <c r="DM366">
        <v>0</v>
      </c>
      <c r="DN366" t="s">
        <v>6</v>
      </c>
      <c r="DO366">
        <v>0</v>
      </c>
      <c r="GQ366">
        <v>-1</v>
      </c>
      <c r="GR366">
        <v>-1</v>
      </c>
    </row>
    <row r="367" spans="1:200" x14ac:dyDescent="0.2">
      <c r="A367">
        <f>ROW(Source!A316)</f>
        <v>316</v>
      </c>
      <c r="B367">
        <v>86326987</v>
      </c>
      <c r="C367">
        <v>86327662</v>
      </c>
      <c r="D367">
        <v>27493207</v>
      </c>
      <c r="E367">
        <v>1</v>
      </c>
      <c r="F367">
        <v>1</v>
      </c>
      <c r="G367">
        <v>1</v>
      </c>
      <c r="H367">
        <v>1</v>
      </c>
      <c r="I367" t="s">
        <v>623</v>
      </c>
      <c r="J367" t="s">
        <v>6</v>
      </c>
      <c r="K367" t="s">
        <v>624</v>
      </c>
      <c r="L367">
        <v>1369</v>
      </c>
      <c r="N367">
        <v>1013</v>
      </c>
      <c r="O367" t="s">
        <v>625</v>
      </c>
      <c r="P367" t="s">
        <v>625</v>
      </c>
      <c r="Q367">
        <v>1</v>
      </c>
      <c r="W367">
        <v>0</v>
      </c>
      <c r="X367">
        <v>-1900352537</v>
      </c>
      <c r="Y367">
        <f>(AT367*1.05)</f>
        <v>6.8250000000000002</v>
      </c>
      <c r="AA367">
        <v>0</v>
      </c>
      <c r="AB367">
        <v>0</v>
      </c>
      <c r="AC367">
        <v>0</v>
      </c>
      <c r="AD367">
        <v>7.87</v>
      </c>
      <c r="AE367">
        <v>0</v>
      </c>
      <c r="AF367">
        <v>0</v>
      </c>
      <c r="AG367">
        <v>0</v>
      </c>
      <c r="AH367">
        <v>7.87</v>
      </c>
      <c r="AI367">
        <v>1</v>
      </c>
      <c r="AJ367">
        <v>1</v>
      </c>
      <c r="AK367">
        <v>1</v>
      </c>
      <c r="AL367">
        <v>1</v>
      </c>
      <c r="AM367">
        <v>0</v>
      </c>
      <c r="AN367">
        <v>0</v>
      </c>
      <c r="AO367">
        <v>1</v>
      </c>
      <c r="AP367">
        <v>1</v>
      </c>
      <c r="AQ367">
        <v>0</v>
      </c>
      <c r="AR367">
        <v>0</v>
      </c>
      <c r="AS367" t="s">
        <v>6</v>
      </c>
      <c r="AT367">
        <v>6.5</v>
      </c>
      <c r="AU367" t="s">
        <v>25</v>
      </c>
      <c r="AV367">
        <v>1</v>
      </c>
      <c r="AW367">
        <v>2</v>
      </c>
      <c r="AX367">
        <v>86327672</v>
      </c>
      <c r="AY367">
        <v>1</v>
      </c>
      <c r="AZ367">
        <v>0</v>
      </c>
      <c r="BA367">
        <v>293</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CU367">
        <f>ROUND(AT367*Source!I316*AH367*AL367,0)</f>
        <v>2670</v>
      </c>
      <c r="CV367">
        <f>ROUND(Y367*Source!I316,9)</f>
        <v>356.26499999999999</v>
      </c>
      <c r="CW367">
        <v>0</v>
      </c>
      <c r="CX367">
        <f>ROUND(Y367*Source!I316,9)</f>
        <v>356.26499999999999</v>
      </c>
      <c r="CY367">
        <f>AD367</f>
        <v>7.87</v>
      </c>
      <c r="CZ367">
        <f>AH367</f>
        <v>7.87</v>
      </c>
      <c r="DA367">
        <f>AL367</f>
        <v>1</v>
      </c>
      <c r="DB367">
        <f>ROUND((ROUND(AT367*CZ367,2)*1.05),2)</f>
        <v>53.72</v>
      </c>
      <c r="DC367">
        <f>ROUND((ROUND(AT367*AG367,2)*1.05),2)</f>
        <v>0</v>
      </c>
      <c r="DD367" t="s">
        <v>6</v>
      </c>
      <c r="DE367" t="s">
        <v>6</v>
      </c>
      <c r="DF367">
        <f t="shared" si="155"/>
        <v>0</v>
      </c>
      <c r="DG367">
        <f t="shared" ref="DG367:DG377" si="156">ROUND(ROUND(AF367,0)*CX367,0)</f>
        <v>0</v>
      </c>
      <c r="DH367">
        <f>Source!I316*SmtRes!Y367</f>
        <v>356.26500000000004</v>
      </c>
      <c r="DI367">
        <f>AD367</f>
        <v>7.87</v>
      </c>
      <c r="DJ367">
        <f>EtalonRes!AB293</f>
        <v>7.87</v>
      </c>
      <c r="DK367">
        <f>Source!BA316</f>
        <v>1</v>
      </c>
      <c r="DL367" t="s">
        <v>6</v>
      </c>
      <c r="DM367">
        <v>0</v>
      </c>
      <c r="DN367" t="s">
        <v>6</v>
      </c>
      <c r="DO367">
        <v>0</v>
      </c>
      <c r="GQ367">
        <v>-1</v>
      </c>
      <c r="GR367">
        <v>-1</v>
      </c>
    </row>
    <row r="368" spans="1:200" x14ac:dyDescent="0.2">
      <c r="A368">
        <f>ROW(Source!A316)</f>
        <v>316</v>
      </c>
      <c r="B368">
        <v>86326987</v>
      </c>
      <c r="C368">
        <v>86327662</v>
      </c>
      <c r="D368">
        <v>121548</v>
      </c>
      <c r="E368">
        <v>1</v>
      </c>
      <c r="F368">
        <v>1</v>
      </c>
      <c r="G368">
        <v>1</v>
      </c>
      <c r="H368">
        <v>1</v>
      </c>
      <c r="I368" t="s">
        <v>40</v>
      </c>
      <c r="J368" t="s">
        <v>6</v>
      </c>
      <c r="K368" t="s">
        <v>626</v>
      </c>
      <c r="L368">
        <v>608254</v>
      </c>
      <c r="N368">
        <v>1013</v>
      </c>
      <c r="O368" t="s">
        <v>627</v>
      </c>
      <c r="P368" t="s">
        <v>627</v>
      </c>
      <c r="Q368">
        <v>1</v>
      </c>
      <c r="W368">
        <v>0</v>
      </c>
      <c r="X368">
        <v>-185737400</v>
      </c>
      <c r="Y368">
        <f>(AT368*1.12)</f>
        <v>2.3744000000000005</v>
      </c>
      <c r="AA368">
        <v>0</v>
      </c>
      <c r="AB368">
        <v>0</v>
      </c>
      <c r="AC368">
        <v>0</v>
      </c>
      <c r="AD368">
        <v>0</v>
      </c>
      <c r="AE368">
        <v>0</v>
      </c>
      <c r="AF368">
        <v>0</v>
      </c>
      <c r="AG368">
        <v>0</v>
      </c>
      <c r="AH368">
        <v>0</v>
      </c>
      <c r="AI368">
        <v>1</v>
      </c>
      <c r="AJ368">
        <v>1</v>
      </c>
      <c r="AK368">
        <v>1</v>
      </c>
      <c r="AL368">
        <v>1</v>
      </c>
      <c r="AM368">
        <v>0</v>
      </c>
      <c r="AN368">
        <v>0</v>
      </c>
      <c r="AO368">
        <v>1</v>
      </c>
      <c r="AP368">
        <v>1</v>
      </c>
      <c r="AQ368">
        <v>0</v>
      </c>
      <c r="AR368">
        <v>0</v>
      </c>
      <c r="AS368" t="s">
        <v>6</v>
      </c>
      <c r="AT368">
        <v>2.12</v>
      </c>
      <c r="AU368" t="s">
        <v>24</v>
      </c>
      <c r="AV368">
        <v>2</v>
      </c>
      <c r="AW368">
        <v>2</v>
      </c>
      <c r="AX368">
        <v>86327673</v>
      </c>
      <c r="AY368">
        <v>1</v>
      </c>
      <c r="AZ368">
        <v>0</v>
      </c>
      <c r="BA368">
        <v>294</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CV368">
        <v>0</v>
      </c>
      <c r="CW368">
        <v>0</v>
      </c>
      <c r="CX368">
        <f>ROUND(Y368*Source!I316,9)</f>
        <v>123.94368</v>
      </c>
      <c r="CY368">
        <f>AD368</f>
        <v>0</v>
      </c>
      <c r="CZ368">
        <f>AH368</f>
        <v>0</v>
      </c>
      <c r="DA368">
        <f>AL368</f>
        <v>1</v>
      </c>
      <c r="DB368">
        <f>ROUND((ROUND(AT368*CZ368,2)*1.12),2)</f>
        <v>0</v>
      </c>
      <c r="DC368">
        <f>ROUND((ROUND(AT368*AG368,2)*1.12),2)</f>
        <v>0</v>
      </c>
      <c r="DD368" t="s">
        <v>6</v>
      </c>
      <c r="DE368" t="s">
        <v>6</v>
      </c>
      <c r="DF368">
        <f t="shared" si="155"/>
        <v>0</v>
      </c>
      <c r="DG368">
        <f t="shared" si="156"/>
        <v>0</v>
      </c>
      <c r="DH368">
        <f>Source!I316*SmtRes!Y368</f>
        <v>123.94368000000003</v>
      </c>
      <c r="DI368">
        <f>AD368</f>
        <v>0</v>
      </c>
      <c r="DJ368">
        <f>EtalonRes!AB294</f>
        <v>0</v>
      </c>
      <c r="DK368">
        <f>Source!BA316</f>
        <v>1</v>
      </c>
      <c r="DL368" t="s">
        <v>6</v>
      </c>
      <c r="DM368">
        <v>0</v>
      </c>
      <c r="DN368" t="s">
        <v>6</v>
      </c>
      <c r="DO368">
        <v>0</v>
      </c>
      <c r="GQ368">
        <v>-1</v>
      </c>
      <c r="GR368">
        <v>-1</v>
      </c>
    </row>
    <row r="369" spans="1:200" x14ac:dyDescent="0.2">
      <c r="A369">
        <f>ROW(Source!A316)</f>
        <v>316</v>
      </c>
      <c r="B369">
        <v>86326987</v>
      </c>
      <c r="C369">
        <v>86327662</v>
      </c>
      <c r="D369">
        <v>27439419</v>
      </c>
      <c r="E369">
        <v>1</v>
      </c>
      <c r="F369">
        <v>1</v>
      </c>
      <c r="G369">
        <v>1</v>
      </c>
      <c r="H369">
        <v>2</v>
      </c>
      <c r="I369" t="s">
        <v>628</v>
      </c>
      <c r="J369" t="s">
        <v>629</v>
      </c>
      <c r="K369" t="s">
        <v>630</v>
      </c>
      <c r="L369">
        <v>1368</v>
      </c>
      <c r="N369">
        <v>1011</v>
      </c>
      <c r="O369" t="s">
        <v>137</v>
      </c>
      <c r="P369" t="s">
        <v>137</v>
      </c>
      <c r="Q369">
        <v>1</v>
      </c>
      <c r="W369">
        <v>0</v>
      </c>
      <c r="X369">
        <v>1804162481</v>
      </c>
      <c r="Y369">
        <f>(AT369*1.12)</f>
        <v>1.3440000000000001</v>
      </c>
      <c r="AA369">
        <v>0</v>
      </c>
      <c r="AB369">
        <v>115.64</v>
      </c>
      <c r="AC369">
        <v>13.61</v>
      </c>
      <c r="AD369">
        <v>0</v>
      </c>
      <c r="AE369">
        <v>0</v>
      </c>
      <c r="AF369">
        <v>115.64</v>
      </c>
      <c r="AG369">
        <v>13.61</v>
      </c>
      <c r="AH369">
        <v>0</v>
      </c>
      <c r="AI369">
        <v>1</v>
      </c>
      <c r="AJ369">
        <v>1</v>
      </c>
      <c r="AK369">
        <v>1</v>
      </c>
      <c r="AL369">
        <v>1</v>
      </c>
      <c r="AM369">
        <v>0</v>
      </c>
      <c r="AN369">
        <v>0</v>
      </c>
      <c r="AO369">
        <v>1</v>
      </c>
      <c r="AP369">
        <v>1</v>
      </c>
      <c r="AQ369">
        <v>0</v>
      </c>
      <c r="AR369">
        <v>0</v>
      </c>
      <c r="AS369" t="s">
        <v>6</v>
      </c>
      <c r="AT369">
        <v>1.2</v>
      </c>
      <c r="AU369" t="s">
        <v>24</v>
      </c>
      <c r="AV369">
        <v>0</v>
      </c>
      <c r="AW369">
        <v>1</v>
      </c>
      <c r="AX369">
        <v>-1</v>
      </c>
      <c r="AY369">
        <v>0</v>
      </c>
      <c r="AZ369">
        <v>0</v>
      </c>
      <c r="BA369" t="s">
        <v>6</v>
      </c>
      <c r="BB369">
        <v>5</v>
      </c>
      <c r="BC369">
        <v>0</v>
      </c>
      <c r="BD369">
        <v>155.42016000000001</v>
      </c>
      <c r="BE369">
        <v>18.291840000000001</v>
      </c>
      <c r="BF369">
        <v>0</v>
      </c>
      <c r="BG369">
        <v>0</v>
      </c>
      <c r="BH369">
        <v>0</v>
      </c>
      <c r="BI369">
        <v>1</v>
      </c>
      <c r="BJ369">
        <v>0</v>
      </c>
      <c r="BK369">
        <v>0</v>
      </c>
      <c r="BL369">
        <v>0</v>
      </c>
      <c r="BM369">
        <v>0</v>
      </c>
      <c r="BN369">
        <v>0</v>
      </c>
      <c r="BO369">
        <v>0</v>
      </c>
      <c r="BP369">
        <v>0</v>
      </c>
      <c r="BQ369">
        <v>0</v>
      </c>
      <c r="BR369">
        <v>0</v>
      </c>
      <c r="BS369">
        <v>0</v>
      </c>
      <c r="BT369">
        <v>0</v>
      </c>
      <c r="BU369">
        <v>0</v>
      </c>
      <c r="BV369">
        <v>0</v>
      </c>
      <c r="BW369">
        <v>0</v>
      </c>
      <c r="CV369">
        <v>0</v>
      </c>
      <c r="CW369">
        <f>ROUND(Y369*Source!I316*DO369,9)</f>
        <v>0</v>
      </c>
      <c r="CX369">
        <f>ROUND(Y369*Source!I316,9)</f>
        <v>70.156800000000004</v>
      </c>
      <c r="CY369">
        <f>AB369</f>
        <v>115.64</v>
      </c>
      <c r="CZ369">
        <f>AF369</f>
        <v>115.64</v>
      </c>
      <c r="DA369">
        <f>AJ369</f>
        <v>1</v>
      </c>
      <c r="DB369">
        <f>ROUND((ROUND(AT369*CZ369,2)*1.12),2)</f>
        <v>155.41999999999999</v>
      </c>
      <c r="DC369">
        <f>ROUND((ROUND(AT369*AG369,2)*1.12),2)</f>
        <v>18.29</v>
      </c>
      <c r="DD369" t="s">
        <v>6</v>
      </c>
      <c r="DE369" t="s">
        <v>6</v>
      </c>
      <c r="DF369">
        <f t="shared" si="155"/>
        <v>0</v>
      </c>
      <c r="DG369">
        <f t="shared" si="156"/>
        <v>8138</v>
      </c>
      <c r="DH369">
        <f>Source!I316*SmtRes!Y369</f>
        <v>70.156800000000004</v>
      </c>
      <c r="DI369">
        <f>AB369</f>
        <v>115.64</v>
      </c>
      <c r="DJ369">
        <f>DG369</f>
        <v>8138</v>
      </c>
      <c r="DK369">
        <f>Source!BB316</f>
        <v>1</v>
      </c>
      <c r="DL369" t="s">
        <v>6</v>
      </c>
      <c r="DM369">
        <v>0</v>
      </c>
      <c r="DN369" t="s">
        <v>6</v>
      </c>
      <c r="DO369">
        <v>0</v>
      </c>
      <c r="GQ369">
        <v>-1</v>
      </c>
      <c r="GR369">
        <v>-1</v>
      </c>
    </row>
    <row r="370" spans="1:200" x14ac:dyDescent="0.2">
      <c r="A370">
        <f>ROW(Source!A316)</f>
        <v>316</v>
      </c>
      <c r="B370">
        <v>86326987</v>
      </c>
      <c r="C370">
        <v>86327662</v>
      </c>
      <c r="D370">
        <v>27439499</v>
      </c>
      <c r="E370">
        <v>1</v>
      </c>
      <c r="F370">
        <v>1</v>
      </c>
      <c r="G370">
        <v>1</v>
      </c>
      <c r="H370">
        <v>2</v>
      </c>
      <c r="I370" t="s">
        <v>631</v>
      </c>
      <c r="J370" t="s">
        <v>632</v>
      </c>
      <c r="K370" t="s">
        <v>633</v>
      </c>
      <c r="L370">
        <v>1368</v>
      </c>
      <c r="N370">
        <v>1011</v>
      </c>
      <c r="O370" t="s">
        <v>137</v>
      </c>
      <c r="P370" t="s">
        <v>137</v>
      </c>
      <c r="Q370">
        <v>1</v>
      </c>
      <c r="W370">
        <v>0</v>
      </c>
      <c r="X370">
        <v>1890856440</v>
      </c>
      <c r="Y370">
        <f>(AT370*1.12)</f>
        <v>0.24640000000000004</v>
      </c>
      <c r="AA370">
        <v>0</v>
      </c>
      <c r="AB370">
        <v>112.67</v>
      </c>
      <c r="AC370">
        <v>13.61</v>
      </c>
      <c r="AD370">
        <v>0</v>
      </c>
      <c r="AE370">
        <v>0</v>
      </c>
      <c r="AF370">
        <v>112.67</v>
      </c>
      <c r="AG370">
        <v>13.61</v>
      </c>
      <c r="AH370">
        <v>0</v>
      </c>
      <c r="AI370">
        <v>1</v>
      </c>
      <c r="AJ370">
        <v>1</v>
      </c>
      <c r="AK370">
        <v>1</v>
      </c>
      <c r="AL370">
        <v>1</v>
      </c>
      <c r="AM370">
        <v>0</v>
      </c>
      <c r="AN370">
        <v>0</v>
      </c>
      <c r="AO370">
        <v>1</v>
      </c>
      <c r="AP370">
        <v>1</v>
      </c>
      <c r="AQ370">
        <v>0</v>
      </c>
      <c r="AR370">
        <v>0</v>
      </c>
      <c r="AS370" t="s">
        <v>6</v>
      </c>
      <c r="AT370">
        <v>0.22</v>
      </c>
      <c r="AU370" t="s">
        <v>24</v>
      </c>
      <c r="AV370">
        <v>0</v>
      </c>
      <c r="AW370">
        <v>2</v>
      </c>
      <c r="AX370">
        <v>86327675</v>
      </c>
      <c r="AY370">
        <v>1</v>
      </c>
      <c r="AZ370">
        <v>0</v>
      </c>
      <c r="BA370">
        <v>296</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CV370">
        <v>0</v>
      </c>
      <c r="CW370">
        <f>ROUND(Y370*Source!I316*DO370,9)</f>
        <v>0</v>
      </c>
      <c r="CX370">
        <f>ROUND(Y370*Source!I316,9)</f>
        <v>12.862080000000001</v>
      </c>
      <c r="CY370">
        <f>AB370</f>
        <v>112.67</v>
      </c>
      <c r="CZ370">
        <f>AF370</f>
        <v>112.67</v>
      </c>
      <c r="DA370">
        <f>AJ370</f>
        <v>1</v>
      </c>
      <c r="DB370">
        <f>ROUND((ROUND(AT370*CZ370,2)*1.12),2)</f>
        <v>27.76</v>
      </c>
      <c r="DC370">
        <f>ROUND((ROUND(AT370*AG370,2)*1.12),2)</f>
        <v>3.35</v>
      </c>
      <c r="DD370" t="s">
        <v>6</v>
      </c>
      <c r="DE370" t="s">
        <v>6</v>
      </c>
      <c r="DF370">
        <f t="shared" si="155"/>
        <v>0</v>
      </c>
      <c r="DG370">
        <f t="shared" si="156"/>
        <v>1453</v>
      </c>
      <c r="DH370">
        <f>Source!I316*SmtRes!Y370</f>
        <v>12.862080000000002</v>
      </c>
      <c r="DI370">
        <f>AB370</f>
        <v>112.67</v>
      </c>
      <c r="DJ370">
        <f>EtalonRes!Z296</f>
        <v>112.67</v>
      </c>
      <c r="DK370">
        <f>Source!BB316</f>
        <v>1</v>
      </c>
      <c r="DL370" t="s">
        <v>6</v>
      </c>
      <c r="DM370">
        <v>0</v>
      </c>
      <c r="DN370" t="s">
        <v>6</v>
      </c>
      <c r="DO370">
        <v>0</v>
      </c>
      <c r="GQ370">
        <v>-1</v>
      </c>
      <c r="GR370">
        <v>-1</v>
      </c>
    </row>
    <row r="371" spans="1:200" x14ac:dyDescent="0.2">
      <c r="A371">
        <f>ROW(Source!A316)</f>
        <v>316</v>
      </c>
      <c r="B371">
        <v>86326987</v>
      </c>
      <c r="C371">
        <v>86327662</v>
      </c>
      <c r="D371">
        <v>27439640</v>
      </c>
      <c r="E371">
        <v>1</v>
      </c>
      <c r="F371">
        <v>1</v>
      </c>
      <c r="G371">
        <v>1</v>
      </c>
      <c r="H371">
        <v>2</v>
      </c>
      <c r="I371" t="s">
        <v>634</v>
      </c>
      <c r="J371" t="s">
        <v>635</v>
      </c>
      <c r="K371" t="s">
        <v>636</v>
      </c>
      <c r="L371">
        <v>1368</v>
      </c>
      <c r="N371">
        <v>1011</v>
      </c>
      <c r="O371" t="s">
        <v>137</v>
      </c>
      <c r="P371" t="s">
        <v>137</v>
      </c>
      <c r="Q371">
        <v>1</v>
      </c>
      <c r="W371">
        <v>0</v>
      </c>
      <c r="X371">
        <v>1935701055</v>
      </c>
      <c r="Y371">
        <f>(AT371*1.12)</f>
        <v>0.78400000000000003</v>
      </c>
      <c r="AA371">
        <v>0</v>
      </c>
      <c r="AB371">
        <v>56.1</v>
      </c>
      <c r="AC371">
        <v>13.61</v>
      </c>
      <c r="AD371">
        <v>0</v>
      </c>
      <c r="AE371">
        <v>0</v>
      </c>
      <c r="AF371">
        <v>56.1</v>
      </c>
      <c r="AG371">
        <v>13.61</v>
      </c>
      <c r="AH371">
        <v>0</v>
      </c>
      <c r="AI371">
        <v>1</v>
      </c>
      <c r="AJ371">
        <v>1</v>
      </c>
      <c r="AK371">
        <v>1</v>
      </c>
      <c r="AL371">
        <v>1</v>
      </c>
      <c r="AM371">
        <v>0</v>
      </c>
      <c r="AN371">
        <v>0</v>
      </c>
      <c r="AO371">
        <v>1</v>
      </c>
      <c r="AP371">
        <v>1</v>
      </c>
      <c r="AQ371">
        <v>0</v>
      </c>
      <c r="AR371">
        <v>0</v>
      </c>
      <c r="AS371" t="s">
        <v>6</v>
      </c>
      <c r="AT371">
        <v>0.7</v>
      </c>
      <c r="AU371" t="s">
        <v>24</v>
      </c>
      <c r="AV371">
        <v>0</v>
      </c>
      <c r="AW371">
        <v>2</v>
      </c>
      <c r="AX371">
        <v>86327676</v>
      </c>
      <c r="AY371">
        <v>1</v>
      </c>
      <c r="AZ371">
        <v>0</v>
      </c>
      <c r="BA371">
        <v>297</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CV371">
        <v>0</v>
      </c>
      <c r="CW371">
        <f>ROUND(Y371*Source!I316*DO371,9)</f>
        <v>0</v>
      </c>
      <c r="CX371">
        <f>ROUND(Y371*Source!I316,9)</f>
        <v>40.924799999999998</v>
      </c>
      <c r="CY371">
        <f>AB371</f>
        <v>56.1</v>
      </c>
      <c r="CZ371">
        <f>AF371</f>
        <v>56.1</v>
      </c>
      <c r="DA371">
        <f>AJ371</f>
        <v>1</v>
      </c>
      <c r="DB371">
        <f>ROUND((ROUND(AT371*CZ371,2)*1.12),2)</f>
        <v>43.98</v>
      </c>
      <c r="DC371">
        <f>ROUND((ROUND(AT371*AG371,2)*1.12),2)</f>
        <v>10.67</v>
      </c>
      <c r="DD371" t="s">
        <v>6</v>
      </c>
      <c r="DE371" t="s">
        <v>6</v>
      </c>
      <c r="DF371">
        <f t="shared" si="155"/>
        <v>0</v>
      </c>
      <c r="DG371">
        <f t="shared" si="156"/>
        <v>2292</v>
      </c>
      <c r="DH371">
        <f>Source!I316*SmtRes!Y371</f>
        <v>40.924800000000005</v>
      </c>
      <c r="DI371">
        <f>AB371</f>
        <v>56.1</v>
      </c>
      <c r="DJ371">
        <f>EtalonRes!Z297</f>
        <v>56.1</v>
      </c>
      <c r="DK371">
        <f>Source!BB316</f>
        <v>1</v>
      </c>
      <c r="DL371" t="s">
        <v>6</v>
      </c>
      <c r="DM371">
        <v>0</v>
      </c>
      <c r="DN371" t="s">
        <v>6</v>
      </c>
      <c r="DO371">
        <v>0</v>
      </c>
      <c r="GQ371">
        <v>-1</v>
      </c>
      <c r="GR371">
        <v>-1</v>
      </c>
    </row>
    <row r="372" spans="1:200" x14ac:dyDescent="0.2">
      <c r="A372">
        <f>ROW(Source!A316)</f>
        <v>316</v>
      </c>
      <c r="B372">
        <v>86326987</v>
      </c>
      <c r="C372">
        <v>86327662</v>
      </c>
      <c r="D372">
        <v>27441327</v>
      </c>
      <c r="E372">
        <v>1</v>
      </c>
      <c r="F372">
        <v>1</v>
      </c>
      <c r="G372">
        <v>1</v>
      </c>
      <c r="H372">
        <v>2</v>
      </c>
      <c r="I372" t="s">
        <v>637</v>
      </c>
      <c r="J372" t="s">
        <v>638</v>
      </c>
      <c r="K372" t="s">
        <v>639</v>
      </c>
      <c r="L372">
        <v>1368</v>
      </c>
      <c r="N372">
        <v>1011</v>
      </c>
      <c r="O372" t="s">
        <v>137</v>
      </c>
      <c r="P372" t="s">
        <v>137</v>
      </c>
      <c r="Q372">
        <v>1</v>
      </c>
      <c r="W372">
        <v>0</v>
      </c>
      <c r="X372">
        <v>-1583389094</v>
      </c>
      <c r="Y372">
        <f>(AT372*1.12)</f>
        <v>0.36960000000000004</v>
      </c>
      <c r="AA372">
        <v>0</v>
      </c>
      <c r="AB372">
        <v>93.37</v>
      </c>
      <c r="AC372">
        <v>11.69</v>
      </c>
      <c r="AD372">
        <v>0</v>
      </c>
      <c r="AE372">
        <v>0</v>
      </c>
      <c r="AF372">
        <v>93.37</v>
      </c>
      <c r="AG372">
        <v>11.69</v>
      </c>
      <c r="AH372">
        <v>0</v>
      </c>
      <c r="AI372">
        <v>1</v>
      </c>
      <c r="AJ372">
        <v>1</v>
      </c>
      <c r="AK372">
        <v>1</v>
      </c>
      <c r="AL372">
        <v>1</v>
      </c>
      <c r="AM372">
        <v>0</v>
      </c>
      <c r="AN372">
        <v>0</v>
      </c>
      <c r="AO372">
        <v>1</v>
      </c>
      <c r="AP372">
        <v>1</v>
      </c>
      <c r="AQ372">
        <v>0</v>
      </c>
      <c r="AR372">
        <v>0</v>
      </c>
      <c r="AS372" t="s">
        <v>6</v>
      </c>
      <c r="AT372">
        <v>0.33</v>
      </c>
      <c r="AU372" t="s">
        <v>24</v>
      </c>
      <c r="AV372">
        <v>0</v>
      </c>
      <c r="AW372">
        <v>2</v>
      </c>
      <c r="AX372">
        <v>86327677</v>
      </c>
      <c r="AY372">
        <v>1</v>
      </c>
      <c r="AZ372">
        <v>0</v>
      </c>
      <c r="BA372">
        <v>298</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CV372">
        <v>0</v>
      </c>
      <c r="CW372">
        <f>ROUND(Y372*Source!I316*DO372,9)</f>
        <v>0</v>
      </c>
      <c r="CX372">
        <f>ROUND(Y372*Source!I316,9)</f>
        <v>19.293119999999998</v>
      </c>
      <c r="CY372">
        <f>AB372</f>
        <v>93.37</v>
      </c>
      <c r="CZ372">
        <f>AF372</f>
        <v>93.37</v>
      </c>
      <c r="DA372">
        <f>AJ372</f>
        <v>1</v>
      </c>
      <c r="DB372">
        <f>ROUND((ROUND(AT372*CZ372,2)*1.12),2)</f>
        <v>34.51</v>
      </c>
      <c r="DC372">
        <f>ROUND((ROUND(AT372*AG372,2)*1.12),2)</f>
        <v>4.32</v>
      </c>
      <c r="DD372" t="s">
        <v>6</v>
      </c>
      <c r="DE372" t="s">
        <v>6</v>
      </c>
      <c r="DF372">
        <f t="shared" si="155"/>
        <v>0</v>
      </c>
      <c r="DG372">
        <f t="shared" si="156"/>
        <v>1794</v>
      </c>
      <c r="DH372">
        <f>Source!I316*SmtRes!Y372</f>
        <v>19.293120000000002</v>
      </c>
      <c r="DI372">
        <f>AB372</f>
        <v>93.37</v>
      </c>
      <c r="DJ372">
        <f>EtalonRes!Z298</f>
        <v>93.37</v>
      </c>
      <c r="DK372">
        <f>Source!BB316</f>
        <v>1</v>
      </c>
      <c r="DL372" t="s">
        <v>6</v>
      </c>
      <c r="DM372">
        <v>0</v>
      </c>
      <c r="DN372" t="s">
        <v>6</v>
      </c>
      <c r="DO372">
        <v>0</v>
      </c>
      <c r="GQ372">
        <v>-1</v>
      </c>
      <c r="GR372">
        <v>-1</v>
      </c>
    </row>
    <row r="373" spans="1:200" x14ac:dyDescent="0.2">
      <c r="A373">
        <f>ROW(Source!A316)</f>
        <v>316</v>
      </c>
      <c r="B373">
        <v>86326987</v>
      </c>
      <c r="C373">
        <v>86327662</v>
      </c>
      <c r="D373">
        <v>27378580</v>
      </c>
      <c r="E373">
        <v>1</v>
      </c>
      <c r="F373">
        <v>1</v>
      </c>
      <c r="G373">
        <v>1</v>
      </c>
      <c r="H373">
        <v>3</v>
      </c>
      <c r="I373" t="s">
        <v>31</v>
      </c>
      <c r="J373" t="s">
        <v>34</v>
      </c>
      <c r="K373" t="s">
        <v>32</v>
      </c>
      <c r="L373">
        <v>1348</v>
      </c>
      <c r="N373">
        <v>1009</v>
      </c>
      <c r="O373" t="s">
        <v>33</v>
      </c>
      <c r="P373" t="s">
        <v>33</v>
      </c>
      <c r="Q373">
        <v>1000</v>
      </c>
      <c r="W373">
        <v>0</v>
      </c>
      <c r="X373">
        <v>2105756975</v>
      </c>
      <c r="Y373">
        <f>AT373</f>
        <v>2.6499999999999999E-4</v>
      </c>
      <c r="AA373">
        <v>8475</v>
      </c>
      <c r="AB373">
        <v>0</v>
      </c>
      <c r="AC373">
        <v>0</v>
      </c>
      <c r="AD373">
        <v>0</v>
      </c>
      <c r="AE373">
        <v>8475</v>
      </c>
      <c r="AF373">
        <v>0</v>
      </c>
      <c r="AG373">
        <v>0</v>
      </c>
      <c r="AH373">
        <v>0</v>
      </c>
      <c r="AI373">
        <v>1</v>
      </c>
      <c r="AJ373">
        <v>1</v>
      </c>
      <c r="AK373">
        <v>1</v>
      </c>
      <c r="AL373">
        <v>1</v>
      </c>
      <c r="AM373">
        <v>0</v>
      </c>
      <c r="AN373">
        <v>0</v>
      </c>
      <c r="AO373">
        <v>0</v>
      </c>
      <c r="AP373">
        <v>1</v>
      </c>
      <c r="AQ373">
        <v>0</v>
      </c>
      <c r="AR373">
        <v>0</v>
      </c>
      <c r="AS373" t="s">
        <v>6</v>
      </c>
      <c r="AT373">
        <v>2.6499999999999999E-4</v>
      </c>
      <c r="AU373" t="s">
        <v>6</v>
      </c>
      <c r="AV373">
        <v>0</v>
      </c>
      <c r="AW373">
        <v>1</v>
      </c>
      <c r="AX373">
        <v>-1</v>
      </c>
      <c r="AY373">
        <v>0</v>
      </c>
      <c r="AZ373">
        <v>0</v>
      </c>
      <c r="BA373" t="s">
        <v>6</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CV373">
        <v>0</v>
      </c>
      <c r="CW373">
        <v>0</v>
      </c>
      <c r="CX373">
        <f>ROUND(Y373*Source!I316,9)</f>
        <v>1.3833E-2</v>
      </c>
      <c r="CY373">
        <f>AA373</f>
        <v>8475</v>
      </c>
      <c r="CZ373">
        <f>AE373</f>
        <v>8475</v>
      </c>
      <c r="DA373">
        <f>AI373</f>
        <v>1</v>
      </c>
      <c r="DB373">
        <f>ROUND(ROUND(AT373*CZ373,2),2)</f>
        <v>2.25</v>
      </c>
      <c r="DC373">
        <f>ROUND(ROUND(AT373*AG373,2),2)</f>
        <v>0</v>
      </c>
      <c r="DD373" t="s">
        <v>6</v>
      </c>
      <c r="DE373" t="s">
        <v>6</v>
      </c>
      <c r="DF373">
        <f t="shared" si="155"/>
        <v>117</v>
      </c>
      <c r="DG373">
        <f t="shared" si="156"/>
        <v>0</v>
      </c>
      <c r="DH373">
        <f>Source!I316*SmtRes!Y373</f>
        <v>1.3833E-2</v>
      </c>
      <c r="DI373">
        <f>AA373</f>
        <v>8475</v>
      </c>
      <c r="DJ373">
        <f>DF373</f>
        <v>117</v>
      </c>
      <c r="DK373">
        <f>Source!BC316</f>
        <v>1</v>
      </c>
      <c r="DL373" t="s">
        <v>6</v>
      </c>
      <c r="DM373">
        <v>0</v>
      </c>
      <c r="DN373" t="s">
        <v>6</v>
      </c>
      <c r="DO373">
        <v>0</v>
      </c>
      <c r="GP373">
        <v>1</v>
      </c>
      <c r="GQ373">
        <v>-1</v>
      </c>
      <c r="GR373">
        <v>-1</v>
      </c>
    </row>
    <row r="374" spans="1:200" x14ac:dyDescent="0.2">
      <c r="A374">
        <f>ROW(Source!A316)</f>
        <v>316</v>
      </c>
      <c r="B374">
        <v>86326987</v>
      </c>
      <c r="C374">
        <v>86327662</v>
      </c>
      <c r="D374">
        <v>11497593</v>
      </c>
      <c r="E374">
        <v>1</v>
      </c>
      <c r="F374">
        <v>1</v>
      </c>
      <c r="G374">
        <v>1</v>
      </c>
      <c r="H374">
        <v>3</v>
      </c>
      <c r="I374" t="s">
        <v>421</v>
      </c>
      <c r="J374" t="s">
        <v>424</v>
      </c>
      <c r="K374" t="s">
        <v>422</v>
      </c>
      <c r="L374">
        <v>1327</v>
      </c>
      <c r="N374">
        <v>1005</v>
      </c>
      <c r="O374" t="s">
        <v>423</v>
      </c>
      <c r="P374" t="s">
        <v>423</v>
      </c>
      <c r="Q374">
        <v>1</v>
      </c>
      <c r="W374">
        <v>0</v>
      </c>
      <c r="X374">
        <v>-1952011524</v>
      </c>
      <c r="Y374">
        <f>AT374</f>
        <v>0.122</v>
      </c>
      <c r="AA374">
        <v>183.59</v>
      </c>
      <c r="AB374">
        <v>0</v>
      </c>
      <c r="AC374">
        <v>0</v>
      </c>
      <c r="AD374">
        <v>0</v>
      </c>
      <c r="AE374">
        <v>183.59</v>
      </c>
      <c r="AF374">
        <v>0</v>
      </c>
      <c r="AG374">
        <v>0</v>
      </c>
      <c r="AH374">
        <v>0</v>
      </c>
      <c r="AI374">
        <v>1</v>
      </c>
      <c r="AJ374">
        <v>1</v>
      </c>
      <c r="AK374">
        <v>1</v>
      </c>
      <c r="AL374">
        <v>1</v>
      </c>
      <c r="AM374">
        <v>0</v>
      </c>
      <c r="AN374">
        <v>0</v>
      </c>
      <c r="AO374">
        <v>0</v>
      </c>
      <c r="AP374">
        <v>1</v>
      </c>
      <c r="AQ374">
        <v>0</v>
      </c>
      <c r="AR374">
        <v>0</v>
      </c>
      <c r="AS374" t="s">
        <v>6</v>
      </c>
      <c r="AT374">
        <v>0.122</v>
      </c>
      <c r="AU374" t="s">
        <v>6</v>
      </c>
      <c r="AV374">
        <v>0</v>
      </c>
      <c r="AW374">
        <v>1</v>
      </c>
      <c r="AX374">
        <v>-1</v>
      </c>
      <c r="AY374">
        <v>0</v>
      </c>
      <c r="AZ374">
        <v>0</v>
      </c>
      <c r="BA374" t="s">
        <v>6</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CV374">
        <v>0</v>
      </c>
      <c r="CW374">
        <v>0</v>
      </c>
      <c r="CX374">
        <f>ROUND(Y374*Source!I316,9)</f>
        <v>6.3684000000000003</v>
      </c>
      <c r="CY374">
        <f>AA374</f>
        <v>183.59</v>
      </c>
      <c r="CZ374">
        <f>AE374</f>
        <v>183.59</v>
      </c>
      <c r="DA374">
        <f>AI374</f>
        <v>1</v>
      </c>
      <c r="DB374">
        <f>ROUND(ROUND(AT374*CZ374,2),2)</f>
        <v>22.4</v>
      </c>
      <c r="DC374">
        <f>ROUND(ROUND(AT374*AG374,2),2)</f>
        <v>0</v>
      </c>
      <c r="DD374" t="s">
        <v>6</v>
      </c>
      <c r="DE374" t="s">
        <v>6</v>
      </c>
      <c r="DF374">
        <f t="shared" si="155"/>
        <v>1172</v>
      </c>
      <c r="DG374">
        <f t="shared" si="156"/>
        <v>0</v>
      </c>
      <c r="DH374">
        <f>Source!I316*SmtRes!Y374</f>
        <v>6.3684000000000003</v>
      </c>
      <c r="DI374">
        <f>AA374</f>
        <v>183.59</v>
      </c>
      <c r="DJ374">
        <f>DF374</f>
        <v>1172</v>
      </c>
      <c r="DK374">
        <f>Source!BC316</f>
        <v>1</v>
      </c>
      <c r="DL374" t="s">
        <v>6</v>
      </c>
      <c r="DM374">
        <v>0</v>
      </c>
      <c r="DN374" t="s">
        <v>6</v>
      </c>
      <c r="DO374">
        <v>0</v>
      </c>
      <c r="GP374">
        <v>1</v>
      </c>
      <c r="GQ374">
        <v>-1</v>
      </c>
      <c r="GR374">
        <v>-1</v>
      </c>
    </row>
    <row r="375" spans="1:200" x14ac:dyDescent="0.2">
      <c r="A375">
        <f>ROW(Source!A316)</f>
        <v>316</v>
      </c>
      <c r="B375">
        <v>86326987</v>
      </c>
      <c r="C375">
        <v>86327662</v>
      </c>
      <c r="D375">
        <v>27379786</v>
      </c>
      <c r="E375">
        <v>1</v>
      </c>
      <c r="F375">
        <v>1</v>
      </c>
      <c r="G375">
        <v>1</v>
      </c>
      <c r="H375">
        <v>3</v>
      </c>
      <c r="I375" t="s">
        <v>42</v>
      </c>
      <c r="J375" t="s">
        <v>45</v>
      </c>
      <c r="K375" t="s">
        <v>43</v>
      </c>
      <c r="L375">
        <v>1339</v>
      </c>
      <c r="N375">
        <v>1007</v>
      </c>
      <c r="O375" t="s">
        <v>44</v>
      </c>
      <c r="P375" t="s">
        <v>44</v>
      </c>
      <c r="Q375">
        <v>1</v>
      </c>
      <c r="W375">
        <v>0</v>
      </c>
      <c r="X375">
        <v>703937141</v>
      </c>
      <c r="Y375">
        <f>AT375</f>
        <v>8.9870000000000002E-3</v>
      </c>
      <c r="AA375">
        <v>1100</v>
      </c>
      <c r="AB375">
        <v>0</v>
      </c>
      <c r="AC375">
        <v>0</v>
      </c>
      <c r="AD375">
        <v>0</v>
      </c>
      <c r="AE375">
        <v>1100</v>
      </c>
      <c r="AF375">
        <v>0</v>
      </c>
      <c r="AG375">
        <v>0</v>
      </c>
      <c r="AH375">
        <v>0</v>
      </c>
      <c r="AI375">
        <v>1</v>
      </c>
      <c r="AJ375">
        <v>1</v>
      </c>
      <c r="AK375">
        <v>1</v>
      </c>
      <c r="AL375">
        <v>1</v>
      </c>
      <c r="AM375">
        <v>0</v>
      </c>
      <c r="AN375">
        <v>0</v>
      </c>
      <c r="AO375">
        <v>0</v>
      </c>
      <c r="AP375">
        <v>1</v>
      </c>
      <c r="AQ375">
        <v>0</v>
      </c>
      <c r="AR375">
        <v>0</v>
      </c>
      <c r="AS375" t="s">
        <v>6</v>
      </c>
      <c r="AT375">
        <v>8.9870000000000002E-3</v>
      </c>
      <c r="AU375" t="s">
        <v>6</v>
      </c>
      <c r="AV375">
        <v>0</v>
      </c>
      <c r="AW375">
        <v>2</v>
      </c>
      <c r="AX375">
        <v>86327679</v>
      </c>
      <c r="AY375">
        <v>1</v>
      </c>
      <c r="AZ375">
        <v>6144</v>
      </c>
      <c r="BA375">
        <v>300</v>
      </c>
      <c r="BB375">
        <v>3</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CV375">
        <v>0</v>
      </c>
      <c r="CW375">
        <v>0</v>
      </c>
      <c r="CX375">
        <f>ROUND(Y375*Source!I316,9)</f>
        <v>0.46912140000000002</v>
      </c>
      <c r="CY375">
        <f>AA375</f>
        <v>1100</v>
      </c>
      <c r="CZ375">
        <f>AE375</f>
        <v>1100</v>
      </c>
      <c r="DA375">
        <f>AI375</f>
        <v>1</v>
      </c>
      <c r="DB375">
        <f>ROUND(ROUND(AT375*CZ375,2),2)</f>
        <v>9.89</v>
      </c>
      <c r="DC375">
        <f>ROUND(ROUND(AT375*AG375,2),2)</f>
        <v>0</v>
      </c>
      <c r="DD375" t="s">
        <v>6</v>
      </c>
      <c r="DE375" t="s">
        <v>6</v>
      </c>
      <c r="DF375">
        <f t="shared" si="155"/>
        <v>516</v>
      </c>
      <c r="DG375">
        <f t="shared" si="156"/>
        <v>0</v>
      </c>
      <c r="DH375">
        <f>Source!I316*SmtRes!Y375</f>
        <v>0.46912140000000002</v>
      </c>
      <c r="DI375">
        <f>AA375</f>
        <v>1100</v>
      </c>
      <c r="DJ375">
        <f>EtalonRes!Y300</f>
        <v>1100</v>
      </c>
      <c r="DK375">
        <f>Source!BC316</f>
        <v>1</v>
      </c>
      <c r="DL375" t="s">
        <v>6</v>
      </c>
      <c r="DM375">
        <v>0</v>
      </c>
      <c r="DN375" t="s">
        <v>6</v>
      </c>
      <c r="DO375">
        <v>0</v>
      </c>
      <c r="GP375">
        <v>1</v>
      </c>
      <c r="GQ375">
        <v>-1</v>
      </c>
      <c r="GR375">
        <v>-1</v>
      </c>
    </row>
    <row r="376" spans="1:200" x14ac:dyDescent="0.2">
      <c r="A376">
        <f>ROW(Source!A317)</f>
        <v>317</v>
      </c>
      <c r="B376">
        <v>86326988</v>
      </c>
      <c r="C376">
        <v>86327662</v>
      </c>
      <c r="D376">
        <v>27493207</v>
      </c>
      <c r="E376">
        <v>1</v>
      </c>
      <c r="F376">
        <v>1</v>
      </c>
      <c r="G376">
        <v>1</v>
      </c>
      <c r="H376">
        <v>1</v>
      </c>
      <c r="I376" t="s">
        <v>623</v>
      </c>
      <c r="J376" t="s">
        <v>6</v>
      </c>
      <c r="K376" t="s">
        <v>624</v>
      </c>
      <c r="L376">
        <v>1369</v>
      </c>
      <c r="N376">
        <v>1013</v>
      </c>
      <c r="O376" t="s">
        <v>625</v>
      </c>
      <c r="P376" t="s">
        <v>625</v>
      </c>
      <c r="Q376">
        <v>1</v>
      </c>
      <c r="W376">
        <v>0</v>
      </c>
      <c r="X376">
        <v>-1900352537</v>
      </c>
      <c r="Y376">
        <f>(AT376*1.05)</f>
        <v>6.8250000000000002</v>
      </c>
      <c r="AA376">
        <v>0</v>
      </c>
      <c r="AB376">
        <v>0</v>
      </c>
      <c r="AC376">
        <v>0</v>
      </c>
      <c r="AD376">
        <v>283.87</v>
      </c>
      <c r="AE376">
        <v>0</v>
      </c>
      <c r="AF376">
        <v>0</v>
      </c>
      <c r="AG376">
        <v>0</v>
      </c>
      <c r="AH376">
        <v>7.87</v>
      </c>
      <c r="AI376">
        <v>1</v>
      </c>
      <c r="AJ376">
        <v>1</v>
      </c>
      <c r="AK376">
        <v>1</v>
      </c>
      <c r="AL376">
        <v>36.07</v>
      </c>
      <c r="AM376">
        <v>5</v>
      </c>
      <c r="AN376">
        <v>0</v>
      </c>
      <c r="AO376">
        <v>1</v>
      </c>
      <c r="AP376">
        <v>1</v>
      </c>
      <c r="AQ376">
        <v>0</v>
      </c>
      <c r="AR376">
        <v>0</v>
      </c>
      <c r="AS376" t="s">
        <v>6</v>
      </c>
      <c r="AT376">
        <v>6.5</v>
      </c>
      <c r="AU376" t="s">
        <v>25</v>
      </c>
      <c r="AV376">
        <v>1</v>
      </c>
      <c r="AW376">
        <v>2</v>
      </c>
      <c r="AX376">
        <v>86327672</v>
      </c>
      <c r="AY376">
        <v>1</v>
      </c>
      <c r="AZ376">
        <v>0</v>
      </c>
      <c r="BA376">
        <v>301</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CU376">
        <f>ROUND(AT376*Source!I317*AH376*AL376,0)</f>
        <v>96317</v>
      </c>
      <c r="CV376">
        <f>ROUND(Y376*Source!I317,9)</f>
        <v>356.26499999999999</v>
      </c>
      <c r="CW376">
        <v>0</v>
      </c>
      <c r="CX376">
        <f>ROUND(Y376*Source!I317,9)</f>
        <v>356.26499999999999</v>
      </c>
      <c r="CY376">
        <f>AD376</f>
        <v>283.87</v>
      </c>
      <c r="CZ376">
        <f>AH376</f>
        <v>7.87</v>
      </c>
      <c r="DA376">
        <f>AL376</f>
        <v>36.07</v>
      </c>
      <c r="DB376">
        <f>ROUND((ROUND(AT376*CZ376,2)*1.05),2)</f>
        <v>53.72</v>
      </c>
      <c r="DC376">
        <f>ROUND((ROUND(AT376*AG376,2)*1.05),2)</f>
        <v>0</v>
      </c>
      <c r="DD376" t="s">
        <v>6</v>
      </c>
      <c r="DE376" t="s">
        <v>6</v>
      </c>
      <c r="DF376">
        <f t="shared" si="155"/>
        <v>0</v>
      </c>
      <c r="DG376">
        <f t="shared" si="156"/>
        <v>0</v>
      </c>
      <c r="DH376">
        <f>Source!I317*SmtRes!Y376</f>
        <v>356.26500000000004</v>
      </c>
      <c r="DI376">
        <f>AD376</f>
        <v>283.87</v>
      </c>
      <c r="DJ376">
        <f>EtalonRes!AB301</f>
        <v>7.87</v>
      </c>
      <c r="DK376">
        <f>Source!BA317</f>
        <v>36.07</v>
      </c>
      <c r="DL376" t="s">
        <v>6</v>
      </c>
      <c r="DM376">
        <v>0</v>
      </c>
      <c r="DN376" t="s">
        <v>6</v>
      </c>
      <c r="DO376">
        <v>0</v>
      </c>
      <c r="GQ376">
        <v>-1</v>
      </c>
      <c r="GR376">
        <v>-1</v>
      </c>
    </row>
    <row r="377" spans="1:200" x14ac:dyDescent="0.2">
      <c r="A377">
        <f>ROW(Source!A317)</f>
        <v>317</v>
      </c>
      <c r="B377">
        <v>86326988</v>
      </c>
      <c r="C377">
        <v>86327662</v>
      </c>
      <c r="D377">
        <v>121548</v>
      </c>
      <c r="E377">
        <v>1</v>
      </c>
      <c r="F377">
        <v>1</v>
      </c>
      <c r="G377">
        <v>1</v>
      </c>
      <c r="H377">
        <v>1</v>
      </c>
      <c r="I377" t="s">
        <v>40</v>
      </c>
      <c r="J377" t="s">
        <v>6</v>
      </c>
      <c r="K377" t="s">
        <v>626</v>
      </c>
      <c r="L377">
        <v>608254</v>
      </c>
      <c r="N377">
        <v>1013</v>
      </c>
      <c r="O377" t="s">
        <v>627</v>
      </c>
      <c r="P377" t="s">
        <v>627</v>
      </c>
      <c r="Q377">
        <v>1</v>
      </c>
      <c r="W377">
        <v>0</v>
      </c>
      <c r="X377">
        <v>-185737400</v>
      </c>
      <c r="Y377">
        <f>(AT377*1.12)</f>
        <v>2.3744000000000005</v>
      </c>
      <c r="AA377">
        <v>0</v>
      </c>
      <c r="AB377">
        <v>0</v>
      </c>
      <c r="AC377">
        <v>0</v>
      </c>
      <c r="AD377">
        <v>0</v>
      </c>
      <c r="AE377">
        <v>0</v>
      </c>
      <c r="AF377">
        <v>0</v>
      </c>
      <c r="AG377">
        <v>0</v>
      </c>
      <c r="AH377">
        <v>0</v>
      </c>
      <c r="AI377">
        <v>1</v>
      </c>
      <c r="AJ377">
        <v>1</v>
      </c>
      <c r="AK377">
        <v>19.8</v>
      </c>
      <c r="AL377">
        <v>1</v>
      </c>
      <c r="AM377">
        <v>5</v>
      </c>
      <c r="AN377">
        <v>0</v>
      </c>
      <c r="AO377">
        <v>1</v>
      </c>
      <c r="AP377">
        <v>1</v>
      </c>
      <c r="AQ377">
        <v>0</v>
      </c>
      <c r="AR377">
        <v>0</v>
      </c>
      <c r="AS377" t="s">
        <v>6</v>
      </c>
      <c r="AT377">
        <v>2.12</v>
      </c>
      <c r="AU377" t="s">
        <v>24</v>
      </c>
      <c r="AV377">
        <v>2</v>
      </c>
      <c r="AW377">
        <v>2</v>
      </c>
      <c r="AX377">
        <v>86327673</v>
      </c>
      <c r="AY377">
        <v>1</v>
      </c>
      <c r="AZ377">
        <v>0</v>
      </c>
      <c r="BA377">
        <v>302</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CV377">
        <v>0</v>
      </c>
      <c r="CW377">
        <v>0</v>
      </c>
      <c r="CX377">
        <f>ROUND(Y377*Source!I317,9)</f>
        <v>123.94368</v>
      </c>
      <c r="CY377">
        <f>AD377</f>
        <v>0</v>
      </c>
      <c r="CZ377">
        <f>AH377</f>
        <v>0</v>
      </c>
      <c r="DA377">
        <f>AL377</f>
        <v>1</v>
      </c>
      <c r="DB377">
        <f>ROUND((ROUND(AT377*CZ377,2)*1.12),2)</f>
        <v>0</v>
      </c>
      <c r="DC377">
        <f>ROUND((ROUND(AT377*AG377,2)*1.12),2)</f>
        <v>0</v>
      </c>
      <c r="DD377" t="s">
        <v>6</v>
      </c>
      <c r="DE377" t="s">
        <v>6</v>
      </c>
      <c r="DF377">
        <f t="shared" si="155"/>
        <v>0</v>
      </c>
      <c r="DG377">
        <f t="shared" si="156"/>
        <v>0</v>
      </c>
      <c r="DH377">
        <f>Source!I317*SmtRes!Y377</f>
        <v>123.94368000000003</v>
      </c>
      <c r="DI377">
        <f>AD377</f>
        <v>0</v>
      </c>
      <c r="DJ377">
        <f>EtalonRes!AB302</f>
        <v>0</v>
      </c>
      <c r="DK377">
        <f>Source!BA317</f>
        <v>36.07</v>
      </c>
      <c r="DL377" t="s">
        <v>6</v>
      </c>
      <c r="DM377">
        <v>0</v>
      </c>
      <c r="DN377" t="s">
        <v>6</v>
      </c>
      <c r="DO377">
        <v>0</v>
      </c>
      <c r="GQ377">
        <v>-1</v>
      </c>
      <c r="GR377">
        <v>-1</v>
      </c>
    </row>
    <row r="378" spans="1:200" x14ac:dyDescent="0.2">
      <c r="A378">
        <f>ROW(Source!A317)</f>
        <v>317</v>
      </c>
      <c r="B378">
        <v>86326988</v>
      </c>
      <c r="C378">
        <v>86327662</v>
      </c>
      <c r="D378">
        <v>27439419</v>
      </c>
      <c r="E378">
        <v>1</v>
      </c>
      <c r="F378">
        <v>1</v>
      </c>
      <c r="G378">
        <v>1</v>
      </c>
      <c r="H378">
        <v>2</v>
      </c>
      <c r="I378" t="s">
        <v>628</v>
      </c>
      <c r="J378" t="s">
        <v>629</v>
      </c>
      <c r="K378" t="s">
        <v>630</v>
      </c>
      <c r="L378">
        <v>1368</v>
      </c>
      <c r="N378">
        <v>1011</v>
      </c>
      <c r="O378" t="s">
        <v>137</v>
      </c>
      <c r="P378" t="s">
        <v>137</v>
      </c>
      <c r="Q378">
        <v>1</v>
      </c>
      <c r="W378">
        <v>0</v>
      </c>
      <c r="X378">
        <v>1804162481</v>
      </c>
      <c r="Y378">
        <f>(AT378*1.12)</f>
        <v>1.3440000000000001</v>
      </c>
      <c r="AA378">
        <v>0</v>
      </c>
      <c r="AB378">
        <v>1075.45</v>
      </c>
      <c r="AC378">
        <v>269.48</v>
      </c>
      <c r="AD378">
        <v>0</v>
      </c>
      <c r="AE378">
        <v>0</v>
      </c>
      <c r="AF378">
        <v>115.64</v>
      </c>
      <c r="AG378">
        <v>13.61</v>
      </c>
      <c r="AH378">
        <v>0</v>
      </c>
      <c r="AI378">
        <v>1</v>
      </c>
      <c r="AJ378">
        <v>9.3000000000000007</v>
      </c>
      <c r="AK378">
        <v>19.8</v>
      </c>
      <c r="AL378">
        <v>1</v>
      </c>
      <c r="AM378">
        <v>5</v>
      </c>
      <c r="AN378">
        <v>0</v>
      </c>
      <c r="AO378">
        <v>1</v>
      </c>
      <c r="AP378">
        <v>1</v>
      </c>
      <c r="AQ378">
        <v>0</v>
      </c>
      <c r="AR378">
        <v>0</v>
      </c>
      <c r="AS378" t="s">
        <v>6</v>
      </c>
      <c r="AT378">
        <v>1.2</v>
      </c>
      <c r="AU378" t="s">
        <v>24</v>
      </c>
      <c r="AV378">
        <v>0</v>
      </c>
      <c r="AW378">
        <v>1</v>
      </c>
      <c r="AX378">
        <v>-1</v>
      </c>
      <c r="AY378">
        <v>0</v>
      </c>
      <c r="AZ378">
        <v>0</v>
      </c>
      <c r="BA378" t="s">
        <v>6</v>
      </c>
      <c r="BB378">
        <v>5</v>
      </c>
      <c r="BC378">
        <v>0</v>
      </c>
      <c r="BD378">
        <v>155.42016000000001</v>
      </c>
      <c r="BE378">
        <v>18.291840000000001</v>
      </c>
      <c r="BF378">
        <v>0</v>
      </c>
      <c r="BG378">
        <v>0</v>
      </c>
      <c r="BH378">
        <v>0</v>
      </c>
      <c r="BI378">
        <v>1</v>
      </c>
      <c r="BJ378">
        <v>0</v>
      </c>
      <c r="BK378">
        <v>0</v>
      </c>
      <c r="BL378">
        <v>0</v>
      </c>
      <c r="BM378">
        <v>0</v>
      </c>
      <c r="BN378">
        <v>0</v>
      </c>
      <c r="BO378">
        <v>0</v>
      </c>
      <c r="BP378">
        <v>0</v>
      </c>
      <c r="BQ378">
        <v>0</v>
      </c>
      <c r="BR378">
        <v>0</v>
      </c>
      <c r="BS378">
        <v>0</v>
      </c>
      <c r="BT378">
        <v>0</v>
      </c>
      <c r="BU378">
        <v>0</v>
      </c>
      <c r="BV378">
        <v>0</v>
      </c>
      <c r="BW378">
        <v>0</v>
      </c>
      <c r="CV378">
        <v>0</v>
      </c>
      <c r="CW378">
        <f>ROUND(Y378*Source!I317*DO378,9)</f>
        <v>0</v>
      </c>
      <c r="CX378">
        <f>ROUND(Y378*Source!I317,9)</f>
        <v>70.156800000000004</v>
      </c>
      <c r="CY378">
        <f>AB378</f>
        <v>1075.45</v>
      </c>
      <c r="CZ378">
        <f>AF378</f>
        <v>115.64</v>
      </c>
      <c r="DA378">
        <f>AJ378</f>
        <v>9.3000000000000007</v>
      </c>
      <c r="DB378">
        <f>ROUND((ROUND(AT378*CZ378,2)*1.12),2)</f>
        <v>155.41999999999999</v>
      </c>
      <c r="DC378">
        <f>ROUND((ROUND(AT378*AG378,2)*1.12),2)</f>
        <v>18.29</v>
      </c>
      <c r="DD378" t="s">
        <v>6</v>
      </c>
      <c r="DE378" t="s">
        <v>6</v>
      </c>
      <c r="DF378">
        <f t="shared" si="155"/>
        <v>0</v>
      </c>
      <c r="DG378">
        <f>ROUND(ROUND(AF378*AJ378,0)*CX378,0)</f>
        <v>75419</v>
      </c>
      <c r="DH378">
        <f>Source!I317*SmtRes!Y378</f>
        <v>70.156800000000004</v>
      </c>
      <c r="DI378">
        <f>AB378</f>
        <v>1075.45</v>
      </c>
      <c r="DJ378">
        <f>DG378</f>
        <v>75419</v>
      </c>
      <c r="DK378">
        <f>Source!BB317</f>
        <v>9.3000000000000007</v>
      </c>
      <c r="DL378" t="s">
        <v>6</v>
      </c>
      <c r="DM378">
        <v>0</v>
      </c>
      <c r="DN378" t="s">
        <v>6</v>
      </c>
      <c r="DO378">
        <v>0</v>
      </c>
      <c r="GQ378">
        <v>-1</v>
      </c>
      <c r="GR378">
        <v>-1</v>
      </c>
    </row>
    <row r="379" spans="1:200" x14ac:dyDescent="0.2">
      <c r="A379">
        <f>ROW(Source!A317)</f>
        <v>317</v>
      </c>
      <c r="B379">
        <v>86326988</v>
      </c>
      <c r="C379">
        <v>86327662</v>
      </c>
      <c r="D379">
        <v>27439499</v>
      </c>
      <c r="E379">
        <v>1</v>
      </c>
      <c r="F379">
        <v>1</v>
      </c>
      <c r="G379">
        <v>1</v>
      </c>
      <c r="H379">
        <v>2</v>
      </c>
      <c r="I379" t="s">
        <v>631</v>
      </c>
      <c r="J379" t="s">
        <v>632</v>
      </c>
      <c r="K379" t="s">
        <v>633</v>
      </c>
      <c r="L379">
        <v>1368</v>
      </c>
      <c r="N379">
        <v>1011</v>
      </c>
      <c r="O379" t="s">
        <v>137</v>
      </c>
      <c r="P379" t="s">
        <v>137</v>
      </c>
      <c r="Q379">
        <v>1</v>
      </c>
      <c r="W379">
        <v>0</v>
      </c>
      <c r="X379">
        <v>1890856440</v>
      </c>
      <c r="Y379">
        <f>(AT379*1.12)</f>
        <v>0.24640000000000004</v>
      </c>
      <c r="AA379">
        <v>0</v>
      </c>
      <c r="AB379">
        <v>1047.83</v>
      </c>
      <c r="AC379">
        <v>269.48</v>
      </c>
      <c r="AD379">
        <v>0</v>
      </c>
      <c r="AE379">
        <v>0</v>
      </c>
      <c r="AF379">
        <v>112.67</v>
      </c>
      <c r="AG379">
        <v>13.61</v>
      </c>
      <c r="AH379">
        <v>0</v>
      </c>
      <c r="AI379">
        <v>1</v>
      </c>
      <c r="AJ379">
        <v>9.3000000000000007</v>
      </c>
      <c r="AK379">
        <v>19.8</v>
      </c>
      <c r="AL379">
        <v>1</v>
      </c>
      <c r="AM379">
        <v>5</v>
      </c>
      <c r="AN379">
        <v>0</v>
      </c>
      <c r="AO379">
        <v>1</v>
      </c>
      <c r="AP379">
        <v>1</v>
      </c>
      <c r="AQ379">
        <v>0</v>
      </c>
      <c r="AR379">
        <v>0</v>
      </c>
      <c r="AS379" t="s">
        <v>6</v>
      </c>
      <c r="AT379">
        <v>0.22</v>
      </c>
      <c r="AU379" t="s">
        <v>24</v>
      </c>
      <c r="AV379">
        <v>0</v>
      </c>
      <c r="AW379">
        <v>2</v>
      </c>
      <c r="AX379">
        <v>86327675</v>
      </c>
      <c r="AY379">
        <v>1</v>
      </c>
      <c r="AZ379">
        <v>0</v>
      </c>
      <c r="BA379">
        <v>304</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CV379">
        <v>0</v>
      </c>
      <c r="CW379">
        <f>ROUND(Y379*Source!I317*DO379,9)</f>
        <v>0</v>
      </c>
      <c r="CX379">
        <f>ROUND(Y379*Source!I317,9)</f>
        <v>12.862080000000001</v>
      </c>
      <c r="CY379">
        <f>AB379</f>
        <v>1047.83</v>
      </c>
      <c r="CZ379">
        <f>AF379</f>
        <v>112.67</v>
      </c>
      <c r="DA379">
        <f>AJ379</f>
        <v>9.3000000000000007</v>
      </c>
      <c r="DB379">
        <f>ROUND((ROUND(AT379*CZ379,2)*1.12),2)</f>
        <v>27.76</v>
      </c>
      <c r="DC379">
        <f>ROUND((ROUND(AT379*AG379,2)*1.12),2)</f>
        <v>3.35</v>
      </c>
      <c r="DD379" t="s">
        <v>6</v>
      </c>
      <c r="DE379" t="s">
        <v>6</v>
      </c>
      <c r="DF379">
        <f t="shared" si="155"/>
        <v>0</v>
      </c>
      <c r="DG379">
        <f>ROUND(ROUND(AF379*AJ379,0)*CX379,0)</f>
        <v>13479</v>
      </c>
      <c r="DH379">
        <f>Source!I317*SmtRes!Y379</f>
        <v>12.862080000000002</v>
      </c>
      <c r="DI379">
        <f>AB379</f>
        <v>1047.83</v>
      </c>
      <c r="DJ379">
        <f>EtalonRes!Z304</f>
        <v>112.67</v>
      </c>
      <c r="DK379">
        <f>Source!BB317</f>
        <v>9.3000000000000007</v>
      </c>
      <c r="DL379" t="s">
        <v>6</v>
      </c>
      <c r="DM379">
        <v>0</v>
      </c>
      <c r="DN379" t="s">
        <v>6</v>
      </c>
      <c r="DO379">
        <v>0</v>
      </c>
      <c r="GQ379">
        <v>-1</v>
      </c>
      <c r="GR379">
        <v>-1</v>
      </c>
    </row>
    <row r="380" spans="1:200" x14ac:dyDescent="0.2">
      <c r="A380">
        <f>ROW(Source!A317)</f>
        <v>317</v>
      </c>
      <c r="B380">
        <v>86326988</v>
      </c>
      <c r="C380">
        <v>86327662</v>
      </c>
      <c r="D380">
        <v>27439640</v>
      </c>
      <c r="E380">
        <v>1</v>
      </c>
      <c r="F380">
        <v>1</v>
      </c>
      <c r="G380">
        <v>1</v>
      </c>
      <c r="H380">
        <v>2</v>
      </c>
      <c r="I380" t="s">
        <v>634</v>
      </c>
      <c r="J380" t="s">
        <v>635</v>
      </c>
      <c r="K380" t="s">
        <v>636</v>
      </c>
      <c r="L380">
        <v>1368</v>
      </c>
      <c r="N380">
        <v>1011</v>
      </c>
      <c r="O380" t="s">
        <v>137</v>
      </c>
      <c r="P380" t="s">
        <v>137</v>
      </c>
      <c r="Q380">
        <v>1</v>
      </c>
      <c r="W380">
        <v>0</v>
      </c>
      <c r="X380">
        <v>1935701055</v>
      </c>
      <c r="Y380">
        <f>(AT380*1.12)</f>
        <v>0.78400000000000003</v>
      </c>
      <c r="AA380">
        <v>0</v>
      </c>
      <c r="AB380">
        <v>521.73</v>
      </c>
      <c r="AC380">
        <v>269.48</v>
      </c>
      <c r="AD380">
        <v>0</v>
      </c>
      <c r="AE380">
        <v>0</v>
      </c>
      <c r="AF380">
        <v>56.1</v>
      </c>
      <c r="AG380">
        <v>13.61</v>
      </c>
      <c r="AH380">
        <v>0</v>
      </c>
      <c r="AI380">
        <v>1</v>
      </c>
      <c r="AJ380">
        <v>9.3000000000000007</v>
      </c>
      <c r="AK380">
        <v>19.8</v>
      </c>
      <c r="AL380">
        <v>1</v>
      </c>
      <c r="AM380">
        <v>5</v>
      </c>
      <c r="AN380">
        <v>0</v>
      </c>
      <c r="AO380">
        <v>1</v>
      </c>
      <c r="AP380">
        <v>1</v>
      </c>
      <c r="AQ380">
        <v>0</v>
      </c>
      <c r="AR380">
        <v>0</v>
      </c>
      <c r="AS380" t="s">
        <v>6</v>
      </c>
      <c r="AT380">
        <v>0.7</v>
      </c>
      <c r="AU380" t="s">
        <v>24</v>
      </c>
      <c r="AV380">
        <v>0</v>
      </c>
      <c r="AW380">
        <v>2</v>
      </c>
      <c r="AX380">
        <v>86327676</v>
      </c>
      <c r="AY380">
        <v>1</v>
      </c>
      <c r="AZ380">
        <v>0</v>
      </c>
      <c r="BA380">
        <v>305</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CV380">
        <v>0</v>
      </c>
      <c r="CW380">
        <f>ROUND(Y380*Source!I317*DO380,9)</f>
        <v>0</v>
      </c>
      <c r="CX380">
        <f>ROUND(Y380*Source!I317,9)</f>
        <v>40.924799999999998</v>
      </c>
      <c r="CY380">
        <f>AB380</f>
        <v>521.73</v>
      </c>
      <c r="CZ380">
        <f>AF380</f>
        <v>56.1</v>
      </c>
      <c r="DA380">
        <f>AJ380</f>
        <v>9.3000000000000007</v>
      </c>
      <c r="DB380">
        <f>ROUND((ROUND(AT380*CZ380,2)*1.12),2)</f>
        <v>43.98</v>
      </c>
      <c r="DC380">
        <f>ROUND((ROUND(AT380*AG380,2)*1.12),2)</f>
        <v>10.67</v>
      </c>
      <c r="DD380" t="s">
        <v>6</v>
      </c>
      <c r="DE380" t="s">
        <v>6</v>
      </c>
      <c r="DF380">
        <f t="shared" si="155"/>
        <v>0</v>
      </c>
      <c r="DG380">
        <f>ROUND(ROUND(AF380*AJ380,0)*CX380,0)</f>
        <v>21363</v>
      </c>
      <c r="DH380">
        <f>Source!I317*SmtRes!Y380</f>
        <v>40.924800000000005</v>
      </c>
      <c r="DI380">
        <f>AB380</f>
        <v>521.73</v>
      </c>
      <c r="DJ380">
        <f>EtalonRes!Z305</f>
        <v>56.1</v>
      </c>
      <c r="DK380">
        <f>Source!BB317</f>
        <v>9.3000000000000007</v>
      </c>
      <c r="DL380" t="s">
        <v>6</v>
      </c>
      <c r="DM380">
        <v>0</v>
      </c>
      <c r="DN380" t="s">
        <v>6</v>
      </c>
      <c r="DO380">
        <v>0</v>
      </c>
      <c r="GQ380">
        <v>-1</v>
      </c>
      <c r="GR380">
        <v>-1</v>
      </c>
    </row>
    <row r="381" spans="1:200" x14ac:dyDescent="0.2">
      <c r="A381">
        <f>ROW(Source!A317)</f>
        <v>317</v>
      </c>
      <c r="B381">
        <v>86326988</v>
      </c>
      <c r="C381">
        <v>86327662</v>
      </c>
      <c r="D381">
        <v>27441327</v>
      </c>
      <c r="E381">
        <v>1</v>
      </c>
      <c r="F381">
        <v>1</v>
      </c>
      <c r="G381">
        <v>1</v>
      </c>
      <c r="H381">
        <v>2</v>
      </c>
      <c r="I381" t="s">
        <v>637</v>
      </c>
      <c r="J381" t="s">
        <v>638</v>
      </c>
      <c r="K381" t="s">
        <v>639</v>
      </c>
      <c r="L381">
        <v>1368</v>
      </c>
      <c r="N381">
        <v>1011</v>
      </c>
      <c r="O381" t="s">
        <v>137</v>
      </c>
      <c r="P381" t="s">
        <v>137</v>
      </c>
      <c r="Q381">
        <v>1</v>
      </c>
      <c r="W381">
        <v>0</v>
      </c>
      <c r="X381">
        <v>-1583389094</v>
      </c>
      <c r="Y381">
        <f>(AT381*1.12)</f>
        <v>0.36960000000000004</v>
      </c>
      <c r="AA381">
        <v>0</v>
      </c>
      <c r="AB381">
        <v>868.34</v>
      </c>
      <c r="AC381">
        <v>231.46</v>
      </c>
      <c r="AD381">
        <v>0</v>
      </c>
      <c r="AE381">
        <v>0</v>
      </c>
      <c r="AF381">
        <v>93.37</v>
      </c>
      <c r="AG381">
        <v>11.69</v>
      </c>
      <c r="AH381">
        <v>0</v>
      </c>
      <c r="AI381">
        <v>1</v>
      </c>
      <c r="AJ381">
        <v>9.3000000000000007</v>
      </c>
      <c r="AK381">
        <v>19.8</v>
      </c>
      <c r="AL381">
        <v>1</v>
      </c>
      <c r="AM381">
        <v>5</v>
      </c>
      <c r="AN381">
        <v>0</v>
      </c>
      <c r="AO381">
        <v>1</v>
      </c>
      <c r="AP381">
        <v>1</v>
      </c>
      <c r="AQ381">
        <v>0</v>
      </c>
      <c r="AR381">
        <v>0</v>
      </c>
      <c r="AS381" t="s">
        <v>6</v>
      </c>
      <c r="AT381">
        <v>0.33</v>
      </c>
      <c r="AU381" t="s">
        <v>24</v>
      </c>
      <c r="AV381">
        <v>0</v>
      </c>
      <c r="AW381">
        <v>2</v>
      </c>
      <c r="AX381">
        <v>86327677</v>
      </c>
      <c r="AY381">
        <v>1</v>
      </c>
      <c r="AZ381">
        <v>0</v>
      </c>
      <c r="BA381">
        <v>306</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CV381">
        <v>0</v>
      </c>
      <c r="CW381">
        <f>ROUND(Y381*Source!I317*DO381,9)</f>
        <v>0</v>
      </c>
      <c r="CX381">
        <f>ROUND(Y381*Source!I317,9)</f>
        <v>19.293119999999998</v>
      </c>
      <c r="CY381">
        <f>AB381</f>
        <v>868.34</v>
      </c>
      <c r="CZ381">
        <f>AF381</f>
        <v>93.37</v>
      </c>
      <c r="DA381">
        <f>AJ381</f>
        <v>9.3000000000000007</v>
      </c>
      <c r="DB381">
        <f>ROUND((ROUND(AT381*CZ381,2)*1.12),2)</f>
        <v>34.51</v>
      </c>
      <c r="DC381">
        <f>ROUND((ROUND(AT381*AG381,2)*1.12),2)</f>
        <v>4.32</v>
      </c>
      <c r="DD381" t="s">
        <v>6</v>
      </c>
      <c r="DE381" t="s">
        <v>6</v>
      </c>
      <c r="DF381">
        <f t="shared" si="155"/>
        <v>0</v>
      </c>
      <c r="DG381">
        <f>ROUND(ROUND(AF381*AJ381,0)*CX381,0)</f>
        <v>16746</v>
      </c>
      <c r="DH381">
        <f>Source!I317*SmtRes!Y381</f>
        <v>19.293120000000002</v>
      </c>
      <c r="DI381">
        <f>AB381</f>
        <v>868.34</v>
      </c>
      <c r="DJ381">
        <f>EtalonRes!Z306</f>
        <v>93.37</v>
      </c>
      <c r="DK381">
        <f>Source!BB317</f>
        <v>9.3000000000000007</v>
      </c>
      <c r="DL381" t="s">
        <v>6</v>
      </c>
      <c r="DM381">
        <v>0</v>
      </c>
      <c r="DN381" t="s">
        <v>6</v>
      </c>
      <c r="DO381">
        <v>0</v>
      </c>
      <c r="GQ381">
        <v>-1</v>
      </c>
      <c r="GR381">
        <v>-1</v>
      </c>
    </row>
    <row r="382" spans="1:200" x14ac:dyDescent="0.2">
      <c r="A382">
        <f>ROW(Source!A317)</f>
        <v>317</v>
      </c>
      <c r="B382">
        <v>86326988</v>
      </c>
      <c r="C382">
        <v>86327662</v>
      </c>
      <c r="D382">
        <v>27378580</v>
      </c>
      <c r="E382">
        <v>1</v>
      </c>
      <c r="F382">
        <v>1</v>
      </c>
      <c r="G382">
        <v>1</v>
      </c>
      <c r="H382">
        <v>3</v>
      </c>
      <c r="I382" t="s">
        <v>31</v>
      </c>
      <c r="J382" t="s">
        <v>34</v>
      </c>
      <c r="K382" t="s">
        <v>32</v>
      </c>
      <c r="L382">
        <v>1348</v>
      </c>
      <c r="N382">
        <v>1009</v>
      </c>
      <c r="O382" t="s">
        <v>33</v>
      </c>
      <c r="P382" t="s">
        <v>33</v>
      </c>
      <c r="Q382">
        <v>1000</v>
      </c>
      <c r="W382">
        <v>0</v>
      </c>
      <c r="X382">
        <v>2105756975</v>
      </c>
      <c r="Y382">
        <f>AT382</f>
        <v>2.6499999999999999E-4</v>
      </c>
      <c r="AA382">
        <v>71000</v>
      </c>
      <c r="AB382">
        <v>0</v>
      </c>
      <c r="AC382">
        <v>0</v>
      </c>
      <c r="AD382">
        <v>0</v>
      </c>
      <c r="AE382">
        <v>9962.5300000000007</v>
      </c>
      <c r="AF382">
        <v>0</v>
      </c>
      <c r="AG382">
        <v>0</v>
      </c>
      <c r="AH382">
        <v>0</v>
      </c>
      <c r="AI382">
        <v>7.56</v>
      </c>
      <c r="AJ382">
        <v>1</v>
      </c>
      <c r="AK382">
        <v>1</v>
      </c>
      <c r="AL382">
        <v>1</v>
      </c>
      <c r="AM382">
        <v>0</v>
      </c>
      <c r="AN382">
        <v>0</v>
      </c>
      <c r="AO382">
        <v>0</v>
      </c>
      <c r="AP382">
        <v>1</v>
      </c>
      <c r="AQ382">
        <v>0</v>
      </c>
      <c r="AR382">
        <v>0</v>
      </c>
      <c r="AS382" t="s">
        <v>6</v>
      </c>
      <c r="AT382">
        <v>2.6499999999999999E-4</v>
      </c>
      <c r="AU382" t="s">
        <v>6</v>
      </c>
      <c r="AV382">
        <v>0</v>
      </c>
      <c r="AW382">
        <v>1</v>
      </c>
      <c r="AX382">
        <v>-1</v>
      </c>
      <c r="AY382">
        <v>0</v>
      </c>
      <c r="AZ382">
        <v>0</v>
      </c>
      <c r="BA382" t="s">
        <v>6</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CV382">
        <v>0</v>
      </c>
      <c r="CW382">
        <v>0</v>
      </c>
      <c r="CX382">
        <f>ROUND(Y382*Source!I317,9)</f>
        <v>1.3833E-2</v>
      </c>
      <c r="CY382">
        <f>AA382</f>
        <v>71000</v>
      </c>
      <c r="CZ382">
        <f>AE382</f>
        <v>9962.5300000000007</v>
      </c>
      <c r="DA382">
        <f>AI382</f>
        <v>7.56</v>
      </c>
      <c r="DB382">
        <f>ROUND(ROUND(AT382*CZ382,2),2)</f>
        <v>2.64</v>
      </c>
      <c r="DC382">
        <f>ROUND(ROUND(AT382*AG382,2),2)</f>
        <v>0</v>
      </c>
      <c r="DD382" t="s">
        <v>6</v>
      </c>
      <c r="DE382" t="s">
        <v>6</v>
      </c>
      <c r="DF382">
        <f>ROUND(ROUND(AE382*AI382,0)*CX382,0)</f>
        <v>1042</v>
      </c>
      <c r="DG382">
        <f t="shared" ref="DG382:DG393" si="157">ROUND(ROUND(AF382,0)*CX382,0)</f>
        <v>0</v>
      </c>
      <c r="DH382">
        <f>Source!I317*SmtRes!Y382</f>
        <v>1.3833E-2</v>
      </c>
      <c r="DI382">
        <f>AA382</f>
        <v>71000</v>
      </c>
      <c r="DJ382">
        <f>DF382</f>
        <v>1042</v>
      </c>
      <c r="DK382">
        <f>Source!BC317</f>
        <v>7.56</v>
      </c>
      <c r="DL382" t="s">
        <v>6</v>
      </c>
      <c r="DM382">
        <v>0</v>
      </c>
      <c r="DN382" t="s">
        <v>6</v>
      </c>
      <c r="DO382">
        <v>0</v>
      </c>
      <c r="GP382">
        <v>1</v>
      </c>
      <c r="GQ382">
        <v>-1</v>
      </c>
      <c r="GR382">
        <v>-1</v>
      </c>
    </row>
    <row r="383" spans="1:200" x14ac:dyDescent="0.2">
      <c r="A383">
        <f>ROW(Source!A317)</f>
        <v>317</v>
      </c>
      <c r="B383">
        <v>86326988</v>
      </c>
      <c r="C383">
        <v>86327662</v>
      </c>
      <c r="D383">
        <v>11497593</v>
      </c>
      <c r="E383">
        <v>1</v>
      </c>
      <c r="F383">
        <v>1</v>
      </c>
      <c r="G383">
        <v>1</v>
      </c>
      <c r="H383">
        <v>3</v>
      </c>
      <c r="I383" t="s">
        <v>421</v>
      </c>
      <c r="J383" t="s">
        <v>424</v>
      </c>
      <c r="K383" t="s">
        <v>422</v>
      </c>
      <c r="L383">
        <v>1327</v>
      </c>
      <c r="N383">
        <v>1005</v>
      </c>
      <c r="O383" t="s">
        <v>423</v>
      </c>
      <c r="P383" t="s">
        <v>423</v>
      </c>
      <c r="Q383">
        <v>1</v>
      </c>
      <c r="W383">
        <v>0</v>
      </c>
      <c r="X383">
        <v>-1952011524</v>
      </c>
      <c r="Y383">
        <f>AT383</f>
        <v>0.122</v>
      </c>
      <c r="AA383">
        <v>975</v>
      </c>
      <c r="AB383">
        <v>0</v>
      </c>
      <c r="AC383">
        <v>0</v>
      </c>
      <c r="AD383">
        <v>0</v>
      </c>
      <c r="AE383">
        <v>136.81</v>
      </c>
      <c r="AF383">
        <v>0</v>
      </c>
      <c r="AG383">
        <v>0</v>
      </c>
      <c r="AH383">
        <v>0</v>
      </c>
      <c r="AI383">
        <v>7.56</v>
      </c>
      <c r="AJ383">
        <v>1</v>
      </c>
      <c r="AK383">
        <v>1</v>
      </c>
      <c r="AL383">
        <v>1</v>
      </c>
      <c r="AM383">
        <v>0</v>
      </c>
      <c r="AN383">
        <v>0</v>
      </c>
      <c r="AO383">
        <v>0</v>
      </c>
      <c r="AP383">
        <v>1</v>
      </c>
      <c r="AQ383">
        <v>0</v>
      </c>
      <c r="AR383">
        <v>0</v>
      </c>
      <c r="AS383" t="s">
        <v>6</v>
      </c>
      <c r="AT383">
        <v>0.122</v>
      </c>
      <c r="AU383" t="s">
        <v>6</v>
      </c>
      <c r="AV383">
        <v>0</v>
      </c>
      <c r="AW383">
        <v>1</v>
      </c>
      <c r="AX383">
        <v>-1</v>
      </c>
      <c r="AY383">
        <v>0</v>
      </c>
      <c r="AZ383">
        <v>0</v>
      </c>
      <c r="BA383" t="s">
        <v>6</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CV383">
        <v>0</v>
      </c>
      <c r="CW383">
        <v>0</v>
      </c>
      <c r="CX383">
        <f>ROUND(Y383*Source!I317,9)</f>
        <v>6.3684000000000003</v>
      </c>
      <c r="CY383">
        <f>AA383</f>
        <v>975</v>
      </c>
      <c r="CZ383">
        <f>AE383</f>
        <v>136.81</v>
      </c>
      <c r="DA383">
        <f>AI383</f>
        <v>7.56</v>
      </c>
      <c r="DB383">
        <f>ROUND(ROUND(AT383*CZ383,2),2)</f>
        <v>16.690000000000001</v>
      </c>
      <c r="DC383">
        <f>ROUND(ROUND(AT383*AG383,2),2)</f>
        <v>0</v>
      </c>
      <c r="DD383" t="s">
        <v>6</v>
      </c>
      <c r="DE383" t="s">
        <v>6</v>
      </c>
      <c r="DF383">
        <f>ROUND(ROUND(AE383*AI383,0)*CX383,0)</f>
        <v>6585</v>
      </c>
      <c r="DG383">
        <f t="shared" si="157"/>
        <v>0</v>
      </c>
      <c r="DH383">
        <f>Source!I317*SmtRes!Y383</f>
        <v>6.3684000000000003</v>
      </c>
      <c r="DI383">
        <f>AA383</f>
        <v>975</v>
      </c>
      <c r="DJ383">
        <f>DF383</f>
        <v>6585</v>
      </c>
      <c r="DK383">
        <f>Source!BC317</f>
        <v>7.56</v>
      </c>
      <c r="DL383" t="s">
        <v>6</v>
      </c>
      <c r="DM383">
        <v>0</v>
      </c>
      <c r="DN383" t="s">
        <v>6</v>
      </c>
      <c r="DO383">
        <v>0</v>
      </c>
      <c r="GP383">
        <v>1</v>
      </c>
      <c r="GQ383">
        <v>-1</v>
      </c>
      <c r="GR383">
        <v>-1</v>
      </c>
    </row>
    <row r="384" spans="1:200" x14ac:dyDescent="0.2">
      <c r="A384">
        <f>ROW(Source!A317)</f>
        <v>317</v>
      </c>
      <c r="B384">
        <v>86326988</v>
      </c>
      <c r="C384">
        <v>86327662</v>
      </c>
      <c r="D384">
        <v>27379786</v>
      </c>
      <c r="E384">
        <v>1</v>
      </c>
      <c r="F384">
        <v>1</v>
      </c>
      <c r="G384">
        <v>1</v>
      </c>
      <c r="H384">
        <v>3</v>
      </c>
      <c r="I384" t="s">
        <v>42</v>
      </c>
      <c r="J384" t="s">
        <v>45</v>
      </c>
      <c r="K384" t="s">
        <v>43</v>
      </c>
      <c r="L384">
        <v>1339</v>
      </c>
      <c r="N384">
        <v>1007</v>
      </c>
      <c r="O384" t="s">
        <v>44</v>
      </c>
      <c r="P384" t="s">
        <v>44</v>
      </c>
      <c r="Q384">
        <v>1</v>
      </c>
      <c r="W384">
        <v>0</v>
      </c>
      <c r="X384">
        <v>703937141</v>
      </c>
      <c r="Y384">
        <f>AT384</f>
        <v>8.9870000000000002E-3</v>
      </c>
      <c r="AA384">
        <v>16666.669999999998</v>
      </c>
      <c r="AB384">
        <v>0</v>
      </c>
      <c r="AC384">
        <v>0</v>
      </c>
      <c r="AD384">
        <v>0</v>
      </c>
      <c r="AE384">
        <v>2338.63</v>
      </c>
      <c r="AF384">
        <v>0</v>
      </c>
      <c r="AG384">
        <v>0</v>
      </c>
      <c r="AH384">
        <v>0</v>
      </c>
      <c r="AI384">
        <v>7.56</v>
      </c>
      <c r="AJ384">
        <v>1</v>
      </c>
      <c r="AK384">
        <v>1</v>
      </c>
      <c r="AL384">
        <v>1</v>
      </c>
      <c r="AM384">
        <v>0</v>
      </c>
      <c r="AN384">
        <v>0</v>
      </c>
      <c r="AO384">
        <v>0</v>
      </c>
      <c r="AP384">
        <v>1</v>
      </c>
      <c r="AQ384">
        <v>0</v>
      </c>
      <c r="AR384">
        <v>0</v>
      </c>
      <c r="AS384" t="s">
        <v>6</v>
      </c>
      <c r="AT384">
        <v>8.9870000000000002E-3</v>
      </c>
      <c r="AU384" t="s">
        <v>6</v>
      </c>
      <c r="AV384">
        <v>0</v>
      </c>
      <c r="AW384">
        <v>2</v>
      </c>
      <c r="AX384">
        <v>86327679</v>
      </c>
      <c r="AY384">
        <v>1</v>
      </c>
      <c r="AZ384">
        <v>22528</v>
      </c>
      <c r="BA384">
        <v>308</v>
      </c>
      <c r="BB384">
        <v>3</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CV384">
        <v>0</v>
      </c>
      <c r="CW384">
        <v>0</v>
      </c>
      <c r="CX384">
        <f>ROUND(Y384*Source!I317,9)</f>
        <v>0.46912140000000002</v>
      </c>
      <c r="CY384">
        <f>AA384</f>
        <v>16666.669999999998</v>
      </c>
      <c r="CZ384">
        <f>AE384</f>
        <v>2338.63</v>
      </c>
      <c r="DA384">
        <f>AI384</f>
        <v>7.56</v>
      </c>
      <c r="DB384">
        <f>ROUND(ROUND(AT384*CZ384,2),2)</f>
        <v>21.02</v>
      </c>
      <c r="DC384">
        <f>ROUND(ROUND(AT384*AG384,2),2)</f>
        <v>0</v>
      </c>
      <c r="DD384" t="s">
        <v>6</v>
      </c>
      <c r="DE384" t="s">
        <v>6</v>
      </c>
      <c r="DF384">
        <f>ROUND(ROUND(AE384*AI384,0)*CX384,0)</f>
        <v>8294</v>
      </c>
      <c r="DG384">
        <f t="shared" si="157"/>
        <v>0</v>
      </c>
      <c r="DH384">
        <f>Source!I317*SmtRes!Y384</f>
        <v>0.46912140000000002</v>
      </c>
      <c r="DI384">
        <f>AA384</f>
        <v>16666.669999999998</v>
      </c>
      <c r="DJ384">
        <f>EtalonRes!Y308</f>
        <v>1100</v>
      </c>
      <c r="DK384">
        <f>Source!BC317</f>
        <v>7.56</v>
      </c>
      <c r="DL384" t="s">
        <v>6</v>
      </c>
      <c r="DM384">
        <v>0</v>
      </c>
      <c r="DN384" t="s">
        <v>6</v>
      </c>
      <c r="DO384">
        <v>0</v>
      </c>
      <c r="GP384">
        <v>1</v>
      </c>
      <c r="GQ384">
        <v>-1</v>
      </c>
      <c r="GR384">
        <v>-1</v>
      </c>
    </row>
    <row r="385" spans="1:200" x14ac:dyDescent="0.2">
      <c r="A385">
        <f>ROW(Source!A324)</f>
        <v>324</v>
      </c>
      <c r="B385">
        <v>86326987</v>
      </c>
      <c r="C385">
        <v>86327683</v>
      </c>
      <c r="D385">
        <v>5511010</v>
      </c>
      <c r="E385">
        <v>1</v>
      </c>
      <c r="F385">
        <v>1</v>
      </c>
      <c r="G385">
        <v>1</v>
      </c>
      <c r="H385">
        <v>1</v>
      </c>
      <c r="I385" t="s">
        <v>640</v>
      </c>
      <c r="J385" t="s">
        <v>6</v>
      </c>
      <c r="K385" t="s">
        <v>641</v>
      </c>
      <c r="L385">
        <v>1369</v>
      </c>
      <c r="N385">
        <v>1013</v>
      </c>
      <c r="O385" t="s">
        <v>625</v>
      </c>
      <c r="P385" t="s">
        <v>625</v>
      </c>
      <c r="Q385">
        <v>1</v>
      </c>
      <c r="W385">
        <v>0</v>
      </c>
      <c r="X385">
        <v>-1977858316</v>
      </c>
      <c r="Y385">
        <f>(AT385*1.05)</f>
        <v>93.338700000000003</v>
      </c>
      <c r="AA385">
        <v>0</v>
      </c>
      <c r="AB385">
        <v>0</v>
      </c>
      <c r="AC385">
        <v>0</v>
      </c>
      <c r="AD385">
        <v>11.92</v>
      </c>
      <c r="AE385">
        <v>0</v>
      </c>
      <c r="AF385">
        <v>0</v>
      </c>
      <c r="AG385">
        <v>0</v>
      </c>
      <c r="AH385">
        <v>11.92</v>
      </c>
      <c r="AI385">
        <v>1</v>
      </c>
      <c r="AJ385">
        <v>1</v>
      </c>
      <c r="AK385">
        <v>1</v>
      </c>
      <c r="AL385">
        <v>1</v>
      </c>
      <c r="AM385">
        <v>0</v>
      </c>
      <c r="AN385">
        <v>0</v>
      </c>
      <c r="AO385">
        <v>1</v>
      </c>
      <c r="AP385">
        <v>1</v>
      </c>
      <c r="AQ385">
        <v>0</v>
      </c>
      <c r="AR385">
        <v>0</v>
      </c>
      <c r="AS385" t="s">
        <v>6</v>
      </c>
      <c r="AT385">
        <v>88.894000000000005</v>
      </c>
      <c r="AU385" t="s">
        <v>25</v>
      </c>
      <c r="AV385">
        <v>1</v>
      </c>
      <c r="AW385">
        <v>2</v>
      </c>
      <c r="AX385">
        <v>86327691</v>
      </c>
      <c r="AY385">
        <v>1</v>
      </c>
      <c r="AZ385">
        <v>0</v>
      </c>
      <c r="BA385">
        <v>309</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CU385">
        <f>ROUND(AT385*Source!I324*AH385*AL385,0)</f>
        <v>3252</v>
      </c>
      <c r="CV385">
        <f>ROUND(Y385*Source!I324,9)</f>
        <v>286.47980497499998</v>
      </c>
      <c r="CW385">
        <v>0</v>
      </c>
      <c r="CX385">
        <f>ROUND(Y385*Source!I324,9)</f>
        <v>286.47980497499998</v>
      </c>
      <c r="CY385">
        <f>AD385</f>
        <v>11.92</v>
      </c>
      <c r="CZ385">
        <f>AH385</f>
        <v>11.92</v>
      </c>
      <c r="DA385">
        <f>AL385</f>
        <v>1</v>
      </c>
      <c r="DB385">
        <f>ROUND((ROUND(AT385*CZ385,2)*1.05),2)</f>
        <v>1112.5999999999999</v>
      </c>
      <c r="DC385">
        <f>ROUND((ROUND(AT385*AG385,2)*1.05),2)</f>
        <v>0</v>
      </c>
      <c r="DD385" t="s">
        <v>6</v>
      </c>
      <c r="DE385" t="s">
        <v>6</v>
      </c>
      <c r="DF385">
        <f t="shared" ref="DF385:DF396" si="158">ROUND(ROUND(AE385,0)*CX385,0)</f>
        <v>0</v>
      </c>
      <c r="DG385">
        <f t="shared" si="157"/>
        <v>0</v>
      </c>
      <c r="DH385">
        <f>Source!I324*SmtRes!Y385</f>
        <v>286.47980497499998</v>
      </c>
      <c r="DI385">
        <f>AD385</f>
        <v>11.92</v>
      </c>
      <c r="DJ385">
        <f>EtalonRes!AB309</f>
        <v>11.92</v>
      </c>
      <c r="DK385">
        <f>Source!BA324</f>
        <v>1</v>
      </c>
      <c r="DL385" t="s">
        <v>6</v>
      </c>
      <c r="DM385">
        <v>0</v>
      </c>
      <c r="DN385" t="s">
        <v>6</v>
      </c>
      <c r="DO385">
        <v>0</v>
      </c>
      <c r="GQ385">
        <v>-1</v>
      </c>
      <c r="GR385">
        <v>-1</v>
      </c>
    </row>
    <row r="386" spans="1:200" x14ac:dyDescent="0.2">
      <c r="A386">
        <f>ROW(Source!A324)</f>
        <v>324</v>
      </c>
      <c r="B386">
        <v>86326987</v>
      </c>
      <c r="C386">
        <v>86327683</v>
      </c>
      <c r="D386">
        <v>121548</v>
      </c>
      <c r="E386">
        <v>1</v>
      </c>
      <c r="F386">
        <v>1</v>
      </c>
      <c r="G386">
        <v>1</v>
      </c>
      <c r="H386">
        <v>1</v>
      </c>
      <c r="I386" t="s">
        <v>40</v>
      </c>
      <c r="J386" t="s">
        <v>6</v>
      </c>
      <c r="K386" t="s">
        <v>626</v>
      </c>
      <c r="L386">
        <v>608254</v>
      </c>
      <c r="N386">
        <v>1013</v>
      </c>
      <c r="O386" t="s">
        <v>627</v>
      </c>
      <c r="P386" t="s">
        <v>627</v>
      </c>
      <c r="Q386">
        <v>1</v>
      </c>
      <c r="W386">
        <v>0</v>
      </c>
      <c r="X386">
        <v>-185737400</v>
      </c>
      <c r="Y386">
        <f>(AT386*1.12)</f>
        <v>0.50400000000000011</v>
      </c>
      <c r="AA386">
        <v>0</v>
      </c>
      <c r="AB386">
        <v>0</v>
      </c>
      <c r="AC386">
        <v>0</v>
      </c>
      <c r="AD386">
        <v>0</v>
      </c>
      <c r="AE386">
        <v>0</v>
      </c>
      <c r="AF386">
        <v>0</v>
      </c>
      <c r="AG386">
        <v>0</v>
      </c>
      <c r="AH386">
        <v>0</v>
      </c>
      <c r="AI386">
        <v>1</v>
      </c>
      <c r="AJ386">
        <v>1</v>
      </c>
      <c r="AK386">
        <v>1</v>
      </c>
      <c r="AL386">
        <v>1</v>
      </c>
      <c r="AM386">
        <v>0</v>
      </c>
      <c r="AN386">
        <v>0</v>
      </c>
      <c r="AO386">
        <v>1</v>
      </c>
      <c r="AP386">
        <v>1</v>
      </c>
      <c r="AQ386">
        <v>0</v>
      </c>
      <c r="AR386">
        <v>0</v>
      </c>
      <c r="AS386" t="s">
        <v>6</v>
      </c>
      <c r="AT386">
        <v>0.45</v>
      </c>
      <c r="AU386" t="s">
        <v>24</v>
      </c>
      <c r="AV386">
        <v>2</v>
      </c>
      <c r="AW386">
        <v>2</v>
      </c>
      <c r="AX386">
        <v>86327692</v>
      </c>
      <c r="AY386">
        <v>1</v>
      </c>
      <c r="AZ386">
        <v>0</v>
      </c>
      <c r="BA386">
        <v>310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CV386">
        <v>0</v>
      </c>
      <c r="CW386">
        <v>0</v>
      </c>
      <c r="CX386">
        <f>ROUND(Y386*Source!I324,9)</f>
        <v>1.546902</v>
      </c>
      <c r="CY386">
        <f>AD386</f>
        <v>0</v>
      </c>
      <c r="CZ386">
        <f>AH386</f>
        <v>0</v>
      </c>
      <c r="DA386">
        <f>AL386</f>
        <v>1</v>
      </c>
      <c r="DB386">
        <f>ROUND((ROUND(AT386*CZ386,2)*1.12),2)</f>
        <v>0</v>
      </c>
      <c r="DC386">
        <f>ROUND((ROUND(AT386*AG386,2)*1.12),2)</f>
        <v>0</v>
      </c>
      <c r="DD386" t="s">
        <v>6</v>
      </c>
      <c r="DE386" t="s">
        <v>6</v>
      </c>
      <c r="DF386">
        <f t="shared" si="158"/>
        <v>0</v>
      </c>
      <c r="DG386">
        <f t="shared" si="157"/>
        <v>0</v>
      </c>
      <c r="DH386">
        <f>Source!I324*SmtRes!Y386</f>
        <v>1.5469020000000002</v>
      </c>
      <c r="DI386">
        <f>AD386</f>
        <v>0</v>
      </c>
      <c r="DJ386">
        <f>EtalonRes!AB310</f>
        <v>0</v>
      </c>
      <c r="DK386">
        <f>Source!BA324</f>
        <v>1</v>
      </c>
      <c r="DL386" t="s">
        <v>6</v>
      </c>
      <c r="DM386">
        <v>0</v>
      </c>
      <c r="DN386" t="s">
        <v>6</v>
      </c>
      <c r="DO386">
        <v>0</v>
      </c>
      <c r="GQ386">
        <v>-1</v>
      </c>
      <c r="GR386">
        <v>-1</v>
      </c>
    </row>
    <row r="387" spans="1:200" x14ac:dyDescent="0.2">
      <c r="A387">
        <f>ROW(Source!A324)</f>
        <v>324</v>
      </c>
      <c r="B387">
        <v>86326987</v>
      </c>
      <c r="C387">
        <v>86327683</v>
      </c>
      <c r="D387">
        <v>35950917</v>
      </c>
      <c r="E387">
        <v>1</v>
      </c>
      <c r="F387">
        <v>1</v>
      </c>
      <c r="G387">
        <v>1</v>
      </c>
      <c r="H387">
        <v>2</v>
      </c>
      <c r="I387" t="s">
        <v>628</v>
      </c>
      <c r="J387" t="s">
        <v>642</v>
      </c>
      <c r="K387" t="s">
        <v>643</v>
      </c>
      <c r="L387">
        <v>1368</v>
      </c>
      <c r="N387">
        <v>1011</v>
      </c>
      <c r="O387" t="s">
        <v>137</v>
      </c>
      <c r="P387" t="s">
        <v>137</v>
      </c>
      <c r="Q387">
        <v>1</v>
      </c>
      <c r="W387">
        <v>0</v>
      </c>
      <c r="X387">
        <v>1919308296</v>
      </c>
      <c r="Y387">
        <f>(AT387*1.12)</f>
        <v>0.4032</v>
      </c>
      <c r="AA387">
        <v>0</v>
      </c>
      <c r="AB387">
        <v>115.64</v>
      </c>
      <c r="AC387">
        <v>11.18</v>
      </c>
      <c r="AD387">
        <v>0</v>
      </c>
      <c r="AE387">
        <v>0</v>
      </c>
      <c r="AF387">
        <v>115.64</v>
      </c>
      <c r="AG387">
        <v>11.18</v>
      </c>
      <c r="AH387">
        <v>0</v>
      </c>
      <c r="AI387">
        <v>1</v>
      </c>
      <c r="AJ387">
        <v>1</v>
      </c>
      <c r="AK387">
        <v>1</v>
      </c>
      <c r="AL387">
        <v>1</v>
      </c>
      <c r="AM387">
        <v>0</v>
      </c>
      <c r="AN387">
        <v>0</v>
      </c>
      <c r="AO387">
        <v>1</v>
      </c>
      <c r="AP387">
        <v>1</v>
      </c>
      <c r="AQ387">
        <v>0</v>
      </c>
      <c r="AR387">
        <v>0</v>
      </c>
      <c r="AS387" t="s">
        <v>6</v>
      </c>
      <c r="AT387">
        <v>0.36</v>
      </c>
      <c r="AU387" t="s">
        <v>24</v>
      </c>
      <c r="AV387">
        <v>0</v>
      </c>
      <c r="AW387">
        <v>2</v>
      </c>
      <c r="AX387">
        <v>86327693</v>
      </c>
      <c r="AY387">
        <v>1</v>
      </c>
      <c r="AZ387">
        <v>0</v>
      </c>
      <c r="BA387">
        <v>311</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CV387">
        <v>0</v>
      </c>
      <c r="CW387">
        <f>ROUND(Y387*Source!I324*DO387,9)</f>
        <v>0</v>
      </c>
      <c r="CX387">
        <f>ROUND(Y387*Source!I324,9)</f>
        <v>1.2375216</v>
      </c>
      <c r="CY387">
        <f>AB387</f>
        <v>115.64</v>
      </c>
      <c r="CZ387">
        <f>AF387</f>
        <v>115.64</v>
      </c>
      <c r="DA387">
        <f>AJ387</f>
        <v>1</v>
      </c>
      <c r="DB387">
        <f>ROUND((ROUND(AT387*CZ387,2)*1.12),2)</f>
        <v>46.63</v>
      </c>
      <c r="DC387">
        <f>ROUND((ROUND(AT387*AG387,2)*1.12),2)</f>
        <v>4.5</v>
      </c>
      <c r="DD387" t="s">
        <v>6</v>
      </c>
      <c r="DE387" t="s">
        <v>6</v>
      </c>
      <c r="DF387">
        <f t="shared" si="158"/>
        <v>0</v>
      </c>
      <c r="DG387">
        <f t="shared" si="157"/>
        <v>144</v>
      </c>
      <c r="DH387">
        <f>Source!I324*SmtRes!Y387</f>
        <v>1.2375216</v>
      </c>
      <c r="DI387">
        <f>AB387</f>
        <v>115.64</v>
      </c>
      <c r="DJ387">
        <f>EtalonRes!Z311</f>
        <v>115.64</v>
      </c>
      <c r="DK387">
        <f>Source!BB324</f>
        <v>1</v>
      </c>
      <c r="DL387" t="s">
        <v>6</v>
      </c>
      <c r="DM387">
        <v>0</v>
      </c>
      <c r="DN387" t="s">
        <v>6</v>
      </c>
      <c r="DO387">
        <v>0</v>
      </c>
      <c r="GQ387">
        <v>-1</v>
      </c>
      <c r="GR387">
        <v>-1</v>
      </c>
    </row>
    <row r="388" spans="1:200" x14ac:dyDescent="0.2">
      <c r="A388">
        <f>ROW(Source!A324)</f>
        <v>324</v>
      </c>
      <c r="B388">
        <v>86326987</v>
      </c>
      <c r="C388">
        <v>86327683</v>
      </c>
      <c r="D388">
        <v>35950918</v>
      </c>
      <c r="E388">
        <v>1</v>
      </c>
      <c r="F388">
        <v>1</v>
      </c>
      <c r="G388">
        <v>1</v>
      </c>
      <c r="H388">
        <v>2</v>
      </c>
      <c r="I388" t="s">
        <v>631</v>
      </c>
      <c r="J388" t="s">
        <v>644</v>
      </c>
      <c r="K388" t="s">
        <v>645</v>
      </c>
      <c r="L388">
        <v>1368</v>
      </c>
      <c r="N388">
        <v>1011</v>
      </c>
      <c r="O388" t="s">
        <v>137</v>
      </c>
      <c r="P388" t="s">
        <v>137</v>
      </c>
      <c r="Q388">
        <v>1</v>
      </c>
      <c r="W388">
        <v>0</v>
      </c>
      <c r="X388">
        <v>-629854247</v>
      </c>
      <c r="Y388">
        <f>(AT388*1.12)</f>
        <v>0.1008</v>
      </c>
      <c r="AA388">
        <v>0</v>
      </c>
      <c r="AB388">
        <v>112.67</v>
      </c>
      <c r="AC388">
        <v>13.02</v>
      </c>
      <c r="AD388">
        <v>0</v>
      </c>
      <c r="AE388">
        <v>0</v>
      </c>
      <c r="AF388">
        <v>112.67</v>
      </c>
      <c r="AG388">
        <v>13.02</v>
      </c>
      <c r="AH388">
        <v>0</v>
      </c>
      <c r="AI388">
        <v>1</v>
      </c>
      <c r="AJ388">
        <v>1</v>
      </c>
      <c r="AK388">
        <v>1</v>
      </c>
      <c r="AL388">
        <v>1</v>
      </c>
      <c r="AM388">
        <v>0</v>
      </c>
      <c r="AN388">
        <v>0</v>
      </c>
      <c r="AO388">
        <v>1</v>
      </c>
      <c r="AP388">
        <v>1</v>
      </c>
      <c r="AQ388">
        <v>0</v>
      </c>
      <c r="AR388">
        <v>0</v>
      </c>
      <c r="AS388" t="s">
        <v>6</v>
      </c>
      <c r="AT388">
        <v>0.09</v>
      </c>
      <c r="AU388" t="s">
        <v>24</v>
      </c>
      <c r="AV388">
        <v>0</v>
      </c>
      <c r="AW388">
        <v>2</v>
      </c>
      <c r="AX388">
        <v>86327694</v>
      </c>
      <c r="AY388">
        <v>1</v>
      </c>
      <c r="AZ388">
        <v>0</v>
      </c>
      <c r="BA388">
        <v>312</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CV388">
        <v>0</v>
      </c>
      <c r="CW388">
        <f>ROUND(Y388*Source!I324*DO388,9)</f>
        <v>0</v>
      </c>
      <c r="CX388">
        <f>ROUND(Y388*Source!I324,9)</f>
        <v>0.3093804</v>
      </c>
      <c r="CY388">
        <f>AB388</f>
        <v>112.67</v>
      </c>
      <c r="CZ388">
        <f>AF388</f>
        <v>112.67</v>
      </c>
      <c r="DA388">
        <f>AJ388</f>
        <v>1</v>
      </c>
      <c r="DB388">
        <f>ROUND((ROUND(AT388*CZ388,2)*1.12),2)</f>
        <v>11.36</v>
      </c>
      <c r="DC388">
        <f>ROUND((ROUND(AT388*AG388,2)*1.12),2)</f>
        <v>1.31</v>
      </c>
      <c r="DD388" t="s">
        <v>6</v>
      </c>
      <c r="DE388" t="s">
        <v>6</v>
      </c>
      <c r="DF388">
        <f t="shared" si="158"/>
        <v>0</v>
      </c>
      <c r="DG388">
        <f t="shared" si="157"/>
        <v>35</v>
      </c>
      <c r="DH388">
        <f>Source!I324*SmtRes!Y388</f>
        <v>0.3093804</v>
      </c>
      <c r="DI388">
        <f>AB388</f>
        <v>112.67</v>
      </c>
      <c r="DJ388">
        <f>EtalonRes!Z312</f>
        <v>112.67</v>
      </c>
      <c r="DK388">
        <f>Source!BB324</f>
        <v>1</v>
      </c>
      <c r="DL388" t="s">
        <v>6</v>
      </c>
      <c r="DM388">
        <v>0</v>
      </c>
      <c r="DN388" t="s">
        <v>6</v>
      </c>
      <c r="DO388">
        <v>0</v>
      </c>
      <c r="GQ388">
        <v>-1</v>
      </c>
      <c r="GR388">
        <v>-1</v>
      </c>
    </row>
    <row r="389" spans="1:200" x14ac:dyDescent="0.2">
      <c r="A389">
        <f>ROW(Source!A324)</f>
        <v>324</v>
      </c>
      <c r="B389">
        <v>86326987</v>
      </c>
      <c r="C389">
        <v>86327683</v>
      </c>
      <c r="D389">
        <v>35950919</v>
      </c>
      <c r="E389">
        <v>1</v>
      </c>
      <c r="F389">
        <v>1</v>
      </c>
      <c r="G389">
        <v>1</v>
      </c>
      <c r="H389">
        <v>2</v>
      </c>
      <c r="I389" t="s">
        <v>637</v>
      </c>
      <c r="J389" t="s">
        <v>646</v>
      </c>
      <c r="K389" t="s">
        <v>639</v>
      </c>
      <c r="L389">
        <v>1368</v>
      </c>
      <c r="N389">
        <v>1011</v>
      </c>
      <c r="O389" t="s">
        <v>137</v>
      </c>
      <c r="P389" t="s">
        <v>137</v>
      </c>
      <c r="Q389">
        <v>1</v>
      </c>
      <c r="W389">
        <v>0</v>
      </c>
      <c r="X389">
        <v>-1317427794</v>
      </c>
      <c r="Y389">
        <f>(AT389*1.12)</f>
        <v>0.14560000000000001</v>
      </c>
      <c r="AA389">
        <v>0</v>
      </c>
      <c r="AB389">
        <v>93.37</v>
      </c>
      <c r="AC389">
        <v>11.69</v>
      </c>
      <c r="AD389">
        <v>0</v>
      </c>
      <c r="AE389">
        <v>0</v>
      </c>
      <c r="AF389">
        <v>93.37</v>
      </c>
      <c r="AG389">
        <v>11.69</v>
      </c>
      <c r="AH389">
        <v>0</v>
      </c>
      <c r="AI389">
        <v>1</v>
      </c>
      <c r="AJ389">
        <v>1</v>
      </c>
      <c r="AK389">
        <v>1</v>
      </c>
      <c r="AL389">
        <v>1</v>
      </c>
      <c r="AM389">
        <v>0</v>
      </c>
      <c r="AN389">
        <v>0</v>
      </c>
      <c r="AO389">
        <v>1</v>
      </c>
      <c r="AP389">
        <v>1</v>
      </c>
      <c r="AQ389">
        <v>0</v>
      </c>
      <c r="AR389">
        <v>0</v>
      </c>
      <c r="AS389" t="s">
        <v>6</v>
      </c>
      <c r="AT389">
        <v>0.13</v>
      </c>
      <c r="AU389" t="s">
        <v>24</v>
      </c>
      <c r="AV389">
        <v>0</v>
      </c>
      <c r="AW389">
        <v>2</v>
      </c>
      <c r="AX389">
        <v>86327695</v>
      </c>
      <c r="AY389">
        <v>1</v>
      </c>
      <c r="AZ389">
        <v>0</v>
      </c>
      <c r="BA389">
        <v>313</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CV389">
        <v>0</v>
      </c>
      <c r="CW389">
        <f>ROUND(Y389*Source!I324*DO389,9)</f>
        <v>0</v>
      </c>
      <c r="CX389">
        <f>ROUND(Y389*Source!I324,9)</f>
        <v>0.44688280000000002</v>
      </c>
      <c r="CY389">
        <f>AB389</f>
        <v>93.37</v>
      </c>
      <c r="CZ389">
        <f>AF389</f>
        <v>93.37</v>
      </c>
      <c r="DA389">
        <f>AJ389</f>
        <v>1</v>
      </c>
      <c r="DB389">
        <f>ROUND((ROUND(AT389*CZ389,2)*1.12),2)</f>
        <v>13.6</v>
      </c>
      <c r="DC389">
        <f>ROUND((ROUND(AT389*AG389,2)*1.12),2)</f>
        <v>1.7</v>
      </c>
      <c r="DD389" t="s">
        <v>6</v>
      </c>
      <c r="DE389" t="s">
        <v>6</v>
      </c>
      <c r="DF389">
        <f t="shared" si="158"/>
        <v>0</v>
      </c>
      <c r="DG389">
        <f t="shared" si="157"/>
        <v>42</v>
      </c>
      <c r="DH389">
        <f>Source!I324*SmtRes!Y389</f>
        <v>0.44688279999999997</v>
      </c>
      <c r="DI389">
        <f>AB389</f>
        <v>93.37</v>
      </c>
      <c r="DJ389">
        <f>EtalonRes!Z313</f>
        <v>93.37</v>
      </c>
      <c r="DK389">
        <f>Source!BB324</f>
        <v>1</v>
      </c>
      <c r="DL389" t="s">
        <v>6</v>
      </c>
      <c r="DM389">
        <v>0</v>
      </c>
      <c r="DN389" t="s">
        <v>6</v>
      </c>
      <c r="DO389">
        <v>0</v>
      </c>
      <c r="GQ389">
        <v>-1</v>
      </c>
      <c r="GR389">
        <v>-1</v>
      </c>
    </row>
    <row r="390" spans="1:200" x14ac:dyDescent="0.2">
      <c r="A390">
        <f>ROW(Source!A324)</f>
        <v>324</v>
      </c>
      <c r="B390">
        <v>86326987</v>
      </c>
      <c r="C390">
        <v>86327683</v>
      </c>
      <c r="D390">
        <v>52930020</v>
      </c>
      <c r="E390">
        <v>1</v>
      </c>
      <c r="F390">
        <v>1</v>
      </c>
      <c r="G390">
        <v>1</v>
      </c>
      <c r="H390">
        <v>3</v>
      </c>
      <c r="I390" t="s">
        <v>433</v>
      </c>
      <c r="J390" t="s">
        <v>435</v>
      </c>
      <c r="K390" t="s">
        <v>434</v>
      </c>
      <c r="L390">
        <v>1348</v>
      </c>
      <c r="N390">
        <v>1009</v>
      </c>
      <c r="O390" t="s">
        <v>33</v>
      </c>
      <c r="P390" t="s">
        <v>33</v>
      </c>
      <c r="Q390">
        <v>1000</v>
      </c>
      <c r="W390">
        <v>0</v>
      </c>
      <c r="X390">
        <v>1640638290</v>
      </c>
      <c r="Y390">
        <f>AT390</f>
        <v>0.99925059999999999</v>
      </c>
      <c r="AA390">
        <v>5243.33</v>
      </c>
      <c r="AB390">
        <v>0</v>
      </c>
      <c r="AC390">
        <v>0</v>
      </c>
      <c r="AD390">
        <v>0</v>
      </c>
      <c r="AE390">
        <v>5243.33</v>
      </c>
      <c r="AF390">
        <v>0</v>
      </c>
      <c r="AG390">
        <v>0</v>
      </c>
      <c r="AH390">
        <v>0</v>
      </c>
      <c r="AI390">
        <v>1</v>
      </c>
      <c r="AJ390">
        <v>1</v>
      </c>
      <c r="AK390">
        <v>1</v>
      </c>
      <c r="AL390">
        <v>1</v>
      </c>
      <c r="AM390">
        <v>0</v>
      </c>
      <c r="AN390">
        <v>0</v>
      </c>
      <c r="AO390">
        <v>0</v>
      </c>
      <c r="AP390">
        <v>1</v>
      </c>
      <c r="AQ390">
        <v>0</v>
      </c>
      <c r="AR390">
        <v>0</v>
      </c>
      <c r="AS390" t="s">
        <v>6</v>
      </c>
      <c r="AT390">
        <v>0.99925059999999999</v>
      </c>
      <c r="AU390" t="s">
        <v>6</v>
      </c>
      <c r="AV390">
        <v>0</v>
      </c>
      <c r="AW390">
        <v>1</v>
      </c>
      <c r="AX390">
        <v>-1</v>
      </c>
      <c r="AY390">
        <v>0</v>
      </c>
      <c r="AZ390">
        <v>0</v>
      </c>
      <c r="BA390" t="s">
        <v>6</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CV390">
        <v>0</v>
      </c>
      <c r="CW390">
        <v>0</v>
      </c>
      <c r="CX390">
        <f>ROUND(Y390*Source!I324,9)</f>
        <v>3.0669499039999999</v>
      </c>
      <c r="CY390">
        <f>AA390</f>
        <v>5243.33</v>
      </c>
      <c r="CZ390">
        <f>AE390</f>
        <v>5243.33</v>
      </c>
      <c r="DA390">
        <f>AI390</f>
        <v>1</v>
      </c>
      <c r="DB390">
        <f>ROUND(ROUND(AT390*CZ390,2),2)</f>
        <v>5239.3999999999996</v>
      </c>
      <c r="DC390">
        <f>ROUND(ROUND(AT390*AG390,2),2)</f>
        <v>0</v>
      </c>
      <c r="DD390" t="s">
        <v>6</v>
      </c>
      <c r="DE390" t="s">
        <v>6</v>
      </c>
      <c r="DF390">
        <f t="shared" si="158"/>
        <v>16080</v>
      </c>
      <c r="DG390">
        <f t="shared" si="157"/>
        <v>0</v>
      </c>
      <c r="DH390">
        <f>Source!I324*SmtRes!Y390</f>
        <v>3.0669499040499999</v>
      </c>
      <c r="DI390">
        <f>AA390</f>
        <v>5243.33</v>
      </c>
      <c r="DJ390">
        <f>DF390</f>
        <v>16080</v>
      </c>
      <c r="DK390">
        <f>Source!BC324</f>
        <v>1</v>
      </c>
      <c r="DL390" t="s">
        <v>6</v>
      </c>
      <c r="DM390">
        <v>0</v>
      </c>
      <c r="DN390" t="s">
        <v>6</v>
      </c>
      <c r="DO390">
        <v>0</v>
      </c>
      <c r="GP390">
        <v>1</v>
      </c>
      <c r="GQ390">
        <v>-1</v>
      </c>
      <c r="GR390">
        <v>-1</v>
      </c>
    </row>
    <row r="391" spans="1:200" x14ac:dyDescent="0.2">
      <c r="A391">
        <f>ROW(Source!A324)</f>
        <v>324</v>
      </c>
      <c r="B391">
        <v>86326987</v>
      </c>
      <c r="C391">
        <v>86327683</v>
      </c>
      <c r="D391">
        <v>69208321</v>
      </c>
      <c r="E391">
        <v>1</v>
      </c>
      <c r="F391">
        <v>1</v>
      </c>
      <c r="G391">
        <v>1</v>
      </c>
      <c r="H391">
        <v>3</v>
      </c>
      <c r="I391" t="s">
        <v>438</v>
      </c>
      <c r="J391" t="s">
        <v>440</v>
      </c>
      <c r="K391" t="s">
        <v>439</v>
      </c>
      <c r="L391">
        <v>1348</v>
      </c>
      <c r="N391">
        <v>1009</v>
      </c>
      <c r="O391" t="s">
        <v>33</v>
      </c>
      <c r="P391" t="s">
        <v>33</v>
      </c>
      <c r="Q391">
        <v>1000</v>
      </c>
      <c r="W391">
        <v>0</v>
      </c>
      <c r="X391">
        <v>-1725170667</v>
      </c>
      <c r="Y391">
        <f>AT391</f>
        <v>7.494E-4</v>
      </c>
      <c r="AA391">
        <v>14346.51</v>
      </c>
      <c r="AB391">
        <v>0</v>
      </c>
      <c r="AC391">
        <v>0</v>
      </c>
      <c r="AD391">
        <v>0</v>
      </c>
      <c r="AE391">
        <v>14346.51</v>
      </c>
      <c r="AF391">
        <v>0</v>
      </c>
      <c r="AG391">
        <v>0</v>
      </c>
      <c r="AH391">
        <v>0</v>
      </c>
      <c r="AI391">
        <v>1</v>
      </c>
      <c r="AJ391">
        <v>1</v>
      </c>
      <c r="AK391">
        <v>1</v>
      </c>
      <c r="AL391">
        <v>1</v>
      </c>
      <c r="AM391">
        <v>0</v>
      </c>
      <c r="AN391">
        <v>0</v>
      </c>
      <c r="AO391">
        <v>0</v>
      </c>
      <c r="AP391">
        <v>1</v>
      </c>
      <c r="AQ391">
        <v>0</v>
      </c>
      <c r="AR391">
        <v>0</v>
      </c>
      <c r="AS391" t="s">
        <v>6</v>
      </c>
      <c r="AT391">
        <v>7.494E-4</v>
      </c>
      <c r="AU391" t="s">
        <v>6</v>
      </c>
      <c r="AV391">
        <v>0</v>
      </c>
      <c r="AW391">
        <v>1</v>
      </c>
      <c r="AX391">
        <v>-1</v>
      </c>
      <c r="AY391">
        <v>0</v>
      </c>
      <c r="AZ391">
        <v>0</v>
      </c>
      <c r="BA391" t="s">
        <v>6</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CV391">
        <v>0</v>
      </c>
      <c r="CW391">
        <v>0</v>
      </c>
      <c r="CX391">
        <f>ROUND(Y391*Source!I324,9)</f>
        <v>2.3000960000000002E-3</v>
      </c>
      <c r="CY391">
        <f>AA391</f>
        <v>14346.51</v>
      </c>
      <c r="CZ391">
        <f>AE391</f>
        <v>14346.51</v>
      </c>
      <c r="DA391">
        <f>AI391</f>
        <v>1</v>
      </c>
      <c r="DB391">
        <f>ROUND(ROUND(AT391*CZ391,2),2)</f>
        <v>10.75</v>
      </c>
      <c r="DC391">
        <f>ROUND(ROUND(AT391*AG391,2),2)</f>
        <v>0</v>
      </c>
      <c r="DD391" t="s">
        <v>6</v>
      </c>
      <c r="DE391" t="s">
        <v>6</v>
      </c>
      <c r="DF391">
        <f t="shared" si="158"/>
        <v>33</v>
      </c>
      <c r="DG391">
        <f t="shared" si="157"/>
        <v>0</v>
      </c>
      <c r="DH391">
        <f>Source!I324*SmtRes!Y391</f>
        <v>2.3000959499999999E-3</v>
      </c>
      <c r="DI391">
        <f>AA391</f>
        <v>14346.51</v>
      </c>
      <c r="DJ391">
        <f>DF391</f>
        <v>33</v>
      </c>
      <c r="DK391">
        <f>Source!BC324</f>
        <v>1</v>
      </c>
      <c r="DL391" t="s">
        <v>6</v>
      </c>
      <c r="DM391">
        <v>0</v>
      </c>
      <c r="DN391" t="s">
        <v>6</v>
      </c>
      <c r="DO391">
        <v>0</v>
      </c>
      <c r="GP391">
        <v>1</v>
      </c>
      <c r="GQ391">
        <v>-1</v>
      </c>
      <c r="GR391">
        <v>-1</v>
      </c>
    </row>
    <row r="392" spans="1:200" x14ac:dyDescent="0.2">
      <c r="A392">
        <f>ROW(Source!A325)</f>
        <v>325</v>
      </c>
      <c r="B392">
        <v>86326988</v>
      </c>
      <c r="C392">
        <v>86327683</v>
      </c>
      <c r="D392">
        <v>5511010</v>
      </c>
      <c r="E392">
        <v>1</v>
      </c>
      <c r="F392">
        <v>1</v>
      </c>
      <c r="G392">
        <v>1</v>
      </c>
      <c r="H392">
        <v>1</v>
      </c>
      <c r="I392" t="s">
        <v>640</v>
      </c>
      <c r="J392" t="s">
        <v>6</v>
      </c>
      <c r="K392" t="s">
        <v>641</v>
      </c>
      <c r="L392">
        <v>1369</v>
      </c>
      <c r="N392">
        <v>1013</v>
      </c>
      <c r="O392" t="s">
        <v>625</v>
      </c>
      <c r="P392" t="s">
        <v>625</v>
      </c>
      <c r="Q392">
        <v>1</v>
      </c>
      <c r="W392">
        <v>0</v>
      </c>
      <c r="X392">
        <v>-1977858316</v>
      </c>
      <c r="Y392">
        <f>(AT392*1.05)</f>
        <v>93.338700000000003</v>
      </c>
      <c r="AA392">
        <v>0</v>
      </c>
      <c r="AB392">
        <v>0</v>
      </c>
      <c r="AC392">
        <v>0</v>
      </c>
      <c r="AD392">
        <v>302.29000000000002</v>
      </c>
      <c r="AE392">
        <v>0</v>
      </c>
      <c r="AF392">
        <v>0</v>
      </c>
      <c r="AG392">
        <v>0</v>
      </c>
      <c r="AH392">
        <v>11.92</v>
      </c>
      <c r="AI392">
        <v>1</v>
      </c>
      <c r="AJ392">
        <v>1</v>
      </c>
      <c r="AK392">
        <v>1</v>
      </c>
      <c r="AL392">
        <v>25.36</v>
      </c>
      <c r="AM392">
        <v>5</v>
      </c>
      <c r="AN392">
        <v>0</v>
      </c>
      <c r="AO392">
        <v>1</v>
      </c>
      <c r="AP392">
        <v>1</v>
      </c>
      <c r="AQ392">
        <v>0</v>
      </c>
      <c r="AR392">
        <v>0</v>
      </c>
      <c r="AS392" t="s">
        <v>6</v>
      </c>
      <c r="AT392">
        <v>88.894000000000005</v>
      </c>
      <c r="AU392" t="s">
        <v>25</v>
      </c>
      <c r="AV392">
        <v>1</v>
      </c>
      <c r="AW392">
        <v>2</v>
      </c>
      <c r="AX392">
        <v>86327691</v>
      </c>
      <c r="AY392">
        <v>1</v>
      </c>
      <c r="AZ392">
        <v>0</v>
      </c>
      <c r="BA392">
        <v>316</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CU392">
        <f>ROUND(AT392*Source!I325*AH392*AL392,0)</f>
        <v>82476</v>
      </c>
      <c r="CV392">
        <f>ROUND(Y392*Source!I325,9)</f>
        <v>286.47980497499998</v>
      </c>
      <c r="CW392">
        <v>0</v>
      </c>
      <c r="CX392">
        <f>ROUND(Y392*Source!I325,9)</f>
        <v>286.47980497499998</v>
      </c>
      <c r="CY392">
        <f>AD392</f>
        <v>302.29000000000002</v>
      </c>
      <c r="CZ392">
        <f>AH392</f>
        <v>11.92</v>
      </c>
      <c r="DA392">
        <f>AL392</f>
        <v>25.36</v>
      </c>
      <c r="DB392">
        <f>ROUND((ROUND(AT392*CZ392,2)*1.05),2)</f>
        <v>1112.5999999999999</v>
      </c>
      <c r="DC392">
        <f>ROUND((ROUND(AT392*AG392,2)*1.05),2)</f>
        <v>0</v>
      </c>
      <c r="DD392" t="s">
        <v>6</v>
      </c>
      <c r="DE392" t="s">
        <v>6</v>
      </c>
      <c r="DF392">
        <f t="shared" si="158"/>
        <v>0</v>
      </c>
      <c r="DG392">
        <f t="shared" si="157"/>
        <v>0</v>
      </c>
      <c r="DH392">
        <f>Source!I325*SmtRes!Y392</f>
        <v>286.47980497499998</v>
      </c>
      <c r="DI392">
        <f>AD392</f>
        <v>302.29000000000002</v>
      </c>
      <c r="DJ392">
        <f>EtalonRes!AB316</f>
        <v>11.92</v>
      </c>
      <c r="DK392">
        <f>Source!BA325</f>
        <v>25.36</v>
      </c>
      <c r="DL392" t="s">
        <v>6</v>
      </c>
      <c r="DM392">
        <v>0</v>
      </c>
      <c r="DN392" t="s">
        <v>6</v>
      </c>
      <c r="DO392">
        <v>0</v>
      </c>
      <c r="GQ392">
        <v>-1</v>
      </c>
      <c r="GR392">
        <v>-1</v>
      </c>
    </row>
    <row r="393" spans="1:200" x14ac:dyDescent="0.2">
      <c r="A393">
        <f>ROW(Source!A325)</f>
        <v>325</v>
      </c>
      <c r="B393">
        <v>86326988</v>
      </c>
      <c r="C393">
        <v>86327683</v>
      </c>
      <c r="D393">
        <v>121548</v>
      </c>
      <c r="E393">
        <v>1</v>
      </c>
      <c r="F393">
        <v>1</v>
      </c>
      <c r="G393">
        <v>1</v>
      </c>
      <c r="H393">
        <v>1</v>
      </c>
      <c r="I393" t="s">
        <v>40</v>
      </c>
      <c r="J393" t="s">
        <v>6</v>
      </c>
      <c r="K393" t="s">
        <v>626</v>
      </c>
      <c r="L393">
        <v>608254</v>
      </c>
      <c r="N393">
        <v>1013</v>
      </c>
      <c r="O393" t="s">
        <v>627</v>
      </c>
      <c r="P393" t="s">
        <v>627</v>
      </c>
      <c r="Q393">
        <v>1</v>
      </c>
      <c r="W393">
        <v>0</v>
      </c>
      <c r="X393">
        <v>-185737400</v>
      </c>
      <c r="Y393">
        <f>(AT393*1.12)</f>
        <v>0.50400000000000011</v>
      </c>
      <c r="AA393">
        <v>0</v>
      </c>
      <c r="AB393">
        <v>0</v>
      </c>
      <c r="AC393">
        <v>0</v>
      </c>
      <c r="AD393">
        <v>0</v>
      </c>
      <c r="AE393">
        <v>0</v>
      </c>
      <c r="AF393">
        <v>0</v>
      </c>
      <c r="AG393">
        <v>0</v>
      </c>
      <c r="AH393">
        <v>0</v>
      </c>
      <c r="AI393">
        <v>1</v>
      </c>
      <c r="AJ393">
        <v>1</v>
      </c>
      <c r="AK393">
        <v>19.8</v>
      </c>
      <c r="AL393">
        <v>1</v>
      </c>
      <c r="AM393">
        <v>5</v>
      </c>
      <c r="AN393">
        <v>0</v>
      </c>
      <c r="AO393">
        <v>1</v>
      </c>
      <c r="AP393">
        <v>1</v>
      </c>
      <c r="AQ393">
        <v>0</v>
      </c>
      <c r="AR393">
        <v>0</v>
      </c>
      <c r="AS393" t="s">
        <v>6</v>
      </c>
      <c r="AT393">
        <v>0.45</v>
      </c>
      <c r="AU393" t="s">
        <v>24</v>
      </c>
      <c r="AV393">
        <v>2</v>
      </c>
      <c r="AW393">
        <v>2</v>
      </c>
      <c r="AX393">
        <v>86327692</v>
      </c>
      <c r="AY393">
        <v>1</v>
      </c>
      <c r="AZ393">
        <v>0</v>
      </c>
      <c r="BA393">
        <v>317</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CV393">
        <v>0</v>
      </c>
      <c r="CW393">
        <v>0</v>
      </c>
      <c r="CX393">
        <f>ROUND(Y393*Source!I325,9)</f>
        <v>1.546902</v>
      </c>
      <c r="CY393">
        <f>AD393</f>
        <v>0</v>
      </c>
      <c r="CZ393">
        <f>AH393</f>
        <v>0</v>
      </c>
      <c r="DA393">
        <f>AL393</f>
        <v>1</v>
      </c>
      <c r="DB393">
        <f>ROUND((ROUND(AT393*CZ393,2)*1.12),2)</f>
        <v>0</v>
      </c>
      <c r="DC393">
        <f>ROUND((ROUND(AT393*AG393,2)*1.12),2)</f>
        <v>0</v>
      </c>
      <c r="DD393" t="s">
        <v>6</v>
      </c>
      <c r="DE393" t="s">
        <v>6</v>
      </c>
      <c r="DF393">
        <f t="shared" si="158"/>
        <v>0</v>
      </c>
      <c r="DG393">
        <f t="shared" si="157"/>
        <v>0</v>
      </c>
      <c r="DH393">
        <f>Source!I325*SmtRes!Y393</f>
        <v>1.5469020000000002</v>
      </c>
      <c r="DI393">
        <f>AD393</f>
        <v>0</v>
      </c>
      <c r="DJ393">
        <f>EtalonRes!AB317</f>
        <v>0</v>
      </c>
      <c r="DK393">
        <f>Source!BA325</f>
        <v>25.36</v>
      </c>
      <c r="DL393" t="s">
        <v>6</v>
      </c>
      <c r="DM393">
        <v>0</v>
      </c>
      <c r="DN393" t="s">
        <v>6</v>
      </c>
      <c r="DO393">
        <v>0</v>
      </c>
      <c r="GQ393">
        <v>-1</v>
      </c>
      <c r="GR393">
        <v>-1</v>
      </c>
    </row>
    <row r="394" spans="1:200" x14ac:dyDescent="0.2">
      <c r="A394">
        <f>ROW(Source!A325)</f>
        <v>325</v>
      </c>
      <c r="B394">
        <v>86326988</v>
      </c>
      <c r="C394">
        <v>86327683</v>
      </c>
      <c r="D394">
        <v>35950917</v>
      </c>
      <c r="E394">
        <v>1</v>
      </c>
      <c r="F394">
        <v>1</v>
      </c>
      <c r="G394">
        <v>1</v>
      </c>
      <c r="H394">
        <v>2</v>
      </c>
      <c r="I394" t="s">
        <v>628</v>
      </c>
      <c r="J394" t="s">
        <v>642</v>
      </c>
      <c r="K394" t="s">
        <v>643</v>
      </c>
      <c r="L394">
        <v>1368</v>
      </c>
      <c r="N394">
        <v>1011</v>
      </c>
      <c r="O394" t="s">
        <v>137</v>
      </c>
      <c r="P394" t="s">
        <v>137</v>
      </c>
      <c r="Q394">
        <v>1</v>
      </c>
      <c r="W394">
        <v>0</v>
      </c>
      <c r="X394">
        <v>1919308296</v>
      </c>
      <c r="Y394">
        <f>(AT394*1.12)</f>
        <v>0.4032</v>
      </c>
      <c r="AA394">
        <v>0</v>
      </c>
      <c r="AB394">
        <v>906.62</v>
      </c>
      <c r="AC394">
        <v>221.36</v>
      </c>
      <c r="AD394">
        <v>0</v>
      </c>
      <c r="AE394">
        <v>0</v>
      </c>
      <c r="AF394">
        <v>115.64</v>
      </c>
      <c r="AG394">
        <v>11.18</v>
      </c>
      <c r="AH394">
        <v>0</v>
      </c>
      <c r="AI394">
        <v>1</v>
      </c>
      <c r="AJ394">
        <v>7.84</v>
      </c>
      <c r="AK394">
        <v>19.8</v>
      </c>
      <c r="AL394">
        <v>1</v>
      </c>
      <c r="AM394">
        <v>5</v>
      </c>
      <c r="AN394">
        <v>0</v>
      </c>
      <c r="AO394">
        <v>1</v>
      </c>
      <c r="AP394">
        <v>1</v>
      </c>
      <c r="AQ394">
        <v>0</v>
      </c>
      <c r="AR394">
        <v>0</v>
      </c>
      <c r="AS394" t="s">
        <v>6</v>
      </c>
      <c r="AT394">
        <v>0.36</v>
      </c>
      <c r="AU394" t="s">
        <v>24</v>
      </c>
      <c r="AV394">
        <v>0</v>
      </c>
      <c r="AW394">
        <v>2</v>
      </c>
      <c r="AX394">
        <v>86327693</v>
      </c>
      <c r="AY394">
        <v>1</v>
      </c>
      <c r="AZ394">
        <v>0</v>
      </c>
      <c r="BA394">
        <v>318</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CV394">
        <v>0</v>
      </c>
      <c r="CW394">
        <f>ROUND(Y394*Source!I325*DO394,9)</f>
        <v>0</v>
      </c>
      <c r="CX394">
        <f>ROUND(Y394*Source!I325,9)</f>
        <v>1.2375216</v>
      </c>
      <c r="CY394">
        <f>AB394</f>
        <v>906.62</v>
      </c>
      <c r="CZ394">
        <f>AF394</f>
        <v>115.64</v>
      </c>
      <c r="DA394">
        <f>AJ394</f>
        <v>7.84</v>
      </c>
      <c r="DB394">
        <f>ROUND((ROUND(AT394*CZ394,2)*1.12),2)</f>
        <v>46.63</v>
      </c>
      <c r="DC394">
        <f>ROUND((ROUND(AT394*AG394,2)*1.12),2)</f>
        <v>4.5</v>
      </c>
      <c r="DD394" t="s">
        <v>6</v>
      </c>
      <c r="DE394" t="s">
        <v>6</v>
      </c>
      <c r="DF394">
        <f t="shared" si="158"/>
        <v>0</v>
      </c>
      <c r="DG394">
        <f>ROUND(ROUND(AF394*AJ394,0)*CX394,0)</f>
        <v>1122</v>
      </c>
      <c r="DH394">
        <f>Source!I325*SmtRes!Y394</f>
        <v>1.2375216</v>
      </c>
      <c r="DI394">
        <f>AB394</f>
        <v>906.62</v>
      </c>
      <c r="DJ394">
        <f>EtalonRes!Z318</f>
        <v>115.64</v>
      </c>
      <c r="DK394">
        <f>Source!BB325</f>
        <v>7.84</v>
      </c>
      <c r="DL394" t="s">
        <v>6</v>
      </c>
      <c r="DM394">
        <v>0</v>
      </c>
      <c r="DN394" t="s">
        <v>6</v>
      </c>
      <c r="DO394">
        <v>0</v>
      </c>
      <c r="GQ394">
        <v>-1</v>
      </c>
      <c r="GR394">
        <v>-1</v>
      </c>
    </row>
    <row r="395" spans="1:200" x14ac:dyDescent="0.2">
      <c r="A395">
        <f>ROW(Source!A325)</f>
        <v>325</v>
      </c>
      <c r="B395">
        <v>86326988</v>
      </c>
      <c r="C395">
        <v>86327683</v>
      </c>
      <c r="D395">
        <v>35950918</v>
      </c>
      <c r="E395">
        <v>1</v>
      </c>
      <c r="F395">
        <v>1</v>
      </c>
      <c r="G395">
        <v>1</v>
      </c>
      <c r="H395">
        <v>2</v>
      </c>
      <c r="I395" t="s">
        <v>631</v>
      </c>
      <c r="J395" t="s">
        <v>644</v>
      </c>
      <c r="K395" t="s">
        <v>645</v>
      </c>
      <c r="L395">
        <v>1368</v>
      </c>
      <c r="N395">
        <v>1011</v>
      </c>
      <c r="O395" t="s">
        <v>137</v>
      </c>
      <c r="P395" t="s">
        <v>137</v>
      </c>
      <c r="Q395">
        <v>1</v>
      </c>
      <c r="W395">
        <v>0</v>
      </c>
      <c r="X395">
        <v>-629854247</v>
      </c>
      <c r="Y395">
        <f>(AT395*1.12)</f>
        <v>0.1008</v>
      </c>
      <c r="AA395">
        <v>0</v>
      </c>
      <c r="AB395">
        <v>883.33</v>
      </c>
      <c r="AC395">
        <v>257.8</v>
      </c>
      <c r="AD395">
        <v>0</v>
      </c>
      <c r="AE395">
        <v>0</v>
      </c>
      <c r="AF395">
        <v>112.67</v>
      </c>
      <c r="AG395">
        <v>13.02</v>
      </c>
      <c r="AH395">
        <v>0</v>
      </c>
      <c r="AI395">
        <v>1</v>
      </c>
      <c r="AJ395">
        <v>7.84</v>
      </c>
      <c r="AK395">
        <v>19.8</v>
      </c>
      <c r="AL395">
        <v>1</v>
      </c>
      <c r="AM395">
        <v>5</v>
      </c>
      <c r="AN395">
        <v>0</v>
      </c>
      <c r="AO395">
        <v>1</v>
      </c>
      <c r="AP395">
        <v>1</v>
      </c>
      <c r="AQ395">
        <v>0</v>
      </c>
      <c r="AR395">
        <v>0</v>
      </c>
      <c r="AS395" t="s">
        <v>6</v>
      </c>
      <c r="AT395">
        <v>0.09</v>
      </c>
      <c r="AU395" t="s">
        <v>24</v>
      </c>
      <c r="AV395">
        <v>0</v>
      </c>
      <c r="AW395">
        <v>2</v>
      </c>
      <c r="AX395">
        <v>86327694</v>
      </c>
      <c r="AY395">
        <v>1</v>
      </c>
      <c r="AZ395">
        <v>0</v>
      </c>
      <c r="BA395">
        <v>319</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CV395">
        <v>0</v>
      </c>
      <c r="CW395">
        <f>ROUND(Y395*Source!I325*DO395,9)</f>
        <v>0</v>
      </c>
      <c r="CX395">
        <f>ROUND(Y395*Source!I325,9)</f>
        <v>0.3093804</v>
      </c>
      <c r="CY395">
        <f>AB395</f>
        <v>883.33</v>
      </c>
      <c r="CZ395">
        <f>AF395</f>
        <v>112.67</v>
      </c>
      <c r="DA395">
        <f>AJ395</f>
        <v>7.84</v>
      </c>
      <c r="DB395">
        <f>ROUND((ROUND(AT395*CZ395,2)*1.12),2)</f>
        <v>11.36</v>
      </c>
      <c r="DC395">
        <f>ROUND((ROUND(AT395*AG395,2)*1.12),2)</f>
        <v>1.31</v>
      </c>
      <c r="DD395" t="s">
        <v>6</v>
      </c>
      <c r="DE395" t="s">
        <v>6</v>
      </c>
      <c r="DF395">
        <f t="shared" si="158"/>
        <v>0</v>
      </c>
      <c r="DG395">
        <f>ROUND(ROUND(AF395*AJ395,0)*CX395,0)</f>
        <v>273</v>
      </c>
      <c r="DH395">
        <f>Source!I325*SmtRes!Y395</f>
        <v>0.3093804</v>
      </c>
      <c r="DI395">
        <f>AB395</f>
        <v>883.33</v>
      </c>
      <c r="DJ395">
        <f>EtalonRes!Z319</f>
        <v>112.67</v>
      </c>
      <c r="DK395">
        <f>Source!BB325</f>
        <v>7.84</v>
      </c>
      <c r="DL395" t="s">
        <v>6</v>
      </c>
      <c r="DM395">
        <v>0</v>
      </c>
      <c r="DN395" t="s">
        <v>6</v>
      </c>
      <c r="DO395">
        <v>0</v>
      </c>
      <c r="GQ395">
        <v>-1</v>
      </c>
      <c r="GR395">
        <v>-1</v>
      </c>
    </row>
    <row r="396" spans="1:200" x14ac:dyDescent="0.2">
      <c r="A396">
        <f>ROW(Source!A325)</f>
        <v>325</v>
      </c>
      <c r="B396">
        <v>86326988</v>
      </c>
      <c r="C396">
        <v>86327683</v>
      </c>
      <c r="D396">
        <v>35950919</v>
      </c>
      <c r="E396">
        <v>1</v>
      </c>
      <c r="F396">
        <v>1</v>
      </c>
      <c r="G396">
        <v>1</v>
      </c>
      <c r="H396">
        <v>2</v>
      </c>
      <c r="I396" t="s">
        <v>637</v>
      </c>
      <c r="J396" t="s">
        <v>646</v>
      </c>
      <c r="K396" t="s">
        <v>639</v>
      </c>
      <c r="L396">
        <v>1368</v>
      </c>
      <c r="N396">
        <v>1011</v>
      </c>
      <c r="O396" t="s">
        <v>137</v>
      </c>
      <c r="P396" t="s">
        <v>137</v>
      </c>
      <c r="Q396">
        <v>1</v>
      </c>
      <c r="W396">
        <v>0</v>
      </c>
      <c r="X396">
        <v>-1317427794</v>
      </c>
      <c r="Y396">
        <f>(AT396*1.12)</f>
        <v>0.14560000000000001</v>
      </c>
      <c r="AA396">
        <v>0</v>
      </c>
      <c r="AB396">
        <v>732.02</v>
      </c>
      <c r="AC396">
        <v>231.46</v>
      </c>
      <c r="AD396">
        <v>0</v>
      </c>
      <c r="AE396">
        <v>0</v>
      </c>
      <c r="AF396">
        <v>93.37</v>
      </c>
      <c r="AG396">
        <v>11.69</v>
      </c>
      <c r="AH396">
        <v>0</v>
      </c>
      <c r="AI396">
        <v>1</v>
      </c>
      <c r="AJ396">
        <v>7.84</v>
      </c>
      <c r="AK396">
        <v>19.8</v>
      </c>
      <c r="AL396">
        <v>1</v>
      </c>
      <c r="AM396">
        <v>5</v>
      </c>
      <c r="AN396">
        <v>0</v>
      </c>
      <c r="AO396">
        <v>1</v>
      </c>
      <c r="AP396">
        <v>1</v>
      </c>
      <c r="AQ396">
        <v>0</v>
      </c>
      <c r="AR396">
        <v>0</v>
      </c>
      <c r="AS396" t="s">
        <v>6</v>
      </c>
      <c r="AT396">
        <v>0.13</v>
      </c>
      <c r="AU396" t="s">
        <v>24</v>
      </c>
      <c r="AV396">
        <v>0</v>
      </c>
      <c r="AW396">
        <v>2</v>
      </c>
      <c r="AX396">
        <v>86327695</v>
      </c>
      <c r="AY396">
        <v>1</v>
      </c>
      <c r="AZ396">
        <v>0</v>
      </c>
      <c r="BA396">
        <v>320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CV396">
        <v>0</v>
      </c>
      <c r="CW396">
        <f>ROUND(Y396*Source!I325*DO396,9)</f>
        <v>0</v>
      </c>
      <c r="CX396">
        <f>ROUND(Y396*Source!I325,9)</f>
        <v>0.44688280000000002</v>
      </c>
      <c r="CY396">
        <f>AB396</f>
        <v>732.02</v>
      </c>
      <c r="CZ396">
        <f>AF396</f>
        <v>93.37</v>
      </c>
      <c r="DA396">
        <f>AJ396</f>
        <v>7.84</v>
      </c>
      <c r="DB396">
        <f>ROUND((ROUND(AT396*CZ396,2)*1.12),2)</f>
        <v>13.6</v>
      </c>
      <c r="DC396">
        <f>ROUND((ROUND(AT396*AG396,2)*1.12),2)</f>
        <v>1.7</v>
      </c>
      <c r="DD396" t="s">
        <v>6</v>
      </c>
      <c r="DE396" t="s">
        <v>6</v>
      </c>
      <c r="DF396">
        <f t="shared" si="158"/>
        <v>0</v>
      </c>
      <c r="DG396">
        <f>ROUND(ROUND(AF396*AJ396,0)*CX396,0)</f>
        <v>327</v>
      </c>
      <c r="DH396">
        <f>Source!I325*SmtRes!Y396</f>
        <v>0.44688279999999997</v>
      </c>
      <c r="DI396">
        <f>AB396</f>
        <v>732.02</v>
      </c>
      <c r="DJ396">
        <f>EtalonRes!Z320</f>
        <v>93.37</v>
      </c>
      <c r="DK396">
        <f>Source!BB325</f>
        <v>7.84</v>
      </c>
      <c r="DL396" t="s">
        <v>6</v>
      </c>
      <c r="DM396">
        <v>0</v>
      </c>
      <c r="DN396" t="s">
        <v>6</v>
      </c>
      <c r="DO396">
        <v>0</v>
      </c>
      <c r="GQ396">
        <v>-1</v>
      </c>
      <c r="GR396">
        <v>-1</v>
      </c>
    </row>
    <row r="397" spans="1:200" x14ac:dyDescent="0.2">
      <c r="A397">
        <f>ROW(Source!A325)</f>
        <v>325</v>
      </c>
      <c r="B397">
        <v>86326988</v>
      </c>
      <c r="C397">
        <v>86327683</v>
      </c>
      <c r="D397">
        <v>52930020</v>
      </c>
      <c r="E397">
        <v>1</v>
      </c>
      <c r="F397">
        <v>1</v>
      </c>
      <c r="G397">
        <v>1</v>
      </c>
      <c r="H397">
        <v>3</v>
      </c>
      <c r="I397" t="s">
        <v>433</v>
      </c>
      <c r="J397" t="s">
        <v>435</v>
      </c>
      <c r="K397" t="s">
        <v>434</v>
      </c>
      <c r="L397">
        <v>1348</v>
      </c>
      <c r="N397">
        <v>1009</v>
      </c>
      <c r="O397" t="s">
        <v>33</v>
      </c>
      <c r="P397" t="s">
        <v>33</v>
      </c>
      <c r="Q397">
        <v>1000</v>
      </c>
      <c r="W397">
        <v>0</v>
      </c>
      <c r="X397">
        <v>1640638290</v>
      </c>
      <c r="Y397">
        <f>AT397</f>
        <v>0.99925059999999999</v>
      </c>
      <c r="AA397">
        <v>59789.29</v>
      </c>
      <c r="AB397">
        <v>0</v>
      </c>
      <c r="AC397">
        <v>0</v>
      </c>
      <c r="AD397">
        <v>0</v>
      </c>
      <c r="AE397">
        <v>8286.68</v>
      </c>
      <c r="AF397">
        <v>0</v>
      </c>
      <c r="AG397">
        <v>0</v>
      </c>
      <c r="AH397">
        <v>0</v>
      </c>
      <c r="AI397">
        <v>7.56</v>
      </c>
      <c r="AJ397">
        <v>1</v>
      </c>
      <c r="AK397">
        <v>1</v>
      </c>
      <c r="AL397">
        <v>1</v>
      </c>
      <c r="AM397">
        <v>0</v>
      </c>
      <c r="AN397">
        <v>0</v>
      </c>
      <c r="AO397">
        <v>0</v>
      </c>
      <c r="AP397">
        <v>1</v>
      </c>
      <c r="AQ397">
        <v>0</v>
      </c>
      <c r="AR397">
        <v>0</v>
      </c>
      <c r="AS397" t="s">
        <v>6</v>
      </c>
      <c r="AT397">
        <v>0.99925059999999999</v>
      </c>
      <c r="AU397" t="s">
        <v>6</v>
      </c>
      <c r="AV397">
        <v>0</v>
      </c>
      <c r="AW397">
        <v>1</v>
      </c>
      <c r="AX397">
        <v>-1</v>
      </c>
      <c r="AY397">
        <v>0</v>
      </c>
      <c r="AZ397">
        <v>0</v>
      </c>
      <c r="BA397" t="s">
        <v>6</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CV397">
        <v>0</v>
      </c>
      <c r="CW397">
        <v>0</v>
      </c>
      <c r="CX397">
        <f>ROUND(Y397*Source!I325,9)</f>
        <v>3.0669499039999999</v>
      </c>
      <c r="CY397">
        <f>AA397</f>
        <v>59789.29</v>
      </c>
      <c r="CZ397">
        <f>AE397</f>
        <v>8286.68</v>
      </c>
      <c r="DA397">
        <f>AI397</f>
        <v>7.56</v>
      </c>
      <c r="DB397">
        <f>ROUND(ROUND(AT397*CZ397,2),2)</f>
        <v>8280.4699999999993</v>
      </c>
      <c r="DC397">
        <f>ROUND(ROUND(AT397*AG397,2),2)</f>
        <v>0</v>
      </c>
      <c r="DD397" t="s">
        <v>6</v>
      </c>
      <c r="DE397" t="s">
        <v>6</v>
      </c>
      <c r="DF397">
        <f>ROUND(ROUND(AE397*AI397,0)*CX397,0)</f>
        <v>192135</v>
      </c>
      <c r="DG397">
        <f t="shared" ref="DG397:DG409" si="159">ROUND(ROUND(AF397,0)*CX397,0)</f>
        <v>0</v>
      </c>
      <c r="DH397">
        <f>Source!I325*SmtRes!Y397</f>
        <v>3.0669499040499999</v>
      </c>
      <c r="DI397">
        <f>AA397</f>
        <v>59789.29</v>
      </c>
      <c r="DJ397">
        <f>DF397</f>
        <v>192135</v>
      </c>
      <c r="DK397">
        <f>Source!BC325</f>
        <v>7.56</v>
      </c>
      <c r="DL397" t="s">
        <v>6</v>
      </c>
      <c r="DM397">
        <v>0</v>
      </c>
      <c r="DN397" t="s">
        <v>6</v>
      </c>
      <c r="DO397">
        <v>0</v>
      </c>
      <c r="GP397">
        <v>1</v>
      </c>
      <c r="GQ397">
        <v>-1</v>
      </c>
      <c r="GR397">
        <v>-1</v>
      </c>
    </row>
    <row r="398" spans="1:200" x14ac:dyDescent="0.2">
      <c r="A398">
        <f>ROW(Source!A325)</f>
        <v>325</v>
      </c>
      <c r="B398">
        <v>86326988</v>
      </c>
      <c r="C398">
        <v>86327683</v>
      </c>
      <c r="D398">
        <v>69208321</v>
      </c>
      <c r="E398">
        <v>1</v>
      </c>
      <c r="F398">
        <v>1</v>
      </c>
      <c r="G398">
        <v>1</v>
      </c>
      <c r="H398">
        <v>3</v>
      </c>
      <c r="I398" t="s">
        <v>438</v>
      </c>
      <c r="J398" t="s">
        <v>440</v>
      </c>
      <c r="K398" t="s">
        <v>439</v>
      </c>
      <c r="L398">
        <v>1348</v>
      </c>
      <c r="N398">
        <v>1009</v>
      </c>
      <c r="O398" t="s">
        <v>33</v>
      </c>
      <c r="P398" t="s">
        <v>33</v>
      </c>
      <c r="Q398">
        <v>1000</v>
      </c>
      <c r="W398">
        <v>0</v>
      </c>
      <c r="X398">
        <v>-1725170667</v>
      </c>
      <c r="Y398">
        <f>AT398</f>
        <v>7.494E-4</v>
      </c>
      <c r="AA398">
        <v>108459.62</v>
      </c>
      <c r="AB398">
        <v>0</v>
      </c>
      <c r="AC398">
        <v>0</v>
      </c>
      <c r="AD398">
        <v>0</v>
      </c>
      <c r="AE398">
        <v>15032.27</v>
      </c>
      <c r="AF398">
        <v>0</v>
      </c>
      <c r="AG398">
        <v>0</v>
      </c>
      <c r="AH398">
        <v>0</v>
      </c>
      <c r="AI398">
        <v>7.56</v>
      </c>
      <c r="AJ398">
        <v>1</v>
      </c>
      <c r="AK398">
        <v>1</v>
      </c>
      <c r="AL398">
        <v>1</v>
      </c>
      <c r="AM398">
        <v>0</v>
      </c>
      <c r="AN398">
        <v>0</v>
      </c>
      <c r="AO398">
        <v>0</v>
      </c>
      <c r="AP398">
        <v>1</v>
      </c>
      <c r="AQ398">
        <v>0</v>
      </c>
      <c r="AR398">
        <v>0</v>
      </c>
      <c r="AS398" t="s">
        <v>6</v>
      </c>
      <c r="AT398">
        <v>7.494E-4</v>
      </c>
      <c r="AU398" t="s">
        <v>6</v>
      </c>
      <c r="AV398">
        <v>0</v>
      </c>
      <c r="AW398">
        <v>1</v>
      </c>
      <c r="AX398">
        <v>-1</v>
      </c>
      <c r="AY398">
        <v>0</v>
      </c>
      <c r="AZ398">
        <v>0</v>
      </c>
      <c r="BA398" t="s">
        <v>6</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CV398">
        <v>0</v>
      </c>
      <c r="CW398">
        <v>0</v>
      </c>
      <c r="CX398">
        <f>ROUND(Y398*Source!I325,9)</f>
        <v>2.3000960000000002E-3</v>
      </c>
      <c r="CY398">
        <f>AA398</f>
        <v>108459.62</v>
      </c>
      <c r="CZ398">
        <f>AE398</f>
        <v>15032.27</v>
      </c>
      <c r="DA398">
        <f>AI398</f>
        <v>7.56</v>
      </c>
      <c r="DB398">
        <f>ROUND(ROUND(AT398*CZ398,2),2)</f>
        <v>11.27</v>
      </c>
      <c r="DC398">
        <f>ROUND(ROUND(AT398*AG398,2),2)</f>
        <v>0</v>
      </c>
      <c r="DD398" t="s">
        <v>6</v>
      </c>
      <c r="DE398" t="s">
        <v>6</v>
      </c>
      <c r="DF398">
        <f>ROUND(ROUND(AE398*AI398,0)*CX398,0)</f>
        <v>261</v>
      </c>
      <c r="DG398">
        <f t="shared" si="159"/>
        <v>0</v>
      </c>
      <c r="DH398">
        <f>Source!I325*SmtRes!Y398</f>
        <v>2.3000959499999999E-3</v>
      </c>
      <c r="DI398">
        <f>AA398</f>
        <v>108459.62</v>
      </c>
      <c r="DJ398">
        <f>DF398</f>
        <v>261</v>
      </c>
      <c r="DK398">
        <f>Source!BC325</f>
        <v>7.56</v>
      </c>
      <c r="DL398" t="s">
        <v>6</v>
      </c>
      <c r="DM398">
        <v>0</v>
      </c>
      <c r="DN398" t="s">
        <v>6</v>
      </c>
      <c r="DO398">
        <v>0</v>
      </c>
      <c r="GP398">
        <v>1</v>
      </c>
      <c r="GQ398">
        <v>-1</v>
      </c>
      <c r="GR398">
        <v>-1</v>
      </c>
    </row>
    <row r="399" spans="1:200" x14ac:dyDescent="0.2">
      <c r="A399">
        <f>ROW(Source!A330)</f>
        <v>330</v>
      </c>
      <c r="B399">
        <v>86326987</v>
      </c>
      <c r="C399">
        <v>86327700</v>
      </c>
      <c r="D399">
        <v>5511010</v>
      </c>
      <c r="E399">
        <v>1</v>
      </c>
      <c r="F399">
        <v>1</v>
      </c>
      <c r="G399">
        <v>1</v>
      </c>
      <c r="H399">
        <v>1</v>
      </c>
      <c r="I399" t="s">
        <v>640</v>
      </c>
      <c r="J399" t="s">
        <v>6</v>
      </c>
      <c r="K399" t="s">
        <v>641</v>
      </c>
      <c r="L399">
        <v>1369</v>
      </c>
      <c r="N399">
        <v>1013</v>
      </c>
      <c r="O399" t="s">
        <v>625</v>
      </c>
      <c r="P399" t="s">
        <v>625</v>
      </c>
      <c r="Q399">
        <v>1</v>
      </c>
      <c r="W399">
        <v>0</v>
      </c>
      <c r="X399">
        <v>-1977858316</v>
      </c>
      <c r="Y399">
        <f>(AT399*1.05)</f>
        <v>93.338700000000003</v>
      </c>
      <c r="AA399">
        <v>0</v>
      </c>
      <c r="AB399">
        <v>0</v>
      </c>
      <c r="AC399">
        <v>0</v>
      </c>
      <c r="AD399">
        <v>11.92</v>
      </c>
      <c r="AE399">
        <v>0</v>
      </c>
      <c r="AF399">
        <v>0</v>
      </c>
      <c r="AG399">
        <v>0</v>
      </c>
      <c r="AH399">
        <v>11.92</v>
      </c>
      <c r="AI399">
        <v>1</v>
      </c>
      <c r="AJ399">
        <v>1</v>
      </c>
      <c r="AK399">
        <v>1</v>
      </c>
      <c r="AL399">
        <v>1</v>
      </c>
      <c r="AM399">
        <v>0</v>
      </c>
      <c r="AN399">
        <v>0</v>
      </c>
      <c r="AO399">
        <v>1</v>
      </c>
      <c r="AP399">
        <v>1</v>
      </c>
      <c r="AQ399">
        <v>0</v>
      </c>
      <c r="AR399">
        <v>0</v>
      </c>
      <c r="AS399" t="s">
        <v>6</v>
      </c>
      <c r="AT399">
        <v>88.894000000000005</v>
      </c>
      <c r="AU399" t="s">
        <v>25</v>
      </c>
      <c r="AV399">
        <v>1</v>
      </c>
      <c r="AW399">
        <v>2</v>
      </c>
      <c r="AX399">
        <v>86327710</v>
      </c>
      <c r="AY399">
        <v>1</v>
      </c>
      <c r="AZ399">
        <v>0</v>
      </c>
      <c r="BA399">
        <v>323</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CU399">
        <f>ROUND(AT399*Source!I330*AH399*AL399,0)</f>
        <v>8717</v>
      </c>
      <c r="CV399">
        <f>ROUND(Y399*Source!I330,9)</f>
        <v>767.87415022499999</v>
      </c>
      <c r="CW399">
        <v>0</v>
      </c>
      <c r="CX399">
        <f>ROUND(Y399*Source!I330,9)</f>
        <v>767.87415022499999</v>
      </c>
      <c r="CY399">
        <f>AD399</f>
        <v>11.92</v>
      </c>
      <c r="CZ399">
        <f>AH399</f>
        <v>11.92</v>
      </c>
      <c r="DA399">
        <f>AL399</f>
        <v>1</v>
      </c>
      <c r="DB399">
        <f>ROUND((ROUND(AT399*CZ399,2)*1.05),2)</f>
        <v>1112.5999999999999</v>
      </c>
      <c r="DC399">
        <f>ROUND((ROUND(AT399*AG399,2)*1.05),2)</f>
        <v>0</v>
      </c>
      <c r="DD399" t="s">
        <v>6</v>
      </c>
      <c r="DE399" t="s">
        <v>6</v>
      </c>
      <c r="DF399">
        <f t="shared" ref="DF399:DF412" si="160">ROUND(ROUND(AE399,0)*CX399,0)</f>
        <v>0</v>
      </c>
      <c r="DG399">
        <f t="shared" si="159"/>
        <v>0</v>
      </c>
      <c r="DH399">
        <f>Source!I330*SmtRes!Y399</f>
        <v>767.87415022499999</v>
      </c>
      <c r="DI399">
        <f>AD399</f>
        <v>11.92</v>
      </c>
      <c r="DJ399">
        <f>EtalonRes!AB323</f>
        <v>11.92</v>
      </c>
      <c r="DK399">
        <f>Source!BA330</f>
        <v>1</v>
      </c>
      <c r="DL399" t="s">
        <v>6</v>
      </c>
      <c r="DM399">
        <v>0</v>
      </c>
      <c r="DN399" t="s">
        <v>6</v>
      </c>
      <c r="DO399">
        <v>0</v>
      </c>
      <c r="GQ399">
        <v>-1</v>
      </c>
      <c r="GR399">
        <v>-1</v>
      </c>
    </row>
    <row r="400" spans="1:200" x14ac:dyDescent="0.2">
      <c r="A400">
        <f>ROW(Source!A330)</f>
        <v>330</v>
      </c>
      <c r="B400">
        <v>86326987</v>
      </c>
      <c r="C400">
        <v>86327700</v>
      </c>
      <c r="D400">
        <v>121548</v>
      </c>
      <c r="E400">
        <v>1</v>
      </c>
      <c r="F400">
        <v>1</v>
      </c>
      <c r="G400">
        <v>1</v>
      </c>
      <c r="H400">
        <v>1</v>
      </c>
      <c r="I400" t="s">
        <v>40</v>
      </c>
      <c r="J400" t="s">
        <v>6</v>
      </c>
      <c r="K400" t="s">
        <v>626</v>
      </c>
      <c r="L400">
        <v>608254</v>
      </c>
      <c r="N400">
        <v>1013</v>
      </c>
      <c r="O400" t="s">
        <v>627</v>
      </c>
      <c r="P400" t="s">
        <v>627</v>
      </c>
      <c r="Q400">
        <v>1</v>
      </c>
      <c r="W400">
        <v>0</v>
      </c>
      <c r="X400">
        <v>-185737400</v>
      </c>
      <c r="Y400">
        <f>(AT400*1.12)</f>
        <v>0.5152000000000001</v>
      </c>
      <c r="AA400">
        <v>0</v>
      </c>
      <c r="AB400">
        <v>0</v>
      </c>
      <c r="AC400">
        <v>0</v>
      </c>
      <c r="AD400">
        <v>0</v>
      </c>
      <c r="AE400">
        <v>0</v>
      </c>
      <c r="AF400">
        <v>0</v>
      </c>
      <c r="AG400">
        <v>0</v>
      </c>
      <c r="AH400">
        <v>0</v>
      </c>
      <c r="AI400">
        <v>1</v>
      </c>
      <c r="AJ400">
        <v>1</v>
      </c>
      <c r="AK400">
        <v>1</v>
      </c>
      <c r="AL400">
        <v>1</v>
      </c>
      <c r="AM400">
        <v>0</v>
      </c>
      <c r="AN400">
        <v>0</v>
      </c>
      <c r="AO400">
        <v>1</v>
      </c>
      <c r="AP400">
        <v>1</v>
      </c>
      <c r="AQ400">
        <v>0</v>
      </c>
      <c r="AR400">
        <v>0</v>
      </c>
      <c r="AS400" t="s">
        <v>6</v>
      </c>
      <c r="AT400">
        <v>0.46</v>
      </c>
      <c r="AU400" t="s">
        <v>24</v>
      </c>
      <c r="AV400">
        <v>2</v>
      </c>
      <c r="AW400">
        <v>2</v>
      </c>
      <c r="AX400">
        <v>86327711</v>
      </c>
      <c r="AY400">
        <v>1</v>
      </c>
      <c r="AZ400">
        <v>0</v>
      </c>
      <c r="BA400">
        <v>324</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CV400">
        <v>0</v>
      </c>
      <c r="CW400">
        <v>0</v>
      </c>
      <c r="CX400">
        <f>ROUND(Y400*Source!I330,9)</f>
        <v>4.2384215999999997</v>
      </c>
      <c r="CY400">
        <f>AD400</f>
        <v>0</v>
      </c>
      <c r="CZ400">
        <f>AH400</f>
        <v>0</v>
      </c>
      <c r="DA400">
        <f>AL400</f>
        <v>1</v>
      </c>
      <c r="DB400">
        <f>ROUND((ROUND(AT400*CZ400,2)*1.12),2)</f>
        <v>0</v>
      </c>
      <c r="DC400">
        <f>ROUND((ROUND(AT400*AG400,2)*1.12),2)</f>
        <v>0</v>
      </c>
      <c r="DD400" t="s">
        <v>6</v>
      </c>
      <c r="DE400" t="s">
        <v>6</v>
      </c>
      <c r="DF400">
        <f t="shared" si="160"/>
        <v>0</v>
      </c>
      <c r="DG400">
        <f t="shared" si="159"/>
        <v>0</v>
      </c>
      <c r="DH400">
        <f>Source!I330*SmtRes!Y400</f>
        <v>4.2384216000000006</v>
      </c>
      <c r="DI400">
        <f>AD400</f>
        <v>0</v>
      </c>
      <c r="DJ400">
        <f>EtalonRes!AB324</f>
        <v>0</v>
      </c>
      <c r="DK400">
        <f>Source!BA330</f>
        <v>1</v>
      </c>
      <c r="DL400" t="s">
        <v>6</v>
      </c>
      <c r="DM400">
        <v>0</v>
      </c>
      <c r="DN400" t="s">
        <v>6</v>
      </c>
      <c r="DO400">
        <v>0</v>
      </c>
      <c r="GQ400">
        <v>-1</v>
      </c>
      <c r="GR400">
        <v>-1</v>
      </c>
    </row>
    <row r="401" spans="1:200" x14ac:dyDescent="0.2">
      <c r="A401">
        <f>ROW(Source!A330)</f>
        <v>330</v>
      </c>
      <c r="B401">
        <v>86326987</v>
      </c>
      <c r="C401">
        <v>86327700</v>
      </c>
      <c r="D401">
        <v>35950917</v>
      </c>
      <c r="E401">
        <v>1</v>
      </c>
      <c r="F401">
        <v>1</v>
      </c>
      <c r="G401">
        <v>1</v>
      </c>
      <c r="H401">
        <v>2</v>
      </c>
      <c r="I401" t="s">
        <v>628</v>
      </c>
      <c r="J401" t="s">
        <v>642</v>
      </c>
      <c r="K401" t="s">
        <v>643</v>
      </c>
      <c r="L401">
        <v>1368</v>
      </c>
      <c r="N401">
        <v>1011</v>
      </c>
      <c r="O401" t="s">
        <v>137</v>
      </c>
      <c r="P401" t="s">
        <v>137</v>
      </c>
      <c r="Q401">
        <v>1</v>
      </c>
      <c r="W401">
        <v>0</v>
      </c>
      <c r="X401">
        <v>1919308296</v>
      </c>
      <c r="Y401">
        <f>(AT401*1.12)</f>
        <v>0.4032</v>
      </c>
      <c r="AA401">
        <v>0</v>
      </c>
      <c r="AB401">
        <v>115.64</v>
      </c>
      <c r="AC401">
        <v>11.18</v>
      </c>
      <c r="AD401">
        <v>0</v>
      </c>
      <c r="AE401">
        <v>0</v>
      </c>
      <c r="AF401">
        <v>115.64</v>
      </c>
      <c r="AG401">
        <v>11.18</v>
      </c>
      <c r="AH401">
        <v>0</v>
      </c>
      <c r="AI401">
        <v>1</v>
      </c>
      <c r="AJ401">
        <v>1</v>
      </c>
      <c r="AK401">
        <v>1</v>
      </c>
      <c r="AL401">
        <v>1</v>
      </c>
      <c r="AM401">
        <v>0</v>
      </c>
      <c r="AN401">
        <v>0</v>
      </c>
      <c r="AO401">
        <v>1</v>
      </c>
      <c r="AP401">
        <v>1</v>
      </c>
      <c r="AQ401">
        <v>0</v>
      </c>
      <c r="AR401">
        <v>0</v>
      </c>
      <c r="AS401" t="s">
        <v>6</v>
      </c>
      <c r="AT401">
        <v>0.36</v>
      </c>
      <c r="AU401" t="s">
        <v>24</v>
      </c>
      <c r="AV401">
        <v>0</v>
      </c>
      <c r="AW401">
        <v>2</v>
      </c>
      <c r="AX401">
        <v>86327712</v>
      </c>
      <c r="AY401">
        <v>1</v>
      </c>
      <c r="AZ401">
        <v>0</v>
      </c>
      <c r="BA401">
        <v>325</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CV401">
        <v>0</v>
      </c>
      <c r="CW401">
        <f>ROUND(Y401*Source!I330*DO401,9)</f>
        <v>0</v>
      </c>
      <c r="CX401">
        <f>ROUND(Y401*Source!I330,9)</f>
        <v>3.3170256</v>
      </c>
      <c r="CY401">
        <f>AB401</f>
        <v>115.64</v>
      </c>
      <c r="CZ401">
        <f>AF401</f>
        <v>115.64</v>
      </c>
      <c r="DA401">
        <f>AJ401</f>
        <v>1</v>
      </c>
      <c r="DB401">
        <f>ROUND((ROUND(AT401*CZ401,2)*1.12),2)</f>
        <v>46.63</v>
      </c>
      <c r="DC401">
        <f>ROUND((ROUND(AT401*AG401,2)*1.12),2)</f>
        <v>4.5</v>
      </c>
      <c r="DD401" t="s">
        <v>6</v>
      </c>
      <c r="DE401" t="s">
        <v>6</v>
      </c>
      <c r="DF401">
        <f t="shared" si="160"/>
        <v>0</v>
      </c>
      <c r="DG401">
        <f t="shared" si="159"/>
        <v>385</v>
      </c>
      <c r="DH401">
        <f>Source!I330*SmtRes!Y401</f>
        <v>3.3170255999999996</v>
      </c>
      <c r="DI401">
        <f>AB401</f>
        <v>115.64</v>
      </c>
      <c r="DJ401">
        <f>EtalonRes!Z325</f>
        <v>115.64</v>
      </c>
      <c r="DK401">
        <f>Source!BB330</f>
        <v>1</v>
      </c>
      <c r="DL401" t="s">
        <v>6</v>
      </c>
      <c r="DM401">
        <v>0</v>
      </c>
      <c r="DN401" t="s">
        <v>6</v>
      </c>
      <c r="DO401">
        <v>0</v>
      </c>
      <c r="GQ401">
        <v>-1</v>
      </c>
      <c r="GR401">
        <v>-1</v>
      </c>
    </row>
    <row r="402" spans="1:200" x14ac:dyDescent="0.2">
      <c r="A402">
        <f>ROW(Source!A330)</f>
        <v>330</v>
      </c>
      <c r="B402">
        <v>86326987</v>
      </c>
      <c r="C402">
        <v>86327700</v>
      </c>
      <c r="D402">
        <v>35950918</v>
      </c>
      <c r="E402">
        <v>1</v>
      </c>
      <c r="F402">
        <v>1</v>
      </c>
      <c r="G402">
        <v>1</v>
      </c>
      <c r="H402">
        <v>2</v>
      </c>
      <c r="I402" t="s">
        <v>631</v>
      </c>
      <c r="J402" t="s">
        <v>644</v>
      </c>
      <c r="K402" t="s">
        <v>645</v>
      </c>
      <c r="L402">
        <v>1368</v>
      </c>
      <c r="N402">
        <v>1011</v>
      </c>
      <c r="O402" t="s">
        <v>137</v>
      </c>
      <c r="P402" t="s">
        <v>137</v>
      </c>
      <c r="Q402">
        <v>1</v>
      </c>
      <c r="W402">
        <v>0</v>
      </c>
      <c r="X402">
        <v>-629854247</v>
      </c>
      <c r="Y402">
        <f>(AT402*1.12)</f>
        <v>0.11200000000000002</v>
      </c>
      <c r="AA402">
        <v>0</v>
      </c>
      <c r="AB402">
        <v>112.67</v>
      </c>
      <c r="AC402">
        <v>13.02</v>
      </c>
      <c r="AD402">
        <v>0</v>
      </c>
      <c r="AE402">
        <v>0</v>
      </c>
      <c r="AF402">
        <v>112.67</v>
      </c>
      <c r="AG402">
        <v>13.02</v>
      </c>
      <c r="AH402">
        <v>0</v>
      </c>
      <c r="AI402">
        <v>1</v>
      </c>
      <c r="AJ402">
        <v>1</v>
      </c>
      <c r="AK402">
        <v>1</v>
      </c>
      <c r="AL402">
        <v>1</v>
      </c>
      <c r="AM402">
        <v>0</v>
      </c>
      <c r="AN402">
        <v>0</v>
      </c>
      <c r="AO402">
        <v>1</v>
      </c>
      <c r="AP402">
        <v>1</v>
      </c>
      <c r="AQ402">
        <v>0</v>
      </c>
      <c r="AR402">
        <v>0</v>
      </c>
      <c r="AS402" t="s">
        <v>6</v>
      </c>
      <c r="AT402">
        <v>0.1</v>
      </c>
      <c r="AU402" t="s">
        <v>24</v>
      </c>
      <c r="AV402">
        <v>0</v>
      </c>
      <c r="AW402">
        <v>2</v>
      </c>
      <c r="AX402">
        <v>86327713</v>
      </c>
      <c r="AY402">
        <v>1</v>
      </c>
      <c r="AZ402">
        <v>0</v>
      </c>
      <c r="BA402">
        <v>326</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CV402">
        <v>0</v>
      </c>
      <c r="CW402">
        <f>ROUND(Y402*Source!I330*DO402,9)</f>
        <v>0</v>
      </c>
      <c r="CX402">
        <f>ROUND(Y402*Source!I330,9)</f>
        <v>0.92139599999999999</v>
      </c>
      <c r="CY402">
        <f>AB402</f>
        <v>112.67</v>
      </c>
      <c r="CZ402">
        <f>AF402</f>
        <v>112.67</v>
      </c>
      <c r="DA402">
        <f>AJ402</f>
        <v>1</v>
      </c>
      <c r="DB402">
        <f>ROUND((ROUND(AT402*CZ402,2)*1.12),2)</f>
        <v>12.62</v>
      </c>
      <c r="DC402">
        <f>ROUND((ROUND(AT402*AG402,2)*1.12),2)</f>
        <v>1.46</v>
      </c>
      <c r="DD402" t="s">
        <v>6</v>
      </c>
      <c r="DE402" t="s">
        <v>6</v>
      </c>
      <c r="DF402">
        <f t="shared" si="160"/>
        <v>0</v>
      </c>
      <c r="DG402">
        <f t="shared" si="159"/>
        <v>104</v>
      </c>
      <c r="DH402">
        <f>Source!I330*SmtRes!Y402</f>
        <v>0.92139599999999999</v>
      </c>
      <c r="DI402">
        <f>AB402</f>
        <v>112.67</v>
      </c>
      <c r="DJ402">
        <f>EtalonRes!Z326</f>
        <v>112.67</v>
      </c>
      <c r="DK402">
        <f>Source!BB330</f>
        <v>1</v>
      </c>
      <c r="DL402" t="s">
        <v>6</v>
      </c>
      <c r="DM402">
        <v>0</v>
      </c>
      <c r="DN402" t="s">
        <v>6</v>
      </c>
      <c r="DO402">
        <v>0</v>
      </c>
      <c r="GQ402">
        <v>-1</v>
      </c>
      <c r="GR402">
        <v>-1</v>
      </c>
    </row>
    <row r="403" spans="1:200" x14ac:dyDescent="0.2">
      <c r="A403">
        <f>ROW(Source!A330)</f>
        <v>330</v>
      </c>
      <c r="B403">
        <v>86326987</v>
      </c>
      <c r="C403">
        <v>86327700</v>
      </c>
      <c r="D403">
        <v>35950919</v>
      </c>
      <c r="E403">
        <v>1</v>
      </c>
      <c r="F403">
        <v>1</v>
      </c>
      <c r="G403">
        <v>1</v>
      </c>
      <c r="H403">
        <v>2</v>
      </c>
      <c r="I403" t="s">
        <v>637</v>
      </c>
      <c r="J403" t="s">
        <v>646</v>
      </c>
      <c r="K403" t="s">
        <v>639</v>
      </c>
      <c r="L403">
        <v>1368</v>
      </c>
      <c r="N403">
        <v>1011</v>
      </c>
      <c r="O403" t="s">
        <v>137</v>
      </c>
      <c r="P403" t="s">
        <v>137</v>
      </c>
      <c r="Q403">
        <v>1</v>
      </c>
      <c r="W403">
        <v>0</v>
      </c>
      <c r="X403">
        <v>-1317427794</v>
      </c>
      <c r="Y403">
        <f>(AT403*1.12)</f>
        <v>0.15680000000000002</v>
      </c>
      <c r="AA403">
        <v>0</v>
      </c>
      <c r="AB403">
        <v>93.37</v>
      </c>
      <c r="AC403">
        <v>11.69</v>
      </c>
      <c r="AD403">
        <v>0</v>
      </c>
      <c r="AE403">
        <v>0</v>
      </c>
      <c r="AF403">
        <v>93.37</v>
      </c>
      <c r="AG403">
        <v>11.69</v>
      </c>
      <c r="AH403">
        <v>0</v>
      </c>
      <c r="AI403">
        <v>1</v>
      </c>
      <c r="AJ403">
        <v>1</v>
      </c>
      <c r="AK403">
        <v>1</v>
      </c>
      <c r="AL403">
        <v>1</v>
      </c>
      <c r="AM403">
        <v>0</v>
      </c>
      <c r="AN403">
        <v>0</v>
      </c>
      <c r="AO403">
        <v>1</v>
      </c>
      <c r="AP403">
        <v>1</v>
      </c>
      <c r="AQ403">
        <v>0</v>
      </c>
      <c r="AR403">
        <v>0</v>
      </c>
      <c r="AS403" t="s">
        <v>6</v>
      </c>
      <c r="AT403">
        <v>0.14000000000000001</v>
      </c>
      <c r="AU403" t="s">
        <v>24</v>
      </c>
      <c r="AV403">
        <v>0</v>
      </c>
      <c r="AW403">
        <v>2</v>
      </c>
      <c r="AX403">
        <v>86327714</v>
      </c>
      <c r="AY403">
        <v>1</v>
      </c>
      <c r="AZ403">
        <v>0</v>
      </c>
      <c r="BA403">
        <v>327</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CV403">
        <v>0</v>
      </c>
      <c r="CW403">
        <f>ROUND(Y403*Source!I330*DO403,9)</f>
        <v>0</v>
      </c>
      <c r="CX403">
        <f>ROUND(Y403*Source!I330,9)</f>
        <v>1.2899544000000001</v>
      </c>
      <c r="CY403">
        <f>AB403</f>
        <v>93.37</v>
      </c>
      <c r="CZ403">
        <f>AF403</f>
        <v>93.37</v>
      </c>
      <c r="DA403">
        <f>AJ403</f>
        <v>1</v>
      </c>
      <c r="DB403">
        <f>ROUND((ROUND(AT403*CZ403,2)*1.12),2)</f>
        <v>14.64</v>
      </c>
      <c r="DC403">
        <f>ROUND((ROUND(AT403*AG403,2)*1.12),2)</f>
        <v>1.84</v>
      </c>
      <c r="DD403" t="s">
        <v>6</v>
      </c>
      <c r="DE403" t="s">
        <v>6</v>
      </c>
      <c r="DF403">
        <f t="shared" si="160"/>
        <v>0</v>
      </c>
      <c r="DG403">
        <f t="shared" si="159"/>
        <v>120</v>
      </c>
      <c r="DH403">
        <f>Source!I330*SmtRes!Y403</f>
        <v>1.2899544000000001</v>
      </c>
      <c r="DI403">
        <f>AB403</f>
        <v>93.37</v>
      </c>
      <c r="DJ403">
        <f>EtalonRes!Z327</f>
        <v>93.37</v>
      </c>
      <c r="DK403">
        <f>Source!BB330</f>
        <v>1</v>
      </c>
      <c r="DL403" t="s">
        <v>6</v>
      </c>
      <c r="DM403">
        <v>0</v>
      </c>
      <c r="DN403" t="s">
        <v>6</v>
      </c>
      <c r="DO403">
        <v>0</v>
      </c>
      <c r="GQ403">
        <v>-1</v>
      </c>
      <c r="GR403">
        <v>-1</v>
      </c>
    </row>
    <row r="404" spans="1:200" x14ac:dyDescent="0.2">
      <c r="A404">
        <f>ROW(Source!A330)</f>
        <v>330</v>
      </c>
      <c r="B404">
        <v>86326987</v>
      </c>
      <c r="C404">
        <v>86327700</v>
      </c>
      <c r="D404">
        <v>52930020</v>
      </c>
      <c r="E404">
        <v>1</v>
      </c>
      <c r="F404">
        <v>1</v>
      </c>
      <c r="G404">
        <v>1</v>
      </c>
      <c r="H404">
        <v>3</v>
      </c>
      <c r="I404" t="s">
        <v>433</v>
      </c>
      <c r="J404" t="s">
        <v>435</v>
      </c>
      <c r="K404" t="s">
        <v>434</v>
      </c>
      <c r="L404">
        <v>1348</v>
      </c>
      <c r="N404">
        <v>1009</v>
      </c>
      <c r="O404" t="s">
        <v>33</v>
      </c>
      <c r="P404" t="s">
        <v>33</v>
      </c>
      <c r="Q404">
        <v>1000</v>
      </c>
      <c r="W404">
        <v>0</v>
      </c>
      <c r="X404">
        <v>1640638290</v>
      </c>
      <c r="Y404">
        <f>AT404</f>
        <v>0.80271674999999998</v>
      </c>
      <c r="AA404">
        <v>5243.33</v>
      </c>
      <c r="AB404">
        <v>0</v>
      </c>
      <c r="AC404">
        <v>0</v>
      </c>
      <c r="AD404">
        <v>0</v>
      </c>
      <c r="AE404">
        <v>5243.33</v>
      </c>
      <c r="AF404">
        <v>0</v>
      </c>
      <c r="AG404">
        <v>0</v>
      </c>
      <c r="AH404">
        <v>0</v>
      </c>
      <c r="AI404">
        <v>1</v>
      </c>
      <c r="AJ404">
        <v>1</v>
      </c>
      <c r="AK404">
        <v>1</v>
      </c>
      <c r="AL404">
        <v>1</v>
      </c>
      <c r="AM404">
        <v>0</v>
      </c>
      <c r="AN404">
        <v>0</v>
      </c>
      <c r="AO404">
        <v>0</v>
      </c>
      <c r="AP404">
        <v>1</v>
      </c>
      <c r="AQ404">
        <v>0</v>
      </c>
      <c r="AR404">
        <v>0</v>
      </c>
      <c r="AS404" t="s">
        <v>6</v>
      </c>
      <c r="AT404">
        <v>0.80271674999999998</v>
      </c>
      <c r="AU404" t="s">
        <v>6</v>
      </c>
      <c r="AV404">
        <v>0</v>
      </c>
      <c r="AW404">
        <v>1</v>
      </c>
      <c r="AX404">
        <v>-1</v>
      </c>
      <c r="AY404">
        <v>0</v>
      </c>
      <c r="AZ404">
        <v>0</v>
      </c>
      <c r="BA404" t="s">
        <v>6</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CV404">
        <v>0</v>
      </c>
      <c r="CW404">
        <v>0</v>
      </c>
      <c r="CX404">
        <f>ROUND(Y404*Source!I330,9)</f>
        <v>6.6037500229999999</v>
      </c>
      <c r="CY404">
        <f>AA404</f>
        <v>5243.33</v>
      </c>
      <c r="CZ404">
        <f>AE404</f>
        <v>5243.33</v>
      </c>
      <c r="DA404">
        <f>AI404</f>
        <v>1</v>
      </c>
      <c r="DB404">
        <f>ROUND(ROUND(AT404*CZ404,2),2)</f>
        <v>4208.91</v>
      </c>
      <c r="DC404">
        <f>ROUND(ROUND(AT404*AG404,2),2)</f>
        <v>0</v>
      </c>
      <c r="DD404" t="s">
        <v>6</v>
      </c>
      <c r="DE404" t="s">
        <v>6</v>
      </c>
      <c r="DF404">
        <f t="shared" si="160"/>
        <v>34623</v>
      </c>
      <c r="DG404">
        <f t="shared" si="159"/>
        <v>0</v>
      </c>
      <c r="DH404">
        <f>Source!I330*SmtRes!Y404</f>
        <v>6.6037500230624993</v>
      </c>
      <c r="DI404">
        <f>AA404</f>
        <v>5243.33</v>
      </c>
      <c r="DJ404">
        <f>DF404</f>
        <v>34623</v>
      </c>
      <c r="DK404">
        <f>Source!BC330</f>
        <v>1</v>
      </c>
      <c r="DL404" t="s">
        <v>6</v>
      </c>
      <c r="DM404">
        <v>0</v>
      </c>
      <c r="DN404" t="s">
        <v>6</v>
      </c>
      <c r="DO404">
        <v>0</v>
      </c>
      <c r="GP404">
        <v>1</v>
      </c>
      <c r="GQ404">
        <v>-1</v>
      </c>
      <c r="GR404">
        <v>-1</v>
      </c>
    </row>
    <row r="405" spans="1:200" x14ac:dyDescent="0.2">
      <c r="A405">
        <f>ROW(Source!A330)</f>
        <v>330</v>
      </c>
      <c r="B405">
        <v>86326987</v>
      </c>
      <c r="C405">
        <v>86327700</v>
      </c>
      <c r="D405">
        <v>69208317</v>
      </c>
      <c r="E405">
        <v>1</v>
      </c>
      <c r="F405">
        <v>1</v>
      </c>
      <c r="G405">
        <v>1</v>
      </c>
      <c r="H405">
        <v>3</v>
      </c>
      <c r="I405" t="s">
        <v>447</v>
      </c>
      <c r="J405" t="s">
        <v>449</v>
      </c>
      <c r="K405" t="s">
        <v>448</v>
      </c>
      <c r="L405">
        <v>1348</v>
      </c>
      <c r="N405">
        <v>1009</v>
      </c>
      <c r="O405" t="s">
        <v>33</v>
      </c>
      <c r="P405" t="s">
        <v>33</v>
      </c>
      <c r="Q405">
        <v>1000</v>
      </c>
      <c r="W405">
        <v>0</v>
      </c>
      <c r="X405">
        <v>697213220</v>
      </c>
      <c r="Y405">
        <f>AT405</f>
        <v>2.917312E-2</v>
      </c>
      <c r="AA405">
        <v>12829.31</v>
      </c>
      <c r="AB405">
        <v>0</v>
      </c>
      <c r="AC405">
        <v>0</v>
      </c>
      <c r="AD405">
        <v>0</v>
      </c>
      <c r="AE405">
        <v>12829.31</v>
      </c>
      <c r="AF405">
        <v>0</v>
      </c>
      <c r="AG405">
        <v>0</v>
      </c>
      <c r="AH405">
        <v>0</v>
      </c>
      <c r="AI405">
        <v>1</v>
      </c>
      <c r="AJ405">
        <v>1</v>
      </c>
      <c r="AK405">
        <v>1</v>
      </c>
      <c r="AL405">
        <v>1</v>
      </c>
      <c r="AM405">
        <v>0</v>
      </c>
      <c r="AN405">
        <v>0</v>
      </c>
      <c r="AO405">
        <v>0</v>
      </c>
      <c r="AP405">
        <v>1</v>
      </c>
      <c r="AQ405">
        <v>0</v>
      </c>
      <c r="AR405">
        <v>0</v>
      </c>
      <c r="AS405" t="s">
        <v>6</v>
      </c>
      <c r="AT405">
        <v>2.917312E-2</v>
      </c>
      <c r="AU405" t="s">
        <v>6</v>
      </c>
      <c r="AV405">
        <v>0</v>
      </c>
      <c r="AW405">
        <v>1</v>
      </c>
      <c r="AX405">
        <v>-1</v>
      </c>
      <c r="AY405">
        <v>0</v>
      </c>
      <c r="AZ405">
        <v>0</v>
      </c>
      <c r="BA405" t="s">
        <v>6</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CV405">
        <v>0</v>
      </c>
      <c r="CW405">
        <v>0</v>
      </c>
      <c r="CX405">
        <f>ROUND(Y405*Source!I330,9)</f>
        <v>0.23999996500000001</v>
      </c>
      <c r="CY405">
        <f>AA405</f>
        <v>12829.31</v>
      </c>
      <c r="CZ405">
        <f>AE405</f>
        <v>12829.31</v>
      </c>
      <c r="DA405">
        <f>AI405</f>
        <v>1</v>
      </c>
      <c r="DB405">
        <f>ROUND(ROUND(AT405*CZ405,2),2)</f>
        <v>374.27</v>
      </c>
      <c r="DC405">
        <f>ROUND(ROUND(AT405*AG405,2),2)</f>
        <v>0</v>
      </c>
      <c r="DD405" t="s">
        <v>6</v>
      </c>
      <c r="DE405" t="s">
        <v>6</v>
      </c>
      <c r="DF405">
        <f t="shared" si="160"/>
        <v>3079</v>
      </c>
      <c r="DG405">
        <f t="shared" si="159"/>
        <v>0</v>
      </c>
      <c r="DH405">
        <f>Source!I330*SmtRes!Y405</f>
        <v>0.23999996495999998</v>
      </c>
      <c r="DI405">
        <f>AA405</f>
        <v>12829.31</v>
      </c>
      <c r="DJ405">
        <f>DF405</f>
        <v>3079</v>
      </c>
      <c r="DK405">
        <f>Source!BC330</f>
        <v>1</v>
      </c>
      <c r="DL405" t="s">
        <v>6</v>
      </c>
      <c r="DM405">
        <v>0</v>
      </c>
      <c r="DN405" t="s">
        <v>6</v>
      </c>
      <c r="DO405">
        <v>0</v>
      </c>
      <c r="GP405">
        <v>1</v>
      </c>
      <c r="GQ405">
        <v>-1</v>
      </c>
      <c r="GR405">
        <v>-1</v>
      </c>
    </row>
    <row r="406" spans="1:200" x14ac:dyDescent="0.2">
      <c r="A406">
        <f>ROW(Source!A330)</f>
        <v>330</v>
      </c>
      <c r="B406">
        <v>86326987</v>
      </c>
      <c r="C406">
        <v>86327700</v>
      </c>
      <c r="D406">
        <v>69208321</v>
      </c>
      <c r="E406">
        <v>1</v>
      </c>
      <c r="F406">
        <v>1</v>
      </c>
      <c r="G406">
        <v>1</v>
      </c>
      <c r="H406">
        <v>3</v>
      </c>
      <c r="I406" t="s">
        <v>438</v>
      </c>
      <c r="J406" t="s">
        <v>440</v>
      </c>
      <c r="K406" t="s">
        <v>439</v>
      </c>
      <c r="L406">
        <v>1348</v>
      </c>
      <c r="N406">
        <v>1009</v>
      </c>
      <c r="O406" t="s">
        <v>33</v>
      </c>
      <c r="P406" t="s">
        <v>33</v>
      </c>
      <c r="Q406">
        <v>1000</v>
      </c>
      <c r="W406">
        <v>0</v>
      </c>
      <c r="X406">
        <v>-1725170667</v>
      </c>
      <c r="Y406">
        <f>AT406</f>
        <v>0.16473699999999999</v>
      </c>
      <c r="AA406">
        <v>14346.51</v>
      </c>
      <c r="AB406">
        <v>0</v>
      </c>
      <c r="AC406">
        <v>0</v>
      </c>
      <c r="AD406">
        <v>0</v>
      </c>
      <c r="AE406">
        <v>14346.51</v>
      </c>
      <c r="AF406">
        <v>0</v>
      </c>
      <c r="AG406">
        <v>0</v>
      </c>
      <c r="AH406">
        <v>0</v>
      </c>
      <c r="AI406">
        <v>1</v>
      </c>
      <c r="AJ406">
        <v>1</v>
      </c>
      <c r="AK406">
        <v>1</v>
      </c>
      <c r="AL406">
        <v>1</v>
      </c>
      <c r="AM406">
        <v>0</v>
      </c>
      <c r="AN406">
        <v>0</v>
      </c>
      <c r="AO406">
        <v>0</v>
      </c>
      <c r="AP406">
        <v>1</v>
      </c>
      <c r="AQ406">
        <v>0</v>
      </c>
      <c r="AR406">
        <v>0</v>
      </c>
      <c r="AS406" t="s">
        <v>6</v>
      </c>
      <c r="AT406">
        <v>0.16473699999999999</v>
      </c>
      <c r="AU406" t="s">
        <v>6</v>
      </c>
      <c r="AV406">
        <v>0</v>
      </c>
      <c r="AW406">
        <v>1</v>
      </c>
      <c r="AX406">
        <v>-1</v>
      </c>
      <c r="AY406">
        <v>0</v>
      </c>
      <c r="AZ406">
        <v>0</v>
      </c>
      <c r="BA406" t="s">
        <v>6</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CV406">
        <v>0</v>
      </c>
      <c r="CW406">
        <v>0</v>
      </c>
      <c r="CX406">
        <f>ROUND(Y406*Source!I330,9)</f>
        <v>1.355250115</v>
      </c>
      <c r="CY406">
        <f>AA406</f>
        <v>14346.51</v>
      </c>
      <c r="CZ406">
        <f>AE406</f>
        <v>14346.51</v>
      </c>
      <c r="DA406">
        <f>AI406</f>
        <v>1</v>
      </c>
      <c r="DB406">
        <f>ROUND(ROUND(AT406*CZ406,2),2)</f>
        <v>2363.4</v>
      </c>
      <c r="DC406">
        <f>ROUND(ROUND(AT406*AG406,2),2)</f>
        <v>0</v>
      </c>
      <c r="DD406" t="s">
        <v>6</v>
      </c>
      <c r="DE406" t="s">
        <v>6</v>
      </c>
      <c r="DF406">
        <f t="shared" si="160"/>
        <v>19444</v>
      </c>
      <c r="DG406">
        <f t="shared" si="159"/>
        <v>0</v>
      </c>
      <c r="DH406">
        <f>Source!I330*SmtRes!Y406</f>
        <v>1.3552501147499998</v>
      </c>
      <c r="DI406">
        <f>AA406</f>
        <v>14346.51</v>
      </c>
      <c r="DJ406">
        <f>DF406</f>
        <v>19444</v>
      </c>
      <c r="DK406">
        <f>Source!BC330</f>
        <v>1</v>
      </c>
      <c r="DL406" t="s">
        <v>6</v>
      </c>
      <c r="DM406">
        <v>0</v>
      </c>
      <c r="DN406" t="s">
        <v>6</v>
      </c>
      <c r="DO406">
        <v>0</v>
      </c>
      <c r="GP406">
        <v>1</v>
      </c>
      <c r="GQ406">
        <v>-1</v>
      </c>
      <c r="GR406">
        <v>-1</v>
      </c>
    </row>
    <row r="407" spans="1:200" x14ac:dyDescent="0.2">
      <c r="A407">
        <f>ROW(Source!A330)</f>
        <v>330</v>
      </c>
      <c r="B407">
        <v>86326987</v>
      </c>
      <c r="C407">
        <v>86327700</v>
      </c>
      <c r="D407">
        <v>69208321</v>
      </c>
      <c r="E407">
        <v>1</v>
      </c>
      <c r="F407">
        <v>1</v>
      </c>
      <c r="G407">
        <v>1</v>
      </c>
      <c r="H407">
        <v>3</v>
      </c>
      <c r="I407" t="s">
        <v>438</v>
      </c>
      <c r="J407" t="s">
        <v>440</v>
      </c>
      <c r="K407" t="s">
        <v>453</v>
      </c>
      <c r="L407">
        <v>1348</v>
      </c>
      <c r="N407">
        <v>1009</v>
      </c>
      <c r="O407" t="s">
        <v>33</v>
      </c>
      <c r="P407" t="s">
        <v>33</v>
      </c>
      <c r="Q407">
        <v>1000</v>
      </c>
      <c r="W407">
        <v>0</v>
      </c>
      <c r="X407">
        <v>546832064</v>
      </c>
      <c r="Y407">
        <f>AT407</f>
        <v>3.3731400000000002E-3</v>
      </c>
      <c r="AA407">
        <v>14346.51</v>
      </c>
      <c r="AB407">
        <v>0</v>
      </c>
      <c r="AC407">
        <v>0</v>
      </c>
      <c r="AD407">
        <v>0</v>
      </c>
      <c r="AE407">
        <v>14346.51</v>
      </c>
      <c r="AF407">
        <v>0</v>
      </c>
      <c r="AG407">
        <v>0</v>
      </c>
      <c r="AH407">
        <v>0</v>
      </c>
      <c r="AI407">
        <v>1</v>
      </c>
      <c r="AJ407">
        <v>1</v>
      </c>
      <c r="AK407">
        <v>1</v>
      </c>
      <c r="AL407">
        <v>1</v>
      </c>
      <c r="AM407">
        <v>0</v>
      </c>
      <c r="AN407">
        <v>0</v>
      </c>
      <c r="AO407">
        <v>0</v>
      </c>
      <c r="AP407">
        <v>0</v>
      </c>
      <c r="AQ407">
        <v>0</v>
      </c>
      <c r="AR407">
        <v>0</v>
      </c>
      <c r="AS407" t="s">
        <v>6</v>
      </c>
      <c r="AT407">
        <v>3.3731400000000002E-3</v>
      </c>
      <c r="AU407" t="s">
        <v>6</v>
      </c>
      <c r="AV407">
        <v>0</v>
      </c>
      <c r="AW407">
        <v>1</v>
      </c>
      <c r="AX407">
        <v>-1</v>
      </c>
      <c r="AY407">
        <v>0</v>
      </c>
      <c r="AZ407">
        <v>0</v>
      </c>
      <c r="BA407" t="s">
        <v>6</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CV407">
        <v>0</v>
      </c>
      <c r="CW407">
        <v>0</v>
      </c>
      <c r="CX407">
        <f>ROUND(Y407*Source!I330,9)</f>
        <v>2.7749979000000001E-2</v>
      </c>
      <c r="CY407">
        <f>AA407</f>
        <v>14346.51</v>
      </c>
      <c r="CZ407">
        <f>AE407</f>
        <v>14346.51</v>
      </c>
      <c r="DA407">
        <f>AI407</f>
        <v>1</v>
      </c>
      <c r="DB407">
        <f>ROUND(ROUND(AT407*CZ407,2),2)</f>
        <v>48.39</v>
      </c>
      <c r="DC407">
        <f>ROUND(ROUND(AT407*AG407,2),2)</f>
        <v>0</v>
      </c>
      <c r="DD407" t="s">
        <v>6</v>
      </c>
      <c r="DE407" t="s">
        <v>6</v>
      </c>
      <c r="DF407">
        <f t="shared" si="160"/>
        <v>398</v>
      </c>
      <c r="DG407">
        <f t="shared" si="159"/>
        <v>0</v>
      </c>
      <c r="DH407">
        <f>Source!I330*SmtRes!Y407</f>
        <v>2.7749979494999997E-2</v>
      </c>
      <c r="DI407">
        <f>AA407</f>
        <v>14346.51</v>
      </c>
      <c r="DJ407">
        <f>DF407</f>
        <v>398</v>
      </c>
      <c r="DK407">
        <f>Source!BC330</f>
        <v>1</v>
      </c>
      <c r="DL407" t="s">
        <v>6</v>
      </c>
      <c r="DM407">
        <v>0</v>
      </c>
      <c r="DN407" t="s">
        <v>6</v>
      </c>
      <c r="DO407">
        <v>0</v>
      </c>
      <c r="GP407">
        <v>1</v>
      </c>
      <c r="GQ407">
        <v>-1</v>
      </c>
      <c r="GR407">
        <v>-1</v>
      </c>
    </row>
    <row r="408" spans="1:200" x14ac:dyDescent="0.2">
      <c r="A408">
        <f>ROW(Source!A331)</f>
        <v>331</v>
      </c>
      <c r="B408">
        <v>86326988</v>
      </c>
      <c r="C408">
        <v>86327700</v>
      </c>
      <c r="D408">
        <v>5511010</v>
      </c>
      <c r="E408">
        <v>1</v>
      </c>
      <c r="F408">
        <v>1</v>
      </c>
      <c r="G408">
        <v>1</v>
      </c>
      <c r="H408">
        <v>1</v>
      </c>
      <c r="I408" t="s">
        <v>640</v>
      </c>
      <c r="J408" t="s">
        <v>6</v>
      </c>
      <c r="K408" t="s">
        <v>641</v>
      </c>
      <c r="L408">
        <v>1369</v>
      </c>
      <c r="N408">
        <v>1013</v>
      </c>
      <c r="O408" t="s">
        <v>625</v>
      </c>
      <c r="P408" t="s">
        <v>625</v>
      </c>
      <c r="Q408">
        <v>1</v>
      </c>
      <c r="W408">
        <v>0</v>
      </c>
      <c r="X408">
        <v>-1977858316</v>
      </c>
      <c r="Y408">
        <f>(AT408*1.05)</f>
        <v>93.338700000000003</v>
      </c>
      <c r="AA408">
        <v>0</v>
      </c>
      <c r="AB408">
        <v>0</v>
      </c>
      <c r="AC408">
        <v>0</v>
      </c>
      <c r="AD408">
        <v>302.29000000000002</v>
      </c>
      <c r="AE408">
        <v>0</v>
      </c>
      <c r="AF408">
        <v>0</v>
      </c>
      <c r="AG408">
        <v>0</v>
      </c>
      <c r="AH408">
        <v>11.92</v>
      </c>
      <c r="AI408">
        <v>1</v>
      </c>
      <c r="AJ408">
        <v>1</v>
      </c>
      <c r="AK408">
        <v>1</v>
      </c>
      <c r="AL408">
        <v>25.36</v>
      </c>
      <c r="AM408">
        <v>5</v>
      </c>
      <c r="AN408">
        <v>0</v>
      </c>
      <c r="AO408">
        <v>1</v>
      </c>
      <c r="AP408">
        <v>1</v>
      </c>
      <c r="AQ408">
        <v>0</v>
      </c>
      <c r="AR408">
        <v>0</v>
      </c>
      <c r="AS408" t="s">
        <v>6</v>
      </c>
      <c r="AT408">
        <v>88.894000000000005</v>
      </c>
      <c r="AU408" t="s">
        <v>25</v>
      </c>
      <c r="AV408">
        <v>1</v>
      </c>
      <c r="AW408">
        <v>2</v>
      </c>
      <c r="AX408">
        <v>86327710</v>
      </c>
      <c r="AY408">
        <v>1</v>
      </c>
      <c r="AZ408">
        <v>0</v>
      </c>
      <c r="BA408">
        <v>331</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CU408">
        <f>ROUND(AT408*Source!I331*AH408*AL408,0)</f>
        <v>221068</v>
      </c>
      <c r="CV408">
        <f>ROUND(Y408*Source!I331,9)</f>
        <v>767.87415022499999</v>
      </c>
      <c r="CW408">
        <v>0</v>
      </c>
      <c r="CX408">
        <f>ROUND(Y408*Source!I331,9)</f>
        <v>767.87415022499999</v>
      </c>
      <c r="CY408">
        <f>AD408</f>
        <v>302.29000000000002</v>
      </c>
      <c r="CZ408">
        <f>AH408</f>
        <v>11.92</v>
      </c>
      <c r="DA408">
        <f>AL408</f>
        <v>25.36</v>
      </c>
      <c r="DB408">
        <f>ROUND((ROUND(AT408*CZ408,2)*1.05),2)</f>
        <v>1112.5999999999999</v>
      </c>
      <c r="DC408">
        <f>ROUND((ROUND(AT408*AG408,2)*1.05),2)</f>
        <v>0</v>
      </c>
      <c r="DD408" t="s">
        <v>6</v>
      </c>
      <c r="DE408" t="s">
        <v>6</v>
      </c>
      <c r="DF408">
        <f t="shared" si="160"/>
        <v>0</v>
      </c>
      <c r="DG408">
        <f t="shared" si="159"/>
        <v>0</v>
      </c>
      <c r="DH408">
        <f>Source!I331*SmtRes!Y408</f>
        <v>767.87415022499999</v>
      </c>
      <c r="DI408">
        <f>AD408</f>
        <v>302.29000000000002</v>
      </c>
      <c r="DJ408">
        <f>EtalonRes!AB331</f>
        <v>11.92</v>
      </c>
      <c r="DK408">
        <f>Source!BA331</f>
        <v>25.36</v>
      </c>
      <c r="DL408" t="s">
        <v>6</v>
      </c>
      <c r="DM408">
        <v>0</v>
      </c>
      <c r="DN408" t="s">
        <v>6</v>
      </c>
      <c r="DO408">
        <v>0</v>
      </c>
      <c r="GQ408">
        <v>-1</v>
      </c>
      <c r="GR408">
        <v>-1</v>
      </c>
    </row>
    <row r="409" spans="1:200" x14ac:dyDescent="0.2">
      <c r="A409">
        <f>ROW(Source!A331)</f>
        <v>331</v>
      </c>
      <c r="B409">
        <v>86326988</v>
      </c>
      <c r="C409">
        <v>86327700</v>
      </c>
      <c r="D409">
        <v>121548</v>
      </c>
      <c r="E409">
        <v>1</v>
      </c>
      <c r="F409">
        <v>1</v>
      </c>
      <c r="G409">
        <v>1</v>
      </c>
      <c r="H409">
        <v>1</v>
      </c>
      <c r="I409" t="s">
        <v>40</v>
      </c>
      <c r="J409" t="s">
        <v>6</v>
      </c>
      <c r="K409" t="s">
        <v>626</v>
      </c>
      <c r="L409">
        <v>608254</v>
      </c>
      <c r="N409">
        <v>1013</v>
      </c>
      <c r="O409" t="s">
        <v>627</v>
      </c>
      <c r="P409" t="s">
        <v>627</v>
      </c>
      <c r="Q409">
        <v>1</v>
      </c>
      <c r="W409">
        <v>0</v>
      </c>
      <c r="X409">
        <v>-185737400</v>
      </c>
      <c r="Y409">
        <f>(AT409*1.12)</f>
        <v>0.5152000000000001</v>
      </c>
      <c r="AA409">
        <v>0</v>
      </c>
      <c r="AB409">
        <v>0</v>
      </c>
      <c r="AC409">
        <v>0</v>
      </c>
      <c r="AD409">
        <v>0</v>
      </c>
      <c r="AE409">
        <v>0</v>
      </c>
      <c r="AF409">
        <v>0</v>
      </c>
      <c r="AG409">
        <v>0</v>
      </c>
      <c r="AH409">
        <v>0</v>
      </c>
      <c r="AI409">
        <v>1</v>
      </c>
      <c r="AJ409">
        <v>1</v>
      </c>
      <c r="AK409">
        <v>19.8</v>
      </c>
      <c r="AL409">
        <v>1</v>
      </c>
      <c r="AM409">
        <v>5</v>
      </c>
      <c r="AN409">
        <v>0</v>
      </c>
      <c r="AO409">
        <v>1</v>
      </c>
      <c r="AP409">
        <v>1</v>
      </c>
      <c r="AQ409">
        <v>0</v>
      </c>
      <c r="AR409">
        <v>0</v>
      </c>
      <c r="AS409" t="s">
        <v>6</v>
      </c>
      <c r="AT409">
        <v>0.46</v>
      </c>
      <c r="AU409" t="s">
        <v>24</v>
      </c>
      <c r="AV409">
        <v>2</v>
      </c>
      <c r="AW409">
        <v>2</v>
      </c>
      <c r="AX409">
        <v>86327711</v>
      </c>
      <c r="AY409">
        <v>1</v>
      </c>
      <c r="AZ409">
        <v>0</v>
      </c>
      <c r="BA409">
        <v>332</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CV409">
        <v>0</v>
      </c>
      <c r="CW409">
        <v>0</v>
      </c>
      <c r="CX409">
        <f>ROUND(Y409*Source!I331,9)</f>
        <v>4.2384215999999997</v>
      </c>
      <c r="CY409">
        <f>AD409</f>
        <v>0</v>
      </c>
      <c r="CZ409">
        <f>AH409</f>
        <v>0</v>
      </c>
      <c r="DA409">
        <f>AL409</f>
        <v>1</v>
      </c>
      <c r="DB409">
        <f>ROUND((ROUND(AT409*CZ409,2)*1.12),2)</f>
        <v>0</v>
      </c>
      <c r="DC409">
        <f>ROUND((ROUND(AT409*AG409,2)*1.12),2)</f>
        <v>0</v>
      </c>
      <c r="DD409" t="s">
        <v>6</v>
      </c>
      <c r="DE409" t="s">
        <v>6</v>
      </c>
      <c r="DF409">
        <f t="shared" si="160"/>
        <v>0</v>
      </c>
      <c r="DG409">
        <f t="shared" si="159"/>
        <v>0</v>
      </c>
      <c r="DH409">
        <f>Source!I331*SmtRes!Y409</f>
        <v>4.2384216000000006</v>
      </c>
      <c r="DI409">
        <f>AD409</f>
        <v>0</v>
      </c>
      <c r="DJ409">
        <f>EtalonRes!AB332</f>
        <v>0</v>
      </c>
      <c r="DK409">
        <f>Source!BA331</f>
        <v>25.36</v>
      </c>
      <c r="DL409" t="s">
        <v>6</v>
      </c>
      <c r="DM409">
        <v>0</v>
      </c>
      <c r="DN409" t="s">
        <v>6</v>
      </c>
      <c r="DO409">
        <v>0</v>
      </c>
      <c r="GQ409">
        <v>-1</v>
      </c>
      <c r="GR409">
        <v>-1</v>
      </c>
    </row>
    <row r="410" spans="1:200" x14ac:dyDescent="0.2">
      <c r="A410">
        <f>ROW(Source!A331)</f>
        <v>331</v>
      </c>
      <c r="B410">
        <v>86326988</v>
      </c>
      <c r="C410">
        <v>86327700</v>
      </c>
      <c r="D410">
        <v>35950917</v>
      </c>
      <c r="E410">
        <v>1</v>
      </c>
      <c r="F410">
        <v>1</v>
      </c>
      <c r="G410">
        <v>1</v>
      </c>
      <c r="H410">
        <v>2</v>
      </c>
      <c r="I410" t="s">
        <v>628</v>
      </c>
      <c r="J410" t="s">
        <v>642</v>
      </c>
      <c r="K410" t="s">
        <v>643</v>
      </c>
      <c r="L410">
        <v>1368</v>
      </c>
      <c r="N410">
        <v>1011</v>
      </c>
      <c r="O410" t="s">
        <v>137</v>
      </c>
      <c r="P410" t="s">
        <v>137</v>
      </c>
      <c r="Q410">
        <v>1</v>
      </c>
      <c r="W410">
        <v>0</v>
      </c>
      <c r="X410">
        <v>1919308296</v>
      </c>
      <c r="Y410">
        <f>(AT410*1.12)</f>
        <v>0.4032</v>
      </c>
      <c r="AA410">
        <v>0</v>
      </c>
      <c r="AB410">
        <v>906.62</v>
      </c>
      <c r="AC410">
        <v>221.36</v>
      </c>
      <c r="AD410">
        <v>0</v>
      </c>
      <c r="AE410">
        <v>0</v>
      </c>
      <c r="AF410">
        <v>115.64</v>
      </c>
      <c r="AG410">
        <v>11.18</v>
      </c>
      <c r="AH410">
        <v>0</v>
      </c>
      <c r="AI410">
        <v>1</v>
      </c>
      <c r="AJ410">
        <v>7.84</v>
      </c>
      <c r="AK410">
        <v>19.8</v>
      </c>
      <c r="AL410">
        <v>1</v>
      </c>
      <c r="AM410">
        <v>5</v>
      </c>
      <c r="AN410">
        <v>0</v>
      </c>
      <c r="AO410">
        <v>1</v>
      </c>
      <c r="AP410">
        <v>1</v>
      </c>
      <c r="AQ410">
        <v>0</v>
      </c>
      <c r="AR410">
        <v>0</v>
      </c>
      <c r="AS410" t="s">
        <v>6</v>
      </c>
      <c r="AT410">
        <v>0.36</v>
      </c>
      <c r="AU410" t="s">
        <v>24</v>
      </c>
      <c r="AV410">
        <v>0</v>
      </c>
      <c r="AW410">
        <v>2</v>
      </c>
      <c r="AX410">
        <v>86327712</v>
      </c>
      <c r="AY410">
        <v>1</v>
      </c>
      <c r="AZ410">
        <v>0</v>
      </c>
      <c r="BA410">
        <v>333</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CV410">
        <v>0</v>
      </c>
      <c r="CW410">
        <f>ROUND(Y410*Source!I331*DO410,9)</f>
        <v>0</v>
      </c>
      <c r="CX410">
        <f>ROUND(Y410*Source!I331,9)</f>
        <v>3.3170256</v>
      </c>
      <c r="CY410">
        <f>AB410</f>
        <v>906.62</v>
      </c>
      <c r="CZ410">
        <f>AF410</f>
        <v>115.64</v>
      </c>
      <c r="DA410">
        <f>AJ410</f>
        <v>7.84</v>
      </c>
      <c r="DB410">
        <f>ROUND((ROUND(AT410*CZ410,2)*1.12),2)</f>
        <v>46.63</v>
      </c>
      <c r="DC410">
        <f>ROUND((ROUND(AT410*AG410,2)*1.12),2)</f>
        <v>4.5</v>
      </c>
      <c r="DD410" t="s">
        <v>6</v>
      </c>
      <c r="DE410" t="s">
        <v>6</v>
      </c>
      <c r="DF410">
        <f t="shared" si="160"/>
        <v>0</v>
      </c>
      <c r="DG410">
        <f>ROUND(ROUND(AF410*AJ410,0)*CX410,0)</f>
        <v>3009</v>
      </c>
      <c r="DH410">
        <f>Source!I331*SmtRes!Y410</f>
        <v>3.3170255999999996</v>
      </c>
      <c r="DI410">
        <f>AB410</f>
        <v>906.62</v>
      </c>
      <c r="DJ410">
        <f>EtalonRes!Z333</f>
        <v>115.64</v>
      </c>
      <c r="DK410">
        <f>Source!BB331</f>
        <v>7.84</v>
      </c>
      <c r="DL410" t="s">
        <v>6</v>
      </c>
      <c r="DM410">
        <v>0</v>
      </c>
      <c r="DN410" t="s">
        <v>6</v>
      </c>
      <c r="DO410">
        <v>0</v>
      </c>
      <c r="GQ410">
        <v>-1</v>
      </c>
      <c r="GR410">
        <v>-1</v>
      </c>
    </row>
    <row r="411" spans="1:200" x14ac:dyDescent="0.2">
      <c r="A411">
        <f>ROW(Source!A331)</f>
        <v>331</v>
      </c>
      <c r="B411">
        <v>86326988</v>
      </c>
      <c r="C411">
        <v>86327700</v>
      </c>
      <c r="D411">
        <v>35950918</v>
      </c>
      <c r="E411">
        <v>1</v>
      </c>
      <c r="F411">
        <v>1</v>
      </c>
      <c r="G411">
        <v>1</v>
      </c>
      <c r="H411">
        <v>2</v>
      </c>
      <c r="I411" t="s">
        <v>631</v>
      </c>
      <c r="J411" t="s">
        <v>644</v>
      </c>
      <c r="K411" t="s">
        <v>645</v>
      </c>
      <c r="L411">
        <v>1368</v>
      </c>
      <c r="N411">
        <v>1011</v>
      </c>
      <c r="O411" t="s">
        <v>137</v>
      </c>
      <c r="P411" t="s">
        <v>137</v>
      </c>
      <c r="Q411">
        <v>1</v>
      </c>
      <c r="W411">
        <v>0</v>
      </c>
      <c r="X411">
        <v>-629854247</v>
      </c>
      <c r="Y411">
        <f>(AT411*1.12)</f>
        <v>0.11200000000000002</v>
      </c>
      <c r="AA411">
        <v>0</v>
      </c>
      <c r="AB411">
        <v>883.33</v>
      </c>
      <c r="AC411">
        <v>257.8</v>
      </c>
      <c r="AD411">
        <v>0</v>
      </c>
      <c r="AE411">
        <v>0</v>
      </c>
      <c r="AF411">
        <v>112.67</v>
      </c>
      <c r="AG411">
        <v>13.02</v>
      </c>
      <c r="AH411">
        <v>0</v>
      </c>
      <c r="AI411">
        <v>1</v>
      </c>
      <c r="AJ411">
        <v>7.84</v>
      </c>
      <c r="AK411">
        <v>19.8</v>
      </c>
      <c r="AL411">
        <v>1</v>
      </c>
      <c r="AM411">
        <v>5</v>
      </c>
      <c r="AN411">
        <v>0</v>
      </c>
      <c r="AO411">
        <v>1</v>
      </c>
      <c r="AP411">
        <v>1</v>
      </c>
      <c r="AQ411">
        <v>0</v>
      </c>
      <c r="AR411">
        <v>0</v>
      </c>
      <c r="AS411" t="s">
        <v>6</v>
      </c>
      <c r="AT411">
        <v>0.1</v>
      </c>
      <c r="AU411" t="s">
        <v>24</v>
      </c>
      <c r="AV411">
        <v>0</v>
      </c>
      <c r="AW411">
        <v>2</v>
      </c>
      <c r="AX411">
        <v>86327713</v>
      </c>
      <c r="AY411">
        <v>1</v>
      </c>
      <c r="AZ411">
        <v>0</v>
      </c>
      <c r="BA411">
        <v>334</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CV411">
        <v>0</v>
      </c>
      <c r="CW411">
        <f>ROUND(Y411*Source!I331*DO411,9)</f>
        <v>0</v>
      </c>
      <c r="CX411">
        <f>ROUND(Y411*Source!I331,9)</f>
        <v>0.92139599999999999</v>
      </c>
      <c r="CY411">
        <f>AB411</f>
        <v>883.33</v>
      </c>
      <c r="CZ411">
        <f>AF411</f>
        <v>112.67</v>
      </c>
      <c r="DA411">
        <f>AJ411</f>
        <v>7.84</v>
      </c>
      <c r="DB411">
        <f>ROUND((ROUND(AT411*CZ411,2)*1.12),2)</f>
        <v>12.62</v>
      </c>
      <c r="DC411">
        <f>ROUND((ROUND(AT411*AG411,2)*1.12),2)</f>
        <v>1.46</v>
      </c>
      <c r="DD411" t="s">
        <v>6</v>
      </c>
      <c r="DE411" t="s">
        <v>6</v>
      </c>
      <c r="DF411">
        <f t="shared" si="160"/>
        <v>0</v>
      </c>
      <c r="DG411">
        <f>ROUND(ROUND(AF411*AJ411,0)*CX411,0)</f>
        <v>814</v>
      </c>
      <c r="DH411">
        <f>Source!I331*SmtRes!Y411</f>
        <v>0.92139599999999999</v>
      </c>
      <c r="DI411">
        <f>AB411</f>
        <v>883.33</v>
      </c>
      <c r="DJ411">
        <f>EtalonRes!Z334</f>
        <v>112.67</v>
      </c>
      <c r="DK411">
        <f>Source!BB331</f>
        <v>7.84</v>
      </c>
      <c r="DL411" t="s">
        <v>6</v>
      </c>
      <c r="DM411">
        <v>0</v>
      </c>
      <c r="DN411" t="s">
        <v>6</v>
      </c>
      <c r="DO411">
        <v>0</v>
      </c>
      <c r="GQ411">
        <v>-1</v>
      </c>
      <c r="GR411">
        <v>-1</v>
      </c>
    </row>
    <row r="412" spans="1:200" x14ac:dyDescent="0.2">
      <c r="A412">
        <f>ROW(Source!A331)</f>
        <v>331</v>
      </c>
      <c r="B412">
        <v>86326988</v>
      </c>
      <c r="C412">
        <v>86327700</v>
      </c>
      <c r="D412">
        <v>35950919</v>
      </c>
      <c r="E412">
        <v>1</v>
      </c>
      <c r="F412">
        <v>1</v>
      </c>
      <c r="G412">
        <v>1</v>
      </c>
      <c r="H412">
        <v>2</v>
      </c>
      <c r="I412" t="s">
        <v>637</v>
      </c>
      <c r="J412" t="s">
        <v>646</v>
      </c>
      <c r="K412" t="s">
        <v>639</v>
      </c>
      <c r="L412">
        <v>1368</v>
      </c>
      <c r="N412">
        <v>1011</v>
      </c>
      <c r="O412" t="s">
        <v>137</v>
      </c>
      <c r="P412" t="s">
        <v>137</v>
      </c>
      <c r="Q412">
        <v>1</v>
      </c>
      <c r="W412">
        <v>0</v>
      </c>
      <c r="X412">
        <v>-1317427794</v>
      </c>
      <c r="Y412">
        <f>(AT412*1.12)</f>
        <v>0.15680000000000002</v>
      </c>
      <c r="AA412">
        <v>0</v>
      </c>
      <c r="AB412">
        <v>732.02</v>
      </c>
      <c r="AC412">
        <v>231.46</v>
      </c>
      <c r="AD412">
        <v>0</v>
      </c>
      <c r="AE412">
        <v>0</v>
      </c>
      <c r="AF412">
        <v>93.37</v>
      </c>
      <c r="AG412">
        <v>11.69</v>
      </c>
      <c r="AH412">
        <v>0</v>
      </c>
      <c r="AI412">
        <v>1</v>
      </c>
      <c r="AJ412">
        <v>7.84</v>
      </c>
      <c r="AK412">
        <v>19.8</v>
      </c>
      <c r="AL412">
        <v>1</v>
      </c>
      <c r="AM412">
        <v>5</v>
      </c>
      <c r="AN412">
        <v>0</v>
      </c>
      <c r="AO412">
        <v>1</v>
      </c>
      <c r="AP412">
        <v>1</v>
      </c>
      <c r="AQ412">
        <v>0</v>
      </c>
      <c r="AR412">
        <v>0</v>
      </c>
      <c r="AS412" t="s">
        <v>6</v>
      </c>
      <c r="AT412">
        <v>0.14000000000000001</v>
      </c>
      <c r="AU412" t="s">
        <v>24</v>
      </c>
      <c r="AV412">
        <v>0</v>
      </c>
      <c r="AW412">
        <v>2</v>
      </c>
      <c r="AX412">
        <v>86327714</v>
      </c>
      <c r="AY412">
        <v>1</v>
      </c>
      <c r="AZ412">
        <v>0</v>
      </c>
      <c r="BA412">
        <v>335</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CV412">
        <v>0</v>
      </c>
      <c r="CW412">
        <f>ROUND(Y412*Source!I331*DO412,9)</f>
        <v>0</v>
      </c>
      <c r="CX412">
        <f>ROUND(Y412*Source!I331,9)</f>
        <v>1.2899544000000001</v>
      </c>
      <c r="CY412">
        <f>AB412</f>
        <v>732.02</v>
      </c>
      <c r="CZ412">
        <f>AF412</f>
        <v>93.37</v>
      </c>
      <c r="DA412">
        <f>AJ412</f>
        <v>7.84</v>
      </c>
      <c r="DB412">
        <f>ROUND((ROUND(AT412*CZ412,2)*1.12),2)</f>
        <v>14.64</v>
      </c>
      <c r="DC412">
        <f>ROUND((ROUND(AT412*AG412,2)*1.12),2)</f>
        <v>1.84</v>
      </c>
      <c r="DD412" t="s">
        <v>6</v>
      </c>
      <c r="DE412" t="s">
        <v>6</v>
      </c>
      <c r="DF412">
        <f t="shared" si="160"/>
        <v>0</v>
      </c>
      <c r="DG412">
        <f>ROUND(ROUND(AF412*AJ412,0)*CX412,0)</f>
        <v>944</v>
      </c>
      <c r="DH412">
        <f>Source!I331*SmtRes!Y412</f>
        <v>1.2899544000000001</v>
      </c>
      <c r="DI412">
        <f>AB412</f>
        <v>732.02</v>
      </c>
      <c r="DJ412">
        <f>EtalonRes!Z335</f>
        <v>93.37</v>
      </c>
      <c r="DK412">
        <f>Source!BB331</f>
        <v>7.84</v>
      </c>
      <c r="DL412" t="s">
        <v>6</v>
      </c>
      <c r="DM412">
        <v>0</v>
      </c>
      <c r="DN412" t="s">
        <v>6</v>
      </c>
      <c r="DO412">
        <v>0</v>
      </c>
      <c r="GQ412">
        <v>-1</v>
      </c>
      <c r="GR412">
        <v>-1</v>
      </c>
    </row>
    <row r="413" spans="1:200" x14ac:dyDescent="0.2">
      <c r="A413">
        <f>ROW(Source!A331)</f>
        <v>331</v>
      </c>
      <c r="B413">
        <v>86326988</v>
      </c>
      <c r="C413">
        <v>86327700</v>
      </c>
      <c r="D413">
        <v>52930020</v>
      </c>
      <c r="E413">
        <v>1</v>
      </c>
      <c r="F413">
        <v>1</v>
      </c>
      <c r="G413">
        <v>1</v>
      </c>
      <c r="H413">
        <v>3</v>
      </c>
      <c r="I413" t="s">
        <v>433</v>
      </c>
      <c r="J413" t="s">
        <v>435</v>
      </c>
      <c r="K413" t="s">
        <v>434</v>
      </c>
      <c r="L413">
        <v>1348</v>
      </c>
      <c r="N413">
        <v>1009</v>
      </c>
      <c r="O413" t="s">
        <v>33</v>
      </c>
      <c r="P413" t="s">
        <v>33</v>
      </c>
      <c r="Q413">
        <v>1000</v>
      </c>
      <c r="W413">
        <v>0</v>
      </c>
      <c r="X413">
        <v>1640638290</v>
      </c>
      <c r="Y413">
        <f>AT413</f>
        <v>0.80271674999999998</v>
      </c>
      <c r="AA413">
        <v>59789.29</v>
      </c>
      <c r="AB413">
        <v>0</v>
      </c>
      <c r="AC413">
        <v>0</v>
      </c>
      <c r="AD413">
        <v>0</v>
      </c>
      <c r="AE413">
        <v>8286.68</v>
      </c>
      <c r="AF413">
        <v>0</v>
      </c>
      <c r="AG413">
        <v>0</v>
      </c>
      <c r="AH413">
        <v>0</v>
      </c>
      <c r="AI413">
        <v>7.56</v>
      </c>
      <c r="AJ413">
        <v>1</v>
      </c>
      <c r="AK413">
        <v>1</v>
      </c>
      <c r="AL413">
        <v>1</v>
      </c>
      <c r="AM413">
        <v>0</v>
      </c>
      <c r="AN413">
        <v>0</v>
      </c>
      <c r="AO413">
        <v>0</v>
      </c>
      <c r="AP413">
        <v>1</v>
      </c>
      <c r="AQ413">
        <v>0</v>
      </c>
      <c r="AR413">
        <v>0</v>
      </c>
      <c r="AS413" t="s">
        <v>6</v>
      </c>
      <c r="AT413">
        <v>0.80271674999999998</v>
      </c>
      <c r="AU413" t="s">
        <v>6</v>
      </c>
      <c r="AV413">
        <v>0</v>
      </c>
      <c r="AW413">
        <v>1</v>
      </c>
      <c r="AX413">
        <v>-1</v>
      </c>
      <c r="AY413">
        <v>0</v>
      </c>
      <c r="AZ413">
        <v>0</v>
      </c>
      <c r="BA413" t="s">
        <v>6</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CV413">
        <v>0</v>
      </c>
      <c r="CW413">
        <v>0</v>
      </c>
      <c r="CX413">
        <f>ROUND(Y413*Source!I331,9)</f>
        <v>6.6037500229999999</v>
      </c>
      <c r="CY413">
        <f>AA413</f>
        <v>59789.29</v>
      </c>
      <c r="CZ413">
        <f>AE413</f>
        <v>8286.68</v>
      </c>
      <c r="DA413">
        <f>AI413</f>
        <v>7.56</v>
      </c>
      <c r="DB413">
        <f>ROUND(ROUND(AT413*CZ413,2),2)</f>
        <v>6651.86</v>
      </c>
      <c r="DC413">
        <f>ROUND(ROUND(AT413*AG413,2),2)</f>
        <v>0</v>
      </c>
      <c r="DD413" t="s">
        <v>6</v>
      </c>
      <c r="DE413" t="s">
        <v>6</v>
      </c>
      <c r="DF413">
        <f>ROUND(ROUND(AE413*AI413,0)*CX413,0)</f>
        <v>413705</v>
      </c>
      <c r="DG413">
        <f t="shared" ref="DG413:DG427" si="161">ROUND(ROUND(AF413,0)*CX413,0)</f>
        <v>0</v>
      </c>
      <c r="DH413">
        <f>Source!I331*SmtRes!Y413</f>
        <v>6.6037500230624993</v>
      </c>
      <c r="DI413">
        <f>AA413</f>
        <v>59789.29</v>
      </c>
      <c r="DJ413">
        <f>DF413</f>
        <v>413705</v>
      </c>
      <c r="DK413">
        <f>Source!BC331</f>
        <v>7.56</v>
      </c>
      <c r="DL413" t="s">
        <v>6</v>
      </c>
      <c r="DM413">
        <v>0</v>
      </c>
      <c r="DN413" t="s">
        <v>6</v>
      </c>
      <c r="DO413">
        <v>0</v>
      </c>
      <c r="GP413">
        <v>1</v>
      </c>
      <c r="GQ413">
        <v>-1</v>
      </c>
      <c r="GR413">
        <v>-1</v>
      </c>
    </row>
    <row r="414" spans="1:200" x14ac:dyDescent="0.2">
      <c r="A414">
        <f>ROW(Source!A331)</f>
        <v>331</v>
      </c>
      <c r="B414">
        <v>86326988</v>
      </c>
      <c r="C414">
        <v>86327700</v>
      </c>
      <c r="D414">
        <v>69208317</v>
      </c>
      <c r="E414">
        <v>1</v>
      </c>
      <c r="F414">
        <v>1</v>
      </c>
      <c r="G414">
        <v>1</v>
      </c>
      <c r="H414">
        <v>3</v>
      </c>
      <c r="I414" t="s">
        <v>447</v>
      </c>
      <c r="J414" t="s">
        <v>449</v>
      </c>
      <c r="K414" t="s">
        <v>448</v>
      </c>
      <c r="L414">
        <v>1348</v>
      </c>
      <c r="N414">
        <v>1009</v>
      </c>
      <c r="O414" t="s">
        <v>33</v>
      </c>
      <c r="P414" t="s">
        <v>33</v>
      </c>
      <c r="Q414">
        <v>1000</v>
      </c>
      <c r="W414">
        <v>0</v>
      </c>
      <c r="X414">
        <v>697213220</v>
      </c>
      <c r="Y414">
        <f>AT414</f>
        <v>2.917312E-2</v>
      </c>
      <c r="AA414">
        <v>96989.57</v>
      </c>
      <c r="AB414">
        <v>0</v>
      </c>
      <c r="AC414">
        <v>0</v>
      </c>
      <c r="AD414">
        <v>0</v>
      </c>
      <c r="AE414">
        <v>13442.55</v>
      </c>
      <c r="AF414">
        <v>0</v>
      </c>
      <c r="AG414">
        <v>0</v>
      </c>
      <c r="AH414">
        <v>0</v>
      </c>
      <c r="AI414">
        <v>7.56</v>
      </c>
      <c r="AJ414">
        <v>1</v>
      </c>
      <c r="AK414">
        <v>1</v>
      </c>
      <c r="AL414">
        <v>1</v>
      </c>
      <c r="AM414">
        <v>0</v>
      </c>
      <c r="AN414">
        <v>0</v>
      </c>
      <c r="AO414">
        <v>0</v>
      </c>
      <c r="AP414">
        <v>1</v>
      </c>
      <c r="AQ414">
        <v>0</v>
      </c>
      <c r="AR414">
        <v>0</v>
      </c>
      <c r="AS414" t="s">
        <v>6</v>
      </c>
      <c r="AT414">
        <v>2.917312E-2</v>
      </c>
      <c r="AU414" t="s">
        <v>6</v>
      </c>
      <c r="AV414">
        <v>0</v>
      </c>
      <c r="AW414">
        <v>1</v>
      </c>
      <c r="AX414">
        <v>-1</v>
      </c>
      <c r="AY414">
        <v>0</v>
      </c>
      <c r="AZ414">
        <v>0</v>
      </c>
      <c r="BA414" t="s">
        <v>6</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CV414">
        <v>0</v>
      </c>
      <c r="CW414">
        <v>0</v>
      </c>
      <c r="CX414">
        <f>ROUND(Y414*Source!I331,9)</f>
        <v>0.23999996500000001</v>
      </c>
      <c r="CY414">
        <f>AA414</f>
        <v>96989.57</v>
      </c>
      <c r="CZ414">
        <f>AE414</f>
        <v>13442.55</v>
      </c>
      <c r="DA414">
        <f>AI414</f>
        <v>7.56</v>
      </c>
      <c r="DB414">
        <f>ROUND(ROUND(AT414*CZ414,2),2)</f>
        <v>392.16</v>
      </c>
      <c r="DC414">
        <f>ROUND(ROUND(AT414*AG414,2),2)</f>
        <v>0</v>
      </c>
      <c r="DD414" t="s">
        <v>6</v>
      </c>
      <c r="DE414" t="s">
        <v>6</v>
      </c>
      <c r="DF414">
        <f>ROUND(ROUND(AE414*AI414,0)*CX414,0)</f>
        <v>24390</v>
      </c>
      <c r="DG414">
        <f t="shared" si="161"/>
        <v>0</v>
      </c>
      <c r="DH414">
        <f>Source!I331*SmtRes!Y414</f>
        <v>0.23999996495999998</v>
      </c>
      <c r="DI414">
        <f>AA414</f>
        <v>96989.57</v>
      </c>
      <c r="DJ414">
        <f>DF414</f>
        <v>24390</v>
      </c>
      <c r="DK414">
        <f>Source!BC331</f>
        <v>7.56</v>
      </c>
      <c r="DL414" t="s">
        <v>6</v>
      </c>
      <c r="DM414">
        <v>0</v>
      </c>
      <c r="DN414" t="s">
        <v>6</v>
      </c>
      <c r="DO414">
        <v>0</v>
      </c>
      <c r="GP414">
        <v>1</v>
      </c>
      <c r="GQ414">
        <v>-1</v>
      </c>
      <c r="GR414">
        <v>-1</v>
      </c>
    </row>
    <row r="415" spans="1:200" x14ac:dyDescent="0.2">
      <c r="A415">
        <f>ROW(Source!A331)</f>
        <v>331</v>
      </c>
      <c r="B415">
        <v>86326988</v>
      </c>
      <c r="C415">
        <v>86327700</v>
      </c>
      <c r="D415">
        <v>69208321</v>
      </c>
      <c r="E415">
        <v>1</v>
      </c>
      <c r="F415">
        <v>1</v>
      </c>
      <c r="G415">
        <v>1</v>
      </c>
      <c r="H415">
        <v>3</v>
      </c>
      <c r="I415" t="s">
        <v>438</v>
      </c>
      <c r="J415" t="s">
        <v>440</v>
      </c>
      <c r="K415" t="s">
        <v>439</v>
      </c>
      <c r="L415">
        <v>1348</v>
      </c>
      <c r="N415">
        <v>1009</v>
      </c>
      <c r="O415" t="s">
        <v>33</v>
      </c>
      <c r="P415" t="s">
        <v>33</v>
      </c>
      <c r="Q415">
        <v>1000</v>
      </c>
      <c r="W415">
        <v>0</v>
      </c>
      <c r="X415">
        <v>-1725170667</v>
      </c>
      <c r="Y415">
        <f>AT415</f>
        <v>0.16473699999999999</v>
      </c>
      <c r="AA415">
        <v>108459.62</v>
      </c>
      <c r="AB415">
        <v>0</v>
      </c>
      <c r="AC415">
        <v>0</v>
      </c>
      <c r="AD415">
        <v>0</v>
      </c>
      <c r="AE415">
        <v>15032.27</v>
      </c>
      <c r="AF415">
        <v>0</v>
      </c>
      <c r="AG415">
        <v>0</v>
      </c>
      <c r="AH415">
        <v>0</v>
      </c>
      <c r="AI415">
        <v>7.56</v>
      </c>
      <c r="AJ415">
        <v>1</v>
      </c>
      <c r="AK415">
        <v>1</v>
      </c>
      <c r="AL415">
        <v>1</v>
      </c>
      <c r="AM415">
        <v>0</v>
      </c>
      <c r="AN415">
        <v>0</v>
      </c>
      <c r="AO415">
        <v>0</v>
      </c>
      <c r="AP415">
        <v>1</v>
      </c>
      <c r="AQ415">
        <v>0</v>
      </c>
      <c r="AR415">
        <v>0</v>
      </c>
      <c r="AS415" t="s">
        <v>6</v>
      </c>
      <c r="AT415">
        <v>0.16473699999999999</v>
      </c>
      <c r="AU415" t="s">
        <v>6</v>
      </c>
      <c r="AV415">
        <v>0</v>
      </c>
      <c r="AW415">
        <v>1</v>
      </c>
      <c r="AX415">
        <v>-1</v>
      </c>
      <c r="AY415">
        <v>0</v>
      </c>
      <c r="AZ415">
        <v>0</v>
      </c>
      <c r="BA415" t="s">
        <v>6</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CV415">
        <v>0</v>
      </c>
      <c r="CW415">
        <v>0</v>
      </c>
      <c r="CX415">
        <f>ROUND(Y415*Source!I331,9)</f>
        <v>1.355250115</v>
      </c>
      <c r="CY415">
        <f>AA415</f>
        <v>108459.62</v>
      </c>
      <c r="CZ415">
        <f>AE415</f>
        <v>15032.27</v>
      </c>
      <c r="DA415">
        <f>AI415</f>
        <v>7.56</v>
      </c>
      <c r="DB415">
        <f>ROUND(ROUND(AT415*CZ415,2),2)</f>
        <v>2476.37</v>
      </c>
      <c r="DC415">
        <f>ROUND(ROUND(AT415*AG415,2),2)</f>
        <v>0</v>
      </c>
      <c r="DD415" t="s">
        <v>6</v>
      </c>
      <c r="DE415" t="s">
        <v>6</v>
      </c>
      <c r="DF415">
        <f>ROUND(ROUND(AE415*AI415,0)*CX415,0)</f>
        <v>154016</v>
      </c>
      <c r="DG415">
        <f t="shared" si="161"/>
        <v>0</v>
      </c>
      <c r="DH415">
        <f>Source!I331*SmtRes!Y415</f>
        <v>1.3552501147499998</v>
      </c>
      <c r="DI415">
        <f>AA415</f>
        <v>108459.62</v>
      </c>
      <c r="DJ415">
        <f>DF415</f>
        <v>154016</v>
      </c>
      <c r="DK415">
        <f>Source!BC331</f>
        <v>7.56</v>
      </c>
      <c r="DL415" t="s">
        <v>6</v>
      </c>
      <c r="DM415">
        <v>0</v>
      </c>
      <c r="DN415" t="s">
        <v>6</v>
      </c>
      <c r="DO415">
        <v>0</v>
      </c>
      <c r="GP415">
        <v>1</v>
      </c>
      <c r="GQ415">
        <v>-1</v>
      </c>
      <c r="GR415">
        <v>-1</v>
      </c>
    </row>
    <row r="416" spans="1:200" x14ac:dyDescent="0.2">
      <c r="A416">
        <f>ROW(Source!A331)</f>
        <v>331</v>
      </c>
      <c r="B416">
        <v>86326988</v>
      </c>
      <c r="C416">
        <v>86327700</v>
      </c>
      <c r="D416">
        <v>69208321</v>
      </c>
      <c r="E416">
        <v>1</v>
      </c>
      <c r="F416">
        <v>1</v>
      </c>
      <c r="G416">
        <v>1</v>
      </c>
      <c r="H416">
        <v>3</v>
      </c>
      <c r="I416" t="s">
        <v>438</v>
      </c>
      <c r="J416" t="s">
        <v>440</v>
      </c>
      <c r="K416" t="s">
        <v>453</v>
      </c>
      <c r="L416">
        <v>1348</v>
      </c>
      <c r="N416">
        <v>1009</v>
      </c>
      <c r="O416" t="s">
        <v>33</v>
      </c>
      <c r="P416" t="s">
        <v>33</v>
      </c>
      <c r="Q416">
        <v>1000</v>
      </c>
      <c r="W416">
        <v>0</v>
      </c>
      <c r="X416">
        <v>546832064</v>
      </c>
      <c r="Y416">
        <f>AT416</f>
        <v>3.3731400000000002E-3</v>
      </c>
      <c r="AA416">
        <v>108459.62</v>
      </c>
      <c r="AB416">
        <v>0</v>
      </c>
      <c r="AC416">
        <v>0</v>
      </c>
      <c r="AD416">
        <v>0</v>
      </c>
      <c r="AE416">
        <v>15032.27</v>
      </c>
      <c r="AF416">
        <v>0</v>
      </c>
      <c r="AG416">
        <v>0</v>
      </c>
      <c r="AH416">
        <v>0</v>
      </c>
      <c r="AI416">
        <v>7.56</v>
      </c>
      <c r="AJ416">
        <v>1</v>
      </c>
      <c r="AK416">
        <v>1</v>
      </c>
      <c r="AL416">
        <v>1</v>
      </c>
      <c r="AM416">
        <v>0</v>
      </c>
      <c r="AN416">
        <v>0</v>
      </c>
      <c r="AO416">
        <v>0</v>
      </c>
      <c r="AP416">
        <v>0</v>
      </c>
      <c r="AQ416">
        <v>0</v>
      </c>
      <c r="AR416">
        <v>0</v>
      </c>
      <c r="AS416" t="s">
        <v>6</v>
      </c>
      <c r="AT416">
        <v>3.3731400000000002E-3</v>
      </c>
      <c r="AU416" t="s">
        <v>6</v>
      </c>
      <c r="AV416">
        <v>0</v>
      </c>
      <c r="AW416">
        <v>1</v>
      </c>
      <c r="AX416">
        <v>-1</v>
      </c>
      <c r="AY416">
        <v>0</v>
      </c>
      <c r="AZ416">
        <v>0</v>
      </c>
      <c r="BA416" t="s">
        <v>6</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CV416">
        <v>0</v>
      </c>
      <c r="CW416">
        <v>0</v>
      </c>
      <c r="CX416">
        <f>ROUND(Y416*Source!I331,9)</f>
        <v>2.7749979000000001E-2</v>
      </c>
      <c r="CY416">
        <f>AA416</f>
        <v>108459.62</v>
      </c>
      <c r="CZ416">
        <f>AE416</f>
        <v>15032.27</v>
      </c>
      <c r="DA416">
        <f>AI416</f>
        <v>7.56</v>
      </c>
      <c r="DB416">
        <f>ROUND(ROUND(AT416*CZ416,2),2)</f>
        <v>50.71</v>
      </c>
      <c r="DC416">
        <f>ROUND(ROUND(AT416*AG416,2),2)</f>
        <v>0</v>
      </c>
      <c r="DD416" t="s">
        <v>6</v>
      </c>
      <c r="DE416" t="s">
        <v>6</v>
      </c>
      <c r="DF416">
        <f>ROUND(ROUND(AE416*AI416,0)*CX416,0)</f>
        <v>3154</v>
      </c>
      <c r="DG416">
        <f t="shared" si="161"/>
        <v>0</v>
      </c>
      <c r="DH416">
        <f>Source!I331*SmtRes!Y416</f>
        <v>2.7749979494999997E-2</v>
      </c>
      <c r="DI416">
        <f>AA416</f>
        <v>108459.62</v>
      </c>
      <c r="DJ416">
        <f>DF416</f>
        <v>3154</v>
      </c>
      <c r="DK416">
        <f>Source!BC331</f>
        <v>7.56</v>
      </c>
      <c r="DL416" t="s">
        <v>6</v>
      </c>
      <c r="DM416">
        <v>0</v>
      </c>
      <c r="DN416" t="s">
        <v>6</v>
      </c>
      <c r="DO416">
        <v>0</v>
      </c>
      <c r="GP416">
        <v>1</v>
      </c>
      <c r="GQ416">
        <v>-1</v>
      </c>
      <c r="GR416">
        <v>-1</v>
      </c>
    </row>
    <row r="417" spans="1:200" x14ac:dyDescent="0.2">
      <c r="A417">
        <f>ROW(Source!A340)</f>
        <v>340</v>
      </c>
      <c r="B417">
        <v>86326987</v>
      </c>
      <c r="C417">
        <v>86327722</v>
      </c>
      <c r="D417">
        <v>27497778</v>
      </c>
      <c r="E417">
        <v>1</v>
      </c>
      <c r="F417">
        <v>1</v>
      </c>
      <c r="G417">
        <v>1</v>
      </c>
      <c r="H417">
        <v>1</v>
      </c>
      <c r="I417" t="s">
        <v>647</v>
      </c>
      <c r="J417" t="s">
        <v>6</v>
      </c>
      <c r="K417" t="s">
        <v>648</v>
      </c>
      <c r="L417">
        <v>1369</v>
      </c>
      <c r="N417">
        <v>1013</v>
      </c>
      <c r="O417" t="s">
        <v>625</v>
      </c>
      <c r="P417" t="s">
        <v>625</v>
      </c>
      <c r="Q417">
        <v>1</v>
      </c>
      <c r="W417">
        <v>0</v>
      </c>
      <c r="X417">
        <v>-160844189</v>
      </c>
      <c r="Y417">
        <f>(AT417*1.05)</f>
        <v>2.6145000000000005</v>
      </c>
      <c r="AA417">
        <v>0</v>
      </c>
      <c r="AB417">
        <v>0</v>
      </c>
      <c r="AC417">
        <v>0</v>
      </c>
      <c r="AD417">
        <v>8.7100000000000009</v>
      </c>
      <c r="AE417">
        <v>0</v>
      </c>
      <c r="AF417">
        <v>0</v>
      </c>
      <c r="AG417">
        <v>0</v>
      </c>
      <c r="AH417">
        <v>8.7100000000000009</v>
      </c>
      <c r="AI417">
        <v>1</v>
      </c>
      <c r="AJ417">
        <v>1</v>
      </c>
      <c r="AK417">
        <v>1</v>
      </c>
      <c r="AL417">
        <v>1</v>
      </c>
      <c r="AM417">
        <v>0</v>
      </c>
      <c r="AN417">
        <v>0</v>
      </c>
      <c r="AO417">
        <v>1</v>
      </c>
      <c r="AP417">
        <v>1</v>
      </c>
      <c r="AQ417">
        <v>0</v>
      </c>
      <c r="AR417">
        <v>0</v>
      </c>
      <c r="AS417" t="s">
        <v>6</v>
      </c>
      <c r="AT417">
        <v>2.4900000000000002</v>
      </c>
      <c r="AU417" t="s">
        <v>25</v>
      </c>
      <c r="AV417">
        <v>1</v>
      </c>
      <c r="AW417">
        <v>2</v>
      </c>
      <c r="AX417">
        <v>86327732</v>
      </c>
      <c r="AY417">
        <v>1</v>
      </c>
      <c r="AZ417">
        <v>0</v>
      </c>
      <c r="BA417">
        <v>339</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CU417">
        <f>ROUND(AT417*Source!I340*AH417*AL417,0)</f>
        <v>1132</v>
      </c>
      <c r="CV417">
        <f>ROUND(Y417*Source!I340,9)</f>
        <v>136.4769</v>
      </c>
      <c r="CW417">
        <v>0</v>
      </c>
      <c r="CX417">
        <f>ROUND(Y417*Source!I340,9)</f>
        <v>136.4769</v>
      </c>
      <c r="CY417">
        <f>AD417</f>
        <v>8.7100000000000009</v>
      </c>
      <c r="CZ417">
        <f>AH417</f>
        <v>8.7100000000000009</v>
      </c>
      <c r="DA417">
        <f>AL417</f>
        <v>1</v>
      </c>
      <c r="DB417">
        <f>ROUND((ROUND(AT417*CZ417,2)*1.05),2)</f>
        <v>22.77</v>
      </c>
      <c r="DC417">
        <f>ROUND((ROUND(AT417*AG417,2)*1.05),2)</f>
        <v>0</v>
      </c>
      <c r="DD417" t="s">
        <v>6</v>
      </c>
      <c r="DE417" t="s">
        <v>6</v>
      </c>
      <c r="DF417">
        <f t="shared" ref="DF417:DF429" si="162">ROUND(ROUND(AE417,0)*CX417,0)</f>
        <v>0</v>
      </c>
      <c r="DG417">
        <f t="shared" si="161"/>
        <v>0</v>
      </c>
      <c r="DH417">
        <f>Source!I340*SmtRes!Y417</f>
        <v>136.47690000000003</v>
      </c>
      <c r="DI417">
        <f>AD417</f>
        <v>8.7100000000000009</v>
      </c>
      <c r="DJ417">
        <f>EtalonRes!AB339</f>
        <v>8.7100000000000009</v>
      </c>
      <c r="DK417">
        <f>Source!BA340</f>
        <v>1</v>
      </c>
      <c r="DL417" t="s">
        <v>6</v>
      </c>
      <c r="DM417">
        <v>0</v>
      </c>
      <c r="DN417" t="s">
        <v>6</v>
      </c>
      <c r="DO417">
        <v>0</v>
      </c>
      <c r="GQ417">
        <v>-1</v>
      </c>
      <c r="GR417">
        <v>-1</v>
      </c>
    </row>
    <row r="418" spans="1:200" x14ac:dyDescent="0.2">
      <c r="A418">
        <f>ROW(Source!A340)</f>
        <v>340</v>
      </c>
      <c r="B418">
        <v>86326987</v>
      </c>
      <c r="C418">
        <v>86327722</v>
      </c>
      <c r="D418">
        <v>121548</v>
      </c>
      <c r="E418">
        <v>1</v>
      </c>
      <c r="F418">
        <v>1</v>
      </c>
      <c r="G418">
        <v>1</v>
      </c>
      <c r="H418">
        <v>1</v>
      </c>
      <c r="I418" t="s">
        <v>40</v>
      </c>
      <c r="J418" t="s">
        <v>6</v>
      </c>
      <c r="K418" t="s">
        <v>626</v>
      </c>
      <c r="L418">
        <v>608254</v>
      </c>
      <c r="N418">
        <v>1013</v>
      </c>
      <c r="O418" t="s">
        <v>627</v>
      </c>
      <c r="P418" t="s">
        <v>627</v>
      </c>
      <c r="Q418">
        <v>1</v>
      </c>
      <c r="W418">
        <v>0</v>
      </c>
      <c r="X418">
        <v>-185737400</v>
      </c>
      <c r="Y418">
        <f>(AT418*1.12)</f>
        <v>1.0752000000000002</v>
      </c>
      <c r="AA418">
        <v>0</v>
      </c>
      <c r="AB418">
        <v>0</v>
      </c>
      <c r="AC418">
        <v>0</v>
      </c>
      <c r="AD418">
        <v>0</v>
      </c>
      <c r="AE418">
        <v>0</v>
      </c>
      <c r="AF418">
        <v>0</v>
      </c>
      <c r="AG418">
        <v>0</v>
      </c>
      <c r="AH418">
        <v>0</v>
      </c>
      <c r="AI418">
        <v>1</v>
      </c>
      <c r="AJ418">
        <v>1</v>
      </c>
      <c r="AK418">
        <v>1</v>
      </c>
      <c r="AL418">
        <v>1</v>
      </c>
      <c r="AM418">
        <v>0</v>
      </c>
      <c r="AN418">
        <v>0</v>
      </c>
      <c r="AO418">
        <v>1</v>
      </c>
      <c r="AP418">
        <v>1</v>
      </c>
      <c r="AQ418">
        <v>0</v>
      </c>
      <c r="AR418">
        <v>0</v>
      </c>
      <c r="AS418" t="s">
        <v>6</v>
      </c>
      <c r="AT418">
        <v>0.96</v>
      </c>
      <c r="AU418" t="s">
        <v>24</v>
      </c>
      <c r="AV418">
        <v>2</v>
      </c>
      <c r="AW418">
        <v>2</v>
      </c>
      <c r="AX418">
        <v>86327733</v>
      </c>
      <c r="AY418">
        <v>1</v>
      </c>
      <c r="AZ418">
        <v>0</v>
      </c>
      <c r="BA418">
        <v>340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CV418">
        <v>0</v>
      </c>
      <c r="CW418">
        <v>0</v>
      </c>
      <c r="CX418">
        <f>ROUND(Y418*Source!I340,9)</f>
        <v>56.125439999999998</v>
      </c>
      <c r="CY418">
        <f>AD418</f>
        <v>0</v>
      </c>
      <c r="CZ418">
        <f>AH418</f>
        <v>0</v>
      </c>
      <c r="DA418">
        <f>AL418</f>
        <v>1</v>
      </c>
      <c r="DB418">
        <f>ROUND((ROUND(AT418*CZ418,2)*1.12),2)</f>
        <v>0</v>
      </c>
      <c r="DC418">
        <f>ROUND((ROUND(AT418*AG418,2)*1.12),2)</f>
        <v>0</v>
      </c>
      <c r="DD418" t="s">
        <v>6</v>
      </c>
      <c r="DE418" t="s">
        <v>6</v>
      </c>
      <c r="DF418">
        <f t="shared" si="162"/>
        <v>0</v>
      </c>
      <c r="DG418">
        <f t="shared" si="161"/>
        <v>0</v>
      </c>
      <c r="DH418">
        <f>Source!I340*SmtRes!Y418</f>
        <v>56.125440000000012</v>
      </c>
      <c r="DI418">
        <f>AD418</f>
        <v>0</v>
      </c>
      <c r="DJ418">
        <f>EtalonRes!AB340</f>
        <v>0</v>
      </c>
      <c r="DK418">
        <f>Source!BA340</f>
        <v>1</v>
      </c>
      <c r="DL418" t="s">
        <v>6</v>
      </c>
      <c r="DM418">
        <v>0</v>
      </c>
      <c r="DN418" t="s">
        <v>6</v>
      </c>
      <c r="DO418">
        <v>0</v>
      </c>
      <c r="GQ418">
        <v>-1</v>
      </c>
      <c r="GR418">
        <v>-1</v>
      </c>
    </row>
    <row r="419" spans="1:200" x14ac:dyDescent="0.2">
      <c r="A419">
        <f>ROW(Source!A340)</f>
        <v>340</v>
      </c>
      <c r="B419">
        <v>86326987</v>
      </c>
      <c r="C419">
        <v>86327722</v>
      </c>
      <c r="D419">
        <v>27439419</v>
      </c>
      <c r="E419">
        <v>1</v>
      </c>
      <c r="F419">
        <v>1</v>
      </c>
      <c r="G419">
        <v>1</v>
      </c>
      <c r="H419">
        <v>2</v>
      </c>
      <c r="I419" t="s">
        <v>628</v>
      </c>
      <c r="J419" t="s">
        <v>629</v>
      </c>
      <c r="K419" t="s">
        <v>630</v>
      </c>
      <c r="L419">
        <v>1368</v>
      </c>
      <c r="N419">
        <v>1011</v>
      </c>
      <c r="O419" t="s">
        <v>137</v>
      </c>
      <c r="P419" t="s">
        <v>137</v>
      </c>
      <c r="Q419">
        <v>1</v>
      </c>
      <c r="W419">
        <v>0</v>
      </c>
      <c r="X419">
        <v>1804162481</v>
      </c>
      <c r="Y419">
        <f>(AT419*1.12)</f>
        <v>1.0752000000000002</v>
      </c>
      <c r="AA419">
        <v>0</v>
      </c>
      <c r="AB419">
        <v>115.64</v>
      </c>
      <c r="AC419">
        <v>13.61</v>
      </c>
      <c r="AD419">
        <v>0</v>
      </c>
      <c r="AE419">
        <v>0</v>
      </c>
      <c r="AF419">
        <v>115.64</v>
      </c>
      <c r="AG419">
        <v>13.61</v>
      </c>
      <c r="AH419">
        <v>0</v>
      </c>
      <c r="AI419">
        <v>1</v>
      </c>
      <c r="AJ419">
        <v>1</v>
      </c>
      <c r="AK419">
        <v>1</v>
      </c>
      <c r="AL419">
        <v>1</v>
      </c>
      <c r="AM419">
        <v>0</v>
      </c>
      <c r="AN419">
        <v>0</v>
      </c>
      <c r="AO419">
        <v>1</v>
      </c>
      <c r="AP419">
        <v>1</v>
      </c>
      <c r="AQ419">
        <v>0</v>
      </c>
      <c r="AR419">
        <v>0</v>
      </c>
      <c r="AS419" t="s">
        <v>6</v>
      </c>
      <c r="AT419">
        <v>0.96</v>
      </c>
      <c r="AU419" t="s">
        <v>24</v>
      </c>
      <c r="AV419">
        <v>0</v>
      </c>
      <c r="AW419">
        <v>1</v>
      </c>
      <c r="AX419">
        <v>-1</v>
      </c>
      <c r="AY419">
        <v>0</v>
      </c>
      <c r="AZ419">
        <v>0</v>
      </c>
      <c r="BA419" t="s">
        <v>6</v>
      </c>
      <c r="BB419">
        <v>5</v>
      </c>
      <c r="BC419">
        <v>0</v>
      </c>
      <c r="BD419">
        <v>124.33612800000002</v>
      </c>
      <c r="BE419">
        <v>14.633472000000001</v>
      </c>
      <c r="BF419">
        <v>0</v>
      </c>
      <c r="BG419">
        <v>0</v>
      </c>
      <c r="BH419">
        <v>0</v>
      </c>
      <c r="BI419">
        <v>1</v>
      </c>
      <c r="BJ419">
        <v>0</v>
      </c>
      <c r="BK419">
        <v>0</v>
      </c>
      <c r="BL419">
        <v>0</v>
      </c>
      <c r="BM419">
        <v>0</v>
      </c>
      <c r="BN419">
        <v>0</v>
      </c>
      <c r="BO419">
        <v>0</v>
      </c>
      <c r="BP419">
        <v>0</v>
      </c>
      <c r="BQ419">
        <v>0</v>
      </c>
      <c r="BR419">
        <v>0</v>
      </c>
      <c r="BS419">
        <v>0</v>
      </c>
      <c r="BT419">
        <v>0</v>
      </c>
      <c r="BU419">
        <v>0</v>
      </c>
      <c r="BV419">
        <v>0</v>
      </c>
      <c r="BW419">
        <v>0</v>
      </c>
      <c r="CV419">
        <v>0</v>
      </c>
      <c r="CW419">
        <f>ROUND(Y419*Source!I340*DO419,9)</f>
        <v>0</v>
      </c>
      <c r="CX419">
        <f>ROUND(Y419*Source!I340,9)</f>
        <v>56.125439999999998</v>
      </c>
      <c r="CY419">
        <f>AB419</f>
        <v>115.64</v>
      </c>
      <c r="CZ419">
        <f>AF419</f>
        <v>115.64</v>
      </c>
      <c r="DA419">
        <f>AJ419</f>
        <v>1</v>
      </c>
      <c r="DB419">
        <f>ROUND((ROUND(AT419*CZ419,2)*1.12),2)</f>
        <v>124.33</v>
      </c>
      <c r="DC419">
        <f>ROUND((ROUND(AT419*AG419,2)*1.12),2)</f>
        <v>14.64</v>
      </c>
      <c r="DD419" t="s">
        <v>6</v>
      </c>
      <c r="DE419" t="s">
        <v>6</v>
      </c>
      <c r="DF419">
        <f t="shared" si="162"/>
        <v>0</v>
      </c>
      <c r="DG419">
        <f t="shared" si="161"/>
        <v>6511</v>
      </c>
      <c r="DH419">
        <f>Source!I340*SmtRes!Y419</f>
        <v>56.125440000000012</v>
      </c>
      <c r="DI419">
        <f>AB419</f>
        <v>115.64</v>
      </c>
      <c r="DJ419">
        <f>DG419</f>
        <v>6511</v>
      </c>
      <c r="DK419">
        <f>Source!BB340</f>
        <v>1</v>
      </c>
      <c r="DL419" t="s">
        <v>6</v>
      </c>
      <c r="DM419">
        <v>0</v>
      </c>
      <c r="DN419" t="s">
        <v>6</v>
      </c>
      <c r="DO419">
        <v>0</v>
      </c>
      <c r="GQ419">
        <v>-1</v>
      </c>
      <c r="GR419">
        <v>-1</v>
      </c>
    </row>
    <row r="420" spans="1:200" x14ac:dyDescent="0.2">
      <c r="A420">
        <f>ROW(Source!A340)</f>
        <v>340</v>
      </c>
      <c r="B420">
        <v>86326987</v>
      </c>
      <c r="C420">
        <v>86327722</v>
      </c>
      <c r="D420">
        <v>27440041</v>
      </c>
      <c r="E420">
        <v>1</v>
      </c>
      <c r="F420">
        <v>1</v>
      </c>
      <c r="G420">
        <v>1</v>
      </c>
      <c r="H420">
        <v>2</v>
      </c>
      <c r="I420" t="s">
        <v>690</v>
      </c>
      <c r="J420" t="s">
        <v>691</v>
      </c>
      <c r="K420" t="s">
        <v>692</v>
      </c>
      <c r="L420">
        <v>1368</v>
      </c>
      <c r="N420">
        <v>1011</v>
      </c>
      <c r="O420" t="s">
        <v>137</v>
      </c>
      <c r="P420" t="s">
        <v>137</v>
      </c>
      <c r="Q420">
        <v>1</v>
      </c>
      <c r="W420">
        <v>0</v>
      </c>
      <c r="X420">
        <v>781889226</v>
      </c>
      <c r="Y420">
        <f>(AT420*1.12)</f>
        <v>1.8704000000000001</v>
      </c>
      <c r="AA420">
        <v>0</v>
      </c>
      <c r="AB420">
        <v>0.5</v>
      </c>
      <c r="AC420">
        <v>0</v>
      </c>
      <c r="AD420">
        <v>0</v>
      </c>
      <c r="AE420">
        <v>0</v>
      </c>
      <c r="AF420">
        <v>0.5</v>
      </c>
      <c r="AG420">
        <v>0</v>
      </c>
      <c r="AH420">
        <v>0</v>
      </c>
      <c r="AI420">
        <v>1</v>
      </c>
      <c r="AJ420">
        <v>1</v>
      </c>
      <c r="AK420">
        <v>1</v>
      </c>
      <c r="AL420">
        <v>1</v>
      </c>
      <c r="AM420">
        <v>0</v>
      </c>
      <c r="AN420">
        <v>0</v>
      </c>
      <c r="AO420">
        <v>1</v>
      </c>
      <c r="AP420">
        <v>1</v>
      </c>
      <c r="AQ420">
        <v>0</v>
      </c>
      <c r="AR420">
        <v>0</v>
      </c>
      <c r="AS420" t="s">
        <v>6</v>
      </c>
      <c r="AT420">
        <v>1.67</v>
      </c>
      <c r="AU420" t="s">
        <v>24</v>
      </c>
      <c r="AV420">
        <v>0</v>
      </c>
      <c r="AW420">
        <v>2</v>
      </c>
      <c r="AX420">
        <v>86327735</v>
      </c>
      <c r="AY420">
        <v>1</v>
      </c>
      <c r="AZ420">
        <v>0</v>
      </c>
      <c r="BA420">
        <v>342</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CV420">
        <v>0</v>
      </c>
      <c r="CW420">
        <f>ROUND(Y420*Source!I340*DO420,9)</f>
        <v>0</v>
      </c>
      <c r="CX420">
        <f>ROUND(Y420*Source!I340,9)</f>
        <v>97.634879999999995</v>
      </c>
      <c r="CY420">
        <f>AB420</f>
        <v>0.5</v>
      </c>
      <c r="CZ420">
        <f>AF420</f>
        <v>0.5</v>
      </c>
      <c r="DA420">
        <f>AJ420</f>
        <v>1</v>
      </c>
      <c r="DB420">
        <f>ROUND((ROUND(AT420*CZ420,2)*1.12),2)</f>
        <v>0.94</v>
      </c>
      <c r="DC420">
        <f>ROUND((ROUND(AT420*AG420,2)*1.12),2)</f>
        <v>0</v>
      </c>
      <c r="DD420" t="s">
        <v>6</v>
      </c>
      <c r="DE420" t="s">
        <v>6</v>
      </c>
      <c r="DF420">
        <f t="shared" si="162"/>
        <v>0</v>
      </c>
      <c r="DG420">
        <f t="shared" si="161"/>
        <v>98</v>
      </c>
      <c r="DH420">
        <f>Source!I340*SmtRes!Y420</f>
        <v>97.63488000000001</v>
      </c>
      <c r="DI420">
        <f>AB420</f>
        <v>0.5</v>
      </c>
      <c r="DJ420">
        <f>EtalonRes!Z342</f>
        <v>0.5</v>
      </c>
      <c r="DK420">
        <f>Source!BB340</f>
        <v>1</v>
      </c>
      <c r="DL420" t="s">
        <v>6</v>
      </c>
      <c r="DM420">
        <v>0</v>
      </c>
      <c r="DN420" t="s">
        <v>6</v>
      </c>
      <c r="DO420">
        <v>0</v>
      </c>
      <c r="GQ420">
        <v>-1</v>
      </c>
      <c r="GR420">
        <v>-1</v>
      </c>
    </row>
    <row r="421" spans="1:200" x14ac:dyDescent="0.2">
      <c r="A421">
        <f>ROW(Source!A340)</f>
        <v>340</v>
      </c>
      <c r="B421">
        <v>86326987</v>
      </c>
      <c r="C421">
        <v>86327722</v>
      </c>
      <c r="D421">
        <v>27371200</v>
      </c>
      <c r="E421">
        <v>1</v>
      </c>
      <c r="F421">
        <v>1</v>
      </c>
      <c r="G421">
        <v>1</v>
      </c>
      <c r="H421">
        <v>3</v>
      </c>
      <c r="I421" t="s">
        <v>71</v>
      </c>
      <c r="J421" t="s">
        <v>73</v>
      </c>
      <c r="K421" t="s">
        <v>72</v>
      </c>
      <c r="L421">
        <v>1348</v>
      </c>
      <c r="N421">
        <v>1009</v>
      </c>
      <c r="O421" t="s">
        <v>33</v>
      </c>
      <c r="P421" t="s">
        <v>33</v>
      </c>
      <c r="Q421">
        <v>1000</v>
      </c>
      <c r="W421">
        <v>0</v>
      </c>
      <c r="X421">
        <v>-81122142</v>
      </c>
      <c r="Y421">
        <f>AT421</f>
        <v>2.0999999999999999E-3</v>
      </c>
      <c r="AA421">
        <v>1696.01</v>
      </c>
      <c r="AB421">
        <v>0</v>
      </c>
      <c r="AC421">
        <v>0</v>
      </c>
      <c r="AD421">
        <v>0</v>
      </c>
      <c r="AE421">
        <v>1696.01</v>
      </c>
      <c r="AF421">
        <v>0</v>
      </c>
      <c r="AG421">
        <v>0</v>
      </c>
      <c r="AH421">
        <v>0</v>
      </c>
      <c r="AI421">
        <v>1</v>
      </c>
      <c r="AJ421">
        <v>1</v>
      </c>
      <c r="AK421">
        <v>1</v>
      </c>
      <c r="AL421">
        <v>1</v>
      </c>
      <c r="AM421">
        <v>0</v>
      </c>
      <c r="AN421">
        <v>0</v>
      </c>
      <c r="AO421">
        <v>0</v>
      </c>
      <c r="AP421">
        <v>1</v>
      </c>
      <c r="AQ421">
        <v>0</v>
      </c>
      <c r="AR421">
        <v>0</v>
      </c>
      <c r="AS421" t="s">
        <v>6</v>
      </c>
      <c r="AT421">
        <v>2.0999999999999999E-3</v>
      </c>
      <c r="AU421" t="s">
        <v>6</v>
      </c>
      <c r="AV421">
        <v>0</v>
      </c>
      <c r="AW421">
        <v>2</v>
      </c>
      <c r="AX421">
        <v>86327736</v>
      </c>
      <c r="AY421">
        <v>1</v>
      </c>
      <c r="AZ421">
        <v>0</v>
      </c>
      <c r="BA421">
        <v>343</v>
      </c>
      <c r="BB421">
        <v>3</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CV421">
        <v>0</v>
      </c>
      <c r="CW421">
        <v>0</v>
      </c>
      <c r="CX421">
        <f>ROUND(Y421*Source!I340,9)</f>
        <v>0.10962</v>
      </c>
      <c r="CY421">
        <f>AA421</f>
        <v>1696.01</v>
      </c>
      <c r="CZ421">
        <f>AE421</f>
        <v>1696.01</v>
      </c>
      <c r="DA421">
        <f>AI421</f>
        <v>1</v>
      </c>
      <c r="DB421">
        <f>ROUND(ROUND(AT421*CZ421,2),2)</f>
        <v>3.56</v>
      </c>
      <c r="DC421">
        <f>ROUND(ROUND(AT421*AG421,2),2)</f>
        <v>0</v>
      </c>
      <c r="DD421" t="s">
        <v>6</v>
      </c>
      <c r="DE421" t="s">
        <v>6</v>
      </c>
      <c r="DF421">
        <f t="shared" si="162"/>
        <v>186</v>
      </c>
      <c r="DG421">
        <f t="shared" si="161"/>
        <v>0</v>
      </c>
      <c r="DH421">
        <f>Source!I340*SmtRes!Y421</f>
        <v>0.10962</v>
      </c>
      <c r="DI421">
        <f>AA421</f>
        <v>1696.01</v>
      </c>
      <c r="DJ421">
        <f>EtalonRes!Y343</f>
        <v>1696.01</v>
      </c>
      <c r="DK421">
        <f>Source!BC340</f>
        <v>1</v>
      </c>
      <c r="DL421" t="s">
        <v>6</v>
      </c>
      <c r="DM421">
        <v>0</v>
      </c>
      <c r="DN421" t="s">
        <v>6</v>
      </c>
      <c r="DO421">
        <v>0</v>
      </c>
      <c r="GP421">
        <v>1</v>
      </c>
      <c r="GQ421">
        <v>-1</v>
      </c>
      <c r="GR421">
        <v>-1</v>
      </c>
    </row>
    <row r="422" spans="1:200" x14ac:dyDescent="0.2">
      <c r="A422">
        <f>ROW(Source!A340)</f>
        <v>340</v>
      </c>
      <c r="B422">
        <v>86326987</v>
      </c>
      <c r="C422">
        <v>86327722</v>
      </c>
      <c r="D422">
        <v>11618020</v>
      </c>
      <c r="E422">
        <v>1</v>
      </c>
      <c r="F422">
        <v>1</v>
      </c>
      <c r="G422">
        <v>1</v>
      </c>
      <c r="H422">
        <v>3</v>
      </c>
      <c r="I422" t="s">
        <v>472</v>
      </c>
      <c r="J422" t="s">
        <v>474</v>
      </c>
      <c r="K422" t="s">
        <v>473</v>
      </c>
      <c r="L422">
        <v>1371</v>
      </c>
      <c r="N422">
        <v>1013</v>
      </c>
      <c r="O422" t="s">
        <v>103</v>
      </c>
      <c r="P422" t="s">
        <v>103</v>
      </c>
      <c r="Q422">
        <v>1</v>
      </c>
      <c r="W422">
        <v>0</v>
      </c>
      <c r="X422">
        <v>1224859230</v>
      </c>
      <c r="Y422">
        <f>AT422</f>
        <v>23</v>
      </c>
      <c r="AA422">
        <v>0.28000000000000003</v>
      </c>
      <c r="AB422">
        <v>0</v>
      </c>
      <c r="AC422">
        <v>0</v>
      </c>
      <c r="AD422">
        <v>0</v>
      </c>
      <c r="AE422">
        <v>0.28000000000000003</v>
      </c>
      <c r="AF422">
        <v>0</v>
      </c>
      <c r="AG422">
        <v>0</v>
      </c>
      <c r="AH422">
        <v>0</v>
      </c>
      <c r="AI422">
        <v>1</v>
      </c>
      <c r="AJ422">
        <v>1</v>
      </c>
      <c r="AK422">
        <v>1</v>
      </c>
      <c r="AL422">
        <v>1</v>
      </c>
      <c r="AM422">
        <v>0</v>
      </c>
      <c r="AN422">
        <v>0</v>
      </c>
      <c r="AO422">
        <v>0</v>
      </c>
      <c r="AP422">
        <v>1</v>
      </c>
      <c r="AQ422">
        <v>0</v>
      </c>
      <c r="AR422">
        <v>0</v>
      </c>
      <c r="AS422" t="s">
        <v>6</v>
      </c>
      <c r="AT422">
        <v>23</v>
      </c>
      <c r="AU422" t="s">
        <v>6</v>
      </c>
      <c r="AV422">
        <v>0</v>
      </c>
      <c r="AW422">
        <v>1</v>
      </c>
      <c r="AX422">
        <v>-1</v>
      </c>
      <c r="AY422">
        <v>0</v>
      </c>
      <c r="AZ422">
        <v>0</v>
      </c>
      <c r="BA422" t="s">
        <v>6</v>
      </c>
      <c r="BB422">
        <v>0</v>
      </c>
      <c r="BC422">
        <v>0</v>
      </c>
      <c r="BD422">
        <v>0</v>
      </c>
      <c r="BE422">
        <v>0</v>
      </c>
      <c r="BF422">
        <v>0</v>
      </c>
      <c r="BG422">
        <v>0</v>
      </c>
      <c r="BH422">
        <v>0</v>
      </c>
      <c r="BI422">
        <v>0</v>
      </c>
      <c r="BJ422">
        <v>0</v>
      </c>
      <c r="BK422">
        <v>0</v>
      </c>
      <c r="BL422">
        <v>0</v>
      </c>
      <c r="BM422">
        <v>0</v>
      </c>
      <c r="BN422">
        <v>0</v>
      </c>
      <c r="BO422">
        <v>0</v>
      </c>
      <c r="BP422">
        <v>0</v>
      </c>
      <c r="BQ422">
        <v>0</v>
      </c>
      <c r="BR422">
        <v>0</v>
      </c>
      <c r="BS422">
        <v>0</v>
      </c>
      <c r="BT422">
        <v>0</v>
      </c>
      <c r="BU422">
        <v>0</v>
      </c>
      <c r="BV422">
        <v>0</v>
      </c>
      <c r="BW422">
        <v>0</v>
      </c>
      <c r="CV422">
        <v>0</v>
      </c>
      <c r="CW422">
        <v>0</v>
      </c>
      <c r="CX422">
        <f>ROUND(Y422*Source!I340,9)</f>
        <v>1200.5999999999999</v>
      </c>
      <c r="CY422">
        <f>AA422</f>
        <v>0.28000000000000003</v>
      </c>
      <c r="CZ422">
        <f>AE422</f>
        <v>0.28000000000000003</v>
      </c>
      <c r="DA422">
        <f>AI422</f>
        <v>1</v>
      </c>
      <c r="DB422">
        <f>ROUND(ROUND(AT422*CZ422,2),2)</f>
        <v>6.44</v>
      </c>
      <c r="DC422">
        <f>ROUND(ROUND(AT422*AG422,2),2)</f>
        <v>0</v>
      </c>
      <c r="DD422" t="s">
        <v>6</v>
      </c>
      <c r="DE422" t="s">
        <v>6</v>
      </c>
      <c r="DF422">
        <f t="shared" si="162"/>
        <v>0</v>
      </c>
      <c r="DG422">
        <f t="shared" si="161"/>
        <v>0</v>
      </c>
      <c r="DH422">
        <f>Source!I340*SmtRes!Y422</f>
        <v>1200.6000000000001</v>
      </c>
      <c r="DI422">
        <f>AA422</f>
        <v>0.28000000000000003</v>
      </c>
      <c r="DJ422">
        <f>DF422</f>
        <v>0</v>
      </c>
      <c r="DK422">
        <f>Source!BC340</f>
        <v>1</v>
      </c>
      <c r="DL422" t="s">
        <v>6</v>
      </c>
      <c r="DM422">
        <v>0</v>
      </c>
      <c r="DN422" t="s">
        <v>6</v>
      </c>
      <c r="DO422">
        <v>0</v>
      </c>
      <c r="GP422">
        <v>1</v>
      </c>
      <c r="GQ422">
        <v>-1</v>
      </c>
      <c r="GR422">
        <v>-1</v>
      </c>
    </row>
    <row r="423" spans="1:200" x14ac:dyDescent="0.2">
      <c r="A423">
        <f>ROW(Source!A340)</f>
        <v>340</v>
      </c>
      <c r="B423">
        <v>86326987</v>
      </c>
      <c r="C423">
        <v>86327722</v>
      </c>
      <c r="D423">
        <v>35950827</v>
      </c>
      <c r="E423">
        <v>1</v>
      </c>
      <c r="F423">
        <v>1</v>
      </c>
      <c r="G423">
        <v>1</v>
      </c>
      <c r="H423">
        <v>3</v>
      </c>
      <c r="I423" t="s">
        <v>461</v>
      </c>
      <c r="J423" t="s">
        <v>463</v>
      </c>
      <c r="K423" t="s">
        <v>462</v>
      </c>
      <c r="L423">
        <v>1391</v>
      </c>
      <c r="N423">
        <v>1013</v>
      </c>
      <c r="O423" t="s">
        <v>78</v>
      </c>
      <c r="P423" t="s">
        <v>78</v>
      </c>
      <c r="Q423">
        <v>1</v>
      </c>
      <c r="W423">
        <v>0</v>
      </c>
      <c r="X423">
        <v>-2085155213</v>
      </c>
      <c r="Y423">
        <f>AT423</f>
        <v>1.6788793099999999</v>
      </c>
      <c r="AA423">
        <v>9.3800000000000008</v>
      </c>
      <c r="AB423">
        <v>0</v>
      </c>
      <c r="AC423">
        <v>0</v>
      </c>
      <c r="AD423">
        <v>0</v>
      </c>
      <c r="AE423">
        <v>9.3800000000000008</v>
      </c>
      <c r="AF423">
        <v>0</v>
      </c>
      <c r="AG423">
        <v>0</v>
      </c>
      <c r="AH423">
        <v>0</v>
      </c>
      <c r="AI423">
        <v>1</v>
      </c>
      <c r="AJ423">
        <v>1</v>
      </c>
      <c r="AK423">
        <v>1</v>
      </c>
      <c r="AL423">
        <v>1</v>
      </c>
      <c r="AM423">
        <v>0</v>
      </c>
      <c r="AN423">
        <v>0</v>
      </c>
      <c r="AO423">
        <v>0</v>
      </c>
      <c r="AP423">
        <v>1</v>
      </c>
      <c r="AQ423">
        <v>0</v>
      </c>
      <c r="AR423">
        <v>0</v>
      </c>
      <c r="AS423" t="s">
        <v>6</v>
      </c>
      <c r="AT423">
        <v>1.6788793099999999</v>
      </c>
      <c r="AU423" t="s">
        <v>6</v>
      </c>
      <c r="AV423">
        <v>0</v>
      </c>
      <c r="AW423">
        <v>1</v>
      </c>
      <c r="AX423">
        <v>-1</v>
      </c>
      <c r="AY423">
        <v>0</v>
      </c>
      <c r="AZ423">
        <v>0</v>
      </c>
      <c r="BA423" t="s">
        <v>6</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CV423">
        <v>0</v>
      </c>
      <c r="CW423">
        <v>0</v>
      </c>
      <c r="CX423">
        <f>ROUND(Y423*Source!I340,9)</f>
        <v>87.637499981999994</v>
      </c>
      <c r="CY423">
        <f>AA423</f>
        <v>9.3800000000000008</v>
      </c>
      <c r="CZ423">
        <f>AE423</f>
        <v>9.3800000000000008</v>
      </c>
      <c r="DA423">
        <f>AI423</f>
        <v>1</v>
      </c>
      <c r="DB423">
        <f>ROUND(ROUND(AT423*CZ423,2),2)</f>
        <v>15.75</v>
      </c>
      <c r="DC423">
        <f>ROUND(ROUND(AT423*AG423,2),2)</f>
        <v>0</v>
      </c>
      <c r="DD423" t="s">
        <v>6</v>
      </c>
      <c r="DE423" t="s">
        <v>6</v>
      </c>
      <c r="DF423">
        <f t="shared" si="162"/>
        <v>789</v>
      </c>
      <c r="DG423">
        <f t="shared" si="161"/>
        <v>0</v>
      </c>
      <c r="DH423">
        <f>Source!I340*SmtRes!Y423</f>
        <v>87.637499981999994</v>
      </c>
      <c r="DI423">
        <f>AA423</f>
        <v>9.3800000000000008</v>
      </c>
      <c r="DJ423">
        <f>DF423</f>
        <v>789</v>
      </c>
      <c r="DK423">
        <f>Source!BC340</f>
        <v>1</v>
      </c>
      <c r="DL423" t="s">
        <v>6</v>
      </c>
      <c r="DM423">
        <v>0</v>
      </c>
      <c r="DN423" t="s">
        <v>6</v>
      </c>
      <c r="DO423">
        <v>0</v>
      </c>
      <c r="GP423">
        <v>1</v>
      </c>
      <c r="GQ423">
        <v>-1</v>
      </c>
      <c r="GR423">
        <v>-1</v>
      </c>
    </row>
    <row r="424" spans="1:200" x14ac:dyDescent="0.2">
      <c r="A424">
        <f>ROW(Source!A340)</f>
        <v>340</v>
      </c>
      <c r="B424">
        <v>86326987</v>
      </c>
      <c r="C424">
        <v>86327722</v>
      </c>
      <c r="D424">
        <v>35950830</v>
      </c>
      <c r="E424">
        <v>1</v>
      </c>
      <c r="F424">
        <v>1</v>
      </c>
      <c r="G424">
        <v>1</v>
      </c>
      <c r="H424">
        <v>3</v>
      </c>
      <c r="I424" t="s">
        <v>466</v>
      </c>
      <c r="J424" t="s">
        <v>468</v>
      </c>
      <c r="K424" t="s">
        <v>467</v>
      </c>
      <c r="L424">
        <v>1391</v>
      </c>
      <c r="N424">
        <v>1013</v>
      </c>
      <c r="O424" t="s">
        <v>78</v>
      </c>
      <c r="P424" t="s">
        <v>78</v>
      </c>
      <c r="Q424">
        <v>1</v>
      </c>
      <c r="W424">
        <v>0</v>
      </c>
      <c r="X424">
        <v>-1671398490</v>
      </c>
      <c r="Y424">
        <f>AT424</f>
        <v>1.6788793099999999</v>
      </c>
      <c r="AA424">
        <v>61.4</v>
      </c>
      <c r="AB424">
        <v>0</v>
      </c>
      <c r="AC424">
        <v>0</v>
      </c>
      <c r="AD424">
        <v>0</v>
      </c>
      <c r="AE424">
        <v>61.4</v>
      </c>
      <c r="AF424">
        <v>0</v>
      </c>
      <c r="AG424">
        <v>0</v>
      </c>
      <c r="AH424">
        <v>0</v>
      </c>
      <c r="AI424">
        <v>1</v>
      </c>
      <c r="AJ424">
        <v>1</v>
      </c>
      <c r="AK424">
        <v>1</v>
      </c>
      <c r="AL424">
        <v>1</v>
      </c>
      <c r="AM424">
        <v>0</v>
      </c>
      <c r="AN424">
        <v>0</v>
      </c>
      <c r="AO424">
        <v>0</v>
      </c>
      <c r="AP424">
        <v>1</v>
      </c>
      <c r="AQ424">
        <v>0</v>
      </c>
      <c r="AR424">
        <v>0</v>
      </c>
      <c r="AS424" t="s">
        <v>6</v>
      </c>
      <c r="AT424">
        <v>1.6788793099999999</v>
      </c>
      <c r="AU424" t="s">
        <v>6</v>
      </c>
      <c r="AV424">
        <v>0</v>
      </c>
      <c r="AW424">
        <v>1</v>
      </c>
      <c r="AX424">
        <v>-1</v>
      </c>
      <c r="AY424">
        <v>0</v>
      </c>
      <c r="AZ424">
        <v>0</v>
      </c>
      <c r="BA424" t="s">
        <v>6</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CV424">
        <v>0</v>
      </c>
      <c r="CW424">
        <v>0</v>
      </c>
      <c r="CX424">
        <f>ROUND(Y424*Source!I340,9)</f>
        <v>87.637499981999994</v>
      </c>
      <c r="CY424">
        <f>AA424</f>
        <v>61.4</v>
      </c>
      <c r="CZ424">
        <f>AE424</f>
        <v>61.4</v>
      </c>
      <c r="DA424">
        <f>AI424</f>
        <v>1</v>
      </c>
      <c r="DB424">
        <f>ROUND(ROUND(AT424*CZ424,2),2)</f>
        <v>103.08</v>
      </c>
      <c r="DC424">
        <f>ROUND(ROUND(AT424*AG424,2),2)</f>
        <v>0</v>
      </c>
      <c r="DD424" t="s">
        <v>6</v>
      </c>
      <c r="DE424" t="s">
        <v>6</v>
      </c>
      <c r="DF424">
        <f t="shared" si="162"/>
        <v>5346</v>
      </c>
      <c r="DG424">
        <f t="shared" si="161"/>
        <v>0</v>
      </c>
      <c r="DH424">
        <f>Source!I340*SmtRes!Y424</f>
        <v>87.637499981999994</v>
      </c>
      <c r="DI424">
        <f>AA424</f>
        <v>61.4</v>
      </c>
      <c r="DJ424">
        <f>DF424</f>
        <v>5346</v>
      </c>
      <c r="DK424">
        <f>Source!BC340</f>
        <v>1</v>
      </c>
      <c r="DL424" t="s">
        <v>6</v>
      </c>
      <c r="DM424">
        <v>0</v>
      </c>
      <c r="DN424" t="s">
        <v>6</v>
      </c>
      <c r="DO424">
        <v>0</v>
      </c>
      <c r="GP424">
        <v>1</v>
      </c>
      <c r="GQ424">
        <v>-1</v>
      </c>
      <c r="GR424">
        <v>-1</v>
      </c>
    </row>
    <row r="425" spans="1:200" x14ac:dyDescent="0.2">
      <c r="A425">
        <f>ROW(Source!A340)</f>
        <v>340</v>
      </c>
      <c r="B425">
        <v>86326987</v>
      </c>
      <c r="C425">
        <v>86327722</v>
      </c>
      <c r="D425">
        <v>69408587</v>
      </c>
      <c r="E425">
        <v>1</v>
      </c>
      <c r="F425">
        <v>1</v>
      </c>
      <c r="G425">
        <v>1</v>
      </c>
      <c r="H425">
        <v>3</v>
      </c>
      <c r="I425" t="s">
        <v>87</v>
      </c>
      <c r="J425" t="s">
        <v>89</v>
      </c>
      <c r="K425" t="s">
        <v>88</v>
      </c>
      <c r="L425">
        <v>1339</v>
      </c>
      <c r="N425">
        <v>1007</v>
      </c>
      <c r="O425" t="s">
        <v>44</v>
      </c>
      <c r="P425" t="s">
        <v>44</v>
      </c>
      <c r="Q425">
        <v>1</v>
      </c>
      <c r="W425">
        <v>0</v>
      </c>
      <c r="X425">
        <v>-183216560</v>
      </c>
      <c r="Y425">
        <f>AT425</f>
        <v>1.7040625</v>
      </c>
      <c r="AA425">
        <v>878.79</v>
      </c>
      <c r="AB425">
        <v>0</v>
      </c>
      <c r="AC425">
        <v>0</v>
      </c>
      <c r="AD425">
        <v>0</v>
      </c>
      <c r="AE425">
        <v>878.79</v>
      </c>
      <c r="AF425">
        <v>0</v>
      </c>
      <c r="AG425">
        <v>0</v>
      </c>
      <c r="AH425">
        <v>0</v>
      </c>
      <c r="AI425">
        <v>1</v>
      </c>
      <c r="AJ425">
        <v>1</v>
      </c>
      <c r="AK425">
        <v>1</v>
      </c>
      <c r="AL425">
        <v>1</v>
      </c>
      <c r="AM425">
        <v>0</v>
      </c>
      <c r="AN425">
        <v>0</v>
      </c>
      <c r="AO425">
        <v>0</v>
      </c>
      <c r="AP425">
        <v>1</v>
      </c>
      <c r="AQ425">
        <v>0</v>
      </c>
      <c r="AR425">
        <v>0</v>
      </c>
      <c r="AS425" t="s">
        <v>6</v>
      </c>
      <c r="AT425">
        <v>1.7040625</v>
      </c>
      <c r="AU425" t="s">
        <v>6</v>
      </c>
      <c r="AV425">
        <v>0</v>
      </c>
      <c r="AW425">
        <v>1</v>
      </c>
      <c r="AX425">
        <v>-1</v>
      </c>
      <c r="AY425">
        <v>0</v>
      </c>
      <c r="AZ425">
        <v>0</v>
      </c>
      <c r="BA425" t="s">
        <v>6</v>
      </c>
      <c r="BB425">
        <v>0</v>
      </c>
      <c r="BC425">
        <v>0</v>
      </c>
      <c r="BD425">
        <v>0</v>
      </c>
      <c r="BE425">
        <v>0</v>
      </c>
      <c r="BF425">
        <v>0</v>
      </c>
      <c r="BG425">
        <v>0</v>
      </c>
      <c r="BH425">
        <v>0</v>
      </c>
      <c r="BI425">
        <v>0</v>
      </c>
      <c r="BJ425">
        <v>0</v>
      </c>
      <c r="BK425">
        <v>0</v>
      </c>
      <c r="BL425">
        <v>0</v>
      </c>
      <c r="BM425">
        <v>0</v>
      </c>
      <c r="BN425">
        <v>0</v>
      </c>
      <c r="BO425">
        <v>0</v>
      </c>
      <c r="BP425">
        <v>0</v>
      </c>
      <c r="BQ425">
        <v>0</v>
      </c>
      <c r="BR425">
        <v>0</v>
      </c>
      <c r="BS425">
        <v>0</v>
      </c>
      <c r="BT425">
        <v>0</v>
      </c>
      <c r="BU425">
        <v>0</v>
      </c>
      <c r="BV425">
        <v>0</v>
      </c>
      <c r="BW425">
        <v>0</v>
      </c>
      <c r="CV425">
        <v>0</v>
      </c>
      <c r="CW425">
        <v>0</v>
      </c>
      <c r="CX425">
        <f>ROUND(Y425*Source!I340,9)</f>
        <v>88.952062499999997</v>
      </c>
      <c r="CY425">
        <f>AA425</f>
        <v>878.79</v>
      </c>
      <c r="CZ425">
        <f>AE425</f>
        <v>878.79</v>
      </c>
      <c r="DA425">
        <f>AI425</f>
        <v>1</v>
      </c>
      <c r="DB425">
        <f>ROUND(ROUND(AT425*CZ425,2),2)</f>
        <v>1497.51</v>
      </c>
      <c r="DC425">
        <f>ROUND(ROUND(AT425*AG425,2),2)</f>
        <v>0</v>
      </c>
      <c r="DD425" t="s">
        <v>6</v>
      </c>
      <c r="DE425" t="s">
        <v>6</v>
      </c>
      <c r="DF425">
        <f t="shared" si="162"/>
        <v>78189</v>
      </c>
      <c r="DG425">
        <f t="shared" si="161"/>
        <v>0</v>
      </c>
      <c r="DH425">
        <f>Source!I340*SmtRes!Y425</f>
        <v>88.952062500000011</v>
      </c>
      <c r="DI425">
        <f>AA425</f>
        <v>878.79</v>
      </c>
      <c r="DJ425">
        <f>DF425</f>
        <v>78189</v>
      </c>
      <c r="DK425">
        <f>Source!BC340</f>
        <v>1</v>
      </c>
      <c r="DL425" t="s">
        <v>6</v>
      </c>
      <c r="DM425">
        <v>0</v>
      </c>
      <c r="DN425" t="s">
        <v>6</v>
      </c>
      <c r="DO425">
        <v>0</v>
      </c>
      <c r="GP425">
        <v>1</v>
      </c>
      <c r="GQ425">
        <v>-1</v>
      </c>
      <c r="GR425">
        <v>-1</v>
      </c>
    </row>
    <row r="426" spans="1:200" x14ac:dyDescent="0.2">
      <c r="A426">
        <f>ROW(Source!A341)</f>
        <v>341</v>
      </c>
      <c r="B426">
        <v>86326988</v>
      </c>
      <c r="C426">
        <v>86327722</v>
      </c>
      <c r="D426">
        <v>27497778</v>
      </c>
      <c r="E426">
        <v>1</v>
      </c>
      <c r="F426">
        <v>1</v>
      </c>
      <c r="G426">
        <v>1</v>
      </c>
      <c r="H426">
        <v>1</v>
      </c>
      <c r="I426" t="s">
        <v>647</v>
      </c>
      <c r="J426" t="s">
        <v>6</v>
      </c>
      <c r="K426" t="s">
        <v>648</v>
      </c>
      <c r="L426">
        <v>1369</v>
      </c>
      <c r="N426">
        <v>1013</v>
      </c>
      <c r="O426" t="s">
        <v>625</v>
      </c>
      <c r="P426" t="s">
        <v>625</v>
      </c>
      <c r="Q426">
        <v>1</v>
      </c>
      <c r="W426">
        <v>0</v>
      </c>
      <c r="X426">
        <v>-160844189</v>
      </c>
      <c r="Y426">
        <f>(AT426*1.05)</f>
        <v>2.6145000000000005</v>
      </c>
      <c r="AA426">
        <v>0</v>
      </c>
      <c r="AB426">
        <v>0</v>
      </c>
      <c r="AC426">
        <v>0</v>
      </c>
      <c r="AD426">
        <v>314.17</v>
      </c>
      <c r="AE426">
        <v>0</v>
      </c>
      <c r="AF426">
        <v>0</v>
      </c>
      <c r="AG426">
        <v>0</v>
      </c>
      <c r="AH426">
        <v>8.7100000000000009</v>
      </c>
      <c r="AI426">
        <v>1</v>
      </c>
      <c r="AJ426">
        <v>1</v>
      </c>
      <c r="AK426">
        <v>1</v>
      </c>
      <c r="AL426">
        <v>36.07</v>
      </c>
      <c r="AM426">
        <v>5</v>
      </c>
      <c r="AN426">
        <v>0</v>
      </c>
      <c r="AO426">
        <v>1</v>
      </c>
      <c r="AP426">
        <v>1</v>
      </c>
      <c r="AQ426">
        <v>0</v>
      </c>
      <c r="AR426">
        <v>0</v>
      </c>
      <c r="AS426" t="s">
        <v>6</v>
      </c>
      <c r="AT426">
        <v>2.4900000000000002</v>
      </c>
      <c r="AU426" t="s">
        <v>25</v>
      </c>
      <c r="AV426">
        <v>1</v>
      </c>
      <c r="AW426">
        <v>2</v>
      </c>
      <c r="AX426">
        <v>86327732</v>
      </c>
      <c r="AY426">
        <v>1</v>
      </c>
      <c r="AZ426">
        <v>0</v>
      </c>
      <c r="BA426">
        <v>348</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CU426">
        <f>ROUND(AT426*Source!I341*AH426*AL426,0)</f>
        <v>40835</v>
      </c>
      <c r="CV426">
        <f>ROUND(Y426*Source!I341,9)</f>
        <v>136.4769</v>
      </c>
      <c r="CW426">
        <v>0</v>
      </c>
      <c r="CX426">
        <f>ROUND(Y426*Source!I341,9)</f>
        <v>136.4769</v>
      </c>
      <c r="CY426">
        <f>AD426</f>
        <v>314.17</v>
      </c>
      <c r="CZ426">
        <f>AH426</f>
        <v>8.7100000000000009</v>
      </c>
      <c r="DA426">
        <f>AL426</f>
        <v>36.07</v>
      </c>
      <c r="DB426">
        <f>ROUND((ROUND(AT426*CZ426,2)*1.05),2)</f>
        <v>22.77</v>
      </c>
      <c r="DC426">
        <f>ROUND((ROUND(AT426*AG426,2)*1.05),2)</f>
        <v>0</v>
      </c>
      <c r="DD426" t="s">
        <v>6</v>
      </c>
      <c r="DE426" t="s">
        <v>6</v>
      </c>
      <c r="DF426">
        <f t="shared" si="162"/>
        <v>0</v>
      </c>
      <c r="DG426">
        <f t="shared" si="161"/>
        <v>0</v>
      </c>
      <c r="DH426">
        <f>Source!I341*SmtRes!Y426</f>
        <v>136.47690000000003</v>
      </c>
      <c r="DI426">
        <f>AD426</f>
        <v>314.17</v>
      </c>
      <c r="DJ426">
        <f>EtalonRes!AB348</f>
        <v>8.7100000000000009</v>
      </c>
      <c r="DK426">
        <f>Source!BA341</f>
        <v>36.07</v>
      </c>
      <c r="DL426" t="s">
        <v>6</v>
      </c>
      <c r="DM426">
        <v>0</v>
      </c>
      <c r="DN426" t="s">
        <v>6</v>
      </c>
      <c r="DO426">
        <v>0</v>
      </c>
      <c r="GQ426">
        <v>-1</v>
      </c>
      <c r="GR426">
        <v>-1</v>
      </c>
    </row>
    <row r="427" spans="1:200" x14ac:dyDescent="0.2">
      <c r="A427">
        <f>ROW(Source!A341)</f>
        <v>341</v>
      </c>
      <c r="B427">
        <v>86326988</v>
      </c>
      <c r="C427">
        <v>86327722</v>
      </c>
      <c r="D427">
        <v>121548</v>
      </c>
      <c r="E427">
        <v>1</v>
      </c>
      <c r="F427">
        <v>1</v>
      </c>
      <c r="G427">
        <v>1</v>
      </c>
      <c r="H427">
        <v>1</v>
      </c>
      <c r="I427" t="s">
        <v>40</v>
      </c>
      <c r="J427" t="s">
        <v>6</v>
      </c>
      <c r="K427" t="s">
        <v>626</v>
      </c>
      <c r="L427">
        <v>608254</v>
      </c>
      <c r="N427">
        <v>1013</v>
      </c>
      <c r="O427" t="s">
        <v>627</v>
      </c>
      <c r="P427" t="s">
        <v>627</v>
      </c>
      <c r="Q427">
        <v>1</v>
      </c>
      <c r="W427">
        <v>0</v>
      </c>
      <c r="X427">
        <v>-185737400</v>
      </c>
      <c r="Y427">
        <f>(AT427*1.12)</f>
        <v>1.0752000000000002</v>
      </c>
      <c r="AA427">
        <v>0</v>
      </c>
      <c r="AB427">
        <v>0</v>
      </c>
      <c r="AC427">
        <v>0</v>
      </c>
      <c r="AD427">
        <v>0</v>
      </c>
      <c r="AE427">
        <v>0</v>
      </c>
      <c r="AF427">
        <v>0</v>
      </c>
      <c r="AG427">
        <v>0</v>
      </c>
      <c r="AH427">
        <v>0</v>
      </c>
      <c r="AI427">
        <v>1</v>
      </c>
      <c r="AJ427">
        <v>1</v>
      </c>
      <c r="AK427">
        <v>19.8</v>
      </c>
      <c r="AL427">
        <v>1</v>
      </c>
      <c r="AM427">
        <v>5</v>
      </c>
      <c r="AN427">
        <v>0</v>
      </c>
      <c r="AO427">
        <v>1</v>
      </c>
      <c r="AP427">
        <v>1</v>
      </c>
      <c r="AQ427">
        <v>0</v>
      </c>
      <c r="AR427">
        <v>0</v>
      </c>
      <c r="AS427" t="s">
        <v>6</v>
      </c>
      <c r="AT427">
        <v>0.96</v>
      </c>
      <c r="AU427" t="s">
        <v>24</v>
      </c>
      <c r="AV427">
        <v>2</v>
      </c>
      <c r="AW427">
        <v>2</v>
      </c>
      <c r="AX427">
        <v>86327733</v>
      </c>
      <c r="AY427">
        <v>1</v>
      </c>
      <c r="AZ427">
        <v>0</v>
      </c>
      <c r="BA427">
        <v>349</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CV427">
        <v>0</v>
      </c>
      <c r="CW427">
        <v>0</v>
      </c>
      <c r="CX427">
        <f>ROUND(Y427*Source!I341,9)</f>
        <v>56.125439999999998</v>
      </c>
      <c r="CY427">
        <f>AD427</f>
        <v>0</v>
      </c>
      <c r="CZ427">
        <f>AH427</f>
        <v>0</v>
      </c>
      <c r="DA427">
        <f>AL427</f>
        <v>1</v>
      </c>
      <c r="DB427">
        <f>ROUND((ROUND(AT427*CZ427,2)*1.12),2)</f>
        <v>0</v>
      </c>
      <c r="DC427">
        <f>ROUND((ROUND(AT427*AG427,2)*1.12),2)</f>
        <v>0</v>
      </c>
      <c r="DD427" t="s">
        <v>6</v>
      </c>
      <c r="DE427" t="s">
        <v>6</v>
      </c>
      <c r="DF427">
        <f t="shared" si="162"/>
        <v>0</v>
      </c>
      <c r="DG427">
        <f t="shared" si="161"/>
        <v>0</v>
      </c>
      <c r="DH427">
        <f>Source!I341*SmtRes!Y427</f>
        <v>56.125440000000012</v>
      </c>
      <c r="DI427">
        <f>AD427</f>
        <v>0</v>
      </c>
      <c r="DJ427">
        <f>EtalonRes!AB349</f>
        <v>0</v>
      </c>
      <c r="DK427">
        <f>Source!BA341</f>
        <v>36.07</v>
      </c>
      <c r="DL427" t="s">
        <v>6</v>
      </c>
      <c r="DM427">
        <v>0</v>
      </c>
      <c r="DN427" t="s">
        <v>6</v>
      </c>
      <c r="DO427">
        <v>0</v>
      </c>
      <c r="GQ427">
        <v>-1</v>
      </c>
      <c r="GR427">
        <v>-1</v>
      </c>
    </row>
    <row r="428" spans="1:200" x14ac:dyDescent="0.2">
      <c r="A428">
        <f>ROW(Source!A341)</f>
        <v>341</v>
      </c>
      <c r="B428">
        <v>86326988</v>
      </c>
      <c r="C428">
        <v>86327722</v>
      </c>
      <c r="D428">
        <v>27439419</v>
      </c>
      <c r="E428">
        <v>1</v>
      </c>
      <c r="F428">
        <v>1</v>
      </c>
      <c r="G428">
        <v>1</v>
      </c>
      <c r="H428">
        <v>2</v>
      </c>
      <c r="I428" t="s">
        <v>628</v>
      </c>
      <c r="J428" t="s">
        <v>629</v>
      </c>
      <c r="K428" t="s">
        <v>630</v>
      </c>
      <c r="L428">
        <v>1368</v>
      </c>
      <c r="N428">
        <v>1011</v>
      </c>
      <c r="O428" t="s">
        <v>137</v>
      </c>
      <c r="P428" t="s">
        <v>137</v>
      </c>
      <c r="Q428">
        <v>1</v>
      </c>
      <c r="W428">
        <v>0</v>
      </c>
      <c r="X428">
        <v>1804162481</v>
      </c>
      <c r="Y428">
        <f>(AT428*1.12)</f>
        <v>1.0752000000000002</v>
      </c>
      <c r="AA428">
        <v>0</v>
      </c>
      <c r="AB428">
        <v>1075.45</v>
      </c>
      <c r="AC428">
        <v>269.48</v>
      </c>
      <c r="AD428">
        <v>0</v>
      </c>
      <c r="AE428">
        <v>0</v>
      </c>
      <c r="AF428">
        <v>115.64</v>
      </c>
      <c r="AG428">
        <v>13.61</v>
      </c>
      <c r="AH428">
        <v>0</v>
      </c>
      <c r="AI428">
        <v>1</v>
      </c>
      <c r="AJ428">
        <v>9.3000000000000007</v>
      </c>
      <c r="AK428">
        <v>19.8</v>
      </c>
      <c r="AL428">
        <v>1</v>
      </c>
      <c r="AM428">
        <v>5</v>
      </c>
      <c r="AN428">
        <v>0</v>
      </c>
      <c r="AO428">
        <v>1</v>
      </c>
      <c r="AP428">
        <v>1</v>
      </c>
      <c r="AQ428">
        <v>0</v>
      </c>
      <c r="AR428">
        <v>0</v>
      </c>
      <c r="AS428" t="s">
        <v>6</v>
      </c>
      <c r="AT428">
        <v>0.96</v>
      </c>
      <c r="AU428" t="s">
        <v>24</v>
      </c>
      <c r="AV428">
        <v>0</v>
      </c>
      <c r="AW428">
        <v>1</v>
      </c>
      <c r="AX428">
        <v>-1</v>
      </c>
      <c r="AY428">
        <v>0</v>
      </c>
      <c r="AZ428">
        <v>0</v>
      </c>
      <c r="BA428" t="s">
        <v>6</v>
      </c>
      <c r="BB428">
        <v>5</v>
      </c>
      <c r="BC428">
        <v>0</v>
      </c>
      <c r="BD428">
        <v>124.33612800000002</v>
      </c>
      <c r="BE428">
        <v>14.633472000000001</v>
      </c>
      <c r="BF428">
        <v>0</v>
      </c>
      <c r="BG428">
        <v>0</v>
      </c>
      <c r="BH428">
        <v>0</v>
      </c>
      <c r="BI428">
        <v>1</v>
      </c>
      <c r="BJ428">
        <v>0</v>
      </c>
      <c r="BK428">
        <v>0</v>
      </c>
      <c r="BL428">
        <v>0</v>
      </c>
      <c r="BM428">
        <v>0</v>
      </c>
      <c r="BN428">
        <v>0</v>
      </c>
      <c r="BO428">
        <v>0</v>
      </c>
      <c r="BP428">
        <v>0</v>
      </c>
      <c r="BQ428">
        <v>0</v>
      </c>
      <c r="BR428">
        <v>0</v>
      </c>
      <c r="BS428">
        <v>0</v>
      </c>
      <c r="BT428">
        <v>0</v>
      </c>
      <c r="BU428">
        <v>0</v>
      </c>
      <c r="BV428">
        <v>0</v>
      </c>
      <c r="BW428">
        <v>0</v>
      </c>
      <c r="CV428">
        <v>0</v>
      </c>
      <c r="CW428">
        <f>ROUND(Y428*Source!I341*DO428,9)</f>
        <v>0</v>
      </c>
      <c r="CX428">
        <f>ROUND(Y428*Source!I341,9)</f>
        <v>56.125439999999998</v>
      </c>
      <c r="CY428">
        <f>AB428</f>
        <v>1075.45</v>
      </c>
      <c r="CZ428">
        <f>AF428</f>
        <v>115.64</v>
      </c>
      <c r="DA428">
        <f>AJ428</f>
        <v>9.3000000000000007</v>
      </c>
      <c r="DB428">
        <f>ROUND((ROUND(AT428*CZ428,2)*1.12),2)</f>
        <v>124.33</v>
      </c>
      <c r="DC428">
        <f>ROUND((ROUND(AT428*AG428,2)*1.12),2)</f>
        <v>14.64</v>
      </c>
      <c r="DD428" t="s">
        <v>6</v>
      </c>
      <c r="DE428" t="s">
        <v>6</v>
      </c>
      <c r="DF428">
        <f t="shared" si="162"/>
        <v>0</v>
      </c>
      <c r="DG428">
        <f>ROUND(ROUND(AF428*AJ428,0)*CX428,0)</f>
        <v>60335</v>
      </c>
      <c r="DH428">
        <f>Source!I341*SmtRes!Y428</f>
        <v>56.125440000000012</v>
      </c>
      <c r="DI428">
        <f>AB428</f>
        <v>1075.45</v>
      </c>
      <c r="DJ428">
        <f>DG428</f>
        <v>60335</v>
      </c>
      <c r="DK428">
        <f>Source!BB341</f>
        <v>9.3000000000000007</v>
      </c>
      <c r="DL428" t="s">
        <v>6</v>
      </c>
      <c r="DM428">
        <v>0</v>
      </c>
      <c r="DN428" t="s">
        <v>6</v>
      </c>
      <c r="DO428">
        <v>0</v>
      </c>
      <c r="GQ428">
        <v>-1</v>
      </c>
      <c r="GR428">
        <v>-1</v>
      </c>
    </row>
    <row r="429" spans="1:200" x14ac:dyDescent="0.2">
      <c r="A429">
        <f>ROW(Source!A341)</f>
        <v>341</v>
      </c>
      <c r="B429">
        <v>86326988</v>
      </c>
      <c r="C429">
        <v>86327722</v>
      </c>
      <c r="D429">
        <v>27440041</v>
      </c>
      <c r="E429">
        <v>1</v>
      </c>
      <c r="F429">
        <v>1</v>
      </c>
      <c r="G429">
        <v>1</v>
      </c>
      <c r="H429">
        <v>2</v>
      </c>
      <c r="I429" t="s">
        <v>690</v>
      </c>
      <c r="J429" t="s">
        <v>691</v>
      </c>
      <c r="K429" t="s">
        <v>692</v>
      </c>
      <c r="L429">
        <v>1368</v>
      </c>
      <c r="N429">
        <v>1011</v>
      </c>
      <c r="O429" t="s">
        <v>137</v>
      </c>
      <c r="P429" t="s">
        <v>137</v>
      </c>
      <c r="Q429">
        <v>1</v>
      </c>
      <c r="W429">
        <v>0</v>
      </c>
      <c r="X429">
        <v>781889226</v>
      </c>
      <c r="Y429">
        <f>(AT429*1.12)</f>
        <v>1.8704000000000001</v>
      </c>
      <c r="AA429">
        <v>0</v>
      </c>
      <c r="AB429">
        <v>4.6500000000000004</v>
      </c>
      <c r="AC429">
        <v>0</v>
      </c>
      <c r="AD429">
        <v>0</v>
      </c>
      <c r="AE429">
        <v>0</v>
      </c>
      <c r="AF429">
        <v>0.5</v>
      </c>
      <c r="AG429">
        <v>0</v>
      </c>
      <c r="AH429">
        <v>0</v>
      </c>
      <c r="AI429">
        <v>1</v>
      </c>
      <c r="AJ429">
        <v>9.3000000000000007</v>
      </c>
      <c r="AK429">
        <v>19.8</v>
      </c>
      <c r="AL429">
        <v>1</v>
      </c>
      <c r="AM429">
        <v>5</v>
      </c>
      <c r="AN429">
        <v>0</v>
      </c>
      <c r="AO429">
        <v>1</v>
      </c>
      <c r="AP429">
        <v>1</v>
      </c>
      <c r="AQ429">
        <v>0</v>
      </c>
      <c r="AR429">
        <v>0</v>
      </c>
      <c r="AS429" t="s">
        <v>6</v>
      </c>
      <c r="AT429">
        <v>1.67</v>
      </c>
      <c r="AU429" t="s">
        <v>24</v>
      </c>
      <c r="AV429">
        <v>0</v>
      </c>
      <c r="AW429">
        <v>2</v>
      </c>
      <c r="AX429">
        <v>86327735</v>
      </c>
      <c r="AY429">
        <v>1</v>
      </c>
      <c r="AZ429">
        <v>0</v>
      </c>
      <c r="BA429">
        <v>351</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CV429">
        <v>0</v>
      </c>
      <c r="CW429">
        <f>ROUND(Y429*Source!I341*DO429,9)</f>
        <v>0</v>
      </c>
      <c r="CX429">
        <f>ROUND(Y429*Source!I341,9)</f>
        <v>97.634879999999995</v>
      </c>
      <c r="CY429">
        <f>AB429</f>
        <v>4.6500000000000004</v>
      </c>
      <c r="CZ429">
        <f>AF429</f>
        <v>0.5</v>
      </c>
      <c r="DA429">
        <f>AJ429</f>
        <v>9.3000000000000007</v>
      </c>
      <c r="DB429">
        <f>ROUND((ROUND(AT429*CZ429,2)*1.12),2)</f>
        <v>0.94</v>
      </c>
      <c r="DC429">
        <f>ROUND((ROUND(AT429*AG429,2)*1.12),2)</f>
        <v>0</v>
      </c>
      <c r="DD429" t="s">
        <v>6</v>
      </c>
      <c r="DE429" t="s">
        <v>6</v>
      </c>
      <c r="DF429">
        <f t="shared" si="162"/>
        <v>0</v>
      </c>
      <c r="DG429">
        <f>ROUND(ROUND(AF429*AJ429,0)*CX429,0)</f>
        <v>488</v>
      </c>
      <c r="DH429">
        <f>Source!I341*SmtRes!Y429</f>
        <v>97.63488000000001</v>
      </c>
      <c r="DI429">
        <f>AB429</f>
        <v>4.6500000000000004</v>
      </c>
      <c r="DJ429">
        <f>EtalonRes!Z351</f>
        <v>0.5</v>
      </c>
      <c r="DK429">
        <f>Source!BB341</f>
        <v>9.3000000000000007</v>
      </c>
      <c r="DL429" t="s">
        <v>6</v>
      </c>
      <c r="DM429">
        <v>0</v>
      </c>
      <c r="DN429" t="s">
        <v>6</v>
      </c>
      <c r="DO429">
        <v>0</v>
      </c>
      <c r="GQ429">
        <v>-1</v>
      </c>
      <c r="GR429">
        <v>-1</v>
      </c>
    </row>
    <row r="430" spans="1:200" x14ac:dyDescent="0.2">
      <c r="A430">
        <f>ROW(Source!A341)</f>
        <v>341</v>
      </c>
      <c r="B430">
        <v>86326988</v>
      </c>
      <c r="C430">
        <v>86327722</v>
      </c>
      <c r="D430">
        <v>27371200</v>
      </c>
      <c r="E430">
        <v>1</v>
      </c>
      <c r="F430">
        <v>1</v>
      </c>
      <c r="G430">
        <v>1</v>
      </c>
      <c r="H430">
        <v>3</v>
      </c>
      <c r="I430" t="s">
        <v>71</v>
      </c>
      <c r="J430" t="s">
        <v>73</v>
      </c>
      <c r="K430" t="s">
        <v>72</v>
      </c>
      <c r="L430">
        <v>1348</v>
      </c>
      <c r="N430">
        <v>1009</v>
      </c>
      <c r="O430" t="s">
        <v>33</v>
      </c>
      <c r="P430" t="s">
        <v>33</v>
      </c>
      <c r="Q430">
        <v>1000</v>
      </c>
      <c r="W430">
        <v>0</v>
      </c>
      <c r="X430">
        <v>-81122142</v>
      </c>
      <c r="Y430">
        <f>AT430</f>
        <v>2.0999999999999999E-3</v>
      </c>
      <c r="AA430">
        <v>82500</v>
      </c>
      <c r="AB430">
        <v>0</v>
      </c>
      <c r="AC430">
        <v>0</v>
      </c>
      <c r="AD430">
        <v>0</v>
      </c>
      <c r="AE430">
        <v>11576.19</v>
      </c>
      <c r="AF430">
        <v>0</v>
      </c>
      <c r="AG430">
        <v>0</v>
      </c>
      <c r="AH430">
        <v>0</v>
      </c>
      <c r="AI430">
        <v>7.56</v>
      </c>
      <c r="AJ430">
        <v>1</v>
      </c>
      <c r="AK430">
        <v>1</v>
      </c>
      <c r="AL430">
        <v>1</v>
      </c>
      <c r="AM430">
        <v>0</v>
      </c>
      <c r="AN430">
        <v>0</v>
      </c>
      <c r="AO430">
        <v>0</v>
      </c>
      <c r="AP430">
        <v>1</v>
      </c>
      <c r="AQ430">
        <v>0</v>
      </c>
      <c r="AR430">
        <v>0</v>
      </c>
      <c r="AS430" t="s">
        <v>6</v>
      </c>
      <c r="AT430">
        <v>2.0999999999999999E-3</v>
      </c>
      <c r="AU430" t="s">
        <v>6</v>
      </c>
      <c r="AV430">
        <v>0</v>
      </c>
      <c r="AW430">
        <v>2</v>
      </c>
      <c r="AX430">
        <v>86327736</v>
      </c>
      <c r="AY430">
        <v>1</v>
      </c>
      <c r="AZ430">
        <v>16384</v>
      </c>
      <c r="BA430">
        <v>352</v>
      </c>
      <c r="BB430">
        <v>3</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CV430">
        <v>0</v>
      </c>
      <c r="CW430">
        <v>0</v>
      </c>
      <c r="CX430">
        <f>ROUND(Y430*Source!I341,9)</f>
        <v>0.10962</v>
      </c>
      <c r="CY430">
        <f>AA430</f>
        <v>82500</v>
      </c>
      <c r="CZ430">
        <f>AE430</f>
        <v>11576.19</v>
      </c>
      <c r="DA430">
        <f>AI430</f>
        <v>7.56</v>
      </c>
      <c r="DB430">
        <f>ROUND(ROUND(AT430*CZ430,2),2)</f>
        <v>24.31</v>
      </c>
      <c r="DC430">
        <f>ROUND(ROUND(AT430*AG430,2),2)</f>
        <v>0</v>
      </c>
      <c r="DD430" t="s">
        <v>6</v>
      </c>
      <c r="DE430" t="s">
        <v>6</v>
      </c>
      <c r="DF430">
        <f>ROUND(ROUND(AE430*AI430,0)*CX430,0)</f>
        <v>9594</v>
      </c>
      <c r="DG430">
        <f t="shared" ref="DG430:DG443" si="163">ROUND(ROUND(AF430,0)*CX430,0)</f>
        <v>0</v>
      </c>
      <c r="DH430">
        <f>Source!I341*SmtRes!Y430</f>
        <v>0.10962</v>
      </c>
      <c r="DI430">
        <f>AA430</f>
        <v>82500</v>
      </c>
      <c r="DJ430">
        <f>EtalonRes!Y352</f>
        <v>1696.01</v>
      </c>
      <c r="DK430">
        <f>Source!BC341</f>
        <v>7.56</v>
      </c>
      <c r="DL430" t="s">
        <v>6</v>
      </c>
      <c r="DM430">
        <v>0</v>
      </c>
      <c r="DN430" t="s">
        <v>6</v>
      </c>
      <c r="DO430">
        <v>0</v>
      </c>
      <c r="GP430">
        <v>1</v>
      </c>
      <c r="GQ430">
        <v>-1</v>
      </c>
      <c r="GR430">
        <v>-1</v>
      </c>
    </row>
    <row r="431" spans="1:200" x14ac:dyDescent="0.2">
      <c r="A431">
        <f>ROW(Source!A341)</f>
        <v>341</v>
      </c>
      <c r="B431">
        <v>86326988</v>
      </c>
      <c r="C431">
        <v>86327722</v>
      </c>
      <c r="D431">
        <v>11618020</v>
      </c>
      <c r="E431">
        <v>1</v>
      </c>
      <c r="F431">
        <v>1</v>
      </c>
      <c r="G431">
        <v>1</v>
      </c>
      <c r="H431">
        <v>3</v>
      </c>
      <c r="I431" t="s">
        <v>472</v>
      </c>
      <c r="J431" t="s">
        <v>474</v>
      </c>
      <c r="K431" t="s">
        <v>473</v>
      </c>
      <c r="L431">
        <v>1371</v>
      </c>
      <c r="N431">
        <v>1013</v>
      </c>
      <c r="O431" t="s">
        <v>103</v>
      </c>
      <c r="P431" t="s">
        <v>103</v>
      </c>
      <c r="Q431">
        <v>1</v>
      </c>
      <c r="W431">
        <v>0</v>
      </c>
      <c r="X431">
        <v>1224859230</v>
      </c>
      <c r="Y431">
        <f>AT431</f>
        <v>23</v>
      </c>
      <c r="AA431">
        <v>0.85</v>
      </c>
      <c r="AB431">
        <v>0</v>
      </c>
      <c r="AC431">
        <v>0</v>
      </c>
      <c r="AD431">
        <v>0</v>
      </c>
      <c r="AE431">
        <v>0.11</v>
      </c>
      <c r="AF431">
        <v>0</v>
      </c>
      <c r="AG431">
        <v>0</v>
      </c>
      <c r="AH431">
        <v>0</v>
      </c>
      <c r="AI431">
        <v>7.56</v>
      </c>
      <c r="AJ431">
        <v>1</v>
      </c>
      <c r="AK431">
        <v>1</v>
      </c>
      <c r="AL431">
        <v>1</v>
      </c>
      <c r="AM431">
        <v>0</v>
      </c>
      <c r="AN431">
        <v>0</v>
      </c>
      <c r="AO431">
        <v>0</v>
      </c>
      <c r="AP431">
        <v>1</v>
      </c>
      <c r="AQ431">
        <v>0</v>
      </c>
      <c r="AR431">
        <v>0</v>
      </c>
      <c r="AS431" t="s">
        <v>6</v>
      </c>
      <c r="AT431">
        <v>23</v>
      </c>
      <c r="AU431" t="s">
        <v>6</v>
      </c>
      <c r="AV431">
        <v>0</v>
      </c>
      <c r="AW431">
        <v>1</v>
      </c>
      <c r="AX431">
        <v>-1</v>
      </c>
      <c r="AY431">
        <v>0</v>
      </c>
      <c r="AZ431">
        <v>0</v>
      </c>
      <c r="BA431" t="s">
        <v>6</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CV431">
        <v>0</v>
      </c>
      <c r="CW431">
        <v>0</v>
      </c>
      <c r="CX431">
        <f>ROUND(Y431*Source!I341,9)</f>
        <v>1200.5999999999999</v>
      </c>
      <c r="CY431">
        <f>AA431</f>
        <v>0.85</v>
      </c>
      <c r="CZ431">
        <f>AE431</f>
        <v>0.11</v>
      </c>
      <c r="DA431">
        <f>AI431</f>
        <v>7.56</v>
      </c>
      <c r="DB431">
        <f>ROUND(ROUND(AT431*CZ431,2),2)</f>
        <v>2.5299999999999998</v>
      </c>
      <c r="DC431">
        <f>ROUND(ROUND(AT431*AG431,2),2)</f>
        <v>0</v>
      </c>
      <c r="DD431" t="s">
        <v>6</v>
      </c>
      <c r="DE431" t="s">
        <v>6</v>
      </c>
      <c r="DF431">
        <f>ROUND(ROUND(AE431*AI431,0)*CX431,0)</f>
        <v>1201</v>
      </c>
      <c r="DG431">
        <f t="shared" si="163"/>
        <v>0</v>
      </c>
      <c r="DH431">
        <f>Source!I341*SmtRes!Y431</f>
        <v>1200.6000000000001</v>
      </c>
      <c r="DI431">
        <f>AA431</f>
        <v>0.85</v>
      </c>
      <c r="DJ431">
        <f>DF431</f>
        <v>1201</v>
      </c>
      <c r="DK431">
        <f>Source!BC341</f>
        <v>7.56</v>
      </c>
      <c r="DL431" t="s">
        <v>6</v>
      </c>
      <c r="DM431">
        <v>0</v>
      </c>
      <c r="DN431" t="s">
        <v>6</v>
      </c>
      <c r="DO431">
        <v>0</v>
      </c>
      <c r="GP431">
        <v>1</v>
      </c>
      <c r="GQ431">
        <v>-1</v>
      </c>
      <c r="GR431">
        <v>-1</v>
      </c>
    </row>
    <row r="432" spans="1:200" x14ac:dyDescent="0.2">
      <c r="A432">
        <f>ROW(Source!A341)</f>
        <v>341</v>
      </c>
      <c r="B432">
        <v>86326988</v>
      </c>
      <c r="C432">
        <v>86327722</v>
      </c>
      <c r="D432">
        <v>35950827</v>
      </c>
      <c r="E432">
        <v>1</v>
      </c>
      <c r="F432">
        <v>1</v>
      </c>
      <c r="G432">
        <v>1</v>
      </c>
      <c r="H432">
        <v>3</v>
      </c>
      <c r="I432" t="s">
        <v>461</v>
      </c>
      <c r="J432" t="s">
        <v>463</v>
      </c>
      <c r="K432" t="s">
        <v>462</v>
      </c>
      <c r="L432">
        <v>1391</v>
      </c>
      <c r="N432">
        <v>1013</v>
      </c>
      <c r="O432" t="s">
        <v>78</v>
      </c>
      <c r="P432" t="s">
        <v>78</v>
      </c>
      <c r="Q432">
        <v>1</v>
      </c>
      <c r="W432">
        <v>0</v>
      </c>
      <c r="X432">
        <v>-2085155213</v>
      </c>
      <c r="Y432">
        <f>AT432</f>
        <v>1.6788793099999999</v>
      </c>
      <c r="AA432">
        <v>34.840000000000003</v>
      </c>
      <c r="AB432">
        <v>0</v>
      </c>
      <c r="AC432">
        <v>0</v>
      </c>
      <c r="AD432">
        <v>0</v>
      </c>
      <c r="AE432">
        <v>4.83</v>
      </c>
      <c r="AF432">
        <v>0</v>
      </c>
      <c r="AG432">
        <v>0</v>
      </c>
      <c r="AH432">
        <v>0</v>
      </c>
      <c r="AI432">
        <v>7.56</v>
      </c>
      <c r="AJ432">
        <v>1</v>
      </c>
      <c r="AK432">
        <v>1</v>
      </c>
      <c r="AL432">
        <v>1</v>
      </c>
      <c r="AM432">
        <v>0</v>
      </c>
      <c r="AN432">
        <v>0</v>
      </c>
      <c r="AO432">
        <v>0</v>
      </c>
      <c r="AP432">
        <v>1</v>
      </c>
      <c r="AQ432">
        <v>0</v>
      </c>
      <c r="AR432">
        <v>0</v>
      </c>
      <c r="AS432" t="s">
        <v>6</v>
      </c>
      <c r="AT432">
        <v>1.6788793099999999</v>
      </c>
      <c r="AU432" t="s">
        <v>6</v>
      </c>
      <c r="AV432">
        <v>0</v>
      </c>
      <c r="AW432">
        <v>1</v>
      </c>
      <c r="AX432">
        <v>-1</v>
      </c>
      <c r="AY432">
        <v>0</v>
      </c>
      <c r="AZ432">
        <v>0</v>
      </c>
      <c r="BA432" t="s">
        <v>6</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CV432">
        <v>0</v>
      </c>
      <c r="CW432">
        <v>0</v>
      </c>
      <c r="CX432">
        <f>ROUND(Y432*Source!I341,9)</f>
        <v>87.637499981999994</v>
      </c>
      <c r="CY432">
        <f>AA432</f>
        <v>34.840000000000003</v>
      </c>
      <c r="CZ432">
        <f>AE432</f>
        <v>4.83</v>
      </c>
      <c r="DA432">
        <f>AI432</f>
        <v>7.56</v>
      </c>
      <c r="DB432">
        <f>ROUND(ROUND(AT432*CZ432,2),2)</f>
        <v>8.11</v>
      </c>
      <c r="DC432">
        <f>ROUND(ROUND(AT432*AG432,2),2)</f>
        <v>0</v>
      </c>
      <c r="DD432" t="s">
        <v>6</v>
      </c>
      <c r="DE432" t="s">
        <v>6</v>
      </c>
      <c r="DF432">
        <f>ROUND(ROUND(AE432*AI432,0)*CX432,0)</f>
        <v>3243</v>
      </c>
      <c r="DG432">
        <f t="shared" si="163"/>
        <v>0</v>
      </c>
      <c r="DH432">
        <f>Source!I341*SmtRes!Y432</f>
        <v>87.637499981999994</v>
      </c>
      <c r="DI432">
        <f>AA432</f>
        <v>34.840000000000003</v>
      </c>
      <c r="DJ432">
        <f>DF432</f>
        <v>3243</v>
      </c>
      <c r="DK432">
        <f>Source!BC341</f>
        <v>7.56</v>
      </c>
      <c r="DL432" t="s">
        <v>6</v>
      </c>
      <c r="DM432">
        <v>0</v>
      </c>
      <c r="DN432" t="s">
        <v>6</v>
      </c>
      <c r="DO432">
        <v>0</v>
      </c>
      <c r="GP432">
        <v>1</v>
      </c>
      <c r="GQ432">
        <v>-1</v>
      </c>
      <c r="GR432">
        <v>-1</v>
      </c>
    </row>
    <row r="433" spans="1:200" x14ac:dyDescent="0.2">
      <c r="A433">
        <f>ROW(Source!A341)</f>
        <v>341</v>
      </c>
      <c r="B433">
        <v>86326988</v>
      </c>
      <c r="C433">
        <v>86327722</v>
      </c>
      <c r="D433">
        <v>35950830</v>
      </c>
      <c r="E433">
        <v>1</v>
      </c>
      <c r="F433">
        <v>1</v>
      </c>
      <c r="G433">
        <v>1</v>
      </c>
      <c r="H433">
        <v>3</v>
      </c>
      <c r="I433" t="s">
        <v>466</v>
      </c>
      <c r="J433" t="s">
        <v>468</v>
      </c>
      <c r="K433" t="s">
        <v>467</v>
      </c>
      <c r="L433">
        <v>1391</v>
      </c>
      <c r="N433">
        <v>1013</v>
      </c>
      <c r="O433" t="s">
        <v>78</v>
      </c>
      <c r="P433" t="s">
        <v>78</v>
      </c>
      <c r="Q433">
        <v>1</v>
      </c>
      <c r="W433">
        <v>0</v>
      </c>
      <c r="X433">
        <v>-1671398490</v>
      </c>
      <c r="Y433">
        <f>AT433</f>
        <v>1.6788793099999999</v>
      </c>
      <c r="AA433">
        <v>228.01</v>
      </c>
      <c r="AB433">
        <v>0</v>
      </c>
      <c r="AC433">
        <v>0</v>
      </c>
      <c r="AD433">
        <v>0</v>
      </c>
      <c r="AE433">
        <v>32</v>
      </c>
      <c r="AF433">
        <v>0</v>
      </c>
      <c r="AG433">
        <v>0</v>
      </c>
      <c r="AH433">
        <v>0</v>
      </c>
      <c r="AI433">
        <v>7.56</v>
      </c>
      <c r="AJ433">
        <v>1</v>
      </c>
      <c r="AK433">
        <v>1</v>
      </c>
      <c r="AL433">
        <v>1</v>
      </c>
      <c r="AM433">
        <v>0</v>
      </c>
      <c r="AN433">
        <v>0</v>
      </c>
      <c r="AO433">
        <v>0</v>
      </c>
      <c r="AP433">
        <v>1</v>
      </c>
      <c r="AQ433">
        <v>0</v>
      </c>
      <c r="AR433">
        <v>0</v>
      </c>
      <c r="AS433" t="s">
        <v>6</v>
      </c>
      <c r="AT433">
        <v>1.6788793099999999</v>
      </c>
      <c r="AU433" t="s">
        <v>6</v>
      </c>
      <c r="AV433">
        <v>0</v>
      </c>
      <c r="AW433">
        <v>1</v>
      </c>
      <c r="AX433">
        <v>-1</v>
      </c>
      <c r="AY433">
        <v>0</v>
      </c>
      <c r="AZ433">
        <v>0</v>
      </c>
      <c r="BA433" t="s">
        <v>6</v>
      </c>
      <c r="BB433">
        <v>0</v>
      </c>
      <c r="BC433">
        <v>0</v>
      </c>
      <c r="BD433">
        <v>0</v>
      </c>
      <c r="BE433">
        <v>0</v>
      </c>
      <c r="BF433">
        <v>0</v>
      </c>
      <c r="BG433">
        <v>0</v>
      </c>
      <c r="BH433">
        <v>0</v>
      </c>
      <c r="BI433">
        <v>0</v>
      </c>
      <c r="BJ433">
        <v>0</v>
      </c>
      <c r="BK433">
        <v>0</v>
      </c>
      <c r="BL433">
        <v>0</v>
      </c>
      <c r="BM433">
        <v>0</v>
      </c>
      <c r="BN433">
        <v>0</v>
      </c>
      <c r="BO433">
        <v>0</v>
      </c>
      <c r="BP433">
        <v>0</v>
      </c>
      <c r="BQ433">
        <v>0</v>
      </c>
      <c r="BR433">
        <v>0</v>
      </c>
      <c r="BS433">
        <v>0</v>
      </c>
      <c r="BT433">
        <v>0</v>
      </c>
      <c r="BU433">
        <v>0</v>
      </c>
      <c r="BV433">
        <v>0</v>
      </c>
      <c r="BW433">
        <v>0</v>
      </c>
      <c r="CV433">
        <v>0</v>
      </c>
      <c r="CW433">
        <v>0</v>
      </c>
      <c r="CX433">
        <f>ROUND(Y433*Source!I341,9)</f>
        <v>87.637499981999994</v>
      </c>
      <c r="CY433">
        <f>AA433</f>
        <v>228.01</v>
      </c>
      <c r="CZ433">
        <f>AE433</f>
        <v>32</v>
      </c>
      <c r="DA433">
        <f>AI433</f>
        <v>7.56</v>
      </c>
      <c r="DB433">
        <f>ROUND(ROUND(AT433*CZ433,2),2)</f>
        <v>53.72</v>
      </c>
      <c r="DC433">
        <f>ROUND(ROUND(AT433*AG433,2),2)</f>
        <v>0</v>
      </c>
      <c r="DD433" t="s">
        <v>6</v>
      </c>
      <c r="DE433" t="s">
        <v>6</v>
      </c>
      <c r="DF433">
        <f>ROUND(ROUND(AE433*AI433,0)*CX433,0)</f>
        <v>21208</v>
      </c>
      <c r="DG433">
        <f t="shared" si="163"/>
        <v>0</v>
      </c>
      <c r="DH433">
        <f>Source!I341*SmtRes!Y433</f>
        <v>87.637499981999994</v>
      </c>
      <c r="DI433">
        <f>AA433</f>
        <v>228.01</v>
      </c>
      <c r="DJ433">
        <f>DF433</f>
        <v>21208</v>
      </c>
      <c r="DK433">
        <f>Source!BC341</f>
        <v>7.56</v>
      </c>
      <c r="DL433" t="s">
        <v>6</v>
      </c>
      <c r="DM433">
        <v>0</v>
      </c>
      <c r="DN433" t="s">
        <v>6</v>
      </c>
      <c r="DO433">
        <v>0</v>
      </c>
      <c r="GP433">
        <v>1</v>
      </c>
      <c r="GQ433">
        <v>-1</v>
      </c>
      <c r="GR433">
        <v>-1</v>
      </c>
    </row>
    <row r="434" spans="1:200" x14ac:dyDescent="0.2">
      <c r="A434">
        <f>ROW(Source!A341)</f>
        <v>341</v>
      </c>
      <c r="B434">
        <v>86326988</v>
      </c>
      <c r="C434">
        <v>86327722</v>
      </c>
      <c r="D434">
        <v>69408587</v>
      </c>
      <c r="E434">
        <v>1</v>
      </c>
      <c r="F434">
        <v>1</v>
      </c>
      <c r="G434">
        <v>1</v>
      </c>
      <c r="H434">
        <v>3</v>
      </c>
      <c r="I434" t="s">
        <v>87</v>
      </c>
      <c r="J434" t="s">
        <v>89</v>
      </c>
      <c r="K434" t="s">
        <v>88</v>
      </c>
      <c r="L434">
        <v>1339</v>
      </c>
      <c r="N434">
        <v>1007</v>
      </c>
      <c r="O434" t="s">
        <v>44</v>
      </c>
      <c r="P434" t="s">
        <v>44</v>
      </c>
      <c r="Q434">
        <v>1</v>
      </c>
      <c r="W434">
        <v>0</v>
      </c>
      <c r="X434">
        <v>-183216560</v>
      </c>
      <c r="Y434">
        <f>AT434</f>
        <v>1.7040625</v>
      </c>
      <c r="AA434">
        <v>6948.56</v>
      </c>
      <c r="AB434">
        <v>0</v>
      </c>
      <c r="AC434">
        <v>0</v>
      </c>
      <c r="AD434">
        <v>0</v>
      </c>
      <c r="AE434">
        <v>975</v>
      </c>
      <c r="AF434">
        <v>0</v>
      </c>
      <c r="AG434">
        <v>0</v>
      </c>
      <c r="AH434">
        <v>0</v>
      </c>
      <c r="AI434">
        <v>7.56</v>
      </c>
      <c r="AJ434">
        <v>1</v>
      </c>
      <c r="AK434">
        <v>1</v>
      </c>
      <c r="AL434">
        <v>1</v>
      </c>
      <c r="AM434">
        <v>0</v>
      </c>
      <c r="AN434">
        <v>0</v>
      </c>
      <c r="AO434">
        <v>0</v>
      </c>
      <c r="AP434">
        <v>1</v>
      </c>
      <c r="AQ434">
        <v>0</v>
      </c>
      <c r="AR434">
        <v>0</v>
      </c>
      <c r="AS434" t="s">
        <v>6</v>
      </c>
      <c r="AT434">
        <v>1.7040625</v>
      </c>
      <c r="AU434" t="s">
        <v>6</v>
      </c>
      <c r="AV434">
        <v>0</v>
      </c>
      <c r="AW434">
        <v>1</v>
      </c>
      <c r="AX434">
        <v>-1</v>
      </c>
      <c r="AY434">
        <v>0</v>
      </c>
      <c r="AZ434">
        <v>0</v>
      </c>
      <c r="BA434" t="s">
        <v>6</v>
      </c>
      <c r="BB434">
        <v>0</v>
      </c>
      <c r="BC434">
        <v>0</v>
      </c>
      <c r="BD434">
        <v>0</v>
      </c>
      <c r="BE434">
        <v>0</v>
      </c>
      <c r="BF434">
        <v>0</v>
      </c>
      <c r="BG434">
        <v>0</v>
      </c>
      <c r="BH434">
        <v>0</v>
      </c>
      <c r="BI434">
        <v>0</v>
      </c>
      <c r="BJ434">
        <v>0</v>
      </c>
      <c r="BK434">
        <v>0</v>
      </c>
      <c r="BL434">
        <v>0</v>
      </c>
      <c r="BM434">
        <v>0</v>
      </c>
      <c r="BN434">
        <v>0</v>
      </c>
      <c r="BO434">
        <v>0</v>
      </c>
      <c r="BP434">
        <v>0</v>
      </c>
      <c r="BQ434">
        <v>0</v>
      </c>
      <c r="BR434">
        <v>0</v>
      </c>
      <c r="BS434">
        <v>0</v>
      </c>
      <c r="BT434">
        <v>0</v>
      </c>
      <c r="BU434">
        <v>0</v>
      </c>
      <c r="BV434">
        <v>0</v>
      </c>
      <c r="BW434">
        <v>0</v>
      </c>
      <c r="CV434">
        <v>0</v>
      </c>
      <c r="CW434">
        <v>0</v>
      </c>
      <c r="CX434">
        <f>ROUND(Y434*Source!I341,9)</f>
        <v>88.952062499999997</v>
      </c>
      <c r="CY434">
        <f>AA434</f>
        <v>6948.56</v>
      </c>
      <c r="CZ434">
        <f>AE434</f>
        <v>975</v>
      </c>
      <c r="DA434">
        <f>AI434</f>
        <v>7.56</v>
      </c>
      <c r="DB434">
        <f>ROUND(ROUND(AT434*CZ434,2),2)</f>
        <v>1661.46</v>
      </c>
      <c r="DC434">
        <f>ROUND(ROUND(AT434*AG434,2),2)</f>
        <v>0</v>
      </c>
      <c r="DD434" t="s">
        <v>6</v>
      </c>
      <c r="DE434" t="s">
        <v>6</v>
      </c>
      <c r="DF434">
        <f>ROUND(ROUND(AE434*AI434,0)*CX434,0)</f>
        <v>655666</v>
      </c>
      <c r="DG434">
        <f t="shared" si="163"/>
        <v>0</v>
      </c>
      <c r="DH434">
        <f>Source!I341*SmtRes!Y434</f>
        <v>88.952062500000011</v>
      </c>
      <c r="DI434">
        <f>AA434</f>
        <v>6948.56</v>
      </c>
      <c r="DJ434">
        <f>DF434</f>
        <v>655666</v>
      </c>
      <c r="DK434">
        <f>Source!BC341</f>
        <v>7.56</v>
      </c>
      <c r="DL434" t="s">
        <v>6</v>
      </c>
      <c r="DM434">
        <v>0</v>
      </c>
      <c r="DN434" t="s">
        <v>6</v>
      </c>
      <c r="DO434">
        <v>0</v>
      </c>
      <c r="GP434">
        <v>1</v>
      </c>
      <c r="GQ434">
        <v>-1</v>
      </c>
      <c r="GR434">
        <v>-1</v>
      </c>
    </row>
    <row r="435" spans="1:200" x14ac:dyDescent="0.2">
      <c r="A435">
        <f>ROW(Source!A354)</f>
        <v>354</v>
      </c>
      <c r="B435">
        <v>86326987</v>
      </c>
      <c r="C435">
        <v>86327747</v>
      </c>
      <c r="D435">
        <v>27496319</v>
      </c>
      <c r="E435">
        <v>1</v>
      </c>
      <c r="F435">
        <v>1</v>
      </c>
      <c r="G435">
        <v>1</v>
      </c>
      <c r="H435">
        <v>1</v>
      </c>
      <c r="I435" t="s">
        <v>672</v>
      </c>
      <c r="J435" t="s">
        <v>6</v>
      </c>
      <c r="K435" t="s">
        <v>673</v>
      </c>
      <c r="L435">
        <v>1369</v>
      </c>
      <c r="N435">
        <v>1013</v>
      </c>
      <c r="O435" t="s">
        <v>625</v>
      </c>
      <c r="P435" t="s">
        <v>625</v>
      </c>
      <c r="Q435">
        <v>1</v>
      </c>
      <c r="W435">
        <v>0</v>
      </c>
      <c r="X435">
        <v>1189128158</v>
      </c>
      <c r="Y435">
        <f>(AT435*1.05)</f>
        <v>95.140500000000003</v>
      </c>
      <c r="AA435">
        <v>0</v>
      </c>
      <c r="AB435">
        <v>0</v>
      </c>
      <c r="AC435">
        <v>0</v>
      </c>
      <c r="AD435">
        <v>8.01</v>
      </c>
      <c r="AE435">
        <v>0</v>
      </c>
      <c r="AF435">
        <v>0</v>
      </c>
      <c r="AG435">
        <v>0</v>
      </c>
      <c r="AH435">
        <v>8.01</v>
      </c>
      <c r="AI435">
        <v>1</v>
      </c>
      <c r="AJ435">
        <v>1</v>
      </c>
      <c r="AK435">
        <v>1</v>
      </c>
      <c r="AL435">
        <v>1</v>
      </c>
      <c r="AM435">
        <v>0</v>
      </c>
      <c r="AN435">
        <v>0</v>
      </c>
      <c r="AO435">
        <v>1</v>
      </c>
      <c r="AP435">
        <v>1</v>
      </c>
      <c r="AQ435">
        <v>0</v>
      </c>
      <c r="AR435">
        <v>0</v>
      </c>
      <c r="AS435" t="s">
        <v>6</v>
      </c>
      <c r="AT435">
        <v>90.61</v>
      </c>
      <c r="AU435" t="s">
        <v>25</v>
      </c>
      <c r="AV435">
        <v>1</v>
      </c>
      <c r="AW435">
        <v>2</v>
      </c>
      <c r="AX435">
        <v>86327755</v>
      </c>
      <c r="AY435">
        <v>1</v>
      </c>
      <c r="AZ435">
        <v>0</v>
      </c>
      <c r="BA435">
        <v>357</v>
      </c>
      <c r="BB435">
        <v>0</v>
      </c>
      <c r="BC435">
        <v>0</v>
      </c>
      <c r="BD435">
        <v>0</v>
      </c>
      <c r="BE435">
        <v>0</v>
      </c>
      <c r="BF435">
        <v>0</v>
      </c>
      <c r="BG435">
        <v>0</v>
      </c>
      <c r="BH435">
        <v>0</v>
      </c>
      <c r="BI435">
        <v>0</v>
      </c>
      <c r="BJ435">
        <v>0</v>
      </c>
      <c r="BK435">
        <v>0</v>
      </c>
      <c r="BL435">
        <v>0</v>
      </c>
      <c r="BM435">
        <v>0</v>
      </c>
      <c r="BN435">
        <v>0</v>
      </c>
      <c r="BO435">
        <v>0</v>
      </c>
      <c r="BP435">
        <v>0</v>
      </c>
      <c r="BQ435">
        <v>0</v>
      </c>
      <c r="BR435">
        <v>0</v>
      </c>
      <c r="BS435">
        <v>0</v>
      </c>
      <c r="BT435">
        <v>0</v>
      </c>
      <c r="BU435">
        <v>0</v>
      </c>
      <c r="BV435">
        <v>0</v>
      </c>
      <c r="BW435">
        <v>0</v>
      </c>
      <c r="CU435">
        <f>ROUND(AT435*Source!I354*AH435*AL435,0)</f>
        <v>53</v>
      </c>
      <c r="CV435">
        <f>ROUND(Y435*Source!I354,9)</f>
        <v>6.9642846</v>
      </c>
      <c r="CW435">
        <v>0</v>
      </c>
      <c r="CX435">
        <f>ROUND(Y435*Source!I354,9)</f>
        <v>6.9642846</v>
      </c>
      <c r="CY435">
        <f>AD435</f>
        <v>8.01</v>
      </c>
      <c r="CZ435">
        <f>AH435</f>
        <v>8.01</v>
      </c>
      <c r="DA435">
        <f>AL435</f>
        <v>1</v>
      </c>
      <c r="DB435">
        <f>ROUND((ROUND(AT435*CZ435,2)*1.05),2)</f>
        <v>762.08</v>
      </c>
      <c r="DC435">
        <f>ROUND((ROUND(AT435*AG435,2)*1.05),2)</f>
        <v>0</v>
      </c>
      <c r="DD435" t="s">
        <v>6</v>
      </c>
      <c r="DE435" t="s">
        <v>6</v>
      </c>
      <c r="DF435">
        <f t="shared" ref="DF435:DF446" si="164">ROUND(ROUND(AE435,0)*CX435,0)</f>
        <v>0</v>
      </c>
      <c r="DG435">
        <f t="shared" si="163"/>
        <v>0</v>
      </c>
      <c r="DH435">
        <f>Source!I354*SmtRes!Y435</f>
        <v>6.9642846</v>
      </c>
      <c r="DI435">
        <f>AD435</f>
        <v>8.01</v>
      </c>
      <c r="DJ435">
        <f>EtalonRes!AB357</f>
        <v>8.01</v>
      </c>
      <c r="DK435">
        <f>Source!BA354</f>
        <v>1</v>
      </c>
      <c r="DL435" t="s">
        <v>6</v>
      </c>
      <c r="DM435">
        <v>0</v>
      </c>
      <c r="DN435" t="s">
        <v>6</v>
      </c>
      <c r="DO435">
        <v>0</v>
      </c>
      <c r="GQ435">
        <v>-1</v>
      </c>
      <c r="GR435">
        <v>-1</v>
      </c>
    </row>
    <row r="436" spans="1:200" x14ac:dyDescent="0.2">
      <c r="A436">
        <f>ROW(Source!A354)</f>
        <v>354</v>
      </c>
      <c r="B436">
        <v>86326987</v>
      </c>
      <c r="C436">
        <v>86327747</v>
      </c>
      <c r="D436">
        <v>121548</v>
      </c>
      <c r="E436">
        <v>1</v>
      </c>
      <c r="F436">
        <v>1</v>
      </c>
      <c r="G436">
        <v>1</v>
      </c>
      <c r="H436">
        <v>1</v>
      </c>
      <c r="I436" t="s">
        <v>40</v>
      </c>
      <c r="J436" t="s">
        <v>6</v>
      </c>
      <c r="K436" t="s">
        <v>626</v>
      </c>
      <c r="L436">
        <v>608254</v>
      </c>
      <c r="N436">
        <v>1013</v>
      </c>
      <c r="O436" t="s">
        <v>627</v>
      </c>
      <c r="P436" t="s">
        <v>627</v>
      </c>
      <c r="Q436">
        <v>1</v>
      </c>
      <c r="W436">
        <v>0</v>
      </c>
      <c r="X436">
        <v>-185737400</v>
      </c>
      <c r="Y436">
        <f>(AT436*1.12)</f>
        <v>0.76160000000000017</v>
      </c>
      <c r="AA436">
        <v>0</v>
      </c>
      <c r="AB436">
        <v>0</v>
      </c>
      <c r="AC436">
        <v>0</v>
      </c>
      <c r="AD436">
        <v>0</v>
      </c>
      <c r="AE436">
        <v>0</v>
      </c>
      <c r="AF436">
        <v>0</v>
      </c>
      <c r="AG436">
        <v>0</v>
      </c>
      <c r="AH436">
        <v>0</v>
      </c>
      <c r="AI436">
        <v>1</v>
      </c>
      <c r="AJ436">
        <v>1</v>
      </c>
      <c r="AK436">
        <v>1</v>
      </c>
      <c r="AL436">
        <v>1</v>
      </c>
      <c r="AM436">
        <v>0</v>
      </c>
      <c r="AN436">
        <v>0</v>
      </c>
      <c r="AO436">
        <v>1</v>
      </c>
      <c r="AP436">
        <v>1</v>
      </c>
      <c r="AQ436">
        <v>0</v>
      </c>
      <c r="AR436">
        <v>0</v>
      </c>
      <c r="AS436" t="s">
        <v>6</v>
      </c>
      <c r="AT436">
        <v>0.68</v>
      </c>
      <c r="AU436" t="s">
        <v>24</v>
      </c>
      <c r="AV436">
        <v>2</v>
      </c>
      <c r="AW436">
        <v>2</v>
      </c>
      <c r="AX436">
        <v>86327756</v>
      </c>
      <c r="AY436">
        <v>1</v>
      </c>
      <c r="AZ436">
        <v>0</v>
      </c>
      <c r="BA436">
        <v>358</v>
      </c>
      <c r="BB436">
        <v>0</v>
      </c>
      <c r="BC436">
        <v>0</v>
      </c>
      <c r="BD436">
        <v>0</v>
      </c>
      <c r="BE436">
        <v>0</v>
      </c>
      <c r="BF436">
        <v>0</v>
      </c>
      <c r="BG436">
        <v>0</v>
      </c>
      <c r="BH436">
        <v>0</v>
      </c>
      <c r="BI436">
        <v>0</v>
      </c>
      <c r="BJ436">
        <v>0</v>
      </c>
      <c r="BK436">
        <v>0</v>
      </c>
      <c r="BL436">
        <v>0</v>
      </c>
      <c r="BM436">
        <v>0</v>
      </c>
      <c r="BN436">
        <v>0</v>
      </c>
      <c r="BO436">
        <v>0</v>
      </c>
      <c r="BP436">
        <v>0</v>
      </c>
      <c r="BQ436">
        <v>0</v>
      </c>
      <c r="BR436">
        <v>0</v>
      </c>
      <c r="BS436">
        <v>0</v>
      </c>
      <c r="BT436">
        <v>0</v>
      </c>
      <c r="BU436">
        <v>0</v>
      </c>
      <c r="BV436">
        <v>0</v>
      </c>
      <c r="BW436">
        <v>0</v>
      </c>
      <c r="CV436">
        <v>0</v>
      </c>
      <c r="CW436">
        <v>0</v>
      </c>
      <c r="CX436">
        <f>ROUND(Y436*Source!I354,9)</f>
        <v>5.5749119999999999E-2</v>
      </c>
      <c r="CY436">
        <f>AD436</f>
        <v>0</v>
      </c>
      <c r="CZ436">
        <f>AH436</f>
        <v>0</v>
      </c>
      <c r="DA436">
        <f>AL436</f>
        <v>1</v>
      </c>
      <c r="DB436">
        <f>ROUND((ROUND(AT436*CZ436,2)*1.12),2)</f>
        <v>0</v>
      </c>
      <c r="DC436">
        <f>ROUND((ROUND(AT436*AG436,2)*1.12),2)</f>
        <v>0</v>
      </c>
      <c r="DD436" t="s">
        <v>6</v>
      </c>
      <c r="DE436" t="s">
        <v>6</v>
      </c>
      <c r="DF436">
        <f t="shared" si="164"/>
        <v>0</v>
      </c>
      <c r="DG436">
        <f t="shared" si="163"/>
        <v>0</v>
      </c>
      <c r="DH436">
        <f>Source!I354*SmtRes!Y436</f>
        <v>5.5749120000000013E-2</v>
      </c>
      <c r="DI436">
        <f>AD436</f>
        <v>0</v>
      </c>
      <c r="DJ436">
        <f>EtalonRes!AB358</f>
        <v>0</v>
      </c>
      <c r="DK436">
        <f>Source!BA354</f>
        <v>1</v>
      </c>
      <c r="DL436" t="s">
        <v>6</v>
      </c>
      <c r="DM436">
        <v>0</v>
      </c>
      <c r="DN436" t="s">
        <v>6</v>
      </c>
      <c r="DO436">
        <v>0</v>
      </c>
      <c r="GQ436">
        <v>-1</v>
      </c>
      <c r="GR436">
        <v>-1</v>
      </c>
    </row>
    <row r="437" spans="1:200" x14ac:dyDescent="0.2">
      <c r="A437">
        <f>ROW(Source!A354)</f>
        <v>354</v>
      </c>
      <c r="B437">
        <v>86326987</v>
      </c>
      <c r="C437">
        <v>86327747</v>
      </c>
      <c r="D437">
        <v>27439419</v>
      </c>
      <c r="E437">
        <v>1</v>
      </c>
      <c r="F437">
        <v>1</v>
      </c>
      <c r="G437">
        <v>1</v>
      </c>
      <c r="H437">
        <v>2</v>
      </c>
      <c r="I437" t="s">
        <v>628</v>
      </c>
      <c r="J437" t="s">
        <v>629</v>
      </c>
      <c r="K437" t="s">
        <v>630</v>
      </c>
      <c r="L437">
        <v>1368</v>
      </c>
      <c r="N437">
        <v>1011</v>
      </c>
      <c r="O437" t="s">
        <v>137</v>
      </c>
      <c r="P437" t="s">
        <v>137</v>
      </c>
      <c r="Q437">
        <v>1</v>
      </c>
      <c r="W437">
        <v>0</v>
      </c>
      <c r="X437">
        <v>1804162481</v>
      </c>
      <c r="Y437">
        <f>(AT437*1.12)</f>
        <v>0.64960000000000007</v>
      </c>
      <c r="AA437">
        <v>0</v>
      </c>
      <c r="AB437">
        <v>115.64</v>
      </c>
      <c r="AC437">
        <v>13.61</v>
      </c>
      <c r="AD437">
        <v>0</v>
      </c>
      <c r="AE437">
        <v>0</v>
      </c>
      <c r="AF437">
        <v>115.64</v>
      </c>
      <c r="AG437">
        <v>13.61</v>
      </c>
      <c r="AH437">
        <v>0</v>
      </c>
      <c r="AI437">
        <v>1</v>
      </c>
      <c r="AJ437">
        <v>1</v>
      </c>
      <c r="AK437">
        <v>1</v>
      </c>
      <c r="AL437">
        <v>1</v>
      </c>
      <c r="AM437">
        <v>0</v>
      </c>
      <c r="AN437">
        <v>0</v>
      </c>
      <c r="AO437">
        <v>1</v>
      </c>
      <c r="AP437">
        <v>1</v>
      </c>
      <c r="AQ437">
        <v>0</v>
      </c>
      <c r="AR437">
        <v>0</v>
      </c>
      <c r="AS437" t="s">
        <v>6</v>
      </c>
      <c r="AT437">
        <v>0.57999999999999996</v>
      </c>
      <c r="AU437" t="s">
        <v>24</v>
      </c>
      <c r="AV437">
        <v>0</v>
      </c>
      <c r="AW437">
        <v>1</v>
      </c>
      <c r="AX437">
        <v>-1</v>
      </c>
      <c r="AY437">
        <v>0</v>
      </c>
      <c r="AZ437">
        <v>0</v>
      </c>
      <c r="BA437" t="s">
        <v>6</v>
      </c>
      <c r="BB437">
        <v>5</v>
      </c>
      <c r="BC437">
        <v>0</v>
      </c>
      <c r="BD437">
        <v>75.119744000000011</v>
      </c>
      <c r="BE437">
        <v>8.841056</v>
      </c>
      <c r="BF437">
        <v>0</v>
      </c>
      <c r="BG437">
        <v>0</v>
      </c>
      <c r="BH437">
        <v>0</v>
      </c>
      <c r="BI437">
        <v>1</v>
      </c>
      <c r="BJ437">
        <v>0</v>
      </c>
      <c r="BK437">
        <v>0</v>
      </c>
      <c r="BL437">
        <v>0</v>
      </c>
      <c r="BM437">
        <v>0</v>
      </c>
      <c r="BN437">
        <v>0</v>
      </c>
      <c r="BO437">
        <v>0</v>
      </c>
      <c r="BP437">
        <v>0</v>
      </c>
      <c r="BQ437">
        <v>0</v>
      </c>
      <c r="BR437">
        <v>0</v>
      </c>
      <c r="BS437">
        <v>0</v>
      </c>
      <c r="BT437">
        <v>0</v>
      </c>
      <c r="BU437">
        <v>0</v>
      </c>
      <c r="BV437">
        <v>0</v>
      </c>
      <c r="BW437">
        <v>0</v>
      </c>
      <c r="CV437">
        <v>0</v>
      </c>
      <c r="CW437">
        <f>ROUND(Y437*Source!I354*DO437,9)</f>
        <v>0</v>
      </c>
      <c r="CX437">
        <f>ROUND(Y437*Source!I354,9)</f>
        <v>4.7550719999999998E-2</v>
      </c>
      <c r="CY437">
        <f>AB437</f>
        <v>115.64</v>
      </c>
      <c r="CZ437">
        <f>AF437</f>
        <v>115.64</v>
      </c>
      <c r="DA437">
        <f>AJ437</f>
        <v>1</v>
      </c>
      <c r="DB437">
        <f>ROUND((ROUND(AT437*CZ437,2)*1.12),2)</f>
        <v>75.12</v>
      </c>
      <c r="DC437">
        <f>ROUND((ROUND(AT437*AG437,2)*1.12),2)</f>
        <v>8.84</v>
      </c>
      <c r="DD437" t="s">
        <v>6</v>
      </c>
      <c r="DE437" t="s">
        <v>6</v>
      </c>
      <c r="DF437">
        <f t="shared" si="164"/>
        <v>0</v>
      </c>
      <c r="DG437">
        <f t="shared" si="163"/>
        <v>6</v>
      </c>
      <c r="DH437">
        <f>Source!I354*SmtRes!Y437</f>
        <v>4.7550720000000005E-2</v>
      </c>
      <c r="DI437">
        <f>AB437</f>
        <v>115.64</v>
      </c>
      <c r="DJ437">
        <f>DG437</f>
        <v>6</v>
      </c>
      <c r="DK437">
        <f>Source!BB354</f>
        <v>1</v>
      </c>
      <c r="DL437" t="s">
        <v>6</v>
      </c>
      <c r="DM437">
        <v>0</v>
      </c>
      <c r="DN437" t="s">
        <v>6</v>
      </c>
      <c r="DO437">
        <v>0</v>
      </c>
      <c r="GQ437">
        <v>-1</v>
      </c>
      <c r="GR437">
        <v>-1</v>
      </c>
    </row>
    <row r="438" spans="1:200" x14ac:dyDescent="0.2">
      <c r="A438">
        <f>ROW(Source!A354)</f>
        <v>354</v>
      </c>
      <c r="B438">
        <v>86326987</v>
      </c>
      <c r="C438">
        <v>86327747</v>
      </c>
      <c r="D438">
        <v>27439499</v>
      </c>
      <c r="E438">
        <v>1</v>
      </c>
      <c r="F438">
        <v>1</v>
      </c>
      <c r="G438">
        <v>1</v>
      </c>
      <c r="H438">
        <v>2</v>
      </c>
      <c r="I438" t="s">
        <v>631</v>
      </c>
      <c r="J438" t="s">
        <v>632</v>
      </c>
      <c r="K438" t="s">
        <v>633</v>
      </c>
      <c r="L438">
        <v>1368</v>
      </c>
      <c r="N438">
        <v>1011</v>
      </c>
      <c r="O438" t="s">
        <v>137</v>
      </c>
      <c r="P438" t="s">
        <v>137</v>
      </c>
      <c r="Q438">
        <v>1</v>
      </c>
      <c r="W438">
        <v>0</v>
      </c>
      <c r="X438">
        <v>1890856440</v>
      </c>
      <c r="Y438">
        <f>(AT438*1.12)</f>
        <v>0.11200000000000002</v>
      </c>
      <c r="AA438">
        <v>0</v>
      </c>
      <c r="AB438">
        <v>112.67</v>
      </c>
      <c r="AC438">
        <v>13.61</v>
      </c>
      <c r="AD438">
        <v>0</v>
      </c>
      <c r="AE438">
        <v>0</v>
      </c>
      <c r="AF438">
        <v>112.67</v>
      </c>
      <c r="AG438">
        <v>13.61</v>
      </c>
      <c r="AH438">
        <v>0</v>
      </c>
      <c r="AI438">
        <v>1</v>
      </c>
      <c r="AJ438">
        <v>1</v>
      </c>
      <c r="AK438">
        <v>1</v>
      </c>
      <c r="AL438">
        <v>1</v>
      </c>
      <c r="AM438">
        <v>0</v>
      </c>
      <c r="AN438">
        <v>0</v>
      </c>
      <c r="AO438">
        <v>1</v>
      </c>
      <c r="AP438">
        <v>1</v>
      </c>
      <c r="AQ438">
        <v>0</v>
      </c>
      <c r="AR438">
        <v>0</v>
      </c>
      <c r="AS438" t="s">
        <v>6</v>
      </c>
      <c r="AT438">
        <v>0.1</v>
      </c>
      <c r="AU438" t="s">
        <v>24</v>
      </c>
      <c r="AV438">
        <v>0</v>
      </c>
      <c r="AW438">
        <v>2</v>
      </c>
      <c r="AX438">
        <v>86327758</v>
      </c>
      <c r="AY438">
        <v>1</v>
      </c>
      <c r="AZ438">
        <v>0</v>
      </c>
      <c r="BA438">
        <v>360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CV438">
        <v>0</v>
      </c>
      <c r="CW438">
        <f>ROUND(Y438*Source!I354*DO438,9)</f>
        <v>0</v>
      </c>
      <c r="CX438">
        <f>ROUND(Y438*Source!I354,9)</f>
        <v>8.1983999999999998E-3</v>
      </c>
      <c r="CY438">
        <f>AB438</f>
        <v>112.67</v>
      </c>
      <c r="CZ438">
        <f>AF438</f>
        <v>112.67</v>
      </c>
      <c r="DA438">
        <f>AJ438</f>
        <v>1</v>
      </c>
      <c r="DB438">
        <f>ROUND((ROUND(AT438*CZ438,2)*1.12),2)</f>
        <v>12.62</v>
      </c>
      <c r="DC438">
        <f>ROUND((ROUND(AT438*AG438,2)*1.12),2)</f>
        <v>1.52</v>
      </c>
      <c r="DD438" t="s">
        <v>6</v>
      </c>
      <c r="DE438" t="s">
        <v>6</v>
      </c>
      <c r="DF438">
        <f t="shared" si="164"/>
        <v>0</v>
      </c>
      <c r="DG438">
        <f t="shared" si="163"/>
        <v>1</v>
      </c>
      <c r="DH438">
        <f>Source!I354*SmtRes!Y438</f>
        <v>8.1984000000000015E-3</v>
      </c>
      <c r="DI438">
        <f>AB438</f>
        <v>112.67</v>
      </c>
      <c r="DJ438">
        <f>EtalonRes!Z360</f>
        <v>112.67</v>
      </c>
      <c r="DK438">
        <f>Source!BB354</f>
        <v>1</v>
      </c>
      <c r="DL438" t="s">
        <v>6</v>
      </c>
      <c r="DM438">
        <v>0</v>
      </c>
      <c r="DN438" t="s">
        <v>6</v>
      </c>
      <c r="DO438">
        <v>0</v>
      </c>
      <c r="GQ438">
        <v>-1</v>
      </c>
      <c r="GR438">
        <v>-1</v>
      </c>
    </row>
    <row r="439" spans="1:200" x14ac:dyDescent="0.2">
      <c r="A439">
        <f>ROW(Source!A354)</f>
        <v>354</v>
      </c>
      <c r="B439">
        <v>86326987</v>
      </c>
      <c r="C439">
        <v>86327747</v>
      </c>
      <c r="D439">
        <v>27441327</v>
      </c>
      <c r="E439">
        <v>1</v>
      </c>
      <c r="F439">
        <v>1</v>
      </c>
      <c r="G439">
        <v>1</v>
      </c>
      <c r="H439">
        <v>2</v>
      </c>
      <c r="I439" t="s">
        <v>637</v>
      </c>
      <c r="J439" t="s">
        <v>638</v>
      </c>
      <c r="K439" t="s">
        <v>639</v>
      </c>
      <c r="L439">
        <v>1368</v>
      </c>
      <c r="N439">
        <v>1011</v>
      </c>
      <c r="O439" t="s">
        <v>137</v>
      </c>
      <c r="P439" t="s">
        <v>137</v>
      </c>
      <c r="Q439">
        <v>1</v>
      </c>
      <c r="W439">
        <v>0</v>
      </c>
      <c r="X439">
        <v>-1583389094</v>
      </c>
      <c r="Y439">
        <f>(AT439*1.12)</f>
        <v>0.15680000000000002</v>
      </c>
      <c r="AA439">
        <v>0</v>
      </c>
      <c r="AB439">
        <v>93.37</v>
      </c>
      <c r="AC439">
        <v>11.69</v>
      </c>
      <c r="AD439">
        <v>0</v>
      </c>
      <c r="AE439">
        <v>0</v>
      </c>
      <c r="AF439">
        <v>93.37</v>
      </c>
      <c r="AG439">
        <v>11.69</v>
      </c>
      <c r="AH439">
        <v>0</v>
      </c>
      <c r="AI439">
        <v>1</v>
      </c>
      <c r="AJ439">
        <v>1</v>
      </c>
      <c r="AK439">
        <v>1</v>
      </c>
      <c r="AL439">
        <v>1</v>
      </c>
      <c r="AM439">
        <v>0</v>
      </c>
      <c r="AN439">
        <v>0</v>
      </c>
      <c r="AO439">
        <v>1</v>
      </c>
      <c r="AP439">
        <v>1</v>
      </c>
      <c r="AQ439">
        <v>0</v>
      </c>
      <c r="AR439">
        <v>0</v>
      </c>
      <c r="AS439" t="s">
        <v>6</v>
      </c>
      <c r="AT439">
        <v>0.14000000000000001</v>
      </c>
      <c r="AU439" t="s">
        <v>24</v>
      </c>
      <c r="AV439">
        <v>0</v>
      </c>
      <c r="AW439">
        <v>2</v>
      </c>
      <c r="AX439">
        <v>86327759</v>
      </c>
      <c r="AY439">
        <v>1</v>
      </c>
      <c r="AZ439">
        <v>0</v>
      </c>
      <c r="BA439">
        <v>361</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CV439">
        <v>0</v>
      </c>
      <c r="CW439">
        <f>ROUND(Y439*Source!I354*DO439,9)</f>
        <v>0</v>
      </c>
      <c r="CX439">
        <f>ROUND(Y439*Source!I354,9)</f>
        <v>1.147776E-2</v>
      </c>
      <c r="CY439">
        <f>AB439</f>
        <v>93.37</v>
      </c>
      <c r="CZ439">
        <f>AF439</f>
        <v>93.37</v>
      </c>
      <c r="DA439">
        <f>AJ439</f>
        <v>1</v>
      </c>
      <c r="DB439">
        <f>ROUND((ROUND(AT439*CZ439,2)*1.12),2)</f>
        <v>14.64</v>
      </c>
      <c r="DC439">
        <f>ROUND((ROUND(AT439*AG439,2)*1.12),2)</f>
        <v>1.84</v>
      </c>
      <c r="DD439" t="s">
        <v>6</v>
      </c>
      <c r="DE439" t="s">
        <v>6</v>
      </c>
      <c r="DF439">
        <f t="shared" si="164"/>
        <v>0</v>
      </c>
      <c r="DG439">
        <f t="shared" si="163"/>
        <v>1</v>
      </c>
      <c r="DH439">
        <f>Source!I354*SmtRes!Y439</f>
        <v>1.1477760000000002E-2</v>
      </c>
      <c r="DI439">
        <f>AB439</f>
        <v>93.37</v>
      </c>
      <c r="DJ439">
        <f>EtalonRes!Z361</f>
        <v>93.37</v>
      </c>
      <c r="DK439">
        <f>Source!BB354</f>
        <v>1</v>
      </c>
      <c r="DL439" t="s">
        <v>6</v>
      </c>
      <c r="DM439">
        <v>0</v>
      </c>
      <c r="DN439" t="s">
        <v>6</v>
      </c>
      <c r="DO439">
        <v>0</v>
      </c>
      <c r="GQ439">
        <v>-1</v>
      </c>
      <c r="GR439">
        <v>-1</v>
      </c>
    </row>
    <row r="440" spans="1:200" x14ac:dyDescent="0.2">
      <c r="A440">
        <f>ROW(Source!A354)</f>
        <v>354</v>
      </c>
      <c r="B440">
        <v>86326987</v>
      </c>
      <c r="C440">
        <v>86327747</v>
      </c>
      <c r="D440">
        <v>27377917</v>
      </c>
      <c r="E440">
        <v>1</v>
      </c>
      <c r="F440">
        <v>1</v>
      </c>
      <c r="G440">
        <v>1</v>
      </c>
      <c r="H440">
        <v>3</v>
      </c>
      <c r="I440" t="s">
        <v>316</v>
      </c>
      <c r="J440" t="s">
        <v>318</v>
      </c>
      <c r="K440" t="s">
        <v>317</v>
      </c>
      <c r="L440">
        <v>1348</v>
      </c>
      <c r="N440">
        <v>1009</v>
      </c>
      <c r="O440" t="s">
        <v>33</v>
      </c>
      <c r="P440" t="s">
        <v>33</v>
      </c>
      <c r="Q440">
        <v>1000</v>
      </c>
      <c r="W440">
        <v>0</v>
      </c>
      <c r="X440">
        <v>1988624183</v>
      </c>
      <c r="Y440">
        <f>AT440</f>
        <v>6.0000000000000001E-3</v>
      </c>
      <c r="AA440">
        <v>10559.12</v>
      </c>
      <c r="AB440">
        <v>0</v>
      </c>
      <c r="AC440">
        <v>0</v>
      </c>
      <c r="AD440">
        <v>0</v>
      </c>
      <c r="AE440">
        <v>10559.12</v>
      </c>
      <c r="AF440">
        <v>0</v>
      </c>
      <c r="AG440">
        <v>0</v>
      </c>
      <c r="AH440">
        <v>0</v>
      </c>
      <c r="AI440">
        <v>1</v>
      </c>
      <c r="AJ440">
        <v>1</v>
      </c>
      <c r="AK440">
        <v>1</v>
      </c>
      <c r="AL440">
        <v>1</v>
      </c>
      <c r="AM440">
        <v>0</v>
      </c>
      <c r="AN440">
        <v>0</v>
      </c>
      <c r="AO440">
        <v>0</v>
      </c>
      <c r="AP440">
        <v>1</v>
      </c>
      <c r="AQ440">
        <v>0</v>
      </c>
      <c r="AR440">
        <v>0</v>
      </c>
      <c r="AS440" t="s">
        <v>6</v>
      </c>
      <c r="AT440">
        <v>6.0000000000000001E-3</v>
      </c>
      <c r="AU440" t="s">
        <v>6</v>
      </c>
      <c r="AV440">
        <v>0</v>
      </c>
      <c r="AW440">
        <v>2</v>
      </c>
      <c r="AX440">
        <v>86327760</v>
      </c>
      <c r="AY440">
        <v>1</v>
      </c>
      <c r="AZ440">
        <v>0</v>
      </c>
      <c r="BA440">
        <v>362</v>
      </c>
      <c r="BB440">
        <v>3</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CV440">
        <v>0</v>
      </c>
      <c r="CW440">
        <v>0</v>
      </c>
      <c r="CX440">
        <f>ROUND(Y440*Source!I354,9)</f>
        <v>4.392E-4</v>
      </c>
      <c r="CY440">
        <f>AA440</f>
        <v>10559.12</v>
      </c>
      <c r="CZ440">
        <f>AE440</f>
        <v>10559.12</v>
      </c>
      <c r="DA440">
        <f>AI440</f>
        <v>1</v>
      </c>
      <c r="DB440">
        <f>ROUND(ROUND(AT440*CZ440,2),2)</f>
        <v>63.35</v>
      </c>
      <c r="DC440">
        <f>ROUND(ROUND(AT440*AG440,2),2)</f>
        <v>0</v>
      </c>
      <c r="DD440" t="s">
        <v>6</v>
      </c>
      <c r="DE440" t="s">
        <v>6</v>
      </c>
      <c r="DF440">
        <f t="shared" si="164"/>
        <v>5</v>
      </c>
      <c r="DG440">
        <f t="shared" si="163"/>
        <v>0</v>
      </c>
      <c r="DH440">
        <f>Source!I354*SmtRes!Y440</f>
        <v>4.392E-4</v>
      </c>
      <c r="DI440">
        <f>AA440</f>
        <v>10559.12</v>
      </c>
      <c r="DJ440">
        <f>EtalonRes!Y362</f>
        <v>10559.12</v>
      </c>
      <c r="DK440">
        <f>Source!BC354</f>
        <v>1</v>
      </c>
      <c r="DL440" t="s">
        <v>6</v>
      </c>
      <c r="DM440">
        <v>0</v>
      </c>
      <c r="DN440" t="s">
        <v>6</v>
      </c>
      <c r="DO440">
        <v>0</v>
      </c>
      <c r="GP440">
        <v>1</v>
      </c>
      <c r="GQ440">
        <v>-1</v>
      </c>
      <c r="GR440">
        <v>-1</v>
      </c>
    </row>
    <row r="441" spans="1:200" x14ac:dyDescent="0.2">
      <c r="A441">
        <f>ROW(Source!A354)</f>
        <v>354</v>
      </c>
      <c r="B441">
        <v>86326987</v>
      </c>
      <c r="C441">
        <v>86327747</v>
      </c>
      <c r="D441">
        <v>69205329</v>
      </c>
      <c r="E441">
        <v>1</v>
      </c>
      <c r="F441">
        <v>1</v>
      </c>
      <c r="G441">
        <v>1</v>
      </c>
      <c r="H441">
        <v>3</v>
      </c>
      <c r="I441" t="s">
        <v>480</v>
      </c>
      <c r="J441" t="s">
        <v>482</v>
      </c>
      <c r="K441" t="s">
        <v>481</v>
      </c>
      <c r="L441">
        <v>1348</v>
      </c>
      <c r="N441">
        <v>1009</v>
      </c>
      <c r="O441" t="s">
        <v>33</v>
      </c>
      <c r="P441" t="s">
        <v>33</v>
      </c>
      <c r="Q441">
        <v>1000</v>
      </c>
      <c r="W441">
        <v>0</v>
      </c>
      <c r="X441">
        <v>-574378917</v>
      </c>
      <c r="Y441">
        <f>AT441</f>
        <v>0.98507800000000001</v>
      </c>
      <c r="AA441">
        <v>14571.47</v>
      </c>
      <c r="AB441">
        <v>0</v>
      </c>
      <c r="AC441">
        <v>0</v>
      </c>
      <c r="AD441">
        <v>0</v>
      </c>
      <c r="AE441">
        <v>14571.47</v>
      </c>
      <c r="AF441">
        <v>0</v>
      </c>
      <c r="AG441">
        <v>0</v>
      </c>
      <c r="AH441">
        <v>0</v>
      </c>
      <c r="AI441">
        <v>1</v>
      </c>
      <c r="AJ441">
        <v>1</v>
      </c>
      <c r="AK441">
        <v>1</v>
      </c>
      <c r="AL441">
        <v>1</v>
      </c>
      <c r="AM441">
        <v>0</v>
      </c>
      <c r="AN441">
        <v>0</v>
      </c>
      <c r="AO441">
        <v>0</v>
      </c>
      <c r="AP441">
        <v>1</v>
      </c>
      <c r="AQ441">
        <v>0</v>
      </c>
      <c r="AR441">
        <v>0</v>
      </c>
      <c r="AS441" t="s">
        <v>6</v>
      </c>
      <c r="AT441">
        <v>0.98507800000000001</v>
      </c>
      <c r="AU441" t="s">
        <v>6</v>
      </c>
      <c r="AV441">
        <v>0</v>
      </c>
      <c r="AW441">
        <v>1</v>
      </c>
      <c r="AX441">
        <v>-1</v>
      </c>
      <c r="AY441">
        <v>0</v>
      </c>
      <c r="AZ441">
        <v>0</v>
      </c>
      <c r="BA441" t="s">
        <v>6</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CV441">
        <v>0</v>
      </c>
      <c r="CW441">
        <v>0</v>
      </c>
      <c r="CX441">
        <f>ROUND(Y441*Source!I354,9)</f>
        <v>7.2107710000000005E-2</v>
      </c>
      <c r="CY441">
        <f>AA441</f>
        <v>14571.47</v>
      </c>
      <c r="CZ441">
        <f>AE441</f>
        <v>14571.47</v>
      </c>
      <c r="DA441">
        <f>AI441</f>
        <v>1</v>
      </c>
      <c r="DB441">
        <f>ROUND(ROUND(AT441*CZ441,2),2)</f>
        <v>14354.03</v>
      </c>
      <c r="DC441">
        <f>ROUND(ROUND(AT441*AG441,2),2)</f>
        <v>0</v>
      </c>
      <c r="DD441" t="s">
        <v>6</v>
      </c>
      <c r="DE441" t="s">
        <v>6</v>
      </c>
      <c r="DF441">
        <f t="shared" si="164"/>
        <v>1051</v>
      </c>
      <c r="DG441">
        <f t="shared" si="163"/>
        <v>0</v>
      </c>
      <c r="DH441">
        <f>Source!I354*SmtRes!Y441</f>
        <v>7.21077096E-2</v>
      </c>
      <c r="DI441">
        <f>AA441</f>
        <v>14571.47</v>
      </c>
      <c r="DJ441">
        <f>DF441</f>
        <v>1051</v>
      </c>
      <c r="DK441">
        <f>Source!BC354</f>
        <v>1</v>
      </c>
      <c r="DL441" t="s">
        <v>6</v>
      </c>
      <c r="DM441">
        <v>0</v>
      </c>
      <c r="DN441" t="s">
        <v>6</v>
      </c>
      <c r="DO441">
        <v>0</v>
      </c>
      <c r="GP441">
        <v>1</v>
      </c>
      <c r="GQ441">
        <v>-1</v>
      </c>
      <c r="GR441">
        <v>-1</v>
      </c>
    </row>
    <row r="442" spans="1:200" x14ac:dyDescent="0.2">
      <c r="A442">
        <f>ROW(Source!A355)</f>
        <v>355</v>
      </c>
      <c r="B442">
        <v>86326988</v>
      </c>
      <c r="C442">
        <v>86327747</v>
      </c>
      <c r="D442">
        <v>27496319</v>
      </c>
      <c r="E442">
        <v>1</v>
      </c>
      <c r="F442">
        <v>1</v>
      </c>
      <c r="G442">
        <v>1</v>
      </c>
      <c r="H442">
        <v>1</v>
      </c>
      <c r="I442" t="s">
        <v>672</v>
      </c>
      <c r="J442" t="s">
        <v>6</v>
      </c>
      <c r="K442" t="s">
        <v>673</v>
      </c>
      <c r="L442">
        <v>1369</v>
      </c>
      <c r="N442">
        <v>1013</v>
      </c>
      <c r="O442" t="s">
        <v>625</v>
      </c>
      <c r="P442" t="s">
        <v>625</v>
      </c>
      <c r="Q442">
        <v>1</v>
      </c>
      <c r="W442">
        <v>0</v>
      </c>
      <c r="X442">
        <v>1189128158</v>
      </c>
      <c r="Y442">
        <f>(AT442*1.05)</f>
        <v>95.140500000000003</v>
      </c>
      <c r="AA442">
        <v>0</v>
      </c>
      <c r="AB442">
        <v>0</v>
      </c>
      <c r="AC442">
        <v>0</v>
      </c>
      <c r="AD442">
        <v>203.13</v>
      </c>
      <c r="AE442">
        <v>0</v>
      </c>
      <c r="AF442">
        <v>0</v>
      </c>
      <c r="AG442">
        <v>0</v>
      </c>
      <c r="AH442">
        <v>8.01</v>
      </c>
      <c r="AI442">
        <v>1</v>
      </c>
      <c r="AJ442">
        <v>1</v>
      </c>
      <c r="AK442">
        <v>1</v>
      </c>
      <c r="AL442">
        <v>25.36</v>
      </c>
      <c r="AM442">
        <v>5</v>
      </c>
      <c r="AN442">
        <v>0</v>
      </c>
      <c r="AO442">
        <v>1</v>
      </c>
      <c r="AP442">
        <v>1</v>
      </c>
      <c r="AQ442">
        <v>0</v>
      </c>
      <c r="AR442">
        <v>0</v>
      </c>
      <c r="AS442" t="s">
        <v>6</v>
      </c>
      <c r="AT442">
        <v>90.61</v>
      </c>
      <c r="AU442" t="s">
        <v>25</v>
      </c>
      <c r="AV442">
        <v>1</v>
      </c>
      <c r="AW442">
        <v>2</v>
      </c>
      <c r="AX442">
        <v>86327755</v>
      </c>
      <c r="AY442">
        <v>1</v>
      </c>
      <c r="AZ442">
        <v>0</v>
      </c>
      <c r="BA442">
        <v>364</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CU442">
        <f>ROUND(AT442*Source!I355*AH442*AL442,0)</f>
        <v>1347</v>
      </c>
      <c r="CV442">
        <f>ROUND(Y442*Source!I355,9)</f>
        <v>6.9642846</v>
      </c>
      <c r="CW442">
        <v>0</v>
      </c>
      <c r="CX442">
        <f>ROUND(Y442*Source!I355,9)</f>
        <v>6.9642846</v>
      </c>
      <c r="CY442">
        <f>AD442</f>
        <v>203.13</v>
      </c>
      <c r="CZ442">
        <f>AH442</f>
        <v>8.01</v>
      </c>
      <c r="DA442">
        <f>AL442</f>
        <v>25.36</v>
      </c>
      <c r="DB442">
        <f>ROUND((ROUND(AT442*CZ442,2)*1.05),2)</f>
        <v>762.08</v>
      </c>
      <c r="DC442">
        <f>ROUND((ROUND(AT442*AG442,2)*1.05),2)</f>
        <v>0</v>
      </c>
      <c r="DD442" t="s">
        <v>6</v>
      </c>
      <c r="DE442" t="s">
        <v>6</v>
      </c>
      <c r="DF442">
        <f t="shared" si="164"/>
        <v>0</v>
      </c>
      <c r="DG442">
        <f t="shared" si="163"/>
        <v>0</v>
      </c>
      <c r="DH442">
        <f>Source!I355*SmtRes!Y442</f>
        <v>6.9642846</v>
      </c>
      <c r="DI442">
        <f>AD442</f>
        <v>203.13</v>
      </c>
      <c r="DJ442">
        <f>EtalonRes!AB364</f>
        <v>8.01</v>
      </c>
      <c r="DK442">
        <f>Source!BA355</f>
        <v>25.36</v>
      </c>
      <c r="DL442" t="s">
        <v>6</v>
      </c>
      <c r="DM442">
        <v>0</v>
      </c>
      <c r="DN442" t="s">
        <v>6</v>
      </c>
      <c r="DO442">
        <v>0</v>
      </c>
      <c r="GQ442">
        <v>-1</v>
      </c>
      <c r="GR442">
        <v>-1</v>
      </c>
    </row>
    <row r="443" spans="1:200" x14ac:dyDescent="0.2">
      <c r="A443">
        <f>ROW(Source!A355)</f>
        <v>355</v>
      </c>
      <c r="B443">
        <v>86326988</v>
      </c>
      <c r="C443">
        <v>86327747</v>
      </c>
      <c r="D443">
        <v>121548</v>
      </c>
      <c r="E443">
        <v>1</v>
      </c>
      <c r="F443">
        <v>1</v>
      </c>
      <c r="G443">
        <v>1</v>
      </c>
      <c r="H443">
        <v>1</v>
      </c>
      <c r="I443" t="s">
        <v>40</v>
      </c>
      <c r="J443" t="s">
        <v>6</v>
      </c>
      <c r="K443" t="s">
        <v>626</v>
      </c>
      <c r="L443">
        <v>608254</v>
      </c>
      <c r="N443">
        <v>1013</v>
      </c>
      <c r="O443" t="s">
        <v>627</v>
      </c>
      <c r="P443" t="s">
        <v>627</v>
      </c>
      <c r="Q443">
        <v>1</v>
      </c>
      <c r="W443">
        <v>0</v>
      </c>
      <c r="X443">
        <v>-185737400</v>
      </c>
      <c r="Y443">
        <f>(AT443*1.12)</f>
        <v>0.76160000000000017</v>
      </c>
      <c r="AA443">
        <v>0</v>
      </c>
      <c r="AB443">
        <v>0</v>
      </c>
      <c r="AC443">
        <v>0</v>
      </c>
      <c r="AD443">
        <v>0</v>
      </c>
      <c r="AE443">
        <v>0</v>
      </c>
      <c r="AF443">
        <v>0</v>
      </c>
      <c r="AG443">
        <v>0</v>
      </c>
      <c r="AH443">
        <v>0</v>
      </c>
      <c r="AI443">
        <v>1</v>
      </c>
      <c r="AJ443">
        <v>1</v>
      </c>
      <c r="AK443">
        <v>19.8</v>
      </c>
      <c r="AL443">
        <v>1</v>
      </c>
      <c r="AM443">
        <v>5</v>
      </c>
      <c r="AN443">
        <v>0</v>
      </c>
      <c r="AO443">
        <v>1</v>
      </c>
      <c r="AP443">
        <v>1</v>
      </c>
      <c r="AQ443">
        <v>0</v>
      </c>
      <c r="AR443">
        <v>0</v>
      </c>
      <c r="AS443" t="s">
        <v>6</v>
      </c>
      <c r="AT443">
        <v>0.68</v>
      </c>
      <c r="AU443" t="s">
        <v>24</v>
      </c>
      <c r="AV443">
        <v>2</v>
      </c>
      <c r="AW443">
        <v>2</v>
      </c>
      <c r="AX443">
        <v>86327756</v>
      </c>
      <c r="AY443">
        <v>1</v>
      </c>
      <c r="AZ443">
        <v>0</v>
      </c>
      <c r="BA443">
        <v>365</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CV443">
        <v>0</v>
      </c>
      <c r="CW443">
        <v>0</v>
      </c>
      <c r="CX443">
        <f>ROUND(Y443*Source!I355,9)</f>
        <v>5.5749119999999999E-2</v>
      </c>
      <c r="CY443">
        <f>AD443</f>
        <v>0</v>
      </c>
      <c r="CZ443">
        <f>AH443</f>
        <v>0</v>
      </c>
      <c r="DA443">
        <f>AL443</f>
        <v>1</v>
      </c>
      <c r="DB443">
        <f>ROUND((ROUND(AT443*CZ443,2)*1.12),2)</f>
        <v>0</v>
      </c>
      <c r="DC443">
        <f>ROUND((ROUND(AT443*AG443,2)*1.12),2)</f>
        <v>0</v>
      </c>
      <c r="DD443" t="s">
        <v>6</v>
      </c>
      <c r="DE443" t="s">
        <v>6</v>
      </c>
      <c r="DF443">
        <f t="shared" si="164"/>
        <v>0</v>
      </c>
      <c r="DG443">
        <f t="shared" si="163"/>
        <v>0</v>
      </c>
      <c r="DH443">
        <f>Source!I355*SmtRes!Y443</f>
        <v>5.5749120000000013E-2</v>
      </c>
      <c r="DI443">
        <f>AD443</f>
        <v>0</v>
      </c>
      <c r="DJ443">
        <f>EtalonRes!AB365</f>
        <v>0</v>
      </c>
      <c r="DK443">
        <f>Source!BA355</f>
        <v>25.36</v>
      </c>
      <c r="DL443" t="s">
        <v>6</v>
      </c>
      <c r="DM443">
        <v>0</v>
      </c>
      <c r="DN443" t="s">
        <v>6</v>
      </c>
      <c r="DO443">
        <v>0</v>
      </c>
      <c r="GQ443">
        <v>-1</v>
      </c>
      <c r="GR443">
        <v>-1</v>
      </c>
    </row>
    <row r="444" spans="1:200" x14ac:dyDescent="0.2">
      <c r="A444">
        <f>ROW(Source!A355)</f>
        <v>355</v>
      </c>
      <c r="B444">
        <v>86326988</v>
      </c>
      <c r="C444">
        <v>86327747</v>
      </c>
      <c r="D444">
        <v>27439419</v>
      </c>
      <c r="E444">
        <v>1</v>
      </c>
      <c r="F444">
        <v>1</v>
      </c>
      <c r="G444">
        <v>1</v>
      </c>
      <c r="H444">
        <v>2</v>
      </c>
      <c r="I444" t="s">
        <v>628</v>
      </c>
      <c r="J444" t="s">
        <v>629</v>
      </c>
      <c r="K444" t="s">
        <v>630</v>
      </c>
      <c r="L444">
        <v>1368</v>
      </c>
      <c r="N444">
        <v>1011</v>
      </c>
      <c r="O444" t="s">
        <v>137</v>
      </c>
      <c r="P444" t="s">
        <v>137</v>
      </c>
      <c r="Q444">
        <v>1</v>
      </c>
      <c r="W444">
        <v>0</v>
      </c>
      <c r="X444">
        <v>1804162481</v>
      </c>
      <c r="Y444">
        <f>(AT444*1.12)</f>
        <v>0.64960000000000007</v>
      </c>
      <c r="AA444">
        <v>0</v>
      </c>
      <c r="AB444">
        <v>906.62</v>
      </c>
      <c r="AC444">
        <v>269.48</v>
      </c>
      <c r="AD444">
        <v>0</v>
      </c>
      <c r="AE444">
        <v>0</v>
      </c>
      <c r="AF444">
        <v>115.64</v>
      </c>
      <c r="AG444">
        <v>13.61</v>
      </c>
      <c r="AH444">
        <v>0</v>
      </c>
      <c r="AI444">
        <v>1</v>
      </c>
      <c r="AJ444">
        <v>7.84</v>
      </c>
      <c r="AK444">
        <v>19.8</v>
      </c>
      <c r="AL444">
        <v>1</v>
      </c>
      <c r="AM444">
        <v>5</v>
      </c>
      <c r="AN444">
        <v>0</v>
      </c>
      <c r="AO444">
        <v>1</v>
      </c>
      <c r="AP444">
        <v>1</v>
      </c>
      <c r="AQ444">
        <v>0</v>
      </c>
      <c r="AR444">
        <v>0</v>
      </c>
      <c r="AS444" t="s">
        <v>6</v>
      </c>
      <c r="AT444">
        <v>0.57999999999999996</v>
      </c>
      <c r="AU444" t="s">
        <v>24</v>
      </c>
      <c r="AV444">
        <v>0</v>
      </c>
      <c r="AW444">
        <v>1</v>
      </c>
      <c r="AX444">
        <v>-1</v>
      </c>
      <c r="AY444">
        <v>0</v>
      </c>
      <c r="AZ444">
        <v>0</v>
      </c>
      <c r="BA444" t="s">
        <v>6</v>
      </c>
      <c r="BB444">
        <v>5</v>
      </c>
      <c r="BC444">
        <v>0</v>
      </c>
      <c r="BD444">
        <v>75.119744000000011</v>
      </c>
      <c r="BE444">
        <v>8.841056</v>
      </c>
      <c r="BF444">
        <v>0</v>
      </c>
      <c r="BG444">
        <v>0</v>
      </c>
      <c r="BH444">
        <v>0</v>
      </c>
      <c r="BI444">
        <v>1</v>
      </c>
      <c r="BJ444">
        <v>0</v>
      </c>
      <c r="BK444">
        <v>0</v>
      </c>
      <c r="BL444">
        <v>0</v>
      </c>
      <c r="BM444">
        <v>0</v>
      </c>
      <c r="BN444">
        <v>0</v>
      </c>
      <c r="BO444">
        <v>0</v>
      </c>
      <c r="BP444">
        <v>0</v>
      </c>
      <c r="BQ444">
        <v>0</v>
      </c>
      <c r="BR444">
        <v>0</v>
      </c>
      <c r="BS444">
        <v>0</v>
      </c>
      <c r="BT444">
        <v>0</v>
      </c>
      <c r="BU444">
        <v>0</v>
      </c>
      <c r="BV444">
        <v>0</v>
      </c>
      <c r="BW444">
        <v>0</v>
      </c>
      <c r="CV444">
        <v>0</v>
      </c>
      <c r="CW444">
        <f>ROUND(Y444*Source!I355*DO444,9)</f>
        <v>0</v>
      </c>
      <c r="CX444">
        <f>ROUND(Y444*Source!I355,9)</f>
        <v>4.7550719999999998E-2</v>
      </c>
      <c r="CY444">
        <f>AB444</f>
        <v>906.62</v>
      </c>
      <c r="CZ444">
        <f>AF444</f>
        <v>115.64</v>
      </c>
      <c r="DA444">
        <f>AJ444</f>
        <v>7.84</v>
      </c>
      <c r="DB444">
        <f>ROUND((ROUND(AT444*CZ444,2)*1.12),2)</f>
        <v>75.12</v>
      </c>
      <c r="DC444">
        <f>ROUND((ROUND(AT444*AG444,2)*1.12),2)</f>
        <v>8.84</v>
      </c>
      <c r="DD444" t="s">
        <v>6</v>
      </c>
      <c r="DE444" t="s">
        <v>6</v>
      </c>
      <c r="DF444">
        <f t="shared" si="164"/>
        <v>0</v>
      </c>
      <c r="DG444">
        <f>ROUND(ROUND(AF444*AJ444,0)*CX444,0)</f>
        <v>43</v>
      </c>
      <c r="DH444">
        <f>Source!I355*SmtRes!Y444</f>
        <v>4.7550720000000005E-2</v>
      </c>
      <c r="DI444">
        <f>AB444</f>
        <v>906.62</v>
      </c>
      <c r="DJ444">
        <f>DG444</f>
        <v>43</v>
      </c>
      <c r="DK444">
        <f>Source!BB355</f>
        <v>7.84</v>
      </c>
      <c r="DL444" t="s">
        <v>6</v>
      </c>
      <c r="DM444">
        <v>0</v>
      </c>
      <c r="DN444" t="s">
        <v>6</v>
      </c>
      <c r="DO444">
        <v>0</v>
      </c>
      <c r="GQ444">
        <v>-1</v>
      </c>
      <c r="GR444">
        <v>-1</v>
      </c>
    </row>
    <row r="445" spans="1:200" x14ac:dyDescent="0.2">
      <c r="A445">
        <f>ROW(Source!A355)</f>
        <v>355</v>
      </c>
      <c r="B445">
        <v>86326988</v>
      </c>
      <c r="C445">
        <v>86327747</v>
      </c>
      <c r="D445">
        <v>27439499</v>
      </c>
      <c r="E445">
        <v>1</v>
      </c>
      <c r="F445">
        <v>1</v>
      </c>
      <c r="G445">
        <v>1</v>
      </c>
      <c r="H445">
        <v>2</v>
      </c>
      <c r="I445" t="s">
        <v>631</v>
      </c>
      <c r="J445" t="s">
        <v>632</v>
      </c>
      <c r="K445" t="s">
        <v>633</v>
      </c>
      <c r="L445">
        <v>1368</v>
      </c>
      <c r="N445">
        <v>1011</v>
      </c>
      <c r="O445" t="s">
        <v>137</v>
      </c>
      <c r="P445" t="s">
        <v>137</v>
      </c>
      <c r="Q445">
        <v>1</v>
      </c>
      <c r="W445">
        <v>0</v>
      </c>
      <c r="X445">
        <v>1890856440</v>
      </c>
      <c r="Y445">
        <f>(AT445*1.12)</f>
        <v>0.11200000000000002</v>
      </c>
      <c r="AA445">
        <v>0</v>
      </c>
      <c r="AB445">
        <v>883.33</v>
      </c>
      <c r="AC445">
        <v>269.48</v>
      </c>
      <c r="AD445">
        <v>0</v>
      </c>
      <c r="AE445">
        <v>0</v>
      </c>
      <c r="AF445">
        <v>112.67</v>
      </c>
      <c r="AG445">
        <v>13.61</v>
      </c>
      <c r="AH445">
        <v>0</v>
      </c>
      <c r="AI445">
        <v>1</v>
      </c>
      <c r="AJ445">
        <v>7.84</v>
      </c>
      <c r="AK445">
        <v>19.8</v>
      </c>
      <c r="AL445">
        <v>1</v>
      </c>
      <c r="AM445">
        <v>5</v>
      </c>
      <c r="AN445">
        <v>0</v>
      </c>
      <c r="AO445">
        <v>1</v>
      </c>
      <c r="AP445">
        <v>1</v>
      </c>
      <c r="AQ445">
        <v>0</v>
      </c>
      <c r="AR445">
        <v>0</v>
      </c>
      <c r="AS445" t="s">
        <v>6</v>
      </c>
      <c r="AT445">
        <v>0.1</v>
      </c>
      <c r="AU445" t="s">
        <v>24</v>
      </c>
      <c r="AV445">
        <v>0</v>
      </c>
      <c r="AW445">
        <v>2</v>
      </c>
      <c r="AX445">
        <v>86327758</v>
      </c>
      <c r="AY445">
        <v>1</v>
      </c>
      <c r="AZ445">
        <v>0</v>
      </c>
      <c r="BA445">
        <v>367</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CV445">
        <v>0</v>
      </c>
      <c r="CW445">
        <f>ROUND(Y445*Source!I355*DO445,9)</f>
        <v>0</v>
      </c>
      <c r="CX445">
        <f>ROUND(Y445*Source!I355,9)</f>
        <v>8.1983999999999998E-3</v>
      </c>
      <c r="CY445">
        <f>AB445</f>
        <v>883.33</v>
      </c>
      <c r="CZ445">
        <f>AF445</f>
        <v>112.67</v>
      </c>
      <c r="DA445">
        <f>AJ445</f>
        <v>7.84</v>
      </c>
      <c r="DB445">
        <f>ROUND((ROUND(AT445*CZ445,2)*1.12),2)</f>
        <v>12.62</v>
      </c>
      <c r="DC445">
        <f>ROUND((ROUND(AT445*AG445,2)*1.12),2)</f>
        <v>1.52</v>
      </c>
      <c r="DD445" t="s">
        <v>6</v>
      </c>
      <c r="DE445" t="s">
        <v>6</v>
      </c>
      <c r="DF445">
        <f t="shared" si="164"/>
        <v>0</v>
      </c>
      <c r="DG445">
        <f>ROUND(ROUND(AF445*AJ445,0)*CX445,0)</f>
        <v>7</v>
      </c>
      <c r="DH445">
        <f>Source!I355*SmtRes!Y445</f>
        <v>8.1984000000000015E-3</v>
      </c>
      <c r="DI445">
        <f>AB445</f>
        <v>883.33</v>
      </c>
      <c r="DJ445">
        <f>EtalonRes!Z367</f>
        <v>112.67</v>
      </c>
      <c r="DK445">
        <f>Source!BB355</f>
        <v>7.84</v>
      </c>
      <c r="DL445" t="s">
        <v>6</v>
      </c>
      <c r="DM445">
        <v>0</v>
      </c>
      <c r="DN445" t="s">
        <v>6</v>
      </c>
      <c r="DO445">
        <v>0</v>
      </c>
      <c r="GQ445">
        <v>-1</v>
      </c>
      <c r="GR445">
        <v>-1</v>
      </c>
    </row>
    <row r="446" spans="1:200" x14ac:dyDescent="0.2">
      <c r="A446">
        <f>ROW(Source!A355)</f>
        <v>355</v>
      </c>
      <c r="B446">
        <v>86326988</v>
      </c>
      <c r="C446">
        <v>86327747</v>
      </c>
      <c r="D446">
        <v>27441327</v>
      </c>
      <c r="E446">
        <v>1</v>
      </c>
      <c r="F446">
        <v>1</v>
      </c>
      <c r="G446">
        <v>1</v>
      </c>
      <c r="H446">
        <v>2</v>
      </c>
      <c r="I446" t="s">
        <v>637</v>
      </c>
      <c r="J446" t="s">
        <v>638</v>
      </c>
      <c r="K446" t="s">
        <v>639</v>
      </c>
      <c r="L446">
        <v>1368</v>
      </c>
      <c r="N446">
        <v>1011</v>
      </c>
      <c r="O446" t="s">
        <v>137</v>
      </c>
      <c r="P446" t="s">
        <v>137</v>
      </c>
      <c r="Q446">
        <v>1</v>
      </c>
      <c r="W446">
        <v>0</v>
      </c>
      <c r="X446">
        <v>-1583389094</v>
      </c>
      <c r="Y446">
        <f>(AT446*1.12)</f>
        <v>0.15680000000000002</v>
      </c>
      <c r="AA446">
        <v>0</v>
      </c>
      <c r="AB446">
        <v>732.02</v>
      </c>
      <c r="AC446">
        <v>231.46</v>
      </c>
      <c r="AD446">
        <v>0</v>
      </c>
      <c r="AE446">
        <v>0</v>
      </c>
      <c r="AF446">
        <v>93.37</v>
      </c>
      <c r="AG446">
        <v>11.69</v>
      </c>
      <c r="AH446">
        <v>0</v>
      </c>
      <c r="AI446">
        <v>1</v>
      </c>
      <c r="AJ446">
        <v>7.84</v>
      </c>
      <c r="AK446">
        <v>19.8</v>
      </c>
      <c r="AL446">
        <v>1</v>
      </c>
      <c r="AM446">
        <v>5</v>
      </c>
      <c r="AN446">
        <v>0</v>
      </c>
      <c r="AO446">
        <v>1</v>
      </c>
      <c r="AP446">
        <v>1</v>
      </c>
      <c r="AQ446">
        <v>0</v>
      </c>
      <c r="AR446">
        <v>0</v>
      </c>
      <c r="AS446" t="s">
        <v>6</v>
      </c>
      <c r="AT446">
        <v>0.14000000000000001</v>
      </c>
      <c r="AU446" t="s">
        <v>24</v>
      </c>
      <c r="AV446">
        <v>0</v>
      </c>
      <c r="AW446">
        <v>2</v>
      </c>
      <c r="AX446">
        <v>86327759</v>
      </c>
      <c r="AY446">
        <v>1</v>
      </c>
      <c r="AZ446">
        <v>0</v>
      </c>
      <c r="BA446">
        <v>368</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CV446">
        <v>0</v>
      </c>
      <c r="CW446">
        <f>ROUND(Y446*Source!I355*DO446,9)</f>
        <v>0</v>
      </c>
      <c r="CX446">
        <f>ROUND(Y446*Source!I355,9)</f>
        <v>1.147776E-2</v>
      </c>
      <c r="CY446">
        <f>AB446</f>
        <v>732.02</v>
      </c>
      <c r="CZ446">
        <f>AF446</f>
        <v>93.37</v>
      </c>
      <c r="DA446">
        <f>AJ446</f>
        <v>7.84</v>
      </c>
      <c r="DB446">
        <f>ROUND((ROUND(AT446*CZ446,2)*1.12),2)</f>
        <v>14.64</v>
      </c>
      <c r="DC446">
        <f>ROUND((ROUND(AT446*AG446,2)*1.12),2)</f>
        <v>1.84</v>
      </c>
      <c r="DD446" t="s">
        <v>6</v>
      </c>
      <c r="DE446" t="s">
        <v>6</v>
      </c>
      <c r="DF446">
        <f t="shared" si="164"/>
        <v>0</v>
      </c>
      <c r="DG446">
        <f>ROUND(ROUND(AF446*AJ446,0)*CX446,0)</f>
        <v>8</v>
      </c>
      <c r="DH446">
        <f>Source!I355*SmtRes!Y446</f>
        <v>1.1477760000000002E-2</v>
      </c>
      <c r="DI446">
        <f>AB446</f>
        <v>732.02</v>
      </c>
      <c r="DJ446">
        <f>EtalonRes!Z368</f>
        <v>93.37</v>
      </c>
      <c r="DK446">
        <f>Source!BB355</f>
        <v>7.84</v>
      </c>
      <c r="DL446" t="s">
        <v>6</v>
      </c>
      <c r="DM446">
        <v>0</v>
      </c>
      <c r="DN446" t="s">
        <v>6</v>
      </c>
      <c r="DO446">
        <v>0</v>
      </c>
      <c r="GQ446">
        <v>-1</v>
      </c>
      <c r="GR446">
        <v>-1</v>
      </c>
    </row>
    <row r="447" spans="1:200" x14ac:dyDescent="0.2">
      <c r="A447">
        <f>ROW(Source!A355)</f>
        <v>355</v>
      </c>
      <c r="B447">
        <v>86326988</v>
      </c>
      <c r="C447">
        <v>86327747</v>
      </c>
      <c r="D447">
        <v>27377917</v>
      </c>
      <c r="E447">
        <v>1</v>
      </c>
      <c r="F447">
        <v>1</v>
      </c>
      <c r="G447">
        <v>1</v>
      </c>
      <c r="H447">
        <v>3</v>
      </c>
      <c r="I447" t="s">
        <v>316</v>
      </c>
      <c r="J447" t="s">
        <v>318</v>
      </c>
      <c r="K447" t="s">
        <v>317</v>
      </c>
      <c r="L447">
        <v>1348</v>
      </c>
      <c r="N447">
        <v>1009</v>
      </c>
      <c r="O447" t="s">
        <v>33</v>
      </c>
      <c r="P447" t="s">
        <v>33</v>
      </c>
      <c r="Q447">
        <v>1000</v>
      </c>
      <c r="W447">
        <v>0</v>
      </c>
      <c r="X447">
        <v>1988624183</v>
      </c>
      <c r="Y447">
        <f>AT447</f>
        <v>6.0000000000000001E-3</v>
      </c>
      <c r="AA447">
        <v>96250</v>
      </c>
      <c r="AB447">
        <v>0</v>
      </c>
      <c r="AC447">
        <v>0</v>
      </c>
      <c r="AD447">
        <v>0</v>
      </c>
      <c r="AE447">
        <v>13505.55</v>
      </c>
      <c r="AF447">
        <v>0</v>
      </c>
      <c r="AG447">
        <v>0</v>
      </c>
      <c r="AH447">
        <v>0</v>
      </c>
      <c r="AI447">
        <v>7.56</v>
      </c>
      <c r="AJ447">
        <v>1</v>
      </c>
      <c r="AK447">
        <v>1</v>
      </c>
      <c r="AL447">
        <v>1</v>
      </c>
      <c r="AM447">
        <v>0</v>
      </c>
      <c r="AN447">
        <v>0</v>
      </c>
      <c r="AO447">
        <v>0</v>
      </c>
      <c r="AP447">
        <v>1</v>
      </c>
      <c r="AQ447">
        <v>0</v>
      </c>
      <c r="AR447">
        <v>0</v>
      </c>
      <c r="AS447" t="s">
        <v>6</v>
      </c>
      <c r="AT447">
        <v>6.0000000000000001E-3</v>
      </c>
      <c r="AU447" t="s">
        <v>6</v>
      </c>
      <c r="AV447">
        <v>0</v>
      </c>
      <c r="AW447">
        <v>2</v>
      </c>
      <c r="AX447">
        <v>86327760</v>
      </c>
      <c r="AY447">
        <v>1</v>
      </c>
      <c r="AZ447">
        <v>16384</v>
      </c>
      <c r="BA447">
        <v>369</v>
      </c>
      <c r="BB447">
        <v>3</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CV447">
        <v>0</v>
      </c>
      <c r="CW447">
        <v>0</v>
      </c>
      <c r="CX447">
        <f>ROUND(Y447*Source!I355,9)</f>
        <v>4.392E-4</v>
      </c>
      <c r="CY447">
        <f>AA447</f>
        <v>96250</v>
      </c>
      <c r="CZ447">
        <f>AE447</f>
        <v>13505.55</v>
      </c>
      <c r="DA447">
        <f>AI447</f>
        <v>7.56</v>
      </c>
      <c r="DB447">
        <f>ROUND(ROUND(AT447*CZ447,2),2)</f>
        <v>81.03</v>
      </c>
      <c r="DC447">
        <f>ROUND(ROUND(AT447*AG447,2),2)</f>
        <v>0</v>
      </c>
      <c r="DD447" t="s">
        <v>6</v>
      </c>
      <c r="DE447" t="s">
        <v>6</v>
      </c>
      <c r="DF447">
        <f>ROUND(ROUND(AE447*AI447,0)*CX447,0)</f>
        <v>45</v>
      </c>
      <c r="DG447">
        <f t="shared" ref="DG447:DG458" si="165">ROUND(ROUND(AF447,0)*CX447,0)</f>
        <v>0</v>
      </c>
      <c r="DH447">
        <f>Source!I355*SmtRes!Y447</f>
        <v>4.392E-4</v>
      </c>
      <c r="DI447">
        <f>AA447</f>
        <v>96250</v>
      </c>
      <c r="DJ447">
        <f>EtalonRes!Y369</f>
        <v>10559.12</v>
      </c>
      <c r="DK447">
        <f>Source!BC355</f>
        <v>7.56</v>
      </c>
      <c r="DL447" t="s">
        <v>6</v>
      </c>
      <c r="DM447">
        <v>0</v>
      </c>
      <c r="DN447" t="s">
        <v>6</v>
      </c>
      <c r="DO447">
        <v>0</v>
      </c>
      <c r="GP447">
        <v>1</v>
      </c>
      <c r="GQ447">
        <v>-1</v>
      </c>
      <c r="GR447">
        <v>-1</v>
      </c>
    </row>
    <row r="448" spans="1:200" x14ac:dyDescent="0.2">
      <c r="A448">
        <f>ROW(Source!A355)</f>
        <v>355</v>
      </c>
      <c r="B448">
        <v>86326988</v>
      </c>
      <c r="C448">
        <v>86327747</v>
      </c>
      <c r="D448">
        <v>69205329</v>
      </c>
      <c r="E448">
        <v>1</v>
      </c>
      <c r="F448">
        <v>1</v>
      </c>
      <c r="G448">
        <v>1</v>
      </c>
      <c r="H448">
        <v>3</v>
      </c>
      <c r="I448" t="s">
        <v>480</v>
      </c>
      <c r="J448" t="s">
        <v>482</v>
      </c>
      <c r="K448" t="s">
        <v>481</v>
      </c>
      <c r="L448">
        <v>1348</v>
      </c>
      <c r="N448">
        <v>1009</v>
      </c>
      <c r="O448" t="s">
        <v>33</v>
      </c>
      <c r="P448" t="s">
        <v>33</v>
      </c>
      <c r="Q448">
        <v>1000</v>
      </c>
      <c r="W448">
        <v>0</v>
      </c>
      <c r="X448">
        <v>-574378917</v>
      </c>
      <c r="Y448">
        <f>AT448</f>
        <v>0.98507800000000001</v>
      </c>
      <c r="AA448">
        <v>111949.22</v>
      </c>
      <c r="AB448">
        <v>0</v>
      </c>
      <c r="AC448">
        <v>0</v>
      </c>
      <c r="AD448">
        <v>0</v>
      </c>
      <c r="AE448">
        <v>15515.92</v>
      </c>
      <c r="AF448">
        <v>0</v>
      </c>
      <c r="AG448">
        <v>0</v>
      </c>
      <c r="AH448">
        <v>0</v>
      </c>
      <c r="AI448">
        <v>7.56</v>
      </c>
      <c r="AJ448">
        <v>1</v>
      </c>
      <c r="AK448">
        <v>1</v>
      </c>
      <c r="AL448">
        <v>1</v>
      </c>
      <c r="AM448">
        <v>0</v>
      </c>
      <c r="AN448">
        <v>0</v>
      </c>
      <c r="AO448">
        <v>0</v>
      </c>
      <c r="AP448">
        <v>1</v>
      </c>
      <c r="AQ448">
        <v>0</v>
      </c>
      <c r="AR448">
        <v>0</v>
      </c>
      <c r="AS448" t="s">
        <v>6</v>
      </c>
      <c r="AT448">
        <v>0.98507800000000001</v>
      </c>
      <c r="AU448" t="s">
        <v>6</v>
      </c>
      <c r="AV448">
        <v>0</v>
      </c>
      <c r="AW448">
        <v>1</v>
      </c>
      <c r="AX448">
        <v>-1</v>
      </c>
      <c r="AY448">
        <v>0</v>
      </c>
      <c r="AZ448">
        <v>0</v>
      </c>
      <c r="BA448" t="s">
        <v>6</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CV448">
        <v>0</v>
      </c>
      <c r="CW448">
        <v>0</v>
      </c>
      <c r="CX448">
        <f>ROUND(Y448*Source!I355,9)</f>
        <v>7.2107710000000005E-2</v>
      </c>
      <c r="CY448">
        <f>AA448</f>
        <v>111949.22</v>
      </c>
      <c r="CZ448">
        <f>AE448</f>
        <v>15515.92</v>
      </c>
      <c r="DA448">
        <f>AI448</f>
        <v>7.56</v>
      </c>
      <c r="DB448">
        <f>ROUND(ROUND(AT448*CZ448,2),2)</f>
        <v>15284.39</v>
      </c>
      <c r="DC448">
        <f>ROUND(ROUND(AT448*AG448,2),2)</f>
        <v>0</v>
      </c>
      <c r="DD448" t="s">
        <v>6</v>
      </c>
      <c r="DE448" t="s">
        <v>6</v>
      </c>
      <c r="DF448">
        <f>ROUND(ROUND(AE448*AI448,0)*CX448,0)</f>
        <v>8458</v>
      </c>
      <c r="DG448">
        <f t="shared" si="165"/>
        <v>0</v>
      </c>
      <c r="DH448">
        <f>Source!I355*SmtRes!Y448</f>
        <v>7.21077096E-2</v>
      </c>
      <c r="DI448">
        <f>AA448</f>
        <v>111949.22</v>
      </c>
      <c r="DJ448">
        <f>DF448</f>
        <v>8458</v>
      </c>
      <c r="DK448">
        <f>Source!BC355</f>
        <v>7.56</v>
      </c>
      <c r="DL448" t="s">
        <v>6</v>
      </c>
      <c r="DM448">
        <v>0</v>
      </c>
      <c r="DN448" t="s">
        <v>6</v>
      </c>
      <c r="DO448">
        <v>0</v>
      </c>
      <c r="GP448">
        <v>1</v>
      </c>
      <c r="GQ448">
        <v>-1</v>
      </c>
      <c r="GR448">
        <v>-1</v>
      </c>
    </row>
    <row r="449" spans="1:200" x14ac:dyDescent="0.2">
      <c r="A449">
        <f>ROW(Source!A360)</f>
        <v>360</v>
      </c>
      <c r="B449">
        <v>86326987</v>
      </c>
      <c r="C449">
        <v>86327764</v>
      </c>
      <c r="D449">
        <v>27496319</v>
      </c>
      <c r="E449">
        <v>1</v>
      </c>
      <c r="F449">
        <v>1</v>
      </c>
      <c r="G449">
        <v>1</v>
      </c>
      <c r="H449">
        <v>1</v>
      </c>
      <c r="I449" t="s">
        <v>672</v>
      </c>
      <c r="J449" t="s">
        <v>6</v>
      </c>
      <c r="K449" t="s">
        <v>673</v>
      </c>
      <c r="L449">
        <v>1369</v>
      </c>
      <c r="N449">
        <v>1013</v>
      </c>
      <c r="O449" t="s">
        <v>625</v>
      </c>
      <c r="P449" t="s">
        <v>625</v>
      </c>
      <c r="Q449">
        <v>1</v>
      </c>
      <c r="W449">
        <v>0</v>
      </c>
      <c r="X449">
        <v>1189128158</v>
      </c>
      <c r="Y449">
        <f>(AT449*1.05)</f>
        <v>28.644000000000002</v>
      </c>
      <c r="AA449">
        <v>0</v>
      </c>
      <c r="AB449">
        <v>0</v>
      </c>
      <c r="AC449">
        <v>0</v>
      </c>
      <c r="AD449">
        <v>8.01</v>
      </c>
      <c r="AE449">
        <v>0</v>
      </c>
      <c r="AF449">
        <v>0</v>
      </c>
      <c r="AG449">
        <v>0</v>
      </c>
      <c r="AH449">
        <v>8.01</v>
      </c>
      <c r="AI449">
        <v>1</v>
      </c>
      <c r="AJ449">
        <v>1</v>
      </c>
      <c r="AK449">
        <v>1</v>
      </c>
      <c r="AL449">
        <v>1</v>
      </c>
      <c r="AM449">
        <v>0</v>
      </c>
      <c r="AN449">
        <v>0</v>
      </c>
      <c r="AO449">
        <v>1</v>
      </c>
      <c r="AP449">
        <v>1</v>
      </c>
      <c r="AQ449">
        <v>0</v>
      </c>
      <c r="AR449">
        <v>0</v>
      </c>
      <c r="AS449" t="s">
        <v>6</v>
      </c>
      <c r="AT449">
        <v>27.28</v>
      </c>
      <c r="AU449" t="s">
        <v>25</v>
      </c>
      <c r="AV449">
        <v>1</v>
      </c>
      <c r="AW449">
        <v>2</v>
      </c>
      <c r="AX449">
        <v>86327773</v>
      </c>
      <c r="AY449">
        <v>1</v>
      </c>
      <c r="AZ449">
        <v>0</v>
      </c>
      <c r="BA449">
        <v>371</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CU449">
        <f>ROUND(AT449*Source!I360*AH449*AL449,0)</f>
        <v>11</v>
      </c>
      <c r="CV449">
        <f>ROUND(Y449*Source!I360,9)</f>
        <v>1.4321999999999999</v>
      </c>
      <c r="CW449">
        <v>0</v>
      </c>
      <c r="CX449">
        <f>ROUND(Y449*Source!I360,9)</f>
        <v>1.4321999999999999</v>
      </c>
      <c r="CY449">
        <f>AD449</f>
        <v>8.01</v>
      </c>
      <c r="CZ449">
        <f>AH449</f>
        <v>8.01</v>
      </c>
      <c r="DA449">
        <f>AL449</f>
        <v>1</v>
      </c>
      <c r="DB449">
        <f>ROUND((ROUND(AT449*CZ449,2)*1.05),2)</f>
        <v>229.44</v>
      </c>
      <c r="DC449">
        <f>ROUND((ROUND(AT449*AG449,2)*1.05),2)</f>
        <v>0</v>
      </c>
      <c r="DD449" t="s">
        <v>6</v>
      </c>
      <c r="DE449" t="s">
        <v>6</v>
      </c>
      <c r="DF449">
        <f t="shared" ref="DF449:DF461" si="166">ROUND(ROUND(AE449,0)*CX449,0)</f>
        <v>0</v>
      </c>
      <c r="DG449">
        <f t="shared" si="165"/>
        <v>0</v>
      </c>
      <c r="DH449">
        <f>Source!I360*SmtRes!Y449</f>
        <v>1.4322000000000001</v>
      </c>
      <c r="DI449">
        <f>AD449</f>
        <v>8.01</v>
      </c>
      <c r="DJ449">
        <f>EtalonRes!AB371</f>
        <v>8.01</v>
      </c>
      <c r="DK449">
        <f>Source!BA360</f>
        <v>1</v>
      </c>
      <c r="DL449" t="s">
        <v>6</v>
      </c>
      <c r="DM449">
        <v>0</v>
      </c>
      <c r="DN449" t="s">
        <v>6</v>
      </c>
      <c r="DO449">
        <v>0</v>
      </c>
      <c r="GQ449">
        <v>-1</v>
      </c>
      <c r="GR449">
        <v>-1</v>
      </c>
    </row>
    <row r="450" spans="1:200" x14ac:dyDescent="0.2">
      <c r="A450">
        <f>ROW(Source!A360)</f>
        <v>360</v>
      </c>
      <c r="B450">
        <v>86326987</v>
      </c>
      <c r="C450">
        <v>86327764</v>
      </c>
      <c r="D450">
        <v>121548</v>
      </c>
      <c r="E450">
        <v>1</v>
      </c>
      <c r="F450">
        <v>1</v>
      </c>
      <c r="G450">
        <v>1</v>
      </c>
      <c r="H450">
        <v>1</v>
      </c>
      <c r="I450" t="s">
        <v>40</v>
      </c>
      <c r="J450" t="s">
        <v>6</v>
      </c>
      <c r="K450" t="s">
        <v>626</v>
      </c>
      <c r="L450">
        <v>608254</v>
      </c>
      <c r="N450">
        <v>1013</v>
      </c>
      <c r="O450" t="s">
        <v>627</v>
      </c>
      <c r="P450" t="s">
        <v>627</v>
      </c>
      <c r="Q450">
        <v>1</v>
      </c>
      <c r="W450">
        <v>0</v>
      </c>
      <c r="X450">
        <v>-185737400</v>
      </c>
      <c r="Y450">
        <f>(AT450*1.12)</f>
        <v>0.62720000000000009</v>
      </c>
      <c r="AA450">
        <v>0</v>
      </c>
      <c r="AB450">
        <v>0</v>
      </c>
      <c r="AC450">
        <v>0</v>
      </c>
      <c r="AD450">
        <v>0</v>
      </c>
      <c r="AE450">
        <v>0</v>
      </c>
      <c r="AF450">
        <v>0</v>
      </c>
      <c r="AG450">
        <v>0</v>
      </c>
      <c r="AH450">
        <v>0</v>
      </c>
      <c r="AI450">
        <v>1</v>
      </c>
      <c r="AJ450">
        <v>1</v>
      </c>
      <c r="AK450">
        <v>1</v>
      </c>
      <c r="AL450">
        <v>1</v>
      </c>
      <c r="AM450">
        <v>0</v>
      </c>
      <c r="AN450">
        <v>0</v>
      </c>
      <c r="AO450">
        <v>1</v>
      </c>
      <c r="AP450">
        <v>1</v>
      </c>
      <c r="AQ450">
        <v>0</v>
      </c>
      <c r="AR450">
        <v>0</v>
      </c>
      <c r="AS450" t="s">
        <v>6</v>
      </c>
      <c r="AT450">
        <v>0.56000000000000005</v>
      </c>
      <c r="AU450" t="s">
        <v>24</v>
      </c>
      <c r="AV450">
        <v>2</v>
      </c>
      <c r="AW450">
        <v>2</v>
      </c>
      <c r="AX450">
        <v>86327774</v>
      </c>
      <c r="AY450">
        <v>1</v>
      </c>
      <c r="AZ450">
        <v>0</v>
      </c>
      <c r="BA450">
        <v>372</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CV450">
        <v>0</v>
      </c>
      <c r="CW450">
        <v>0</v>
      </c>
      <c r="CX450">
        <f>ROUND(Y450*Source!I360,9)</f>
        <v>3.1359999999999999E-2</v>
      </c>
      <c r="CY450">
        <f>AD450</f>
        <v>0</v>
      </c>
      <c r="CZ450">
        <f>AH450</f>
        <v>0</v>
      </c>
      <c r="DA450">
        <f>AL450</f>
        <v>1</v>
      </c>
      <c r="DB450">
        <f>ROUND((ROUND(AT450*CZ450,2)*1.12),2)</f>
        <v>0</v>
      </c>
      <c r="DC450">
        <f>ROUND((ROUND(AT450*AG450,2)*1.12),2)</f>
        <v>0</v>
      </c>
      <c r="DD450" t="s">
        <v>6</v>
      </c>
      <c r="DE450" t="s">
        <v>6</v>
      </c>
      <c r="DF450">
        <f t="shared" si="166"/>
        <v>0</v>
      </c>
      <c r="DG450">
        <f t="shared" si="165"/>
        <v>0</v>
      </c>
      <c r="DH450">
        <f>Source!I360*SmtRes!Y450</f>
        <v>3.1360000000000006E-2</v>
      </c>
      <c r="DI450">
        <f>AD450</f>
        <v>0</v>
      </c>
      <c r="DJ450">
        <f>EtalonRes!AB372</f>
        <v>0</v>
      </c>
      <c r="DK450">
        <f>Source!BA360</f>
        <v>1</v>
      </c>
      <c r="DL450" t="s">
        <v>6</v>
      </c>
      <c r="DM450">
        <v>0</v>
      </c>
      <c r="DN450" t="s">
        <v>6</v>
      </c>
      <c r="DO450">
        <v>0</v>
      </c>
      <c r="GQ450">
        <v>-1</v>
      </c>
      <c r="GR450">
        <v>-1</v>
      </c>
    </row>
    <row r="451" spans="1:200" x14ac:dyDescent="0.2">
      <c r="A451">
        <f>ROW(Source!A360)</f>
        <v>360</v>
      </c>
      <c r="B451">
        <v>86326987</v>
      </c>
      <c r="C451">
        <v>86327764</v>
      </c>
      <c r="D451">
        <v>27439419</v>
      </c>
      <c r="E451">
        <v>1</v>
      </c>
      <c r="F451">
        <v>1</v>
      </c>
      <c r="G451">
        <v>1</v>
      </c>
      <c r="H451">
        <v>2</v>
      </c>
      <c r="I451" t="s">
        <v>628</v>
      </c>
      <c r="J451" t="s">
        <v>629</v>
      </c>
      <c r="K451" t="s">
        <v>630</v>
      </c>
      <c r="L451">
        <v>1368</v>
      </c>
      <c r="N451">
        <v>1011</v>
      </c>
      <c r="O451" t="s">
        <v>137</v>
      </c>
      <c r="P451" t="s">
        <v>137</v>
      </c>
      <c r="Q451">
        <v>1</v>
      </c>
      <c r="W451">
        <v>0</v>
      </c>
      <c r="X451">
        <v>1804162481</v>
      </c>
      <c r="Y451">
        <f>(AT451*1.12)</f>
        <v>0.5152000000000001</v>
      </c>
      <c r="AA451">
        <v>0</v>
      </c>
      <c r="AB451">
        <v>115.64</v>
      </c>
      <c r="AC451">
        <v>13.61</v>
      </c>
      <c r="AD451">
        <v>0</v>
      </c>
      <c r="AE451">
        <v>0</v>
      </c>
      <c r="AF451">
        <v>115.64</v>
      </c>
      <c r="AG451">
        <v>13.61</v>
      </c>
      <c r="AH451">
        <v>0</v>
      </c>
      <c r="AI451">
        <v>1</v>
      </c>
      <c r="AJ451">
        <v>1</v>
      </c>
      <c r="AK451">
        <v>1</v>
      </c>
      <c r="AL451">
        <v>1</v>
      </c>
      <c r="AM451">
        <v>0</v>
      </c>
      <c r="AN451">
        <v>0</v>
      </c>
      <c r="AO451">
        <v>1</v>
      </c>
      <c r="AP451">
        <v>1</v>
      </c>
      <c r="AQ451">
        <v>0</v>
      </c>
      <c r="AR451">
        <v>0</v>
      </c>
      <c r="AS451" t="s">
        <v>6</v>
      </c>
      <c r="AT451">
        <v>0.46</v>
      </c>
      <c r="AU451" t="s">
        <v>24</v>
      </c>
      <c r="AV451">
        <v>0</v>
      </c>
      <c r="AW451">
        <v>1</v>
      </c>
      <c r="AX451">
        <v>-1</v>
      </c>
      <c r="AY451">
        <v>0</v>
      </c>
      <c r="AZ451">
        <v>0</v>
      </c>
      <c r="BA451" t="s">
        <v>6</v>
      </c>
      <c r="BB451">
        <v>5</v>
      </c>
      <c r="BC451">
        <v>0</v>
      </c>
      <c r="BD451">
        <v>59.577728000000015</v>
      </c>
      <c r="BE451">
        <v>7.0118720000000012</v>
      </c>
      <c r="BF451">
        <v>0</v>
      </c>
      <c r="BG451">
        <v>0</v>
      </c>
      <c r="BH451">
        <v>0</v>
      </c>
      <c r="BI451">
        <v>1</v>
      </c>
      <c r="BJ451">
        <v>0</v>
      </c>
      <c r="BK451">
        <v>0</v>
      </c>
      <c r="BL451">
        <v>0</v>
      </c>
      <c r="BM451">
        <v>0</v>
      </c>
      <c r="BN451">
        <v>0</v>
      </c>
      <c r="BO451">
        <v>0</v>
      </c>
      <c r="BP451">
        <v>0</v>
      </c>
      <c r="BQ451">
        <v>0</v>
      </c>
      <c r="BR451">
        <v>0</v>
      </c>
      <c r="BS451">
        <v>0</v>
      </c>
      <c r="BT451">
        <v>0</v>
      </c>
      <c r="BU451">
        <v>0</v>
      </c>
      <c r="BV451">
        <v>0</v>
      </c>
      <c r="BW451">
        <v>0</v>
      </c>
      <c r="CV451">
        <v>0</v>
      </c>
      <c r="CW451">
        <f>ROUND(Y451*Source!I360*DO451,9)</f>
        <v>0</v>
      </c>
      <c r="CX451">
        <f>ROUND(Y451*Source!I360,9)</f>
        <v>2.5760000000000002E-2</v>
      </c>
      <c r="CY451">
        <f>AB451</f>
        <v>115.64</v>
      </c>
      <c r="CZ451">
        <f>AF451</f>
        <v>115.64</v>
      </c>
      <c r="DA451">
        <f>AJ451</f>
        <v>1</v>
      </c>
      <c r="DB451">
        <f>ROUND((ROUND(AT451*CZ451,2)*1.12),2)</f>
        <v>59.57</v>
      </c>
      <c r="DC451">
        <f>ROUND((ROUND(AT451*AG451,2)*1.12),2)</f>
        <v>7.01</v>
      </c>
      <c r="DD451" t="s">
        <v>6</v>
      </c>
      <c r="DE451" t="s">
        <v>6</v>
      </c>
      <c r="DF451">
        <f t="shared" si="166"/>
        <v>0</v>
      </c>
      <c r="DG451">
        <f t="shared" si="165"/>
        <v>3</v>
      </c>
      <c r="DH451">
        <f>Source!I360*SmtRes!Y451</f>
        <v>2.5760000000000005E-2</v>
      </c>
      <c r="DI451">
        <f>AB451</f>
        <v>115.64</v>
      </c>
      <c r="DJ451">
        <f>DG451</f>
        <v>3</v>
      </c>
      <c r="DK451">
        <f>Source!BB360</f>
        <v>1</v>
      </c>
      <c r="DL451" t="s">
        <v>6</v>
      </c>
      <c r="DM451">
        <v>0</v>
      </c>
      <c r="DN451" t="s">
        <v>6</v>
      </c>
      <c r="DO451">
        <v>0</v>
      </c>
      <c r="GQ451">
        <v>-1</v>
      </c>
      <c r="GR451">
        <v>-1</v>
      </c>
    </row>
    <row r="452" spans="1:200" x14ac:dyDescent="0.2">
      <c r="A452">
        <f>ROW(Source!A360)</f>
        <v>360</v>
      </c>
      <c r="B452">
        <v>86326987</v>
      </c>
      <c r="C452">
        <v>86327764</v>
      </c>
      <c r="D452">
        <v>27439499</v>
      </c>
      <c r="E452">
        <v>1</v>
      </c>
      <c r="F452">
        <v>1</v>
      </c>
      <c r="G452">
        <v>1</v>
      </c>
      <c r="H452">
        <v>2</v>
      </c>
      <c r="I452" t="s">
        <v>631</v>
      </c>
      <c r="J452" t="s">
        <v>632</v>
      </c>
      <c r="K452" t="s">
        <v>633</v>
      </c>
      <c r="L452">
        <v>1368</v>
      </c>
      <c r="N452">
        <v>1011</v>
      </c>
      <c r="O452" t="s">
        <v>137</v>
      </c>
      <c r="P452" t="s">
        <v>137</v>
      </c>
      <c r="Q452">
        <v>1</v>
      </c>
      <c r="W452">
        <v>0</v>
      </c>
      <c r="X452">
        <v>1890856440</v>
      </c>
      <c r="Y452">
        <f>(AT452*1.12)</f>
        <v>0.11200000000000002</v>
      </c>
      <c r="AA452">
        <v>0</v>
      </c>
      <c r="AB452">
        <v>112.67</v>
      </c>
      <c r="AC452">
        <v>13.61</v>
      </c>
      <c r="AD452">
        <v>0</v>
      </c>
      <c r="AE452">
        <v>0</v>
      </c>
      <c r="AF452">
        <v>112.67</v>
      </c>
      <c r="AG452">
        <v>13.61</v>
      </c>
      <c r="AH452">
        <v>0</v>
      </c>
      <c r="AI452">
        <v>1</v>
      </c>
      <c r="AJ452">
        <v>1</v>
      </c>
      <c r="AK452">
        <v>1</v>
      </c>
      <c r="AL452">
        <v>1</v>
      </c>
      <c r="AM452">
        <v>0</v>
      </c>
      <c r="AN452">
        <v>0</v>
      </c>
      <c r="AO452">
        <v>1</v>
      </c>
      <c r="AP452">
        <v>1</v>
      </c>
      <c r="AQ452">
        <v>0</v>
      </c>
      <c r="AR452">
        <v>0</v>
      </c>
      <c r="AS452" t="s">
        <v>6</v>
      </c>
      <c r="AT452">
        <v>0.1</v>
      </c>
      <c r="AU452" t="s">
        <v>24</v>
      </c>
      <c r="AV452">
        <v>0</v>
      </c>
      <c r="AW452">
        <v>2</v>
      </c>
      <c r="AX452">
        <v>86327776</v>
      </c>
      <c r="AY452">
        <v>1</v>
      </c>
      <c r="AZ452">
        <v>0</v>
      </c>
      <c r="BA452">
        <v>374</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CV452">
        <v>0</v>
      </c>
      <c r="CW452">
        <f>ROUND(Y452*Source!I360*DO452,9)</f>
        <v>0</v>
      </c>
      <c r="CX452">
        <f>ROUND(Y452*Source!I360,9)</f>
        <v>5.5999999999999999E-3</v>
      </c>
      <c r="CY452">
        <f>AB452</f>
        <v>112.67</v>
      </c>
      <c r="CZ452">
        <f>AF452</f>
        <v>112.67</v>
      </c>
      <c r="DA452">
        <f>AJ452</f>
        <v>1</v>
      </c>
      <c r="DB452">
        <f>ROUND((ROUND(AT452*CZ452,2)*1.12),2)</f>
        <v>12.62</v>
      </c>
      <c r="DC452">
        <f>ROUND((ROUND(AT452*AG452,2)*1.12),2)</f>
        <v>1.52</v>
      </c>
      <c r="DD452" t="s">
        <v>6</v>
      </c>
      <c r="DE452" t="s">
        <v>6</v>
      </c>
      <c r="DF452">
        <f t="shared" si="166"/>
        <v>0</v>
      </c>
      <c r="DG452">
        <f t="shared" si="165"/>
        <v>1</v>
      </c>
      <c r="DH452">
        <f>Source!I360*SmtRes!Y452</f>
        <v>5.6000000000000008E-3</v>
      </c>
      <c r="DI452">
        <f>AB452</f>
        <v>112.67</v>
      </c>
      <c r="DJ452">
        <f>EtalonRes!Z374</f>
        <v>112.67</v>
      </c>
      <c r="DK452">
        <f>Source!BB360</f>
        <v>1</v>
      </c>
      <c r="DL452" t="s">
        <v>6</v>
      </c>
      <c r="DM452">
        <v>0</v>
      </c>
      <c r="DN452" t="s">
        <v>6</v>
      </c>
      <c r="DO452">
        <v>0</v>
      </c>
      <c r="GQ452">
        <v>-1</v>
      </c>
      <c r="GR452">
        <v>-1</v>
      </c>
    </row>
    <row r="453" spans="1:200" x14ac:dyDescent="0.2">
      <c r="A453">
        <f>ROW(Source!A360)</f>
        <v>360</v>
      </c>
      <c r="B453">
        <v>86326987</v>
      </c>
      <c r="C453">
        <v>86327764</v>
      </c>
      <c r="D453">
        <v>27441327</v>
      </c>
      <c r="E453">
        <v>1</v>
      </c>
      <c r="F453">
        <v>1</v>
      </c>
      <c r="G453">
        <v>1</v>
      </c>
      <c r="H453">
        <v>2</v>
      </c>
      <c r="I453" t="s">
        <v>637</v>
      </c>
      <c r="J453" t="s">
        <v>638</v>
      </c>
      <c r="K453" t="s">
        <v>639</v>
      </c>
      <c r="L453">
        <v>1368</v>
      </c>
      <c r="N453">
        <v>1011</v>
      </c>
      <c r="O453" t="s">
        <v>137</v>
      </c>
      <c r="P453" t="s">
        <v>137</v>
      </c>
      <c r="Q453">
        <v>1</v>
      </c>
      <c r="W453">
        <v>0</v>
      </c>
      <c r="X453">
        <v>-1583389094</v>
      </c>
      <c r="Y453">
        <f>(AT453*1.12)</f>
        <v>0.15680000000000002</v>
      </c>
      <c r="AA453">
        <v>0</v>
      </c>
      <c r="AB453">
        <v>93.37</v>
      </c>
      <c r="AC453">
        <v>11.69</v>
      </c>
      <c r="AD453">
        <v>0</v>
      </c>
      <c r="AE453">
        <v>0</v>
      </c>
      <c r="AF453">
        <v>93.37</v>
      </c>
      <c r="AG453">
        <v>11.69</v>
      </c>
      <c r="AH453">
        <v>0</v>
      </c>
      <c r="AI453">
        <v>1</v>
      </c>
      <c r="AJ453">
        <v>1</v>
      </c>
      <c r="AK453">
        <v>1</v>
      </c>
      <c r="AL453">
        <v>1</v>
      </c>
      <c r="AM453">
        <v>0</v>
      </c>
      <c r="AN453">
        <v>0</v>
      </c>
      <c r="AO453">
        <v>1</v>
      </c>
      <c r="AP453">
        <v>1</v>
      </c>
      <c r="AQ453">
        <v>0</v>
      </c>
      <c r="AR453">
        <v>0</v>
      </c>
      <c r="AS453" t="s">
        <v>6</v>
      </c>
      <c r="AT453">
        <v>0.14000000000000001</v>
      </c>
      <c r="AU453" t="s">
        <v>24</v>
      </c>
      <c r="AV453">
        <v>0</v>
      </c>
      <c r="AW453">
        <v>2</v>
      </c>
      <c r="AX453">
        <v>86327777</v>
      </c>
      <c r="AY453">
        <v>1</v>
      </c>
      <c r="AZ453">
        <v>0</v>
      </c>
      <c r="BA453">
        <v>375</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CV453">
        <v>0</v>
      </c>
      <c r="CW453">
        <f>ROUND(Y453*Source!I360*DO453,9)</f>
        <v>0</v>
      </c>
      <c r="CX453">
        <f>ROUND(Y453*Source!I360,9)</f>
        <v>7.8399999999999997E-3</v>
      </c>
      <c r="CY453">
        <f>AB453</f>
        <v>93.37</v>
      </c>
      <c r="CZ453">
        <f>AF453</f>
        <v>93.37</v>
      </c>
      <c r="DA453">
        <f>AJ453</f>
        <v>1</v>
      </c>
      <c r="DB453">
        <f>ROUND((ROUND(AT453*CZ453,2)*1.12),2)</f>
        <v>14.64</v>
      </c>
      <c r="DC453">
        <f>ROUND((ROUND(AT453*AG453,2)*1.12),2)</f>
        <v>1.84</v>
      </c>
      <c r="DD453" t="s">
        <v>6</v>
      </c>
      <c r="DE453" t="s">
        <v>6</v>
      </c>
      <c r="DF453">
        <f t="shared" si="166"/>
        <v>0</v>
      </c>
      <c r="DG453">
        <f t="shared" si="165"/>
        <v>1</v>
      </c>
      <c r="DH453">
        <f>Source!I360*SmtRes!Y453</f>
        <v>7.8400000000000015E-3</v>
      </c>
      <c r="DI453">
        <f>AB453</f>
        <v>93.37</v>
      </c>
      <c r="DJ453">
        <f>EtalonRes!Z375</f>
        <v>93.37</v>
      </c>
      <c r="DK453">
        <f>Source!BB360</f>
        <v>1</v>
      </c>
      <c r="DL453" t="s">
        <v>6</v>
      </c>
      <c r="DM453">
        <v>0</v>
      </c>
      <c r="DN453" t="s">
        <v>6</v>
      </c>
      <c r="DO453">
        <v>0</v>
      </c>
      <c r="GQ453">
        <v>-1</v>
      </c>
      <c r="GR453">
        <v>-1</v>
      </c>
    </row>
    <row r="454" spans="1:200" x14ac:dyDescent="0.2">
      <c r="A454">
        <f>ROW(Source!A360)</f>
        <v>360</v>
      </c>
      <c r="B454">
        <v>86326987</v>
      </c>
      <c r="C454">
        <v>86327764</v>
      </c>
      <c r="D454">
        <v>27377917</v>
      </c>
      <c r="E454">
        <v>1</v>
      </c>
      <c r="F454">
        <v>1</v>
      </c>
      <c r="G454">
        <v>1</v>
      </c>
      <c r="H454">
        <v>3</v>
      </c>
      <c r="I454" t="s">
        <v>316</v>
      </c>
      <c r="J454" t="s">
        <v>318</v>
      </c>
      <c r="K454" t="s">
        <v>317</v>
      </c>
      <c r="L454">
        <v>1348</v>
      </c>
      <c r="N454">
        <v>1009</v>
      </c>
      <c r="O454" t="s">
        <v>33</v>
      </c>
      <c r="P454" t="s">
        <v>33</v>
      </c>
      <c r="Q454">
        <v>1000</v>
      </c>
      <c r="W454">
        <v>0</v>
      </c>
      <c r="X454">
        <v>1988624183</v>
      </c>
      <c r="Y454">
        <f>AT454</f>
        <v>6.0000000000000001E-3</v>
      </c>
      <c r="AA454">
        <v>10559.12</v>
      </c>
      <c r="AB454">
        <v>0</v>
      </c>
      <c r="AC454">
        <v>0</v>
      </c>
      <c r="AD454">
        <v>0</v>
      </c>
      <c r="AE454">
        <v>10559.12</v>
      </c>
      <c r="AF454">
        <v>0</v>
      </c>
      <c r="AG454">
        <v>0</v>
      </c>
      <c r="AH454">
        <v>0</v>
      </c>
      <c r="AI454">
        <v>1</v>
      </c>
      <c r="AJ454">
        <v>1</v>
      </c>
      <c r="AK454">
        <v>1</v>
      </c>
      <c r="AL454">
        <v>1</v>
      </c>
      <c r="AM454">
        <v>0</v>
      </c>
      <c r="AN454">
        <v>0</v>
      </c>
      <c r="AO454">
        <v>0</v>
      </c>
      <c r="AP454">
        <v>1</v>
      </c>
      <c r="AQ454">
        <v>0</v>
      </c>
      <c r="AR454">
        <v>0</v>
      </c>
      <c r="AS454" t="s">
        <v>6</v>
      </c>
      <c r="AT454">
        <v>6.0000000000000001E-3</v>
      </c>
      <c r="AU454" t="s">
        <v>6</v>
      </c>
      <c r="AV454">
        <v>0</v>
      </c>
      <c r="AW454">
        <v>2</v>
      </c>
      <c r="AX454">
        <v>86327778</v>
      </c>
      <c r="AY454">
        <v>1</v>
      </c>
      <c r="AZ454">
        <v>0</v>
      </c>
      <c r="BA454">
        <v>376</v>
      </c>
      <c r="BB454">
        <v>3</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CV454">
        <v>0</v>
      </c>
      <c r="CW454">
        <v>0</v>
      </c>
      <c r="CX454">
        <f>ROUND(Y454*Source!I360,9)</f>
        <v>2.9999999999999997E-4</v>
      </c>
      <c r="CY454">
        <f>AA454</f>
        <v>10559.12</v>
      </c>
      <c r="CZ454">
        <f>AE454</f>
        <v>10559.12</v>
      </c>
      <c r="DA454">
        <f>AI454</f>
        <v>1</v>
      </c>
      <c r="DB454">
        <f>ROUND(ROUND(AT454*CZ454,2),2)</f>
        <v>63.35</v>
      </c>
      <c r="DC454">
        <f>ROUND(ROUND(AT454*AG454,2),2)</f>
        <v>0</v>
      </c>
      <c r="DD454" t="s">
        <v>6</v>
      </c>
      <c r="DE454" t="s">
        <v>6</v>
      </c>
      <c r="DF454">
        <f t="shared" si="166"/>
        <v>3</v>
      </c>
      <c r="DG454">
        <f t="shared" si="165"/>
        <v>0</v>
      </c>
      <c r="DH454">
        <f>Source!I360*SmtRes!Y454</f>
        <v>3.0000000000000003E-4</v>
      </c>
      <c r="DI454">
        <f>AA454</f>
        <v>10559.12</v>
      </c>
      <c r="DJ454">
        <f>EtalonRes!Y376</f>
        <v>10559.12</v>
      </c>
      <c r="DK454">
        <f>Source!BC360</f>
        <v>1</v>
      </c>
      <c r="DL454" t="s">
        <v>6</v>
      </c>
      <c r="DM454">
        <v>0</v>
      </c>
      <c r="DN454" t="s">
        <v>6</v>
      </c>
      <c r="DO454">
        <v>0</v>
      </c>
      <c r="GP454">
        <v>1</v>
      </c>
      <c r="GQ454">
        <v>-1</v>
      </c>
      <c r="GR454">
        <v>-1</v>
      </c>
    </row>
    <row r="455" spans="1:200" x14ac:dyDescent="0.2">
      <c r="A455">
        <f>ROW(Source!A360)</f>
        <v>360</v>
      </c>
      <c r="B455">
        <v>86326987</v>
      </c>
      <c r="C455">
        <v>86327764</v>
      </c>
      <c r="D455">
        <v>69205289</v>
      </c>
      <c r="E455">
        <v>1</v>
      </c>
      <c r="F455">
        <v>1</v>
      </c>
      <c r="G455">
        <v>1</v>
      </c>
      <c r="H455">
        <v>3</v>
      </c>
      <c r="I455" t="s">
        <v>487</v>
      </c>
      <c r="J455" t="s">
        <v>489</v>
      </c>
      <c r="K455" t="s">
        <v>488</v>
      </c>
      <c r="L455">
        <v>1348</v>
      </c>
      <c r="N455">
        <v>1009</v>
      </c>
      <c r="O455" t="s">
        <v>33</v>
      </c>
      <c r="P455" t="s">
        <v>33</v>
      </c>
      <c r="Q455">
        <v>1000</v>
      </c>
      <c r="W455">
        <v>0</v>
      </c>
      <c r="X455">
        <v>-777531494</v>
      </c>
      <c r="Y455">
        <f>AT455</f>
        <v>0.94650000000000001</v>
      </c>
      <c r="AA455">
        <v>16366.06</v>
      </c>
      <c r="AB455">
        <v>0</v>
      </c>
      <c r="AC455">
        <v>0</v>
      </c>
      <c r="AD455">
        <v>0</v>
      </c>
      <c r="AE455">
        <v>16366.06</v>
      </c>
      <c r="AF455">
        <v>0</v>
      </c>
      <c r="AG455">
        <v>0</v>
      </c>
      <c r="AH455">
        <v>0</v>
      </c>
      <c r="AI455">
        <v>1</v>
      </c>
      <c r="AJ455">
        <v>1</v>
      </c>
      <c r="AK455">
        <v>1</v>
      </c>
      <c r="AL455">
        <v>1</v>
      </c>
      <c r="AM455">
        <v>0</v>
      </c>
      <c r="AN455">
        <v>0</v>
      </c>
      <c r="AO455">
        <v>0</v>
      </c>
      <c r="AP455">
        <v>1</v>
      </c>
      <c r="AQ455">
        <v>0</v>
      </c>
      <c r="AR455">
        <v>0</v>
      </c>
      <c r="AS455" t="s">
        <v>6</v>
      </c>
      <c r="AT455">
        <v>0.94650000000000001</v>
      </c>
      <c r="AU455" t="s">
        <v>6</v>
      </c>
      <c r="AV455">
        <v>0</v>
      </c>
      <c r="AW455">
        <v>1</v>
      </c>
      <c r="AX455">
        <v>-1</v>
      </c>
      <c r="AY455">
        <v>0</v>
      </c>
      <c r="AZ455">
        <v>0</v>
      </c>
      <c r="BA455" t="s">
        <v>6</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CV455">
        <v>0</v>
      </c>
      <c r="CW455">
        <v>0</v>
      </c>
      <c r="CX455">
        <f>ROUND(Y455*Source!I360,9)</f>
        <v>4.7324999999999999E-2</v>
      </c>
      <c r="CY455">
        <f>AA455</f>
        <v>16366.06</v>
      </c>
      <c r="CZ455">
        <f>AE455</f>
        <v>16366.06</v>
      </c>
      <c r="DA455">
        <f>AI455</f>
        <v>1</v>
      </c>
      <c r="DB455">
        <f>ROUND(ROUND(AT455*CZ455,2),2)</f>
        <v>15490.48</v>
      </c>
      <c r="DC455">
        <f>ROUND(ROUND(AT455*AG455,2),2)</f>
        <v>0</v>
      </c>
      <c r="DD455" t="s">
        <v>6</v>
      </c>
      <c r="DE455" t="s">
        <v>6</v>
      </c>
      <c r="DF455">
        <f t="shared" si="166"/>
        <v>775</v>
      </c>
      <c r="DG455">
        <f t="shared" si="165"/>
        <v>0</v>
      </c>
      <c r="DH455">
        <f>Source!I360*SmtRes!Y455</f>
        <v>4.7325000000000006E-2</v>
      </c>
      <c r="DI455">
        <f>AA455</f>
        <v>16366.06</v>
      </c>
      <c r="DJ455">
        <f>DF455</f>
        <v>775</v>
      </c>
      <c r="DK455">
        <f>Source!BC360</f>
        <v>1</v>
      </c>
      <c r="DL455" t="s">
        <v>6</v>
      </c>
      <c r="DM455">
        <v>0</v>
      </c>
      <c r="DN455" t="s">
        <v>6</v>
      </c>
      <c r="DO455">
        <v>0</v>
      </c>
      <c r="GP455">
        <v>1</v>
      </c>
      <c r="GQ455">
        <v>-1</v>
      </c>
      <c r="GR455">
        <v>-1</v>
      </c>
    </row>
    <row r="456" spans="1:200" x14ac:dyDescent="0.2">
      <c r="A456">
        <f>ROW(Source!A360)</f>
        <v>360</v>
      </c>
      <c r="B456">
        <v>86326987</v>
      </c>
      <c r="C456">
        <v>86327764</v>
      </c>
      <c r="D456">
        <v>69205329</v>
      </c>
      <c r="E456">
        <v>1</v>
      </c>
      <c r="F456">
        <v>1</v>
      </c>
      <c r="G456">
        <v>1</v>
      </c>
      <c r="H456">
        <v>3</v>
      </c>
      <c r="I456" t="s">
        <v>480</v>
      </c>
      <c r="J456" t="s">
        <v>482</v>
      </c>
      <c r="K456" t="s">
        <v>492</v>
      </c>
      <c r="L456">
        <v>1348</v>
      </c>
      <c r="N456">
        <v>1009</v>
      </c>
      <c r="O456" t="s">
        <v>33</v>
      </c>
      <c r="P456" t="s">
        <v>33</v>
      </c>
      <c r="Q456">
        <v>1000</v>
      </c>
      <c r="W456">
        <v>0</v>
      </c>
      <c r="X456">
        <v>1055029466</v>
      </c>
      <c r="Y456">
        <f>AT456</f>
        <v>5.3900000000000003E-2</v>
      </c>
      <c r="AA456">
        <v>14571.47</v>
      </c>
      <c r="AB456">
        <v>0</v>
      </c>
      <c r="AC456">
        <v>0</v>
      </c>
      <c r="AD456">
        <v>0</v>
      </c>
      <c r="AE456">
        <v>14571.47</v>
      </c>
      <c r="AF456">
        <v>0</v>
      </c>
      <c r="AG456">
        <v>0</v>
      </c>
      <c r="AH456">
        <v>0</v>
      </c>
      <c r="AI456">
        <v>1</v>
      </c>
      <c r="AJ456">
        <v>1</v>
      </c>
      <c r="AK456">
        <v>1</v>
      </c>
      <c r="AL456">
        <v>1</v>
      </c>
      <c r="AM456">
        <v>0</v>
      </c>
      <c r="AN456">
        <v>0</v>
      </c>
      <c r="AO456">
        <v>0</v>
      </c>
      <c r="AP456">
        <v>0</v>
      </c>
      <c r="AQ456">
        <v>0</v>
      </c>
      <c r="AR456">
        <v>0</v>
      </c>
      <c r="AS456" t="s">
        <v>6</v>
      </c>
      <c r="AT456">
        <v>5.3900000000000003E-2</v>
      </c>
      <c r="AU456" t="s">
        <v>6</v>
      </c>
      <c r="AV456">
        <v>0</v>
      </c>
      <c r="AW456">
        <v>1</v>
      </c>
      <c r="AX456">
        <v>-1</v>
      </c>
      <c r="AY456">
        <v>0</v>
      </c>
      <c r="AZ456">
        <v>0</v>
      </c>
      <c r="BA456" t="s">
        <v>6</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CV456">
        <v>0</v>
      </c>
      <c r="CW456">
        <v>0</v>
      </c>
      <c r="CX456">
        <f>ROUND(Y456*Source!I360,9)</f>
        <v>2.6949999999999999E-3</v>
      </c>
      <c r="CY456">
        <f>AA456</f>
        <v>14571.47</v>
      </c>
      <c r="CZ456">
        <f>AE456</f>
        <v>14571.47</v>
      </c>
      <c r="DA456">
        <f>AI456</f>
        <v>1</v>
      </c>
      <c r="DB456">
        <f>ROUND(ROUND(AT456*CZ456,2),2)</f>
        <v>785.4</v>
      </c>
      <c r="DC456">
        <f>ROUND(ROUND(AT456*AG456,2),2)</f>
        <v>0</v>
      </c>
      <c r="DD456" t="s">
        <v>6</v>
      </c>
      <c r="DE456" t="s">
        <v>6</v>
      </c>
      <c r="DF456">
        <f t="shared" si="166"/>
        <v>39</v>
      </c>
      <c r="DG456">
        <f t="shared" si="165"/>
        <v>0</v>
      </c>
      <c r="DH456">
        <f>Source!I360*SmtRes!Y456</f>
        <v>2.6950000000000003E-3</v>
      </c>
      <c r="DI456">
        <f>AA456</f>
        <v>14571.47</v>
      </c>
      <c r="DJ456">
        <f>DF456</f>
        <v>39</v>
      </c>
      <c r="DK456">
        <f>Source!BC360</f>
        <v>1</v>
      </c>
      <c r="DL456" t="s">
        <v>6</v>
      </c>
      <c r="DM456">
        <v>0</v>
      </c>
      <c r="DN456" t="s">
        <v>6</v>
      </c>
      <c r="DO456">
        <v>0</v>
      </c>
      <c r="GP456">
        <v>1</v>
      </c>
      <c r="GQ456">
        <v>-1</v>
      </c>
      <c r="GR456">
        <v>-1</v>
      </c>
    </row>
    <row r="457" spans="1:200" x14ac:dyDescent="0.2">
      <c r="A457">
        <f>ROW(Source!A361)</f>
        <v>361</v>
      </c>
      <c r="B457">
        <v>86326988</v>
      </c>
      <c r="C457">
        <v>86327764</v>
      </c>
      <c r="D457">
        <v>27496319</v>
      </c>
      <c r="E457">
        <v>1</v>
      </c>
      <c r="F457">
        <v>1</v>
      </c>
      <c r="G457">
        <v>1</v>
      </c>
      <c r="H457">
        <v>1</v>
      </c>
      <c r="I457" t="s">
        <v>672</v>
      </c>
      <c r="J457" t="s">
        <v>6</v>
      </c>
      <c r="K457" t="s">
        <v>673</v>
      </c>
      <c r="L457">
        <v>1369</v>
      </c>
      <c r="N457">
        <v>1013</v>
      </c>
      <c r="O457" t="s">
        <v>625</v>
      </c>
      <c r="P457" t="s">
        <v>625</v>
      </c>
      <c r="Q457">
        <v>1</v>
      </c>
      <c r="W457">
        <v>0</v>
      </c>
      <c r="X457">
        <v>1189128158</v>
      </c>
      <c r="Y457">
        <f>(AT457*1.05)</f>
        <v>28.644000000000002</v>
      </c>
      <c r="AA457">
        <v>0</v>
      </c>
      <c r="AB457">
        <v>0</v>
      </c>
      <c r="AC457">
        <v>0</v>
      </c>
      <c r="AD457">
        <v>203.13</v>
      </c>
      <c r="AE457">
        <v>0</v>
      </c>
      <c r="AF457">
        <v>0</v>
      </c>
      <c r="AG457">
        <v>0</v>
      </c>
      <c r="AH457">
        <v>8.01</v>
      </c>
      <c r="AI457">
        <v>1</v>
      </c>
      <c r="AJ457">
        <v>1</v>
      </c>
      <c r="AK457">
        <v>1</v>
      </c>
      <c r="AL457">
        <v>25.36</v>
      </c>
      <c r="AM457">
        <v>5</v>
      </c>
      <c r="AN457">
        <v>0</v>
      </c>
      <c r="AO457">
        <v>1</v>
      </c>
      <c r="AP457">
        <v>1</v>
      </c>
      <c r="AQ457">
        <v>0</v>
      </c>
      <c r="AR457">
        <v>0</v>
      </c>
      <c r="AS457" t="s">
        <v>6</v>
      </c>
      <c r="AT457">
        <v>27.28</v>
      </c>
      <c r="AU457" t="s">
        <v>25</v>
      </c>
      <c r="AV457">
        <v>1</v>
      </c>
      <c r="AW457">
        <v>2</v>
      </c>
      <c r="AX457">
        <v>86327773</v>
      </c>
      <c r="AY457">
        <v>1</v>
      </c>
      <c r="AZ457">
        <v>0</v>
      </c>
      <c r="BA457">
        <v>378</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CU457">
        <f>ROUND(AT457*Source!I361*AH457*AL457,0)</f>
        <v>277</v>
      </c>
      <c r="CV457">
        <f>ROUND(Y457*Source!I361,9)</f>
        <v>1.4321999999999999</v>
      </c>
      <c r="CW457">
        <v>0</v>
      </c>
      <c r="CX457">
        <f>ROUND(Y457*Source!I361,9)</f>
        <v>1.4321999999999999</v>
      </c>
      <c r="CY457">
        <f>AD457</f>
        <v>203.13</v>
      </c>
      <c r="CZ457">
        <f>AH457</f>
        <v>8.01</v>
      </c>
      <c r="DA457">
        <f>AL457</f>
        <v>25.36</v>
      </c>
      <c r="DB457">
        <f>ROUND((ROUND(AT457*CZ457,2)*1.05),2)</f>
        <v>229.44</v>
      </c>
      <c r="DC457">
        <f>ROUND((ROUND(AT457*AG457,2)*1.05),2)</f>
        <v>0</v>
      </c>
      <c r="DD457" t="s">
        <v>6</v>
      </c>
      <c r="DE457" t="s">
        <v>6</v>
      </c>
      <c r="DF457">
        <f t="shared" si="166"/>
        <v>0</v>
      </c>
      <c r="DG457">
        <f t="shared" si="165"/>
        <v>0</v>
      </c>
      <c r="DH457">
        <f>Source!I361*SmtRes!Y457</f>
        <v>1.4322000000000001</v>
      </c>
      <c r="DI457">
        <f>AD457</f>
        <v>203.13</v>
      </c>
      <c r="DJ457">
        <f>EtalonRes!AB378</f>
        <v>8.01</v>
      </c>
      <c r="DK457">
        <f>Source!BA361</f>
        <v>25.36</v>
      </c>
      <c r="DL457" t="s">
        <v>6</v>
      </c>
      <c r="DM457">
        <v>0</v>
      </c>
      <c r="DN457" t="s">
        <v>6</v>
      </c>
      <c r="DO457">
        <v>0</v>
      </c>
      <c r="GQ457">
        <v>-1</v>
      </c>
      <c r="GR457">
        <v>-1</v>
      </c>
    </row>
    <row r="458" spans="1:200" x14ac:dyDescent="0.2">
      <c r="A458">
        <f>ROW(Source!A361)</f>
        <v>361</v>
      </c>
      <c r="B458">
        <v>86326988</v>
      </c>
      <c r="C458">
        <v>86327764</v>
      </c>
      <c r="D458">
        <v>121548</v>
      </c>
      <c r="E458">
        <v>1</v>
      </c>
      <c r="F458">
        <v>1</v>
      </c>
      <c r="G458">
        <v>1</v>
      </c>
      <c r="H458">
        <v>1</v>
      </c>
      <c r="I458" t="s">
        <v>40</v>
      </c>
      <c r="J458" t="s">
        <v>6</v>
      </c>
      <c r="K458" t="s">
        <v>626</v>
      </c>
      <c r="L458">
        <v>608254</v>
      </c>
      <c r="N458">
        <v>1013</v>
      </c>
      <c r="O458" t="s">
        <v>627</v>
      </c>
      <c r="P458" t="s">
        <v>627</v>
      </c>
      <c r="Q458">
        <v>1</v>
      </c>
      <c r="W458">
        <v>0</v>
      </c>
      <c r="X458">
        <v>-185737400</v>
      </c>
      <c r="Y458">
        <f>(AT458*1.12)</f>
        <v>0.62720000000000009</v>
      </c>
      <c r="AA458">
        <v>0</v>
      </c>
      <c r="AB458">
        <v>0</v>
      </c>
      <c r="AC458">
        <v>0</v>
      </c>
      <c r="AD458">
        <v>0</v>
      </c>
      <c r="AE458">
        <v>0</v>
      </c>
      <c r="AF458">
        <v>0</v>
      </c>
      <c r="AG458">
        <v>0</v>
      </c>
      <c r="AH458">
        <v>0</v>
      </c>
      <c r="AI458">
        <v>1</v>
      </c>
      <c r="AJ458">
        <v>1</v>
      </c>
      <c r="AK458">
        <v>19.8</v>
      </c>
      <c r="AL458">
        <v>1</v>
      </c>
      <c r="AM458">
        <v>5</v>
      </c>
      <c r="AN458">
        <v>0</v>
      </c>
      <c r="AO458">
        <v>1</v>
      </c>
      <c r="AP458">
        <v>1</v>
      </c>
      <c r="AQ458">
        <v>0</v>
      </c>
      <c r="AR458">
        <v>0</v>
      </c>
      <c r="AS458" t="s">
        <v>6</v>
      </c>
      <c r="AT458">
        <v>0.56000000000000005</v>
      </c>
      <c r="AU458" t="s">
        <v>24</v>
      </c>
      <c r="AV458">
        <v>2</v>
      </c>
      <c r="AW458">
        <v>2</v>
      </c>
      <c r="AX458">
        <v>86327774</v>
      </c>
      <c r="AY458">
        <v>1</v>
      </c>
      <c r="AZ458">
        <v>0</v>
      </c>
      <c r="BA458">
        <v>379</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CV458">
        <v>0</v>
      </c>
      <c r="CW458">
        <v>0</v>
      </c>
      <c r="CX458">
        <f>ROUND(Y458*Source!I361,9)</f>
        <v>3.1359999999999999E-2</v>
      </c>
      <c r="CY458">
        <f>AD458</f>
        <v>0</v>
      </c>
      <c r="CZ458">
        <f>AH458</f>
        <v>0</v>
      </c>
      <c r="DA458">
        <f>AL458</f>
        <v>1</v>
      </c>
      <c r="DB458">
        <f>ROUND((ROUND(AT458*CZ458,2)*1.12),2)</f>
        <v>0</v>
      </c>
      <c r="DC458">
        <f>ROUND((ROUND(AT458*AG458,2)*1.12),2)</f>
        <v>0</v>
      </c>
      <c r="DD458" t="s">
        <v>6</v>
      </c>
      <c r="DE458" t="s">
        <v>6</v>
      </c>
      <c r="DF458">
        <f t="shared" si="166"/>
        <v>0</v>
      </c>
      <c r="DG458">
        <f t="shared" si="165"/>
        <v>0</v>
      </c>
      <c r="DH458">
        <f>Source!I361*SmtRes!Y458</f>
        <v>3.1360000000000006E-2</v>
      </c>
      <c r="DI458">
        <f>AD458</f>
        <v>0</v>
      </c>
      <c r="DJ458">
        <f>EtalonRes!AB379</f>
        <v>0</v>
      </c>
      <c r="DK458">
        <f>Source!BA361</f>
        <v>25.36</v>
      </c>
      <c r="DL458" t="s">
        <v>6</v>
      </c>
      <c r="DM458">
        <v>0</v>
      </c>
      <c r="DN458" t="s">
        <v>6</v>
      </c>
      <c r="DO458">
        <v>0</v>
      </c>
      <c r="GQ458">
        <v>-1</v>
      </c>
      <c r="GR458">
        <v>-1</v>
      </c>
    </row>
    <row r="459" spans="1:200" x14ac:dyDescent="0.2">
      <c r="A459">
        <f>ROW(Source!A361)</f>
        <v>361</v>
      </c>
      <c r="B459">
        <v>86326988</v>
      </c>
      <c r="C459">
        <v>86327764</v>
      </c>
      <c r="D459">
        <v>27439419</v>
      </c>
      <c r="E459">
        <v>1</v>
      </c>
      <c r="F459">
        <v>1</v>
      </c>
      <c r="G459">
        <v>1</v>
      </c>
      <c r="H459">
        <v>2</v>
      </c>
      <c r="I459" t="s">
        <v>628</v>
      </c>
      <c r="J459" t="s">
        <v>629</v>
      </c>
      <c r="K459" t="s">
        <v>630</v>
      </c>
      <c r="L459">
        <v>1368</v>
      </c>
      <c r="N459">
        <v>1011</v>
      </c>
      <c r="O459" t="s">
        <v>137</v>
      </c>
      <c r="P459" t="s">
        <v>137</v>
      </c>
      <c r="Q459">
        <v>1</v>
      </c>
      <c r="W459">
        <v>0</v>
      </c>
      <c r="X459">
        <v>1804162481</v>
      </c>
      <c r="Y459">
        <f>(AT459*1.12)</f>
        <v>0.5152000000000001</v>
      </c>
      <c r="AA459">
        <v>0</v>
      </c>
      <c r="AB459">
        <v>906.62</v>
      </c>
      <c r="AC459">
        <v>269.48</v>
      </c>
      <c r="AD459">
        <v>0</v>
      </c>
      <c r="AE459">
        <v>0</v>
      </c>
      <c r="AF459">
        <v>115.64</v>
      </c>
      <c r="AG459">
        <v>13.61</v>
      </c>
      <c r="AH459">
        <v>0</v>
      </c>
      <c r="AI459">
        <v>1</v>
      </c>
      <c r="AJ459">
        <v>7.84</v>
      </c>
      <c r="AK459">
        <v>19.8</v>
      </c>
      <c r="AL459">
        <v>1</v>
      </c>
      <c r="AM459">
        <v>5</v>
      </c>
      <c r="AN459">
        <v>0</v>
      </c>
      <c r="AO459">
        <v>1</v>
      </c>
      <c r="AP459">
        <v>1</v>
      </c>
      <c r="AQ459">
        <v>0</v>
      </c>
      <c r="AR459">
        <v>0</v>
      </c>
      <c r="AS459" t="s">
        <v>6</v>
      </c>
      <c r="AT459">
        <v>0.46</v>
      </c>
      <c r="AU459" t="s">
        <v>24</v>
      </c>
      <c r="AV459">
        <v>0</v>
      </c>
      <c r="AW459">
        <v>1</v>
      </c>
      <c r="AX459">
        <v>-1</v>
      </c>
      <c r="AY459">
        <v>0</v>
      </c>
      <c r="AZ459">
        <v>0</v>
      </c>
      <c r="BA459" t="s">
        <v>6</v>
      </c>
      <c r="BB459">
        <v>5</v>
      </c>
      <c r="BC459">
        <v>0</v>
      </c>
      <c r="BD459">
        <v>59.577728000000015</v>
      </c>
      <c r="BE459">
        <v>7.0118720000000012</v>
      </c>
      <c r="BF459">
        <v>0</v>
      </c>
      <c r="BG459">
        <v>0</v>
      </c>
      <c r="BH459">
        <v>0</v>
      </c>
      <c r="BI459">
        <v>1</v>
      </c>
      <c r="BJ459">
        <v>0</v>
      </c>
      <c r="BK459">
        <v>0</v>
      </c>
      <c r="BL459">
        <v>0</v>
      </c>
      <c r="BM459">
        <v>0</v>
      </c>
      <c r="BN459">
        <v>0</v>
      </c>
      <c r="BO459">
        <v>0</v>
      </c>
      <c r="BP459">
        <v>0</v>
      </c>
      <c r="BQ459">
        <v>0</v>
      </c>
      <c r="BR459">
        <v>0</v>
      </c>
      <c r="BS459">
        <v>0</v>
      </c>
      <c r="BT459">
        <v>0</v>
      </c>
      <c r="BU459">
        <v>0</v>
      </c>
      <c r="BV459">
        <v>0</v>
      </c>
      <c r="BW459">
        <v>0</v>
      </c>
      <c r="CV459">
        <v>0</v>
      </c>
      <c r="CW459">
        <f>ROUND(Y459*Source!I361*DO459,9)</f>
        <v>0</v>
      </c>
      <c r="CX459">
        <f>ROUND(Y459*Source!I361,9)</f>
        <v>2.5760000000000002E-2</v>
      </c>
      <c r="CY459">
        <f>AB459</f>
        <v>906.62</v>
      </c>
      <c r="CZ459">
        <f>AF459</f>
        <v>115.64</v>
      </c>
      <c r="DA459">
        <f>AJ459</f>
        <v>7.84</v>
      </c>
      <c r="DB459">
        <f>ROUND((ROUND(AT459*CZ459,2)*1.12),2)</f>
        <v>59.57</v>
      </c>
      <c r="DC459">
        <f>ROUND((ROUND(AT459*AG459,2)*1.12),2)</f>
        <v>7.01</v>
      </c>
      <c r="DD459" t="s">
        <v>6</v>
      </c>
      <c r="DE459" t="s">
        <v>6</v>
      </c>
      <c r="DF459">
        <f t="shared" si="166"/>
        <v>0</v>
      </c>
      <c r="DG459">
        <f>ROUND(ROUND(AF459*AJ459,0)*CX459,0)</f>
        <v>23</v>
      </c>
      <c r="DH459">
        <f>Source!I361*SmtRes!Y459</f>
        <v>2.5760000000000005E-2</v>
      </c>
      <c r="DI459">
        <f>AB459</f>
        <v>906.62</v>
      </c>
      <c r="DJ459">
        <f>DG459</f>
        <v>23</v>
      </c>
      <c r="DK459">
        <f>Source!BB361</f>
        <v>7.84</v>
      </c>
      <c r="DL459" t="s">
        <v>6</v>
      </c>
      <c r="DM459">
        <v>0</v>
      </c>
      <c r="DN459" t="s">
        <v>6</v>
      </c>
      <c r="DO459">
        <v>0</v>
      </c>
      <c r="GQ459">
        <v>-1</v>
      </c>
      <c r="GR459">
        <v>-1</v>
      </c>
    </row>
    <row r="460" spans="1:200" x14ac:dyDescent="0.2">
      <c r="A460">
        <f>ROW(Source!A361)</f>
        <v>361</v>
      </c>
      <c r="B460">
        <v>86326988</v>
      </c>
      <c r="C460">
        <v>86327764</v>
      </c>
      <c r="D460">
        <v>27439499</v>
      </c>
      <c r="E460">
        <v>1</v>
      </c>
      <c r="F460">
        <v>1</v>
      </c>
      <c r="G460">
        <v>1</v>
      </c>
      <c r="H460">
        <v>2</v>
      </c>
      <c r="I460" t="s">
        <v>631</v>
      </c>
      <c r="J460" t="s">
        <v>632</v>
      </c>
      <c r="K460" t="s">
        <v>633</v>
      </c>
      <c r="L460">
        <v>1368</v>
      </c>
      <c r="N460">
        <v>1011</v>
      </c>
      <c r="O460" t="s">
        <v>137</v>
      </c>
      <c r="P460" t="s">
        <v>137</v>
      </c>
      <c r="Q460">
        <v>1</v>
      </c>
      <c r="W460">
        <v>0</v>
      </c>
      <c r="X460">
        <v>1890856440</v>
      </c>
      <c r="Y460">
        <f>(AT460*1.12)</f>
        <v>0.11200000000000002</v>
      </c>
      <c r="AA460">
        <v>0</v>
      </c>
      <c r="AB460">
        <v>883.33</v>
      </c>
      <c r="AC460">
        <v>269.48</v>
      </c>
      <c r="AD460">
        <v>0</v>
      </c>
      <c r="AE460">
        <v>0</v>
      </c>
      <c r="AF460">
        <v>112.67</v>
      </c>
      <c r="AG460">
        <v>13.61</v>
      </c>
      <c r="AH460">
        <v>0</v>
      </c>
      <c r="AI460">
        <v>1</v>
      </c>
      <c r="AJ460">
        <v>7.84</v>
      </c>
      <c r="AK460">
        <v>19.8</v>
      </c>
      <c r="AL460">
        <v>1</v>
      </c>
      <c r="AM460">
        <v>5</v>
      </c>
      <c r="AN460">
        <v>0</v>
      </c>
      <c r="AO460">
        <v>1</v>
      </c>
      <c r="AP460">
        <v>1</v>
      </c>
      <c r="AQ460">
        <v>0</v>
      </c>
      <c r="AR460">
        <v>0</v>
      </c>
      <c r="AS460" t="s">
        <v>6</v>
      </c>
      <c r="AT460">
        <v>0.1</v>
      </c>
      <c r="AU460" t="s">
        <v>24</v>
      </c>
      <c r="AV460">
        <v>0</v>
      </c>
      <c r="AW460">
        <v>2</v>
      </c>
      <c r="AX460">
        <v>86327776</v>
      </c>
      <c r="AY460">
        <v>1</v>
      </c>
      <c r="AZ460">
        <v>0</v>
      </c>
      <c r="BA460">
        <v>381</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CV460">
        <v>0</v>
      </c>
      <c r="CW460">
        <f>ROUND(Y460*Source!I361*DO460,9)</f>
        <v>0</v>
      </c>
      <c r="CX460">
        <f>ROUND(Y460*Source!I361,9)</f>
        <v>5.5999999999999999E-3</v>
      </c>
      <c r="CY460">
        <f>AB460</f>
        <v>883.33</v>
      </c>
      <c r="CZ460">
        <f>AF460</f>
        <v>112.67</v>
      </c>
      <c r="DA460">
        <f>AJ460</f>
        <v>7.84</v>
      </c>
      <c r="DB460">
        <f>ROUND((ROUND(AT460*CZ460,2)*1.12),2)</f>
        <v>12.62</v>
      </c>
      <c r="DC460">
        <f>ROUND((ROUND(AT460*AG460,2)*1.12),2)</f>
        <v>1.52</v>
      </c>
      <c r="DD460" t="s">
        <v>6</v>
      </c>
      <c r="DE460" t="s">
        <v>6</v>
      </c>
      <c r="DF460">
        <f t="shared" si="166"/>
        <v>0</v>
      </c>
      <c r="DG460">
        <f>ROUND(ROUND(AF460*AJ460,0)*CX460,0)</f>
        <v>5</v>
      </c>
      <c r="DH460">
        <f>Source!I361*SmtRes!Y460</f>
        <v>5.6000000000000008E-3</v>
      </c>
      <c r="DI460">
        <f>AB460</f>
        <v>883.33</v>
      </c>
      <c r="DJ460">
        <f>EtalonRes!Z381</f>
        <v>112.67</v>
      </c>
      <c r="DK460">
        <f>Source!BB361</f>
        <v>7.84</v>
      </c>
      <c r="DL460" t="s">
        <v>6</v>
      </c>
      <c r="DM460">
        <v>0</v>
      </c>
      <c r="DN460" t="s">
        <v>6</v>
      </c>
      <c r="DO460">
        <v>0</v>
      </c>
      <c r="GQ460">
        <v>-1</v>
      </c>
      <c r="GR460">
        <v>-1</v>
      </c>
    </row>
    <row r="461" spans="1:200" x14ac:dyDescent="0.2">
      <c r="A461">
        <f>ROW(Source!A361)</f>
        <v>361</v>
      </c>
      <c r="B461">
        <v>86326988</v>
      </c>
      <c r="C461">
        <v>86327764</v>
      </c>
      <c r="D461">
        <v>27441327</v>
      </c>
      <c r="E461">
        <v>1</v>
      </c>
      <c r="F461">
        <v>1</v>
      </c>
      <c r="G461">
        <v>1</v>
      </c>
      <c r="H461">
        <v>2</v>
      </c>
      <c r="I461" t="s">
        <v>637</v>
      </c>
      <c r="J461" t="s">
        <v>638</v>
      </c>
      <c r="K461" t="s">
        <v>639</v>
      </c>
      <c r="L461">
        <v>1368</v>
      </c>
      <c r="N461">
        <v>1011</v>
      </c>
      <c r="O461" t="s">
        <v>137</v>
      </c>
      <c r="P461" t="s">
        <v>137</v>
      </c>
      <c r="Q461">
        <v>1</v>
      </c>
      <c r="W461">
        <v>0</v>
      </c>
      <c r="X461">
        <v>-1583389094</v>
      </c>
      <c r="Y461">
        <f>(AT461*1.12)</f>
        <v>0.15680000000000002</v>
      </c>
      <c r="AA461">
        <v>0</v>
      </c>
      <c r="AB461">
        <v>732.02</v>
      </c>
      <c r="AC461">
        <v>231.46</v>
      </c>
      <c r="AD461">
        <v>0</v>
      </c>
      <c r="AE461">
        <v>0</v>
      </c>
      <c r="AF461">
        <v>93.37</v>
      </c>
      <c r="AG461">
        <v>11.69</v>
      </c>
      <c r="AH461">
        <v>0</v>
      </c>
      <c r="AI461">
        <v>1</v>
      </c>
      <c r="AJ461">
        <v>7.84</v>
      </c>
      <c r="AK461">
        <v>19.8</v>
      </c>
      <c r="AL461">
        <v>1</v>
      </c>
      <c r="AM461">
        <v>5</v>
      </c>
      <c r="AN461">
        <v>0</v>
      </c>
      <c r="AO461">
        <v>1</v>
      </c>
      <c r="AP461">
        <v>1</v>
      </c>
      <c r="AQ461">
        <v>0</v>
      </c>
      <c r="AR461">
        <v>0</v>
      </c>
      <c r="AS461" t="s">
        <v>6</v>
      </c>
      <c r="AT461">
        <v>0.14000000000000001</v>
      </c>
      <c r="AU461" t="s">
        <v>24</v>
      </c>
      <c r="AV461">
        <v>0</v>
      </c>
      <c r="AW461">
        <v>2</v>
      </c>
      <c r="AX461">
        <v>86327777</v>
      </c>
      <c r="AY461">
        <v>1</v>
      </c>
      <c r="AZ461">
        <v>0</v>
      </c>
      <c r="BA461">
        <v>382</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CV461">
        <v>0</v>
      </c>
      <c r="CW461">
        <f>ROUND(Y461*Source!I361*DO461,9)</f>
        <v>0</v>
      </c>
      <c r="CX461">
        <f>ROUND(Y461*Source!I361,9)</f>
        <v>7.8399999999999997E-3</v>
      </c>
      <c r="CY461">
        <f>AB461</f>
        <v>732.02</v>
      </c>
      <c r="CZ461">
        <f>AF461</f>
        <v>93.37</v>
      </c>
      <c r="DA461">
        <f>AJ461</f>
        <v>7.84</v>
      </c>
      <c r="DB461">
        <f>ROUND((ROUND(AT461*CZ461,2)*1.12),2)</f>
        <v>14.64</v>
      </c>
      <c r="DC461">
        <f>ROUND((ROUND(AT461*AG461,2)*1.12),2)</f>
        <v>1.84</v>
      </c>
      <c r="DD461" t="s">
        <v>6</v>
      </c>
      <c r="DE461" t="s">
        <v>6</v>
      </c>
      <c r="DF461">
        <f t="shared" si="166"/>
        <v>0</v>
      </c>
      <c r="DG461">
        <f>ROUND(ROUND(AF461*AJ461,0)*CX461,0)</f>
        <v>6</v>
      </c>
      <c r="DH461">
        <f>Source!I361*SmtRes!Y461</f>
        <v>7.8400000000000015E-3</v>
      </c>
      <c r="DI461">
        <f>AB461</f>
        <v>732.02</v>
      </c>
      <c r="DJ461">
        <f>EtalonRes!Z382</f>
        <v>93.37</v>
      </c>
      <c r="DK461">
        <f>Source!BB361</f>
        <v>7.84</v>
      </c>
      <c r="DL461" t="s">
        <v>6</v>
      </c>
      <c r="DM461">
        <v>0</v>
      </c>
      <c r="DN461" t="s">
        <v>6</v>
      </c>
      <c r="DO461">
        <v>0</v>
      </c>
      <c r="GQ461">
        <v>-1</v>
      </c>
      <c r="GR461">
        <v>-1</v>
      </c>
    </row>
    <row r="462" spans="1:200" x14ac:dyDescent="0.2">
      <c r="A462">
        <f>ROW(Source!A361)</f>
        <v>361</v>
      </c>
      <c r="B462">
        <v>86326988</v>
      </c>
      <c r="C462">
        <v>86327764</v>
      </c>
      <c r="D462">
        <v>27377917</v>
      </c>
      <c r="E462">
        <v>1</v>
      </c>
      <c r="F462">
        <v>1</v>
      </c>
      <c r="G462">
        <v>1</v>
      </c>
      <c r="H462">
        <v>3</v>
      </c>
      <c r="I462" t="s">
        <v>316</v>
      </c>
      <c r="J462" t="s">
        <v>318</v>
      </c>
      <c r="K462" t="s">
        <v>317</v>
      </c>
      <c r="L462">
        <v>1348</v>
      </c>
      <c r="N462">
        <v>1009</v>
      </c>
      <c r="O462" t="s">
        <v>33</v>
      </c>
      <c r="P462" t="s">
        <v>33</v>
      </c>
      <c r="Q462">
        <v>1000</v>
      </c>
      <c r="W462">
        <v>0</v>
      </c>
      <c r="X462">
        <v>1988624183</v>
      </c>
      <c r="Y462">
        <f t="shared" ref="Y462:Y474" si="167">AT462</f>
        <v>6.0000000000000001E-3</v>
      </c>
      <c r="AA462">
        <v>96250</v>
      </c>
      <c r="AB462">
        <v>0</v>
      </c>
      <c r="AC462">
        <v>0</v>
      </c>
      <c r="AD462">
        <v>0</v>
      </c>
      <c r="AE462">
        <v>13505.55</v>
      </c>
      <c r="AF462">
        <v>0</v>
      </c>
      <c r="AG462">
        <v>0</v>
      </c>
      <c r="AH462">
        <v>0</v>
      </c>
      <c r="AI462">
        <v>7.56</v>
      </c>
      <c r="AJ462">
        <v>1</v>
      </c>
      <c r="AK462">
        <v>1</v>
      </c>
      <c r="AL462">
        <v>1</v>
      </c>
      <c r="AM462">
        <v>0</v>
      </c>
      <c r="AN462">
        <v>0</v>
      </c>
      <c r="AO462">
        <v>0</v>
      </c>
      <c r="AP462">
        <v>1</v>
      </c>
      <c r="AQ462">
        <v>0</v>
      </c>
      <c r="AR462">
        <v>0</v>
      </c>
      <c r="AS462" t="s">
        <v>6</v>
      </c>
      <c r="AT462">
        <v>6.0000000000000001E-3</v>
      </c>
      <c r="AU462" t="s">
        <v>6</v>
      </c>
      <c r="AV462">
        <v>0</v>
      </c>
      <c r="AW462">
        <v>2</v>
      </c>
      <c r="AX462">
        <v>86327778</v>
      </c>
      <c r="AY462">
        <v>1</v>
      </c>
      <c r="AZ462">
        <v>16384</v>
      </c>
      <c r="BA462">
        <v>383</v>
      </c>
      <c r="BB462">
        <v>3</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CV462">
        <v>0</v>
      </c>
      <c r="CW462">
        <v>0</v>
      </c>
      <c r="CX462">
        <f>ROUND(Y462*Source!I361,9)</f>
        <v>2.9999999999999997E-4</v>
      </c>
      <c r="CY462">
        <f>AA462</f>
        <v>96250</v>
      </c>
      <c r="CZ462">
        <f>AE462</f>
        <v>13505.55</v>
      </c>
      <c r="DA462">
        <f>AI462</f>
        <v>7.56</v>
      </c>
      <c r="DB462">
        <f t="shared" ref="DB462:DB474" si="168">ROUND(ROUND(AT462*CZ462,2),2)</f>
        <v>81.03</v>
      </c>
      <c r="DC462">
        <f t="shared" ref="DC462:DC474" si="169">ROUND(ROUND(AT462*AG462,2),2)</f>
        <v>0</v>
      </c>
      <c r="DD462" t="s">
        <v>6</v>
      </c>
      <c r="DE462" t="s">
        <v>6</v>
      </c>
      <c r="DF462">
        <f>ROUND(ROUND(AE462*AI462,0)*CX462,0)</f>
        <v>31</v>
      </c>
      <c r="DG462">
        <f t="shared" ref="DG462:DG470" si="170">ROUND(ROUND(AF462,0)*CX462,0)</f>
        <v>0</v>
      </c>
      <c r="DH462">
        <f>Source!I361*SmtRes!Y462</f>
        <v>3.0000000000000003E-4</v>
      </c>
      <c r="DI462">
        <f>AA462</f>
        <v>96250</v>
      </c>
      <c r="DJ462">
        <f>EtalonRes!Y383</f>
        <v>10559.12</v>
      </c>
      <c r="DK462">
        <f>Source!BC361</f>
        <v>7.56</v>
      </c>
      <c r="DL462" t="s">
        <v>6</v>
      </c>
      <c r="DM462">
        <v>0</v>
      </c>
      <c r="DN462" t="s">
        <v>6</v>
      </c>
      <c r="DO462">
        <v>0</v>
      </c>
      <c r="GP462">
        <v>1</v>
      </c>
      <c r="GQ462">
        <v>-1</v>
      </c>
      <c r="GR462">
        <v>-1</v>
      </c>
    </row>
    <row r="463" spans="1:200" x14ac:dyDescent="0.2">
      <c r="A463">
        <f>ROW(Source!A361)</f>
        <v>361</v>
      </c>
      <c r="B463">
        <v>86326988</v>
      </c>
      <c r="C463">
        <v>86327764</v>
      </c>
      <c r="D463">
        <v>69205289</v>
      </c>
      <c r="E463">
        <v>1</v>
      </c>
      <c r="F463">
        <v>1</v>
      </c>
      <c r="G463">
        <v>1</v>
      </c>
      <c r="H463">
        <v>3</v>
      </c>
      <c r="I463" t="s">
        <v>487</v>
      </c>
      <c r="J463" t="s">
        <v>489</v>
      </c>
      <c r="K463" t="s">
        <v>488</v>
      </c>
      <c r="L463">
        <v>1348</v>
      </c>
      <c r="N463">
        <v>1009</v>
      </c>
      <c r="O463" t="s">
        <v>33</v>
      </c>
      <c r="P463" t="s">
        <v>33</v>
      </c>
      <c r="Q463">
        <v>1000</v>
      </c>
      <c r="W463">
        <v>0</v>
      </c>
      <c r="X463">
        <v>-777531494</v>
      </c>
      <c r="Y463">
        <f t="shared" si="167"/>
        <v>0.94650000000000001</v>
      </c>
      <c r="AA463">
        <v>129228.19</v>
      </c>
      <c r="AB463">
        <v>0</v>
      </c>
      <c r="AC463">
        <v>0</v>
      </c>
      <c r="AD463">
        <v>0</v>
      </c>
      <c r="AE463">
        <v>17910.760000000002</v>
      </c>
      <c r="AF463">
        <v>0</v>
      </c>
      <c r="AG463">
        <v>0</v>
      </c>
      <c r="AH463">
        <v>0</v>
      </c>
      <c r="AI463">
        <v>7.56</v>
      </c>
      <c r="AJ463">
        <v>1</v>
      </c>
      <c r="AK463">
        <v>1</v>
      </c>
      <c r="AL463">
        <v>1</v>
      </c>
      <c r="AM463">
        <v>0</v>
      </c>
      <c r="AN463">
        <v>0</v>
      </c>
      <c r="AO463">
        <v>0</v>
      </c>
      <c r="AP463">
        <v>1</v>
      </c>
      <c r="AQ463">
        <v>0</v>
      </c>
      <c r="AR463">
        <v>0</v>
      </c>
      <c r="AS463" t="s">
        <v>6</v>
      </c>
      <c r="AT463">
        <v>0.94650000000000001</v>
      </c>
      <c r="AU463" t="s">
        <v>6</v>
      </c>
      <c r="AV463">
        <v>0</v>
      </c>
      <c r="AW463">
        <v>1</v>
      </c>
      <c r="AX463">
        <v>-1</v>
      </c>
      <c r="AY463">
        <v>0</v>
      </c>
      <c r="AZ463">
        <v>0</v>
      </c>
      <c r="BA463" t="s">
        <v>6</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CV463">
        <v>0</v>
      </c>
      <c r="CW463">
        <v>0</v>
      </c>
      <c r="CX463">
        <f>ROUND(Y463*Source!I361,9)</f>
        <v>4.7324999999999999E-2</v>
      </c>
      <c r="CY463">
        <f>AA463</f>
        <v>129228.19</v>
      </c>
      <c r="CZ463">
        <f>AE463</f>
        <v>17910.760000000002</v>
      </c>
      <c r="DA463">
        <f>AI463</f>
        <v>7.56</v>
      </c>
      <c r="DB463">
        <f t="shared" si="168"/>
        <v>16952.53</v>
      </c>
      <c r="DC463">
        <f t="shared" si="169"/>
        <v>0</v>
      </c>
      <c r="DD463" t="s">
        <v>6</v>
      </c>
      <c r="DE463" t="s">
        <v>6</v>
      </c>
      <c r="DF463">
        <f>ROUND(ROUND(AE463*AI463,0)*CX463,0)</f>
        <v>6408</v>
      </c>
      <c r="DG463">
        <f t="shared" si="170"/>
        <v>0</v>
      </c>
      <c r="DH463">
        <f>Source!I361*SmtRes!Y463</f>
        <v>4.7325000000000006E-2</v>
      </c>
      <c r="DI463">
        <f>AA463</f>
        <v>129228.19</v>
      </c>
      <c r="DJ463">
        <f>DF463</f>
        <v>6408</v>
      </c>
      <c r="DK463">
        <f>Source!BC361</f>
        <v>7.56</v>
      </c>
      <c r="DL463" t="s">
        <v>6</v>
      </c>
      <c r="DM463">
        <v>0</v>
      </c>
      <c r="DN463" t="s">
        <v>6</v>
      </c>
      <c r="DO463">
        <v>0</v>
      </c>
      <c r="GP463">
        <v>1</v>
      </c>
      <c r="GQ463">
        <v>-1</v>
      </c>
      <c r="GR463">
        <v>-1</v>
      </c>
    </row>
    <row r="464" spans="1:200" x14ac:dyDescent="0.2">
      <c r="A464">
        <f>ROW(Source!A361)</f>
        <v>361</v>
      </c>
      <c r="B464">
        <v>86326988</v>
      </c>
      <c r="C464">
        <v>86327764</v>
      </c>
      <c r="D464">
        <v>69205329</v>
      </c>
      <c r="E464">
        <v>1</v>
      </c>
      <c r="F464">
        <v>1</v>
      </c>
      <c r="G464">
        <v>1</v>
      </c>
      <c r="H464">
        <v>3</v>
      </c>
      <c r="I464" t="s">
        <v>480</v>
      </c>
      <c r="J464" t="s">
        <v>482</v>
      </c>
      <c r="K464" t="s">
        <v>492</v>
      </c>
      <c r="L464">
        <v>1348</v>
      </c>
      <c r="N464">
        <v>1009</v>
      </c>
      <c r="O464" t="s">
        <v>33</v>
      </c>
      <c r="P464" t="s">
        <v>33</v>
      </c>
      <c r="Q464">
        <v>1000</v>
      </c>
      <c r="W464">
        <v>0</v>
      </c>
      <c r="X464">
        <v>1055029466</v>
      </c>
      <c r="Y464">
        <f t="shared" si="167"/>
        <v>5.3900000000000003E-2</v>
      </c>
      <c r="AA464">
        <v>111949.22</v>
      </c>
      <c r="AB464">
        <v>0</v>
      </c>
      <c r="AC464">
        <v>0</v>
      </c>
      <c r="AD464">
        <v>0</v>
      </c>
      <c r="AE464">
        <v>15515.92</v>
      </c>
      <c r="AF464">
        <v>0</v>
      </c>
      <c r="AG464">
        <v>0</v>
      </c>
      <c r="AH464">
        <v>0</v>
      </c>
      <c r="AI464">
        <v>7.56</v>
      </c>
      <c r="AJ464">
        <v>1</v>
      </c>
      <c r="AK464">
        <v>1</v>
      </c>
      <c r="AL464">
        <v>1</v>
      </c>
      <c r="AM464">
        <v>0</v>
      </c>
      <c r="AN464">
        <v>0</v>
      </c>
      <c r="AO464">
        <v>0</v>
      </c>
      <c r="AP464">
        <v>0</v>
      </c>
      <c r="AQ464">
        <v>0</v>
      </c>
      <c r="AR464">
        <v>0</v>
      </c>
      <c r="AS464" t="s">
        <v>6</v>
      </c>
      <c r="AT464">
        <v>5.3900000000000003E-2</v>
      </c>
      <c r="AU464" t="s">
        <v>6</v>
      </c>
      <c r="AV464">
        <v>0</v>
      </c>
      <c r="AW464">
        <v>1</v>
      </c>
      <c r="AX464">
        <v>-1</v>
      </c>
      <c r="AY464">
        <v>0</v>
      </c>
      <c r="AZ464">
        <v>0</v>
      </c>
      <c r="BA464" t="s">
        <v>6</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CV464">
        <v>0</v>
      </c>
      <c r="CW464">
        <v>0</v>
      </c>
      <c r="CX464">
        <f>ROUND(Y464*Source!I361,9)</f>
        <v>2.6949999999999999E-3</v>
      </c>
      <c r="CY464">
        <f>AA464</f>
        <v>111949.22</v>
      </c>
      <c r="CZ464">
        <f>AE464</f>
        <v>15515.92</v>
      </c>
      <c r="DA464">
        <f>AI464</f>
        <v>7.56</v>
      </c>
      <c r="DB464">
        <f t="shared" si="168"/>
        <v>836.31</v>
      </c>
      <c r="DC464">
        <f t="shared" si="169"/>
        <v>0</v>
      </c>
      <c r="DD464" t="s">
        <v>6</v>
      </c>
      <c r="DE464" t="s">
        <v>6</v>
      </c>
      <c r="DF464">
        <f>ROUND(ROUND(AE464*AI464,0)*CX464,0)</f>
        <v>316</v>
      </c>
      <c r="DG464">
        <f t="shared" si="170"/>
        <v>0</v>
      </c>
      <c r="DH464">
        <f>Source!I361*SmtRes!Y464</f>
        <v>2.6950000000000003E-3</v>
      </c>
      <c r="DI464">
        <f>AA464</f>
        <v>111949.22</v>
      </c>
      <c r="DJ464">
        <f>DF464</f>
        <v>316</v>
      </c>
      <c r="DK464">
        <f>Source!BC361</f>
        <v>7.56</v>
      </c>
      <c r="DL464" t="s">
        <v>6</v>
      </c>
      <c r="DM464">
        <v>0</v>
      </c>
      <c r="DN464" t="s">
        <v>6</v>
      </c>
      <c r="DO464">
        <v>0</v>
      </c>
      <c r="GP464">
        <v>1</v>
      </c>
      <c r="GQ464">
        <v>-1</v>
      </c>
      <c r="GR464">
        <v>-1</v>
      </c>
    </row>
    <row r="465" spans="1:200" x14ac:dyDescent="0.2">
      <c r="A465">
        <f>ROW(Source!A368)</f>
        <v>368</v>
      </c>
      <c r="B465">
        <v>86326987</v>
      </c>
      <c r="C465">
        <v>86327783</v>
      </c>
      <c r="D465">
        <v>27501039</v>
      </c>
      <c r="E465">
        <v>1</v>
      </c>
      <c r="F465">
        <v>1</v>
      </c>
      <c r="G465">
        <v>1</v>
      </c>
      <c r="H465">
        <v>1</v>
      </c>
      <c r="I465" t="s">
        <v>693</v>
      </c>
      <c r="J465" t="s">
        <v>6</v>
      </c>
      <c r="K465" t="s">
        <v>694</v>
      </c>
      <c r="L465">
        <v>1369</v>
      </c>
      <c r="N465">
        <v>1013</v>
      </c>
      <c r="O465" t="s">
        <v>625</v>
      </c>
      <c r="P465" t="s">
        <v>625</v>
      </c>
      <c r="Q465">
        <v>1</v>
      </c>
      <c r="W465">
        <v>0</v>
      </c>
      <c r="X465">
        <v>-1670614445</v>
      </c>
      <c r="Y465">
        <f t="shared" si="167"/>
        <v>42.7</v>
      </c>
      <c r="AA465">
        <v>0</v>
      </c>
      <c r="AB465">
        <v>0</v>
      </c>
      <c r="AC465">
        <v>0</v>
      </c>
      <c r="AD465">
        <v>10.3</v>
      </c>
      <c r="AE465">
        <v>0</v>
      </c>
      <c r="AF465">
        <v>0</v>
      </c>
      <c r="AG465">
        <v>0</v>
      </c>
      <c r="AH465">
        <v>10.3</v>
      </c>
      <c r="AI465">
        <v>1</v>
      </c>
      <c r="AJ465">
        <v>1</v>
      </c>
      <c r="AK465">
        <v>1</v>
      </c>
      <c r="AL465">
        <v>1</v>
      </c>
      <c r="AM465">
        <v>0</v>
      </c>
      <c r="AN465">
        <v>0</v>
      </c>
      <c r="AO465">
        <v>1</v>
      </c>
      <c r="AP465">
        <v>1</v>
      </c>
      <c r="AQ465">
        <v>0</v>
      </c>
      <c r="AR465">
        <v>0</v>
      </c>
      <c r="AS465" t="s">
        <v>6</v>
      </c>
      <c r="AT465">
        <v>42.7</v>
      </c>
      <c r="AU465" t="s">
        <v>6</v>
      </c>
      <c r="AV465">
        <v>1</v>
      </c>
      <c r="AW465">
        <v>2</v>
      </c>
      <c r="AX465">
        <v>86327789</v>
      </c>
      <c r="AY465">
        <v>1</v>
      </c>
      <c r="AZ465">
        <v>0</v>
      </c>
      <c r="BA465">
        <v>385</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CU465">
        <f>ROUND(AT465*Source!I368*AH465*AL465,0)</f>
        <v>18</v>
      </c>
      <c r="CV465">
        <f>ROUND(Y465*Source!I368,9)</f>
        <v>1.7400249999999999</v>
      </c>
      <c r="CW465">
        <v>0</v>
      </c>
      <c r="CX465">
        <f>ROUND(Y465*Source!I368,9)</f>
        <v>1.7400249999999999</v>
      </c>
      <c r="CY465">
        <f>AD465</f>
        <v>10.3</v>
      </c>
      <c r="CZ465">
        <f>AH465</f>
        <v>10.3</v>
      </c>
      <c r="DA465">
        <f>AL465</f>
        <v>1</v>
      </c>
      <c r="DB465">
        <f t="shared" si="168"/>
        <v>439.81</v>
      </c>
      <c r="DC465">
        <f t="shared" si="169"/>
        <v>0</v>
      </c>
      <c r="DD465" t="s">
        <v>6</v>
      </c>
      <c r="DE465" t="s">
        <v>6</v>
      </c>
      <c r="DF465">
        <f t="shared" ref="DF465:DF472" si="171">ROUND(ROUND(AE465,0)*CX465,0)</f>
        <v>0</v>
      </c>
      <c r="DG465">
        <f t="shared" si="170"/>
        <v>0</v>
      </c>
      <c r="DH465">
        <f>Source!I368*SmtRes!Y465</f>
        <v>1.7400250000000002</v>
      </c>
      <c r="DI465">
        <f>AD465</f>
        <v>10.3</v>
      </c>
      <c r="DJ465">
        <f>EtalonRes!AB385</f>
        <v>10.3</v>
      </c>
      <c r="DK465">
        <f>Source!BA368</f>
        <v>1</v>
      </c>
      <c r="DL465" t="s">
        <v>6</v>
      </c>
      <c r="DM465">
        <v>0</v>
      </c>
      <c r="DN465" t="s">
        <v>6</v>
      </c>
      <c r="DO465">
        <v>0</v>
      </c>
      <c r="GQ465">
        <v>-1</v>
      </c>
      <c r="GR465">
        <v>-1</v>
      </c>
    </row>
    <row r="466" spans="1:200" x14ac:dyDescent="0.2">
      <c r="A466">
        <f>ROW(Source!A368)</f>
        <v>368</v>
      </c>
      <c r="B466">
        <v>86326987</v>
      </c>
      <c r="C466">
        <v>86327783</v>
      </c>
      <c r="D466">
        <v>27439703</v>
      </c>
      <c r="E466">
        <v>1</v>
      </c>
      <c r="F466">
        <v>1</v>
      </c>
      <c r="G466">
        <v>1</v>
      </c>
      <c r="H466">
        <v>2</v>
      </c>
      <c r="I466" t="s">
        <v>695</v>
      </c>
      <c r="J466" t="s">
        <v>696</v>
      </c>
      <c r="K466" t="s">
        <v>697</v>
      </c>
      <c r="L466">
        <v>1368</v>
      </c>
      <c r="N466">
        <v>1011</v>
      </c>
      <c r="O466" t="s">
        <v>137</v>
      </c>
      <c r="P466" t="s">
        <v>137</v>
      </c>
      <c r="Q466">
        <v>1</v>
      </c>
      <c r="W466">
        <v>0</v>
      </c>
      <c r="X466">
        <v>2075311453</v>
      </c>
      <c r="Y466">
        <f t="shared" si="167"/>
        <v>21.25</v>
      </c>
      <c r="AA466">
        <v>0</v>
      </c>
      <c r="AB466">
        <v>7.51</v>
      </c>
      <c r="AC466">
        <v>0</v>
      </c>
      <c r="AD466">
        <v>0</v>
      </c>
      <c r="AE466">
        <v>0</v>
      </c>
      <c r="AF466">
        <v>7.51</v>
      </c>
      <c r="AG466">
        <v>0</v>
      </c>
      <c r="AH466">
        <v>0</v>
      </c>
      <c r="AI466">
        <v>1</v>
      </c>
      <c r="AJ466">
        <v>1</v>
      </c>
      <c r="AK466">
        <v>1</v>
      </c>
      <c r="AL466">
        <v>1</v>
      </c>
      <c r="AM466">
        <v>0</v>
      </c>
      <c r="AN466">
        <v>0</v>
      </c>
      <c r="AO466">
        <v>1</v>
      </c>
      <c r="AP466">
        <v>1</v>
      </c>
      <c r="AQ466">
        <v>0</v>
      </c>
      <c r="AR466">
        <v>0</v>
      </c>
      <c r="AS466" t="s">
        <v>6</v>
      </c>
      <c r="AT466">
        <v>21.25</v>
      </c>
      <c r="AU466" t="s">
        <v>6</v>
      </c>
      <c r="AV466">
        <v>0</v>
      </c>
      <c r="AW466">
        <v>2</v>
      </c>
      <c r="AX466">
        <v>86327790</v>
      </c>
      <c r="AY466">
        <v>1</v>
      </c>
      <c r="AZ466">
        <v>0</v>
      </c>
      <c r="BA466">
        <v>386</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CV466">
        <v>0</v>
      </c>
      <c r="CW466">
        <f>ROUND(Y466*Source!I368*DO466,9)</f>
        <v>0</v>
      </c>
      <c r="CX466">
        <f>ROUND(Y466*Source!I368,9)</f>
        <v>0.86593750000000003</v>
      </c>
      <c r="CY466">
        <f>AB466</f>
        <v>7.51</v>
      </c>
      <c r="CZ466">
        <f>AF466</f>
        <v>7.51</v>
      </c>
      <c r="DA466">
        <f>AJ466</f>
        <v>1</v>
      </c>
      <c r="DB466">
        <f t="shared" si="168"/>
        <v>159.59</v>
      </c>
      <c r="DC466">
        <f t="shared" si="169"/>
        <v>0</v>
      </c>
      <c r="DD466" t="s">
        <v>6</v>
      </c>
      <c r="DE466" t="s">
        <v>6</v>
      </c>
      <c r="DF466">
        <f t="shared" si="171"/>
        <v>0</v>
      </c>
      <c r="DG466">
        <f t="shared" si="170"/>
        <v>7</v>
      </c>
      <c r="DH466">
        <f>Source!I368*SmtRes!Y466</f>
        <v>0.86593750000000003</v>
      </c>
      <c r="DI466">
        <f>AB466</f>
        <v>7.51</v>
      </c>
      <c r="DJ466">
        <f>EtalonRes!Z386</f>
        <v>7.51</v>
      </c>
      <c r="DK466">
        <f>Source!BB368</f>
        <v>1</v>
      </c>
      <c r="DL466" t="s">
        <v>6</v>
      </c>
      <c r="DM466">
        <v>0</v>
      </c>
      <c r="DN466" t="s">
        <v>6</v>
      </c>
      <c r="DO466">
        <v>0</v>
      </c>
      <c r="GQ466">
        <v>-1</v>
      </c>
      <c r="GR466">
        <v>-1</v>
      </c>
    </row>
    <row r="467" spans="1:200" x14ac:dyDescent="0.2">
      <c r="A467">
        <f>ROW(Source!A368)</f>
        <v>368</v>
      </c>
      <c r="B467">
        <v>86326987</v>
      </c>
      <c r="C467">
        <v>86327783</v>
      </c>
      <c r="D467">
        <v>27441327</v>
      </c>
      <c r="E467">
        <v>1</v>
      </c>
      <c r="F467">
        <v>1</v>
      </c>
      <c r="G467">
        <v>1</v>
      </c>
      <c r="H467">
        <v>2</v>
      </c>
      <c r="I467" t="s">
        <v>637</v>
      </c>
      <c r="J467" t="s">
        <v>638</v>
      </c>
      <c r="K467" t="s">
        <v>639</v>
      </c>
      <c r="L467">
        <v>1368</v>
      </c>
      <c r="N467">
        <v>1011</v>
      </c>
      <c r="O467" t="s">
        <v>137</v>
      </c>
      <c r="P467" t="s">
        <v>137</v>
      </c>
      <c r="Q467">
        <v>1</v>
      </c>
      <c r="W467">
        <v>0</v>
      </c>
      <c r="X467">
        <v>-1583389094</v>
      </c>
      <c r="Y467">
        <f t="shared" si="167"/>
        <v>1.03</v>
      </c>
      <c r="AA467">
        <v>0</v>
      </c>
      <c r="AB467">
        <v>93.37</v>
      </c>
      <c r="AC467">
        <v>11.69</v>
      </c>
      <c r="AD467">
        <v>0</v>
      </c>
      <c r="AE467">
        <v>0</v>
      </c>
      <c r="AF467">
        <v>93.37</v>
      </c>
      <c r="AG467">
        <v>11.69</v>
      </c>
      <c r="AH467">
        <v>0</v>
      </c>
      <c r="AI467">
        <v>1</v>
      </c>
      <c r="AJ467">
        <v>1</v>
      </c>
      <c r="AK467">
        <v>1</v>
      </c>
      <c r="AL467">
        <v>1</v>
      </c>
      <c r="AM467">
        <v>0</v>
      </c>
      <c r="AN467">
        <v>0</v>
      </c>
      <c r="AO467">
        <v>1</v>
      </c>
      <c r="AP467">
        <v>1</v>
      </c>
      <c r="AQ467">
        <v>0</v>
      </c>
      <c r="AR467">
        <v>0</v>
      </c>
      <c r="AS467" t="s">
        <v>6</v>
      </c>
      <c r="AT467">
        <v>1.03</v>
      </c>
      <c r="AU467" t="s">
        <v>6</v>
      </c>
      <c r="AV467">
        <v>0</v>
      </c>
      <c r="AW467">
        <v>2</v>
      </c>
      <c r="AX467">
        <v>86327791</v>
      </c>
      <c r="AY467">
        <v>1</v>
      </c>
      <c r="AZ467">
        <v>0</v>
      </c>
      <c r="BA467">
        <v>387</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CV467">
        <v>0</v>
      </c>
      <c r="CW467">
        <f>ROUND(Y467*Source!I368*DO467,9)</f>
        <v>0</v>
      </c>
      <c r="CX467">
        <f>ROUND(Y467*Source!I368,9)</f>
        <v>4.1972500000000003E-2</v>
      </c>
      <c r="CY467">
        <f>AB467</f>
        <v>93.37</v>
      </c>
      <c r="CZ467">
        <f>AF467</f>
        <v>93.37</v>
      </c>
      <c r="DA467">
        <f>AJ467</f>
        <v>1</v>
      </c>
      <c r="DB467">
        <f t="shared" si="168"/>
        <v>96.17</v>
      </c>
      <c r="DC467">
        <f t="shared" si="169"/>
        <v>12.04</v>
      </c>
      <c r="DD467" t="s">
        <v>6</v>
      </c>
      <c r="DE467" t="s">
        <v>6</v>
      </c>
      <c r="DF467">
        <f t="shared" si="171"/>
        <v>0</v>
      </c>
      <c r="DG467">
        <f t="shared" si="170"/>
        <v>4</v>
      </c>
      <c r="DH467">
        <f>Source!I368*SmtRes!Y467</f>
        <v>4.1972500000000003E-2</v>
      </c>
      <c r="DI467">
        <f>AB467</f>
        <v>93.37</v>
      </c>
      <c r="DJ467">
        <f>EtalonRes!Z387</f>
        <v>93.37</v>
      </c>
      <c r="DK467">
        <f>Source!BB368</f>
        <v>1</v>
      </c>
      <c r="DL467" t="s">
        <v>6</v>
      </c>
      <c r="DM467">
        <v>0</v>
      </c>
      <c r="DN467" t="s">
        <v>6</v>
      </c>
      <c r="DO467">
        <v>0</v>
      </c>
      <c r="GQ467">
        <v>-1</v>
      </c>
      <c r="GR467">
        <v>-1</v>
      </c>
    </row>
    <row r="468" spans="1:200" x14ac:dyDescent="0.2">
      <c r="A468">
        <f>ROW(Source!A368)</f>
        <v>368</v>
      </c>
      <c r="B468">
        <v>86326987</v>
      </c>
      <c r="C468">
        <v>86327783</v>
      </c>
      <c r="D468">
        <v>27378255</v>
      </c>
      <c r="E468">
        <v>1</v>
      </c>
      <c r="F468">
        <v>1</v>
      </c>
      <c r="G468">
        <v>1</v>
      </c>
      <c r="H468">
        <v>3</v>
      </c>
      <c r="I468" t="s">
        <v>501</v>
      </c>
      <c r="J468" t="s">
        <v>503</v>
      </c>
      <c r="K468" t="s">
        <v>502</v>
      </c>
      <c r="L468">
        <v>1348</v>
      </c>
      <c r="N468">
        <v>1009</v>
      </c>
      <c r="O468" t="s">
        <v>33</v>
      </c>
      <c r="P468" t="s">
        <v>33</v>
      </c>
      <c r="Q468">
        <v>1000</v>
      </c>
      <c r="W468">
        <v>0</v>
      </c>
      <c r="X468">
        <v>-256068961</v>
      </c>
      <c r="Y468">
        <f t="shared" si="167"/>
        <v>0.04</v>
      </c>
      <c r="AA468">
        <v>10380</v>
      </c>
      <c r="AB468">
        <v>0</v>
      </c>
      <c r="AC468">
        <v>0</v>
      </c>
      <c r="AD468">
        <v>0</v>
      </c>
      <c r="AE468">
        <v>10380</v>
      </c>
      <c r="AF468">
        <v>0</v>
      </c>
      <c r="AG468">
        <v>0</v>
      </c>
      <c r="AH468">
        <v>0</v>
      </c>
      <c r="AI468">
        <v>1</v>
      </c>
      <c r="AJ468">
        <v>1</v>
      </c>
      <c r="AK468">
        <v>1</v>
      </c>
      <c r="AL468">
        <v>1</v>
      </c>
      <c r="AM468">
        <v>0</v>
      </c>
      <c r="AN468">
        <v>0</v>
      </c>
      <c r="AO468">
        <v>0</v>
      </c>
      <c r="AP468">
        <v>1</v>
      </c>
      <c r="AQ468">
        <v>0</v>
      </c>
      <c r="AR468">
        <v>0</v>
      </c>
      <c r="AS468" t="s">
        <v>6</v>
      </c>
      <c r="AT468">
        <v>0.04</v>
      </c>
      <c r="AU468" t="s">
        <v>6</v>
      </c>
      <c r="AV468">
        <v>0</v>
      </c>
      <c r="AW468">
        <v>1</v>
      </c>
      <c r="AX468">
        <v>-1</v>
      </c>
      <c r="AY468">
        <v>0</v>
      </c>
      <c r="AZ468">
        <v>0</v>
      </c>
      <c r="BA468" t="s">
        <v>6</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CV468">
        <v>0</v>
      </c>
      <c r="CW468">
        <v>0</v>
      </c>
      <c r="CX468">
        <f>ROUND(Y468*Source!I368,9)</f>
        <v>1.6299999999999999E-3</v>
      </c>
      <c r="CY468">
        <f>AA468</f>
        <v>10380</v>
      </c>
      <c r="CZ468">
        <f>AE468</f>
        <v>10380</v>
      </c>
      <c r="DA468">
        <f>AI468</f>
        <v>1</v>
      </c>
      <c r="DB468">
        <f t="shared" si="168"/>
        <v>415.2</v>
      </c>
      <c r="DC468">
        <f t="shared" si="169"/>
        <v>0</v>
      </c>
      <c r="DD468" t="s">
        <v>6</v>
      </c>
      <c r="DE468" t="s">
        <v>6</v>
      </c>
      <c r="DF468">
        <f t="shared" si="171"/>
        <v>17</v>
      </c>
      <c r="DG468">
        <f t="shared" si="170"/>
        <v>0</v>
      </c>
      <c r="DH468">
        <f>Source!I368*SmtRes!Y468</f>
        <v>1.6300000000000002E-3</v>
      </c>
      <c r="DI468">
        <f>AA468</f>
        <v>10380</v>
      </c>
      <c r="DJ468">
        <f>DF468</f>
        <v>17</v>
      </c>
      <c r="DK468">
        <f>Source!BC368</f>
        <v>1</v>
      </c>
      <c r="DL468" t="s">
        <v>6</v>
      </c>
      <c r="DM468">
        <v>0</v>
      </c>
      <c r="DN468" t="s">
        <v>6</v>
      </c>
      <c r="DO468">
        <v>0</v>
      </c>
      <c r="GP468">
        <v>1</v>
      </c>
      <c r="GQ468">
        <v>-1</v>
      </c>
      <c r="GR468">
        <v>-1</v>
      </c>
    </row>
    <row r="469" spans="1:200" x14ac:dyDescent="0.2">
      <c r="A469">
        <f>ROW(Source!A368)</f>
        <v>368</v>
      </c>
      <c r="B469">
        <v>86326987</v>
      </c>
      <c r="C469">
        <v>86327783</v>
      </c>
      <c r="D469">
        <v>69205265</v>
      </c>
      <c r="E469">
        <v>1</v>
      </c>
      <c r="F469">
        <v>1</v>
      </c>
      <c r="G469">
        <v>1</v>
      </c>
      <c r="H469">
        <v>3</v>
      </c>
      <c r="I469" t="s">
        <v>506</v>
      </c>
      <c r="J469" t="s">
        <v>508</v>
      </c>
      <c r="K469" t="s">
        <v>507</v>
      </c>
      <c r="L469">
        <v>1348</v>
      </c>
      <c r="N469">
        <v>1009</v>
      </c>
      <c r="O469" t="s">
        <v>33</v>
      </c>
      <c r="P469" t="s">
        <v>33</v>
      </c>
      <c r="Q469">
        <v>1000</v>
      </c>
      <c r="W469">
        <v>0</v>
      </c>
      <c r="X469">
        <v>-1554091006</v>
      </c>
      <c r="Y469">
        <f t="shared" si="167"/>
        <v>1</v>
      </c>
      <c r="AA469">
        <v>15447.19</v>
      </c>
      <c r="AB469">
        <v>0</v>
      </c>
      <c r="AC469">
        <v>0</v>
      </c>
      <c r="AD469">
        <v>0</v>
      </c>
      <c r="AE469">
        <v>15447.19</v>
      </c>
      <c r="AF469">
        <v>0</v>
      </c>
      <c r="AG469">
        <v>0</v>
      </c>
      <c r="AH469">
        <v>0</v>
      </c>
      <c r="AI469">
        <v>1</v>
      </c>
      <c r="AJ469">
        <v>1</v>
      </c>
      <c r="AK469">
        <v>1</v>
      </c>
      <c r="AL469">
        <v>1</v>
      </c>
      <c r="AM469">
        <v>0</v>
      </c>
      <c r="AN469">
        <v>0</v>
      </c>
      <c r="AO469">
        <v>0</v>
      </c>
      <c r="AP469">
        <v>1</v>
      </c>
      <c r="AQ469">
        <v>0</v>
      </c>
      <c r="AR469">
        <v>0</v>
      </c>
      <c r="AS469" t="s">
        <v>6</v>
      </c>
      <c r="AT469">
        <v>1</v>
      </c>
      <c r="AU469" t="s">
        <v>6</v>
      </c>
      <c r="AV469">
        <v>0</v>
      </c>
      <c r="AW469">
        <v>1</v>
      </c>
      <c r="AX469">
        <v>-1</v>
      </c>
      <c r="AY469">
        <v>0</v>
      </c>
      <c r="AZ469">
        <v>0</v>
      </c>
      <c r="BA469" t="s">
        <v>6</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CV469">
        <v>0</v>
      </c>
      <c r="CW469">
        <v>0</v>
      </c>
      <c r="CX469">
        <f>ROUND(Y469*Source!I368,9)</f>
        <v>4.0750000000000001E-2</v>
      </c>
      <c r="CY469">
        <f>AA469</f>
        <v>15447.19</v>
      </c>
      <c r="CZ469">
        <f>AE469</f>
        <v>15447.19</v>
      </c>
      <c r="DA469">
        <f>AI469</f>
        <v>1</v>
      </c>
      <c r="DB469">
        <f t="shared" si="168"/>
        <v>15447.19</v>
      </c>
      <c r="DC469">
        <f t="shared" si="169"/>
        <v>0</v>
      </c>
      <c r="DD469" t="s">
        <v>6</v>
      </c>
      <c r="DE469" t="s">
        <v>6</v>
      </c>
      <c r="DF469">
        <f t="shared" si="171"/>
        <v>629</v>
      </c>
      <c r="DG469">
        <f t="shared" si="170"/>
        <v>0</v>
      </c>
      <c r="DH469">
        <f>Source!I368*SmtRes!Y469</f>
        <v>4.0750000000000001E-2</v>
      </c>
      <c r="DI469">
        <f>AA469</f>
        <v>15447.19</v>
      </c>
      <c r="DJ469">
        <f>DF469</f>
        <v>629</v>
      </c>
      <c r="DK469">
        <f>Source!BC368</f>
        <v>1</v>
      </c>
      <c r="DL469" t="s">
        <v>6</v>
      </c>
      <c r="DM469">
        <v>0</v>
      </c>
      <c r="DN469" t="s">
        <v>6</v>
      </c>
      <c r="DO469">
        <v>0</v>
      </c>
      <c r="GP469">
        <v>1</v>
      </c>
      <c r="GQ469">
        <v>-1</v>
      </c>
      <c r="GR469">
        <v>-1</v>
      </c>
    </row>
    <row r="470" spans="1:200" x14ac:dyDescent="0.2">
      <c r="A470">
        <f>ROW(Source!A369)</f>
        <v>369</v>
      </c>
      <c r="B470">
        <v>86326988</v>
      </c>
      <c r="C470">
        <v>86327783</v>
      </c>
      <c r="D470">
        <v>27501039</v>
      </c>
      <c r="E470">
        <v>1</v>
      </c>
      <c r="F470">
        <v>1</v>
      </c>
      <c r="G470">
        <v>1</v>
      </c>
      <c r="H470">
        <v>1</v>
      </c>
      <c r="I470" t="s">
        <v>693</v>
      </c>
      <c r="J470" t="s">
        <v>6</v>
      </c>
      <c r="K470" t="s">
        <v>694</v>
      </c>
      <c r="L470">
        <v>1369</v>
      </c>
      <c r="N470">
        <v>1013</v>
      </c>
      <c r="O470" t="s">
        <v>625</v>
      </c>
      <c r="P470" t="s">
        <v>625</v>
      </c>
      <c r="Q470">
        <v>1</v>
      </c>
      <c r="W470">
        <v>0</v>
      </c>
      <c r="X470">
        <v>-1670614445</v>
      </c>
      <c r="Y470">
        <f t="shared" si="167"/>
        <v>42.7</v>
      </c>
      <c r="AA470">
        <v>0</v>
      </c>
      <c r="AB470">
        <v>0</v>
      </c>
      <c r="AC470">
        <v>0</v>
      </c>
      <c r="AD470">
        <v>263.68</v>
      </c>
      <c r="AE470">
        <v>0</v>
      </c>
      <c r="AF470">
        <v>0</v>
      </c>
      <c r="AG470">
        <v>0</v>
      </c>
      <c r="AH470">
        <v>10.3</v>
      </c>
      <c r="AI470">
        <v>1</v>
      </c>
      <c r="AJ470">
        <v>1</v>
      </c>
      <c r="AK470">
        <v>1</v>
      </c>
      <c r="AL470">
        <v>25.6</v>
      </c>
      <c r="AM470">
        <v>5</v>
      </c>
      <c r="AN470">
        <v>0</v>
      </c>
      <c r="AO470">
        <v>1</v>
      </c>
      <c r="AP470">
        <v>1</v>
      </c>
      <c r="AQ470">
        <v>0</v>
      </c>
      <c r="AR470">
        <v>0</v>
      </c>
      <c r="AS470" t="s">
        <v>6</v>
      </c>
      <c r="AT470">
        <v>42.7</v>
      </c>
      <c r="AU470" t="s">
        <v>6</v>
      </c>
      <c r="AV470">
        <v>1</v>
      </c>
      <c r="AW470">
        <v>2</v>
      </c>
      <c r="AX470">
        <v>86327789</v>
      </c>
      <c r="AY470">
        <v>1</v>
      </c>
      <c r="AZ470">
        <v>0</v>
      </c>
      <c r="BA470">
        <v>390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CU470">
        <f>ROUND(AT470*Source!I369*AH470*AL470,0)</f>
        <v>459</v>
      </c>
      <c r="CV470">
        <f>ROUND(Y470*Source!I369,9)</f>
        <v>1.7400249999999999</v>
      </c>
      <c r="CW470">
        <v>0</v>
      </c>
      <c r="CX470">
        <f>ROUND(Y470*Source!I369,9)</f>
        <v>1.7400249999999999</v>
      </c>
      <c r="CY470">
        <f>AD470</f>
        <v>263.68</v>
      </c>
      <c r="CZ470">
        <f>AH470</f>
        <v>10.3</v>
      </c>
      <c r="DA470">
        <f>AL470</f>
        <v>25.6</v>
      </c>
      <c r="DB470">
        <f t="shared" si="168"/>
        <v>439.81</v>
      </c>
      <c r="DC470">
        <f t="shared" si="169"/>
        <v>0</v>
      </c>
      <c r="DD470" t="s">
        <v>6</v>
      </c>
      <c r="DE470" t="s">
        <v>6</v>
      </c>
      <c r="DF470">
        <f t="shared" si="171"/>
        <v>0</v>
      </c>
      <c r="DG470">
        <f t="shared" si="170"/>
        <v>0</v>
      </c>
      <c r="DH470">
        <f>Source!I369*SmtRes!Y470</f>
        <v>1.7400250000000002</v>
      </c>
      <c r="DI470">
        <f>AD470</f>
        <v>263.68</v>
      </c>
      <c r="DJ470">
        <f>EtalonRes!AB390</f>
        <v>10.3</v>
      </c>
      <c r="DK470">
        <f>Source!BA369</f>
        <v>25.6</v>
      </c>
      <c r="DL470" t="s">
        <v>6</v>
      </c>
      <c r="DM470">
        <v>0</v>
      </c>
      <c r="DN470" t="s">
        <v>6</v>
      </c>
      <c r="DO470">
        <v>0</v>
      </c>
      <c r="GQ470">
        <v>-1</v>
      </c>
      <c r="GR470">
        <v>-1</v>
      </c>
    </row>
    <row r="471" spans="1:200" x14ac:dyDescent="0.2">
      <c r="A471">
        <f>ROW(Source!A369)</f>
        <v>369</v>
      </c>
      <c r="B471">
        <v>86326988</v>
      </c>
      <c r="C471">
        <v>86327783</v>
      </c>
      <c r="D471">
        <v>27439703</v>
      </c>
      <c r="E471">
        <v>1</v>
      </c>
      <c r="F471">
        <v>1</v>
      </c>
      <c r="G471">
        <v>1</v>
      </c>
      <c r="H471">
        <v>2</v>
      </c>
      <c r="I471" t="s">
        <v>695</v>
      </c>
      <c r="J471" t="s">
        <v>696</v>
      </c>
      <c r="K471" t="s">
        <v>697</v>
      </c>
      <c r="L471">
        <v>1368</v>
      </c>
      <c r="N471">
        <v>1011</v>
      </c>
      <c r="O471" t="s">
        <v>137</v>
      </c>
      <c r="P471" t="s">
        <v>137</v>
      </c>
      <c r="Q471">
        <v>1</v>
      </c>
      <c r="W471">
        <v>0</v>
      </c>
      <c r="X471">
        <v>2075311453</v>
      </c>
      <c r="Y471">
        <f t="shared" si="167"/>
        <v>21.25</v>
      </c>
      <c r="AA471">
        <v>0</v>
      </c>
      <c r="AB471">
        <v>69.84</v>
      </c>
      <c r="AC471">
        <v>0</v>
      </c>
      <c r="AD471">
        <v>0</v>
      </c>
      <c r="AE471">
        <v>0</v>
      </c>
      <c r="AF471">
        <v>7.51</v>
      </c>
      <c r="AG471">
        <v>0</v>
      </c>
      <c r="AH471">
        <v>0</v>
      </c>
      <c r="AI471">
        <v>1</v>
      </c>
      <c r="AJ471">
        <v>9.3000000000000007</v>
      </c>
      <c r="AK471">
        <v>19.8</v>
      </c>
      <c r="AL471">
        <v>1</v>
      </c>
      <c r="AM471">
        <v>5</v>
      </c>
      <c r="AN471">
        <v>0</v>
      </c>
      <c r="AO471">
        <v>1</v>
      </c>
      <c r="AP471">
        <v>1</v>
      </c>
      <c r="AQ471">
        <v>0</v>
      </c>
      <c r="AR471">
        <v>0</v>
      </c>
      <c r="AS471" t="s">
        <v>6</v>
      </c>
      <c r="AT471">
        <v>21.25</v>
      </c>
      <c r="AU471" t="s">
        <v>6</v>
      </c>
      <c r="AV471">
        <v>0</v>
      </c>
      <c r="AW471">
        <v>2</v>
      </c>
      <c r="AX471">
        <v>86327790</v>
      </c>
      <c r="AY471">
        <v>1</v>
      </c>
      <c r="AZ471">
        <v>0</v>
      </c>
      <c r="BA471">
        <v>391</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CV471">
        <v>0</v>
      </c>
      <c r="CW471">
        <f>ROUND(Y471*Source!I369*DO471,9)</f>
        <v>0</v>
      </c>
      <c r="CX471">
        <f>ROUND(Y471*Source!I369,9)</f>
        <v>0.86593750000000003</v>
      </c>
      <c r="CY471">
        <f>AB471</f>
        <v>69.84</v>
      </c>
      <c r="CZ471">
        <f>AF471</f>
        <v>7.51</v>
      </c>
      <c r="DA471">
        <f>AJ471</f>
        <v>9.3000000000000007</v>
      </c>
      <c r="DB471">
        <f t="shared" si="168"/>
        <v>159.59</v>
      </c>
      <c r="DC471">
        <f t="shared" si="169"/>
        <v>0</v>
      </c>
      <c r="DD471" t="s">
        <v>6</v>
      </c>
      <c r="DE471" t="s">
        <v>6</v>
      </c>
      <c r="DF471">
        <f t="shared" si="171"/>
        <v>0</v>
      </c>
      <c r="DG471">
        <f>ROUND(ROUND(AF471*AJ471,0)*CX471,0)</f>
        <v>61</v>
      </c>
      <c r="DH471">
        <f>Source!I369*SmtRes!Y471</f>
        <v>0.86593750000000003</v>
      </c>
      <c r="DI471">
        <f>AB471</f>
        <v>69.84</v>
      </c>
      <c r="DJ471">
        <f>EtalonRes!Z391</f>
        <v>7.51</v>
      </c>
      <c r="DK471">
        <f>Source!BB369</f>
        <v>9.3000000000000007</v>
      </c>
      <c r="DL471" t="s">
        <v>6</v>
      </c>
      <c r="DM471">
        <v>0</v>
      </c>
      <c r="DN471" t="s">
        <v>6</v>
      </c>
      <c r="DO471">
        <v>0</v>
      </c>
      <c r="GQ471">
        <v>-1</v>
      </c>
      <c r="GR471">
        <v>-1</v>
      </c>
    </row>
    <row r="472" spans="1:200" x14ac:dyDescent="0.2">
      <c r="A472">
        <f>ROW(Source!A369)</f>
        <v>369</v>
      </c>
      <c r="B472">
        <v>86326988</v>
      </c>
      <c r="C472">
        <v>86327783</v>
      </c>
      <c r="D472">
        <v>27441327</v>
      </c>
      <c r="E472">
        <v>1</v>
      </c>
      <c r="F472">
        <v>1</v>
      </c>
      <c r="G472">
        <v>1</v>
      </c>
      <c r="H472">
        <v>2</v>
      </c>
      <c r="I472" t="s">
        <v>637</v>
      </c>
      <c r="J472" t="s">
        <v>638</v>
      </c>
      <c r="K472" t="s">
        <v>639</v>
      </c>
      <c r="L472">
        <v>1368</v>
      </c>
      <c r="N472">
        <v>1011</v>
      </c>
      <c r="O472" t="s">
        <v>137</v>
      </c>
      <c r="P472" t="s">
        <v>137</v>
      </c>
      <c r="Q472">
        <v>1</v>
      </c>
      <c r="W472">
        <v>0</v>
      </c>
      <c r="X472">
        <v>-1583389094</v>
      </c>
      <c r="Y472">
        <f t="shared" si="167"/>
        <v>1.03</v>
      </c>
      <c r="AA472">
        <v>0</v>
      </c>
      <c r="AB472">
        <v>868.34</v>
      </c>
      <c r="AC472">
        <v>231.46</v>
      </c>
      <c r="AD472">
        <v>0</v>
      </c>
      <c r="AE472">
        <v>0</v>
      </c>
      <c r="AF472">
        <v>93.37</v>
      </c>
      <c r="AG472">
        <v>11.69</v>
      </c>
      <c r="AH472">
        <v>0</v>
      </c>
      <c r="AI472">
        <v>1</v>
      </c>
      <c r="AJ472">
        <v>9.3000000000000007</v>
      </c>
      <c r="AK472">
        <v>19.8</v>
      </c>
      <c r="AL472">
        <v>1</v>
      </c>
      <c r="AM472">
        <v>5</v>
      </c>
      <c r="AN472">
        <v>0</v>
      </c>
      <c r="AO472">
        <v>1</v>
      </c>
      <c r="AP472">
        <v>1</v>
      </c>
      <c r="AQ472">
        <v>0</v>
      </c>
      <c r="AR472">
        <v>0</v>
      </c>
      <c r="AS472" t="s">
        <v>6</v>
      </c>
      <c r="AT472">
        <v>1.03</v>
      </c>
      <c r="AU472" t="s">
        <v>6</v>
      </c>
      <c r="AV472">
        <v>0</v>
      </c>
      <c r="AW472">
        <v>2</v>
      </c>
      <c r="AX472">
        <v>86327791</v>
      </c>
      <c r="AY472">
        <v>1</v>
      </c>
      <c r="AZ472">
        <v>0</v>
      </c>
      <c r="BA472">
        <v>392</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CV472">
        <v>0</v>
      </c>
      <c r="CW472">
        <f>ROUND(Y472*Source!I369*DO472,9)</f>
        <v>0</v>
      </c>
      <c r="CX472">
        <f>ROUND(Y472*Source!I369,9)</f>
        <v>4.1972500000000003E-2</v>
      </c>
      <c r="CY472">
        <f>AB472</f>
        <v>868.34</v>
      </c>
      <c r="CZ472">
        <f>AF472</f>
        <v>93.37</v>
      </c>
      <c r="DA472">
        <f>AJ472</f>
        <v>9.3000000000000007</v>
      </c>
      <c r="DB472">
        <f t="shared" si="168"/>
        <v>96.17</v>
      </c>
      <c r="DC472">
        <f t="shared" si="169"/>
        <v>12.04</v>
      </c>
      <c r="DD472" t="s">
        <v>6</v>
      </c>
      <c r="DE472" t="s">
        <v>6</v>
      </c>
      <c r="DF472">
        <f t="shared" si="171"/>
        <v>0</v>
      </c>
      <c r="DG472">
        <f>ROUND(ROUND(AF472*AJ472,0)*CX472,0)</f>
        <v>36</v>
      </c>
      <c r="DH472">
        <f>Source!I369*SmtRes!Y472</f>
        <v>4.1972500000000003E-2</v>
      </c>
      <c r="DI472">
        <f>AB472</f>
        <v>868.34</v>
      </c>
      <c r="DJ472">
        <f>EtalonRes!Z392</f>
        <v>93.37</v>
      </c>
      <c r="DK472">
        <f>Source!BB369</f>
        <v>9.3000000000000007</v>
      </c>
      <c r="DL472" t="s">
        <v>6</v>
      </c>
      <c r="DM472">
        <v>0</v>
      </c>
      <c r="DN472" t="s">
        <v>6</v>
      </c>
      <c r="DO472">
        <v>0</v>
      </c>
      <c r="GQ472">
        <v>-1</v>
      </c>
      <c r="GR472">
        <v>-1</v>
      </c>
    </row>
    <row r="473" spans="1:200" x14ac:dyDescent="0.2">
      <c r="A473">
        <f>ROW(Source!A369)</f>
        <v>369</v>
      </c>
      <c r="B473">
        <v>86326988</v>
      </c>
      <c r="C473">
        <v>86327783</v>
      </c>
      <c r="D473">
        <v>27378255</v>
      </c>
      <c r="E473">
        <v>1</v>
      </c>
      <c r="F473">
        <v>1</v>
      </c>
      <c r="G473">
        <v>1</v>
      </c>
      <c r="H473">
        <v>3</v>
      </c>
      <c r="I473" t="s">
        <v>501</v>
      </c>
      <c r="J473" t="s">
        <v>503</v>
      </c>
      <c r="K473" t="s">
        <v>502</v>
      </c>
      <c r="L473">
        <v>1348</v>
      </c>
      <c r="N473">
        <v>1009</v>
      </c>
      <c r="O473" t="s">
        <v>33</v>
      </c>
      <c r="P473" t="s">
        <v>33</v>
      </c>
      <c r="Q473">
        <v>1000</v>
      </c>
      <c r="W473">
        <v>0</v>
      </c>
      <c r="X473">
        <v>-256068961</v>
      </c>
      <c r="Y473">
        <f t="shared" si="167"/>
        <v>0.04</v>
      </c>
      <c r="AA473">
        <v>175000</v>
      </c>
      <c r="AB473">
        <v>0</v>
      </c>
      <c r="AC473">
        <v>0</v>
      </c>
      <c r="AD473">
        <v>0</v>
      </c>
      <c r="AE473">
        <v>24555.56</v>
      </c>
      <c r="AF473">
        <v>0</v>
      </c>
      <c r="AG473">
        <v>0</v>
      </c>
      <c r="AH473">
        <v>0</v>
      </c>
      <c r="AI473">
        <v>7.56</v>
      </c>
      <c r="AJ473">
        <v>1</v>
      </c>
      <c r="AK473">
        <v>1</v>
      </c>
      <c r="AL473">
        <v>1</v>
      </c>
      <c r="AM473">
        <v>0</v>
      </c>
      <c r="AN473">
        <v>0</v>
      </c>
      <c r="AO473">
        <v>0</v>
      </c>
      <c r="AP473">
        <v>1</v>
      </c>
      <c r="AQ473">
        <v>0</v>
      </c>
      <c r="AR473">
        <v>0</v>
      </c>
      <c r="AS473" t="s">
        <v>6</v>
      </c>
      <c r="AT473">
        <v>0.04</v>
      </c>
      <c r="AU473" t="s">
        <v>6</v>
      </c>
      <c r="AV473">
        <v>0</v>
      </c>
      <c r="AW473">
        <v>1</v>
      </c>
      <c r="AX473">
        <v>-1</v>
      </c>
      <c r="AY473">
        <v>0</v>
      </c>
      <c r="AZ473">
        <v>0</v>
      </c>
      <c r="BA473" t="s">
        <v>6</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CV473">
        <v>0</v>
      </c>
      <c r="CW473">
        <v>0</v>
      </c>
      <c r="CX473">
        <f>ROUND(Y473*Source!I369,9)</f>
        <v>1.6299999999999999E-3</v>
      </c>
      <c r="CY473">
        <f>AA473</f>
        <v>175000</v>
      </c>
      <c r="CZ473">
        <f>AE473</f>
        <v>24555.56</v>
      </c>
      <c r="DA473">
        <f>AI473</f>
        <v>7.56</v>
      </c>
      <c r="DB473">
        <f t="shared" si="168"/>
        <v>982.22</v>
      </c>
      <c r="DC473">
        <f t="shared" si="169"/>
        <v>0</v>
      </c>
      <c r="DD473" t="s">
        <v>6</v>
      </c>
      <c r="DE473" t="s">
        <v>6</v>
      </c>
      <c r="DF473">
        <f>ROUND(ROUND(AE473*AI473,0)*CX473,0)</f>
        <v>303</v>
      </c>
      <c r="DG473">
        <f t="shared" ref="DG473:DG484" si="172">ROUND(ROUND(AF473,0)*CX473,0)</f>
        <v>0</v>
      </c>
      <c r="DH473">
        <f>Source!I369*SmtRes!Y473</f>
        <v>1.6300000000000002E-3</v>
      </c>
      <c r="DI473">
        <f>AA473</f>
        <v>175000</v>
      </c>
      <c r="DJ473">
        <f>DF473</f>
        <v>303</v>
      </c>
      <c r="DK473">
        <f>Source!BC369</f>
        <v>7.56</v>
      </c>
      <c r="DL473" t="s">
        <v>6</v>
      </c>
      <c r="DM473">
        <v>0</v>
      </c>
      <c r="DN473" t="s">
        <v>6</v>
      </c>
      <c r="DO473">
        <v>0</v>
      </c>
      <c r="GP473">
        <v>1</v>
      </c>
      <c r="GQ473">
        <v>-1</v>
      </c>
      <c r="GR473">
        <v>-1</v>
      </c>
    </row>
    <row r="474" spans="1:200" x14ac:dyDescent="0.2">
      <c r="A474">
        <f>ROW(Source!A369)</f>
        <v>369</v>
      </c>
      <c r="B474">
        <v>86326988</v>
      </c>
      <c r="C474">
        <v>86327783</v>
      </c>
      <c r="D474">
        <v>69205265</v>
      </c>
      <c r="E474">
        <v>1</v>
      </c>
      <c r="F474">
        <v>1</v>
      </c>
      <c r="G474">
        <v>1</v>
      </c>
      <c r="H474">
        <v>3</v>
      </c>
      <c r="I474" t="s">
        <v>506</v>
      </c>
      <c r="J474" t="s">
        <v>508</v>
      </c>
      <c r="K474" t="s">
        <v>507</v>
      </c>
      <c r="L474">
        <v>1348</v>
      </c>
      <c r="N474">
        <v>1009</v>
      </c>
      <c r="O474" t="s">
        <v>33</v>
      </c>
      <c r="P474" t="s">
        <v>33</v>
      </c>
      <c r="Q474">
        <v>1000</v>
      </c>
      <c r="W474">
        <v>0</v>
      </c>
      <c r="X474">
        <v>-1554091006</v>
      </c>
      <c r="Y474">
        <f t="shared" si="167"/>
        <v>1</v>
      </c>
      <c r="AA474">
        <v>124256.72</v>
      </c>
      <c r="AB474">
        <v>0</v>
      </c>
      <c r="AC474">
        <v>0</v>
      </c>
      <c r="AD474">
        <v>0</v>
      </c>
      <c r="AE474">
        <v>17221.71</v>
      </c>
      <c r="AF474">
        <v>0</v>
      </c>
      <c r="AG474">
        <v>0</v>
      </c>
      <c r="AH474">
        <v>0</v>
      </c>
      <c r="AI474">
        <v>7.56</v>
      </c>
      <c r="AJ474">
        <v>1</v>
      </c>
      <c r="AK474">
        <v>1</v>
      </c>
      <c r="AL474">
        <v>1</v>
      </c>
      <c r="AM474">
        <v>0</v>
      </c>
      <c r="AN474">
        <v>0</v>
      </c>
      <c r="AO474">
        <v>0</v>
      </c>
      <c r="AP474">
        <v>1</v>
      </c>
      <c r="AQ474">
        <v>0</v>
      </c>
      <c r="AR474">
        <v>0</v>
      </c>
      <c r="AS474" t="s">
        <v>6</v>
      </c>
      <c r="AT474">
        <v>1</v>
      </c>
      <c r="AU474" t="s">
        <v>6</v>
      </c>
      <c r="AV474">
        <v>0</v>
      </c>
      <c r="AW474">
        <v>1</v>
      </c>
      <c r="AX474">
        <v>-1</v>
      </c>
      <c r="AY474">
        <v>0</v>
      </c>
      <c r="AZ474">
        <v>0</v>
      </c>
      <c r="BA474" t="s">
        <v>6</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CV474">
        <v>0</v>
      </c>
      <c r="CW474">
        <v>0</v>
      </c>
      <c r="CX474">
        <f>ROUND(Y474*Source!I369,9)</f>
        <v>4.0750000000000001E-2</v>
      </c>
      <c r="CY474">
        <f>AA474</f>
        <v>124256.72</v>
      </c>
      <c r="CZ474">
        <f>AE474</f>
        <v>17221.71</v>
      </c>
      <c r="DA474">
        <f>AI474</f>
        <v>7.56</v>
      </c>
      <c r="DB474">
        <f t="shared" si="168"/>
        <v>17221.71</v>
      </c>
      <c r="DC474">
        <f t="shared" si="169"/>
        <v>0</v>
      </c>
      <c r="DD474" t="s">
        <v>6</v>
      </c>
      <c r="DE474" t="s">
        <v>6</v>
      </c>
      <c r="DF474">
        <f>ROUND(ROUND(AE474*AI474,0)*CX474,0)</f>
        <v>5305</v>
      </c>
      <c r="DG474">
        <f t="shared" si="172"/>
        <v>0</v>
      </c>
      <c r="DH474">
        <f>Source!I369*SmtRes!Y474</f>
        <v>4.0750000000000001E-2</v>
      </c>
      <c r="DI474">
        <f>AA474</f>
        <v>124256.72</v>
      </c>
      <c r="DJ474">
        <f>DF474</f>
        <v>5305</v>
      </c>
      <c r="DK474">
        <f>Source!BC369</f>
        <v>7.56</v>
      </c>
      <c r="DL474" t="s">
        <v>6</v>
      </c>
      <c r="DM474">
        <v>0</v>
      </c>
      <c r="DN474" t="s">
        <v>6</v>
      </c>
      <c r="DO474">
        <v>0</v>
      </c>
      <c r="GP474">
        <v>1</v>
      </c>
      <c r="GQ474">
        <v>-1</v>
      </c>
      <c r="GR474">
        <v>-1</v>
      </c>
    </row>
    <row r="475" spans="1:200" x14ac:dyDescent="0.2">
      <c r="A475">
        <f>ROW(Source!A374)</f>
        <v>374</v>
      </c>
      <c r="B475">
        <v>86326987</v>
      </c>
      <c r="C475">
        <v>86327796</v>
      </c>
      <c r="D475">
        <v>27493137</v>
      </c>
      <c r="E475">
        <v>1</v>
      </c>
      <c r="F475">
        <v>1</v>
      </c>
      <c r="G475">
        <v>1</v>
      </c>
      <c r="H475">
        <v>1</v>
      </c>
      <c r="I475" t="s">
        <v>674</v>
      </c>
      <c r="J475" t="s">
        <v>6</v>
      </c>
      <c r="K475" t="s">
        <v>675</v>
      </c>
      <c r="L475">
        <v>1369</v>
      </c>
      <c r="N475">
        <v>1013</v>
      </c>
      <c r="O475" t="s">
        <v>625</v>
      </c>
      <c r="P475" t="s">
        <v>625</v>
      </c>
      <c r="Q475">
        <v>1</v>
      </c>
      <c r="W475">
        <v>0</v>
      </c>
      <c r="X475">
        <v>-1973258772</v>
      </c>
      <c r="Y475">
        <f t="shared" ref="Y475:Y490" si="173">(AT475*2)</f>
        <v>7.66</v>
      </c>
      <c r="AA475">
        <v>0</v>
      </c>
      <c r="AB475">
        <v>0</v>
      </c>
      <c r="AC475">
        <v>0</v>
      </c>
      <c r="AD475">
        <v>9.15</v>
      </c>
      <c r="AE475">
        <v>0</v>
      </c>
      <c r="AF475">
        <v>0</v>
      </c>
      <c r="AG475">
        <v>0</v>
      </c>
      <c r="AH475">
        <v>9.15</v>
      </c>
      <c r="AI475">
        <v>1</v>
      </c>
      <c r="AJ475">
        <v>1</v>
      </c>
      <c r="AK475">
        <v>1</v>
      </c>
      <c r="AL475">
        <v>1</v>
      </c>
      <c r="AM475">
        <v>0</v>
      </c>
      <c r="AN475">
        <v>0</v>
      </c>
      <c r="AO475">
        <v>1</v>
      </c>
      <c r="AP475">
        <v>1</v>
      </c>
      <c r="AQ475">
        <v>0</v>
      </c>
      <c r="AR475">
        <v>0</v>
      </c>
      <c r="AS475" t="s">
        <v>6</v>
      </c>
      <c r="AT475">
        <v>3.83</v>
      </c>
      <c r="AU475" t="s">
        <v>379</v>
      </c>
      <c r="AV475">
        <v>1</v>
      </c>
      <c r="AW475">
        <v>2</v>
      </c>
      <c r="AX475">
        <v>86327805</v>
      </c>
      <c r="AY475">
        <v>1</v>
      </c>
      <c r="AZ475">
        <v>0</v>
      </c>
      <c r="BA475">
        <v>395</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CU475" t="e">
        <f>ROUND(AT475*Source!I374*AH475*AL475,0)</f>
        <v>#REF!</v>
      </c>
      <c r="CV475" t="e">
        <f>ROUND(Y475*Source!I374,9)</f>
        <v>#REF!</v>
      </c>
      <c r="CW475">
        <v>0</v>
      </c>
      <c r="CX475" t="e">
        <f>ROUND(Y475*Source!I374,9)</f>
        <v>#REF!</v>
      </c>
      <c r="CY475">
        <f>AD475</f>
        <v>9.15</v>
      </c>
      <c r="CZ475">
        <f>AH475</f>
        <v>9.15</v>
      </c>
      <c r="DA475">
        <f>AL475</f>
        <v>1</v>
      </c>
      <c r="DB475">
        <f t="shared" ref="DB475:DB490" si="174">ROUND((ROUND(AT475*CZ475,2)*2),2)</f>
        <v>70.08</v>
      </c>
      <c r="DC475">
        <f t="shared" ref="DC475:DC490" si="175">ROUND((ROUND(AT475*AG475,2)*2),2)</f>
        <v>0</v>
      </c>
      <c r="DD475" t="s">
        <v>6</v>
      </c>
      <c r="DE475" t="s">
        <v>6</v>
      </c>
      <c r="DF475" t="e">
        <f t="shared" ref="DF475:DF488" si="176">ROUND(ROUND(AE475,0)*CX475,0)</f>
        <v>#REF!</v>
      </c>
      <c r="DG475" t="e">
        <f t="shared" si="172"/>
        <v>#REF!</v>
      </c>
      <c r="DH475" t="e">
        <f>Source!I374*SmtRes!Y475</f>
        <v>#REF!</v>
      </c>
      <c r="DI475">
        <f>AD475</f>
        <v>9.15</v>
      </c>
      <c r="DJ475">
        <f>EtalonRes!AB395</f>
        <v>9.15</v>
      </c>
      <c r="DK475">
        <f>Source!BA374</f>
        <v>1</v>
      </c>
      <c r="DL475" t="s">
        <v>6</v>
      </c>
      <c r="DM475">
        <v>0</v>
      </c>
      <c r="DN475" t="s">
        <v>6</v>
      </c>
      <c r="DO475">
        <v>0</v>
      </c>
      <c r="GQ475">
        <v>-1</v>
      </c>
      <c r="GR475">
        <v>-1</v>
      </c>
    </row>
    <row r="476" spans="1:200" x14ac:dyDescent="0.2">
      <c r="A476">
        <f>ROW(Source!A374)</f>
        <v>374</v>
      </c>
      <c r="B476">
        <v>86326987</v>
      </c>
      <c r="C476">
        <v>86327796</v>
      </c>
      <c r="D476">
        <v>121548</v>
      </c>
      <c r="E476">
        <v>1</v>
      </c>
      <c r="F476">
        <v>1</v>
      </c>
      <c r="G476">
        <v>1</v>
      </c>
      <c r="H476">
        <v>1</v>
      </c>
      <c r="I476" t="s">
        <v>40</v>
      </c>
      <c r="J476" t="s">
        <v>6</v>
      </c>
      <c r="K476" t="s">
        <v>626</v>
      </c>
      <c r="L476">
        <v>608254</v>
      </c>
      <c r="N476">
        <v>1013</v>
      </c>
      <c r="O476" t="s">
        <v>627</v>
      </c>
      <c r="P476" t="s">
        <v>627</v>
      </c>
      <c r="Q476">
        <v>1</v>
      </c>
      <c r="W476">
        <v>0</v>
      </c>
      <c r="X476">
        <v>-185737400</v>
      </c>
      <c r="Y476">
        <f t="shared" si="173"/>
        <v>0.02</v>
      </c>
      <c r="AA476">
        <v>0</v>
      </c>
      <c r="AB476">
        <v>0</v>
      </c>
      <c r="AC476">
        <v>0</v>
      </c>
      <c r="AD476">
        <v>0</v>
      </c>
      <c r="AE476">
        <v>0</v>
      </c>
      <c r="AF476">
        <v>0</v>
      </c>
      <c r="AG476">
        <v>0</v>
      </c>
      <c r="AH476">
        <v>0</v>
      </c>
      <c r="AI476">
        <v>1</v>
      </c>
      <c r="AJ476">
        <v>1</v>
      </c>
      <c r="AK476">
        <v>1</v>
      </c>
      <c r="AL476">
        <v>1</v>
      </c>
      <c r="AM476">
        <v>0</v>
      </c>
      <c r="AN476">
        <v>0</v>
      </c>
      <c r="AO476">
        <v>1</v>
      </c>
      <c r="AP476">
        <v>1</v>
      </c>
      <c r="AQ476">
        <v>0</v>
      </c>
      <c r="AR476">
        <v>0</v>
      </c>
      <c r="AS476" t="s">
        <v>6</v>
      </c>
      <c r="AT476">
        <v>0.01</v>
      </c>
      <c r="AU476" t="s">
        <v>379</v>
      </c>
      <c r="AV476">
        <v>2</v>
      </c>
      <c r="AW476">
        <v>2</v>
      </c>
      <c r="AX476">
        <v>86327806</v>
      </c>
      <c r="AY476">
        <v>1</v>
      </c>
      <c r="AZ476">
        <v>0</v>
      </c>
      <c r="BA476">
        <v>396</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CV476">
        <v>0</v>
      </c>
      <c r="CW476">
        <v>0</v>
      </c>
      <c r="CX476" t="e">
        <f>ROUND(Y476*Source!I374,9)</f>
        <v>#REF!</v>
      </c>
      <c r="CY476">
        <f>AD476</f>
        <v>0</v>
      </c>
      <c r="CZ476">
        <f>AH476</f>
        <v>0</v>
      </c>
      <c r="DA476">
        <f>AL476</f>
        <v>1</v>
      </c>
      <c r="DB476">
        <f t="shared" si="174"/>
        <v>0</v>
      </c>
      <c r="DC476">
        <f t="shared" si="175"/>
        <v>0</v>
      </c>
      <c r="DD476" t="s">
        <v>6</v>
      </c>
      <c r="DE476" t="s">
        <v>6</v>
      </c>
      <c r="DF476" t="e">
        <f t="shared" si="176"/>
        <v>#REF!</v>
      </c>
      <c r="DG476" t="e">
        <f t="shared" si="172"/>
        <v>#REF!</v>
      </c>
      <c r="DH476" t="e">
        <f>Source!I374*SmtRes!Y476</f>
        <v>#REF!</v>
      </c>
      <c r="DI476">
        <f>AD476</f>
        <v>0</v>
      </c>
      <c r="DJ476">
        <f>EtalonRes!AB396</f>
        <v>0</v>
      </c>
      <c r="DK476">
        <f>Source!BA374</f>
        <v>1</v>
      </c>
      <c r="DL476" t="s">
        <v>6</v>
      </c>
      <c r="DM476">
        <v>0</v>
      </c>
      <c r="DN476" t="s">
        <v>6</v>
      </c>
      <c r="DO476">
        <v>0</v>
      </c>
      <c r="GQ476">
        <v>-1</v>
      </c>
      <c r="GR476">
        <v>-1</v>
      </c>
    </row>
    <row r="477" spans="1:200" x14ac:dyDescent="0.2">
      <c r="A477">
        <f>ROW(Source!A374)</f>
        <v>374</v>
      </c>
      <c r="B477">
        <v>86326987</v>
      </c>
      <c r="C477">
        <v>86327796</v>
      </c>
      <c r="D477">
        <v>27439571</v>
      </c>
      <c r="E477">
        <v>1</v>
      </c>
      <c r="F477">
        <v>1</v>
      </c>
      <c r="G477">
        <v>1</v>
      </c>
      <c r="H477">
        <v>2</v>
      </c>
      <c r="I477" t="s">
        <v>676</v>
      </c>
      <c r="J477" t="s">
        <v>677</v>
      </c>
      <c r="K477" t="s">
        <v>678</v>
      </c>
      <c r="L477">
        <v>1368</v>
      </c>
      <c r="N477">
        <v>1011</v>
      </c>
      <c r="O477" t="s">
        <v>137</v>
      </c>
      <c r="P477" t="s">
        <v>137</v>
      </c>
      <c r="Q477">
        <v>1</v>
      </c>
      <c r="W477">
        <v>0</v>
      </c>
      <c r="X477">
        <v>1462286705</v>
      </c>
      <c r="Y477">
        <f t="shared" si="173"/>
        <v>0.02</v>
      </c>
      <c r="AA477">
        <v>0</v>
      </c>
      <c r="AB477">
        <v>88.42</v>
      </c>
      <c r="AC477">
        <v>10.14</v>
      </c>
      <c r="AD477">
        <v>0</v>
      </c>
      <c r="AE477">
        <v>0</v>
      </c>
      <c r="AF477">
        <v>88.42</v>
      </c>
      <c r="AG477">
        <v>10.14</v>
      </c>
      <c r="AH477">
        <v>0</v>
      </c>
      <c r="AI477">
        <v>1</v>
      </c>
      <c r="AJ477">
        <v>1</v>
      </c>
      <c r="AK477">
        <v>1</v>
      </c>
      <c r="AL477">
        <v>1</v>
      </c>
      <c r="AM477">
        <v>0</v>
      </c>
      <c r="AN477">
        <v>0</v>
      </c>
      <c r="AO477">
        <v>1</v>
      </c>
      <c r="AP477">
        <v>1</v>
      </c>
      <c r="AQ477">
        <v>0</v>
      </c>
      <c r="AR477">
        <v>0</v>
      </c>
      <c r="AS477" t="s">
        <v>6</v>
      </c>
      <c r="AT477">
        <v>0.01</v>
      </c>
      <c r="AU477" t="s">
        <v>379</v>
      </c>
      <c r="AV477">
        <v>0</v>
      </c>
      <c r="AW477">
        <v>2</v>
      </c>
      <c r="AX477">
        <v>86327807</v>
      </c>
      <c r="AY477">
        <v>1</v>
      </c>
      <c r="AZ477">
        <v>0</v>
      </c>
      <c r="BA477">
        <v>397</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CV477">
        <v>0</v>
      </c>
      <c r="CW477" t="e">
        <f>ROUND(Y477*Source!I374*DO477,9)</f>
        <v>#REF!</v>
      </c>
      <c r="CX477" t="e">
        <f>ROUND(Y477*Source!I374,9)</f>
        <v>#REF!</v>
      </c>
      <c r="CY477">
        <f>AB477</f>
        <v>88.42</v>
      </c>
      <c r="CZ477">
        <f>AF477</f>
        <v>88.42</v>
      </c>
      <c r="DA477">
        <f>AJ477</f>
        <v>1</v>
      </c>
      <c r="DB477">
        <f t="shared" si="174"/>
        <v>1.76</v>
      </c>
      <c r="DC477">
        <f t="shared" si="175"/>
        <v>0.2</v>
      </c>
      <c r="DD477" t="s">
        <v>6</v>
      </c>
      <c r="DE477" t="s">
        <v>6</v>
      </c>
      <c r="DF477" t="e">
        <f t="shared" si="176"/>
        <v>#REF!</v>
      </c>
      <c r="DG477" t="e">
        <f t="shared" si="172"/>
        <v>#REF!</v>
      </c>
      <c r="DH477" t="e">
        <f>Source!I374*SmtRes!Y477</f>
        <v>#REF!</v>
      </c>
      <c r="DI477">
        <f>AB477</f>
        <v>88.42</v>
      </c>
      <c r="DJ477">
        <f>EtalonRes!Z397</f>
        <v>88.42</v>
      </c>
      <c r="DK477">
        <f>Source!BB374</f>
        <v>1</v>
      </c>
      <c r="DL477" t="s">
        <v>6</v>
      </c>
      <c r="DM477">
        <v>0</v>
      </c>
      <c r="DN477" t="s">
        <v>6</v>
      </c>
      <c r="DO477">
        <v>0</v>
      </c>
      <c r="GQ477">
        <v>-1</v>
      </c>
      <c r="GR477">
        <v>-1</v>
      </c>
    </row>
    <row r="478" spans="1:200" x14ac:dyDescent="0.2">
      <c r="A478">
        <f>ROW(Source!A374)</f>
        <v>374</v>
      </c>
      <c r="B478">
        <v>86326987</v>
      </c>
      <c r="C478">
        <v>86327796</v>
      </c>
      <c r="D478">
        <v>27439595</v>
      </c>
      <c r="E478">
        <v>1</v>
      </c>
      <c r="F478">
        <v>1</v>
      </c>
      <c r="G478">
        <v>1</v>
      </c>
      <c r="H478">
        <v>2</v>
      </c>
      <c r="I478" t="s">
        <v>679</v>
      </c>
      <c r="J478" t="s">
        <v>680</v>
      </c>
      <c r="K478" t="s">
        <v>681</v>
      </c>
      <c r="L478">
        <v>1368</v>
      </c>
      <c r="N478">
        <v>1011</v>
      </c>
      <c r="O478" t="s">
        <v>137</v>
      </c>
      <c r="P478" t="s">
        <v>137</v>
      </c>
      <c r="Q478">
        <v>1</v>
      </c>
      <c r="W478">
        <v>0</v>
      </c>
      <c r="X478">
        <v>2034592221</v>
      </c>
      <c r="Y478">
        <f t="shared" si="173"/>
        <v>0.02</v>
      </c>
      <c r="AA478">
        <v>0</v>
      </c>
      <c r="AB478">
        <v>2.17</v>
      </c>
      <c r="AC478">
        <v>0</v>
      </c>
      <c r="AD478">
        <v>0</v>
      </c>
      <c r="AE478">
        <v>0</v>
      </c>
      <c r="AF478">
        <v>2.17</v>
      </c>
      <c r="AG478">
        <v>0</v>
      </c>
      <c r="AH478">
        <v>0</v>
      </c>
      <c r="AI478">
        <v>1</v>
      </c>
      <c r="AJ478">
        <v>1</v>
      </c>
      <c r="AK478">
        <v>1</v>
      </c>
      <c r="AL478">
        <v>1</v>
      </c>
      <c r="AM478">
        <v>0</v>
      </c>
      <c r="AN478">
        <v>0</v>
      </c>
      <c r="AO478">
        <v>1</v>
      </c>
      <c r="AP478">
        <v>1</v>
      </c>
      <c r="AQ478">
        <v>0</v>
      </c>
      <c r="AR478">
        <v>0</v>
      </c>
      <c r="AS478" t="s">
        <v>6</v>
      </c>
      <c r="AT478">
        <v>0.01</v>
      </c>
      <c r="AU478" t="s">
        <v>379</v>
      </c>
      <c r="AV478">
        <v>0</v>
      </c>
      <c r="AW478">
        <v>2</v>
      </c>
      <c r="AX478">
        <v>86327808</v>
      </c>
      <c r="AY478">
        <v>1</v>
      </c>
      <c r="AZ478">
        <v>0</v>
      </c>
      <c r="BA478">
        <v>398</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CV478">
        <v>0</v>
      </c>
      <c r="CW478" t="e">
        <f>ROUND(Y478*Source!I374*DO478,9)</f>
        <v>#REF!</v>
      </c>
      <c r="CX478" t="e">
        <f>ROUND(Y478*Source!I374,9)</f>
        <v>#REF!</v>
      </c>
      <c r="CY478">
        <f>AB478</f>
        <v>2.17</v>
      </c>
      <c r="CZ478">
        <f>AF478</f>
        <v>2.17</v>
      </c>
      <c r="DA478">
        <f>AJ478</f>
        <v>1</v>
      </c>
      <c r="DB478">
        <f t="shared" si="174"/>
        <v>0.04</v>
      </c>
      <c r="DC478">
        <f t="shared" si="175"/>
        <v>0</v>
      </c>
      <c r="DD478" t="s">
        <v>6</v>
      </c>
      <c r="DE478" t="s">
        <v>6</v>
      </c>
      <c r="DF478" t="e">
        <f t="shared" si="176"/>
        <v>#REF!</v>
      </c>
      <c r="DG478" t="e">
        <f t="shared" si="172"/>
        <v>#REF!</v>
      </c>
      <c r="DH478" t="e">
        <f>Source!I374*SmtRes!Y478</f>
        <v>#REF!</v>
      </c>
      <c r="DI478">
        <f>AB478</f>
        <v>2.17</v>
      </c>
      <c r="DJ478">
        <f>EtalonRes!Z398</f>
        <v>2.17</v>
      </c>
      <c r="DK478">
        <f>Source!BB374</f>
        <v>1</v>
      </c>
      <c r="DL478" t="s">
        <v>6</v>
      </c>
      <c r="DM478">
        <v>0</v>
      </c>
      <c r="DN478" t="s">
        <v>6</v>
      </c>
      <c r="DO478">
        <v>0</v>
      </c>
      <c r="GQ478">
        <v>-1</v>
      </c>
      <c r="GR478">
        <v>-1</v>
      </c>
    </row>
    <row r="479" spans="1:200" x14ac:dyDescent="0.2">
      <c r="A479">
        <f>ROW(Source!A374)</f>
        <v>374</v>
      </c>
      <c r="B479">
        <v>86326987</v>
      </c>
      <c r="C479">
        <v>86327796</v>
      </c>
      <c r="D479">
        <v>27441139</v>
      </c>
      <c r="E479">
        <v>1</v>
      </c>
      <c r="F479">
        <v>1</v>
      </c>
      <c r="G479">
        <v>1</v>
      </c>
      <c r="H479">
        <v>2</v>
      </c>
      <c r="I479" t="s">
        <v>682</v>
      </c>
      <c r="J479" t="s">
        <v>683</v>
      </c>
      <c r="K479" t="s">
        <v>684</v>
      </c>
      <c r="L479">
        <v>1368</v>
      </c>
      <c r="N479">
        <v>1011</v>
      </c>
      <c r="O479" t="s">
        <v>137</v>
      </c>
      <c r="P479" t="s">
        <v>137</v>
      </c>
      <c r="Q479">
        <v>1</v>
      </c>
      <c r="W479">
        <v>0</v>
      </c>
      <c r="X479">
        <v>-1309944936</v>
      </c>
      <c r="Y479">
        <f t="shared" si="173"/>
        <v>1.3</v>
      </c>
      <c r="AA479">
        <v>0</v>
      </c>
      <c r="AB479">
        <v>6.81</v>
      </c>
      <c r="AC479">
        <v>0</v>
      </c>
      <c r="AD479">
        <v>0</v>
      </c>
      <c r="AE479">
        <v>0</v>
      </c>
      <c r="AF479">
        <v>6.81</v>
      </c>
      <c r="AG479">
        <v>0</v>
      </c>
      <c r="AH479">
        <v>0</v>
      </c>
      <c r="AI479">
        <v>1</v>
      </c>
      <c r="AJ479">
        <v>1</v>
      </c>
      <c r="AK479">
        <v>1</v>
      </c>
      <c r="AL479">
        <v>1</v>
      </c>
      <c r="AM479">
        <v>0</v>
      </c>
      <c r="AN479">
        <v>0</v>
      </c>
      <c r="AO479">
        <v>1</v>
      </c>
      <c r="AP479">
        <v>1</v>
      </c>
      <c r="AQ479">
        <v>0</v>
      </c>
      <c r="AR479">
        <v>0</v>
      </c>
      <c r="AS479" t="s">
        <v>6</v>
      </c>
      <c r="AT479">
        <v>0.65</v>
      </c>
      <c r="AU479" t="s">
        <v>379</v>
      </c>
      <c r="AV479">
        <v>0</v>
      </c>
      <c r="AW479">
        <v>2</v>
      </c>
      <c r="AX479">
        <v>86327809</v>
      </c>
      <c r="AY479">
        <v>1</v>
      </c>
      <c r="AZ479">
        <v>0</v>
      </c>
      <c r="BA479">
        <v>399</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CV479">
        <v>0</v>
      </c>
      <c r="CW479" t="e">
        <f>ROUND(Y479*Source!I374*DO479,9)</f>
        <v>#REF!</v>
      </c>
      <c r="CX479" t="e">
        <f>ROUND(Y479*Source!I374,9)</f>
        <v>#REF!</v>
      </c>
      <c r="CY479">
        <f>AB479</f>
        <v>6.81</v>
      </c>
      <c r="CZ479">
        <f>AF479</f>
        <v>6.81</v>
      </c>
      <c r="DA479">
        <f>AJ479</f>
        <v>1</v>
      </c>
      <c r="DB479">
        <f t="shared" si="174"/>
        <v>8.86</v>
      </c>
      <c r="DC479">
        <f t="shared" si="175"/>
        <v>0</v>
      </c>
      <c r="DD479" t="s">
        <v>6</v>
      </c>
      <c r="DE479" t="s">
        <v>6</v>
      </c>
      <c r="DF479" t="e">
        <f t="shared" si="176"/>
        <v>#REF!</v>
      </c>
      <c r="DG479" t="e">
        <f t="shared" si="172"/>
        <v>#REF!</v>
      </c>
      <c r="DH479" t="e">
        <f>Source!I374*SmtRes!Y479</f>
        <v>#REF!</v>
      </c>
      <c r="DI479">
        <f>AB479</f>
        <v>6.81</v>
      </c>
      <c r="DJ479">
        <f>EtalonRes!Z399</f>
        <v>6.81</v>
      </c>
      <c r="DK479">
        <f>Source!BB374</f>
        <v>1</v>
      </c>
      <c r="DL479" t="s">
        <v>6</v>
      </c>
      <c r="DM479">
        <v>0</v>
      </c>
      <c r="DN479" t="s">
        <v>6</v>
      </c>
      <c r="DO479">
        <v>0</v>
      </c>
      <c r="GQ479">
        <v>-1</v>
      </c>
      <c r="GR479">
        <v>-1</v>
      </c>
    </row>
    <row r="480" spans="1:200" x14ac:dyDescent="0.2">
      <c r="A480">
        <f>ROW(Source!A374)</f>
        <v>374</v>
      </c>
      <c r="B480">
        <v>86326987</v>
      </c>
      <c r="C480">
        <v>86327796</v>
      </c>
      <c r="D480">
        <v>27441327</v>
      </c>
      <c r="E480">
        <v>1</v>
      </c>
      <c r="F480">
        <v>1</v>
      </c>
      <c r="G480">
        <v>1</v>
      </c>
      <c r="H480">
        <v>2</v>
      </c>
      <c r="I480" t="s">
        <v>637</v>
      </c>
      <c r="J480" t="s">
        <v>638</v>
      </c>
      <c r="K480" t="s">
        <v>639</v>
      </c>
      <c r="L480">
        <v>1368</v>
      </c>
      <c r="N480">
        <v>1011</v>
      </c>
      <c r="O480" t="s">
        <v>137</v>
      </c>
      <c r="P480" t="s">
        <v>137</v>
      </c>
      <c r="Q480">
        <v>1</v>
      </c>
      <c r="W480">
        <v>0</v>
      </c>
      <c r="X480">
        <v>-1583389094</v>
      </c>
      <c r="Y480">
        <f t="shared" si="173"/>
        <v>0.02</v>
      </c>
      <c r="AA480">
        <v>0</v>
      </c>
      <c r="AB480">
        <v>93.37</v>
      </c>
      <c r="AC480">
        <v>11.69</v>
      </c>
      <c r="AD480">
        <v>0</v>
      </c>
      <c r="AE480">
        <v>0</v>
      </c>
      <c r="AF480">
        <v>93.37</v>
      </c>
      <c r="AG480">
        <v>11.69</v>
      </c>
      <c r="AH480">
        <v>0</v>
      </c>
      <c r="AI480">
        <v>1</v>
      </c>
      <c r="AJ480">
        <v>1</v>
      </c>
      <c r="AK480">
        <v>1</v>
      </c>
      <c r="AL480">
        <v>1</v>
      </c>
      <c r="AM480">
        <v>0</v>
      </c>
      <c r="AN480">
        <v>0</v>
      </c>
      <c r="AO480">
        <v>1</v>
      </c>
      <c r="AP480">
        <v>1</v>
      </c>
      <c r="AQ480">
        <v>0</v>
      </c>
      <c r="AR480">
        <v>0</v>
      </c>
      <c r="AS480" t="s">
        <v>6</v>
      </c>
      <c r="AT480">
        <v>0.01</v>
      </c>
      <c r="AU480" t="s">
        <v>379</v>
      </c>
      <c r="AV480">
        <v>0</v>
      </c>
      <c r="AW480">
        <v>2</v>
      </c>
      <c r="AX480">
        <v>86327810</v>
      </c>
      <c r="AY480">
        <v>1</v>
      </c>
      <c r="AZ480">
        <v>0</v>
      </c>
      <c r="BA480">
        <v>400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CV480">
        <v>0</v>
      </c>
      <c r="CW480" t="e">
        <f>ROUND(Y480*Source!I374*DO480,9)</f>
        <v>#REF!</v>
      </c>
      <c r="CX480" t="e">
        <f>ROUND(Y480*Source!I374,9)</f>
        <v>#REF!</v>
      </c>
      <c r="CY480">
        <f>AB480</f>
        <v>93.37</v>
      </c>
      <c r="CZ480">
        <f>AF480</f>
        <v>93.37</v>
      </c>
      <c r="DA480">
        <f>AJ480</f>
        <v>1</v>
      </c>
      <c r="DB480">
        <f t="shared" si="174"/>
        <v>1.86</v>
      </c>
      <c r="DC480">
        <f t="shared" si="175"/>
        <v>0.24</v>
      </c>
      <c r="DD480" t="s">
        <v>6</v>
      </c>
      <c r="DE480" t="s">
        <v>6</v>
      </c>
      <c r="DF480" t="e">
        <f t="shared" si="176"/>
        <v>#REF!</v>
      </c>
      <c r="DG480" t="e">
        <f t="shared" si="172"/>
        <v>#REF!</v>
      </c>
      <c r="DH480" t="e">
        <f>Source!I374*SmtRes!Y480</f>
        <v>#REF!</v>
      </c>
      <c r="DI480">
        <f>AB480</f>
        <v>93.37</v>
      </c>
      <c r="DJ480">
        <f>EtalonRes!Z400</f>
        <v>93.37</v>
      </c>
      <c r="DK480">
        <f>Source!BB374</f>
        <v>1</v>
      </c>
      <c r="DL480" t="s">
        <v>6</v>
      </c>
      <c r="DM480">
        <v>0</v>
      </c>
      <c r="DN480" t="s">
        <v>6</v>
      </c>
      <c r="DO480">
        <v>0</v>
      </c>
      <c r="GQ480">
        <v>-1</v>
      </c>
      <c r="GR480">
        <v>-1</v>
      </c>
    </row>
    <row r="481" spans="1:200" x14ac:dyDescent="0.2">
      <c r="A481">
        <f>ROW(Source!A374)</f>
        <v>374</v>
      </c>
      <c r="B481">
        <v>86326987</v>
      </c>
      <c r="C481">
        <v>86327796</v>
      </c>
      <c r="D481">
        <v>27371445</v>
      </c>
      <c r="E481">
        <v>1</v>
      </c>
      <c r="F481">
        <v>1</v>
      </c>
      <c r="G481">
        <v>1</v>
      </c>
      <c r="H481">
        <v>3</v>
      </c>
      <c r="I481" t="s">
        <v>383</v>
      </c>
      <c r="J481" t="s">
        <v>385</v>
      </c>
      <c r="K481" t="s">
        <v>384</v>
      </c>
      <c r="L481">
        <v>1348</v>
      </c>
      <c r="N481">
        <v>1009</v>
      </c>
      <c r="O481" t="s">
        <v>33</v>
      </c>
      <c r="P481" t="s">
        <v>33</v>
      </c>
      <c r="Q481">
        <v>1000</v>
      </c>
      <c r="W481">
        <v>0</v>
      </c>
      <c r="X481">
        <v>186214095</v>
      </c>
      <c r="Y481">
        <f t="shared" si="173"/>
        <v>2.8E-3</v>
      </c>
      <c r="AA481">
        <v>6156.33</v>
      </c>
      <c r="AB481">
        <v>0</v>
      </c>
      <c r="AC481">
        <v>0</v>
      </c>
      <c r="AD481">
        <v>0</v>
      </c>
      <c r="AE481">
        <v>6156.33</v>
      </c>
      <c r="AF481">
        <v>0</v>
      </c>
      <c r="AG481">
        <v>0</v>
      </c>
      <c r="AH481">
        <v>0</v>
      </c>
      <c r="AI481">
        <v>1</v>
      </c>
      <c r="AJ481">
        <v>1</v>
      </c>
      <c r="AK481">
        <v>1</v>
      </c>
      <c r="AL481">
        <v>1</v>
      </c>
      <c r="AM481">
        <v>0</v>
      </c>
      <c r="AN481">
        <v>0</v>
      </c>
      <c r="AO481">
        <v>0</v>
      </c>
      <c r="AP481">
        <v>1</v>
      </c>
      <c r="AQ481">
        <v>0</v>
      </c>
      <c r="AR481">
        <v>0</v>
      </c>
      <c r="AS481" t="s">
        <v>6</v>
      </c>
      <c r="AT481">
        <v>1.4E-3</v>
      </c>
      <c r="AU481" t="s">
        <v>379</v>
      </c>
      <c r="AV481">
        <v>0</v>
      </c>
      <c r="AW481">
        <v>2</v>
      </c>
      <c r="AX481">
        <v>86327811</v>
      </c>
      <c r="AY481">
        <v>1</v>
      </c>
      <c r="AZ481">
        <v>0</v>
      </c>
      <c r="BA481">
        <v>401</v>
      </c>
      <c r="BB481">
        <v>3</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CV481">
        <v>0</v>
      </c>
      <c r="CW481">
        <v>0</v>
      </c>
      <c r="CX481" t="e">
        <f>ROUND(Y481*Source!I374,9)</f>
        <v>#REF!</v>
      </c>
      <c r="CY481">
        <f>AA481</f>
        <v>6156.33</v>
      </c>
      <c r="CZ481">
        <f>AE481</f>
        <v>6156.33</v>
      </c>
      <c r="DA481">
        <f>AI481</f>
        <v>1</v>
      </c>
      <c r="DB481">
        <f t="shared" si="174"/>
        <v>17.239999999999998</v>
      </c>
      <c r="DC481">
        <f t="shared" si="175"/>
        <v>0</v>
      </c>
      <c r="DD481" t="s">
        <v>6</v>
      </c>
      <c r="DE481" t="s">
        <v>6</v>
      </c>
      <c r="DF481" t="e">
        <f t="shared" si="176"/>
        <v>#REF!</v>
      </c>
      <c r="DG481" t="e">
        <f t="shared" si="172"/>
        <v>#REF!</v>
      </c>
      <c r="DH481" t="e">
        <f>Source!I374*SmtRes!Y481</f>
        <v>#REF!</v>
      </c>
      <c r="DI481">
        <f>AA481</f>
        <v>6156.33</v>
      </c>
      <c r="DJ481">
        <f>EtalonRes!Y401</f>
        <v>6156.33</v>
      </c>
      <c r="DK481">
        <f>Source!BC374</f>
        <v>1</v>
      </c>
      <c r="DL481" t="s">
        <v>6</v>
      </c>
      <c r="DM481">
        <v>0</v>
      </c>
      <c r="DN481" t="s">
        <v>6</v>
      </c>
      <c r="DO481">
        <v>0</v>
      </c>
      <c r="GP481">
        <v>1</v>
      </c>
      <c r="GQ481">
        <v>-1</v>
      </c>
      <c r="GR481">
        <v>-1</v>
      </c>
    </row>
    <row r="482" spans="1:200" x14ac:dyDescent="0.2">
      <c r="A482">
        <f>ROW(Source!A374)</f>
        <v>374</v>
      </c>
      <c r="B482">
        <v>86326987</v>
      </c>
      <c r="C482">
        <v>86327796</v>
      </c>
      <c r="D482">
        <v>27387231</v>
      </c>
      <c r="E482">
        <v>1</v>
      </c>
      <c r="F482">
        <v>1</v>
      </c>
      <c r="G482">
        <v>1</v>
      </c>
      <c r="H482">
        <v>3</v>
      </c>
      <c r="I482" t="s">
        <v>388</v>
      </c>
      <c r="J482" t="s">
        <v>390</v>
      </c>
      <c r="K482" t="s">
        <v>389</v>
      </c>
      <c r="L482">
        <v>1348</v>
      </c>
      <c r="N482">
        <v>1009</v>
      </c>
      <c r="O482" t="s">
        <v>33</v>
      </c>
      <c r="P482" t="s">
        <v>33</v>
      </c>
      <c r="Q482">
        <v>1000</v>
      </c>
      <c r="W482">
        <v>0</v>
      </c>
      <c r="X482">
        <v>99884446</v>
      </c>
      <c r="Y482">
        <f t="shared" si="173"/>
        <v>3.7999999999999999E-2</v>
      </c>
      <c r="AA482">
        <v>14313</v>
      </c>
      <c r="AB482">
        <v>0</v>
      </c>
      <c r="AC482">
        <v>0</v>
      </c>
      <c r="AD482">
        <v>0</v>
      </c>
      <c r="AE482">
        <v>14313</v>
      </c>
      <c r="AF482">
        <v>0</v>
      </c>
      <c r="AG482">
        <v>0</v>
      </c>
      <c r="AH482">
        <v>0</v>
      </c>
      <c r="AI482">
        <v>1</v>
      </c>
      <c r="AJ482">
        <v>1</v>
      </c>
      <c r="AK482">
        <v>1</v>
      </c>
      <c r="AL482">
        <v>1</v>
      </c>
      <c r="AM482">
        <v>0</v>
      </c>
      <c r="AN482">
        <v>0</v>
      </c>
      <c r="AO482">
        <v>0</v>
      </c>
      <c r="AP482">
        <v>1</v>
      </c>
      <c r="AQ482">
        <v>0</v>
      </c>
      <c r="AR482">
        <v>0</v>
      </c>
      <c r="AS482" t="s">
        <v>6</v>
      </c>
      <c r="AT482">
        <v>1.9E-2</v>
      </c>
      <c r="AU482" t="s">
        <v>379</v>
      </c>
      <c r="AV482">
        <v>0</v>
      </c>
      <c r="AW482">
        <v>2</v>
      </c>
      <c r="AX482">
        <v>86327812</v>
      </c>
      <c r="AY482">
        <v>1</v>
      </c>
      <c r="AZ482">
        <v>0</v>
      </c>
      <c r="BA482">
        <v>402</v>
      </c>
      <c r="BB482">
        <v>3</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CV482">
        <v>0</v>
      </c>
      <c r="CW482">
        <v>0</v>
      </c>
      <c r="CX482" t="e">
        <f>ROUND(Y482*Source!I374,9)</f>
        <v>#REF!</v>
      </c>
      <c r="CY482">
        <f>AA482</f>
        <v>14313</v>
      </c>
      <c r="CZ482">
        <f>AE482</f>
        <v>14313</v>
      </c>
      <c r="DA482">
        <f>AI482</f>
        <v>1</v>
      </c>
      <c r="DB482">
        <f t="shared" si="174"/>
        <v>543.9</v>
      </c>
      <c r="DC482">
        <f t="shared" si="175"/>
        <v>0</v>
      </c>
      <c r="DD482" t="s">
        <v>6</v>
      </c>
      <c r="DE482" t="s">
        <v>6</v>
      </c>
      <c r="DF482" t="e">
        <f t="shared" si="176"/>
        <v>#REF!</v>
      </c>
      <c r="DG482" t="e">
        <f t="shared" si="172"/>
        <v>#REF!</v>
      </c>
      <c r="DH482" t="e">
        <f>Source!I374*SmtRes!Y482</f>
        <v>#REF!</v>
      </c>
      <c r="DI482">
        <f>AA482</f>
        <v>14313</v>
      </c>
      <c r="DJ482">
        <f>EtalonRes!Y402</f>
        <v>14313</v>
      </c>
      <c r="DK482">
        <f>Source!BC374</f>
        <v>1</v>
      </c>
      <c r="DL482" t="s">
        <v>6</v>
      </c>
      <c r="DM482">
        <v>0</v>
      </c>
      <c r="DN482" t="s">
        <v>6</v>
      </c>
      <c r="DO482">
        <v>0</v>
      </c>
      <c r="GP482">
        <v>1</v>
      </c>
      <c r="GQ482">
        <v>-1</v>
      </c>
      <c r="GR482">
        <v>-1</v>
      </c>
    </row>
    <row r="483" spans="1:200" x14ac:dyDescent="0.2">
      <c r="A483">
        <f>ROW(Source!A375)</f>
        <v>375</v>
      </c>
      <c r="B483">
        <v>86326988</v>
      </c>
      <c r="C483">
        <v>86327796</v>
      </c>
      <c r="D483">
        <v>27493137</v>
      </c>
      <c r="E483">
        <v>1</v>
      </c>
      <c r="F483">
        <v>1</v>
      </c>
      <c r="G483">
        <v>1</v>
      </c>
      <c r="H483">
        <v>1</v>
      </c>
      <c r="I483" t="s">
        <v>674</v>
      </c>
      <c r="J483" t="s">
        <v>6</v>
      </c>
      <c r="K483" t="s">
        <v>675</v>
      </c>
      <c r="L483">
        <v>1369</v>
      </c>
      <c r="N483">
        <v>1013</v>
      </c>
      <c r="O483" t="s">
        <v>625</v>
      </c>
      <c r="P483" t="s">
        <v>625</v>
      </c>
      <c r="Q483">
        <v>1</v>
      </c>
      <c r="W483">
        <v>0</v>
      </c>
      <c r="X483">
        <v>-1973258772</v>
      </c>
      <c r="Y483">
        <f t="shared" si="173"/>
        <v>7.66</v>
      </c>
      <c r="AA483">
        <v>0</v>
      </c>
      <c r="AB483">
        <v>0</v>
      </c>
      <c r="AC483">
        <v>0</v>
      </c>
      <c r="AD483">
        <v>246.59</v>
      </c>
      <c r="AE483">
        <v>0</v>
      </c>
      <c r="AF483">
        <v>0</v>
      </c>
      <c r="AG483">
        <v>0</v>
      </c>
      <c r="AH483">
        <v>9.15</v>
      </c>
      <c r="AI483">
        <v>1</v>
      </c>
      <c r="AJ483">
        <v>1</v>
      </c>
      <c r="AK483">
        <v>1</v>
      </c>
      <c r="AL483">
        <v>26.95</v>
      </c>
      <c r="AM483">
        <v>5</v>
      </c>
      <c r="AN483">
        <v>0</v>
      </c>
      <c r="AO483">
        <v>1</v>
      </c>
      <c r="AP483">
        <v>1</v>
      </c>
      <c r="AQ483">
        <v>0</v>
      </c>
      <c r="AR483">
        <v>0</v>
      </c>
      <c r="AS483" t="s">
        <v>6</v>
      </c>
      <c r="AT483">
        <v>3.83</v>
      </c>
      <c r="AU483" t="s">
        <v>379</v>
      </c>
      <c r="AV483">
        <v>1</v>
      </c>
      <c r="AW483">
        <v>2</v>
      </c>
      <c r="AX483">
        <v>86327805</v>
      </c>
      <c r="AY483">
        <v>1</v>
      </c>
      <c r="AZ483">
        <v>0</v>
      </c>
      <c r="BA483">
        <v>403</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CU483" t="e">
        <f>ROUND(AT483*Source!I375*AH483*AL483,0)</f>
        <v>#REF!</v>
      </c>
      <c r="CV483" t="e">
        <f>ROUND(Y483*Source!I375,9)</f>
        <v>#REF!</v>
      </c>
      <c r="CW483">
        <v>0</v>
      </c>
      <c r="CX483" t="e">
        <f>ROUND(Y483*Source!I375,9)</f>
        <v>#REF!</v>
      </c>
      <c r="CY483">
        <f>AD483</f>
        <v>246.59</v>
      </c>
      <c r="CZ483">
        <f>AH483</f>
        <v>9.15</v>
      </c>
      <c r="DA483">
        <f>AL483</f>
        <v>26.95</v>
      </c>
      <c r="DB483">
        <f t="shared" si="174"/>
        <v>70.08</v>
      </c>
      <c r="DC483">
        <f t="shared" si="175"/>
        <v>0</v>
      </c>
      <c r="DD483" t="s">
        <v>6</v>
      </c>
      <c r="DE483" t="s">
        <v>6</v>
      </c>
      <c r="DF483" t="e">
        <f t="shared" si="176"/>
        <v>#REF!</v>
      </c>
      <c r="DG483" t="e">
        <f t="shared" si="172"/>
        <v>#REF!</v>
      </c>
      <c r="DH483" t="e">
        <f>Source!I375*SmtRes!Y483</f>
        <v>#REF!</v>
      </c>
      <c r="DI483">
        <f>AD483</f>
        <v>246.59</v>
      </c>
      <c r="DJ483">
        <f>EtalonRes!AB403</f>
        <v>9.15</v>
      </c>
      <c r="DK483">
        <f>Source!BA375</f>
        <v>26.95</v>
      </c>
      <c r="DL483" t="s">
        <v>6</v>
      </c>
      <c r="DM483">
        <v>0</v>
      </c>
      <c r="DN483" t="s">
        <v>6</v>
      </c>
      <c r="DO483">
        <v>0</v>
      </c>
      <c r="GQ483">
        <v>-1</v>
      </c>
      <c r="GR483">
        <v>-1</v>
      </c>
    </row>
    <row r="484" spans="1:200" x14ac:dyDescent="0.2">
      <c r="A484">
        <f>ROW(Source!A375)</f>
        <v>375</v>
      </c>
      <c r="B484">
        <v>86326988</v>
      </c>
      <c r="C484">
        <v>86327796</v>
      </c>
      <c r="D484">
        <v>121548</v>
      </c>
      <c r="E484">
        <v>1</v>
      </c>
      <c r="F484">
        <v>1</v>
      </c>
      <c r="G484">
        <v>1</v>
      </c>
      <c r="H484">
        <v>1</v>
      </c>
      <c r="I484" t="s">
        <v>40</v>
      </c>
      <c r="J484" t="s">
        <v>6</v>
      </c>
      <c r="K484" t="s">
        <v>626</v>
      </c>
      <c r="L484">
        <v>608254</v>
      </c>
      <c r="N484">
        <v>1013</v>
      </c>
      <c r="O484" t="s">
        <v>627</v>
      </c>
      <c r="P484" t="s">
        <v>627</v>
      </c>
      <c r="Q484">
        <v>1</v>
      </c>
      <c r="W484">
        <v>0</v>
      </c>
      <c r="X484">
        <v>-185737400</v>
      </c>
      <c r="Y484">
        <f t="shared" si="173"/>
        <v>0.02</v>
      </c>
      <c r="AA484">
        <v>0</v>
      </c>
      <c r="AB484">
        <v>0</v>
      </c>
      <c r="AC484">
        <v>0</v>
      </c>
      <c r="AD484">
        <v>0</v>
      </c>
      <c r="AE484">
        <v>0</v>
      </c>
      <c r="AF484">
        <v>0</v>
      </c>
      <c r="AG484">
        <v>0</v>
      </c>
      <c r="AH484">
        <v>0</v>
      </c>
      <c r="AI484">
        <v>1</v>
      </c>
      <c r="AJ484">
        <v>1</v>
      </c>
      <c r="AK484">
        <v>19.8</v>
      </c>
      <c r="AL484">
        <v>1</v>
      </c>
      <c r="AM484">
        <v>5</v>
      </c>
      <c r="AN484">
        <v>0</v>
      </c>
      <c r="AO484">
        <v>1</v>
      </c>
      <c r="AP484">
        <v>1</v>
      </c>
      <c r="AQ484">
        <v>0</v>
      </c>
      <c r="AR484">
        <v>0</v>
      </c>
      <c r="AS484" t="s">
        <v>6</v>
      </c>
      <c r="AT484">
        <v>0.01</v>
      </c>
      <c r="AU484" t="s">
        <v>379</v>
      </c>
      <c r="AV484">
        <v>2</v>
      </c>
      <c r="AW484">
        <v>2</v>
      </c>
      <c r="AX484">
        <v>86327806</v>
      </c>
      <c r="AY484">
        <v>1</v>
      </c>
      <c r="AZ484">
        <v>0</v>
      </c>
      <c r="BA484">
        <v>404</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CV484">
        <v>0</v>
      </c>
      <c r="CW484">
        <v>0</v>
      </c>
      <c r="CX484" t="e">
        <f>ROUND(Y484*Source!I375,9)</f>
        <v>#REF!</v>
      </c>
      <c r="CY484">
        <f>AD484</f>
        <v>0</v>
      </c>
      <c r="CZ484">
        <f>AH484</f>
        <v>0</v>
      </c>
      <c r="DA484">
        <f>AL484</f>
        <v>1</v>
      </c>
      <c r="DB484">
        <f t="shared" si="174"/>
        <v>0</v>
      </c>
      <c r="DC484">
        <f t="shared" si="175"/>
        <v>0</v>
      </c>
      <c r="DD484" t="s">
        <v>6</v>
      </c>
      <c r="DE484" t="s">
        <v>6</v>
      </c>
      <c r="DF484" t="e">
        <f t="shared" si="176"/>
        <v>#REF!</v>
      </c>
      <c r="DG484" t="e">
        <f t="shared" si="172"/>
        <v>#REF!</v>
      </c>
      <c r="DH484" t="e">
        <f>Source!I375*SmtRes!Y484</f>
        <v>#REF!</v>
      </c>
      <c r="DI484">
        <f>AD484</f>
        <v>0</v>
      </c>
      <c r="DJ484">
        <f>EtalonRes!AB404</f>
        <v>0</v>
      </c>
      <c r="DK484">
        <f>Source!BA375</f>
        <v>26.95</v>
      </c>
      <c r="DL484" t="s">
        <v>6</v>
      </c>
      <c r="DM484">
        <v>0</v>
      </c>
      <c r="DN484" t="s">
        <v>6</v>
      </c>
      <c r="DO484">
        <v>0</v>
      </c>
      <c r="GQ484">
        <v>-1</v>
      </c>
      <c r="GR484">
        <v>-1</v>
      </c>
    </row>
    <row r="485" spans="1:200" x14ac:dyDescent="0.2">
      <c r="A485">
        <f>ROW(Source!A375)</f>
        <v>375</v>
      </c>
      <c r="B485">
        <v>86326988</v>
      </c>
      <c r="C485">
        <v>86327796</v>
      </c>
      <c r="D485">
        <v>27439571</v>
      </c>
      <c r="E485">
        <v>1</v>
      </c>
      <c r="F485">
        <v>1</v>
      </c>
      <c r="G485">
        <v>1</v>
      </c>
      <c r="H485">
        <v>2</v>
      </c>
      <c r="I485" t="s">
        <v>676</v>
      </c>
      <c r="J485" t="s">
        <v>677</v>
      </c>
      <c r="K485" t="s">
        <v>678</v>
      </c>
      <c r="L485">
        <v>1368</v>
      </c>
      <c r="N485">
        <v>1011</v>
      </c>
      <c r="O485" t="s">
        <v>137</v>
      </c>
      <c r="P485" t="s">
        <v>137</v>
      </c>
      <c r="Q485">
        <v>1</v>
      </c>
      <c r="W485">
        <v>0</v>
      </c>
      <c r="X485">
        <v>1462286705</v>
      </c>
      <c r="Y485">
        <f t="shared" si="173"/>
        <v>0.02</v>
      </c>
      <c r="AA485">
        <v>0</v>
      </c>
      <c r="AB485">
        <v>822.31</v>
      </c>
      <c r="AC485">
        <v>200.77</v>
      </c>
      <c r="AD485">
        <v>0</v>
      </c>
      <c r="AE485">
        <v>0</v>
      </c>
      <c r="AF485">
        <v>88.42</v>
      </c>
      <c r="AG485">
        <v>10.14</v>
      </c>
      <c r="AH485">
        <v>0</v>
      </c>
      <c r="AI485">
        <v>1</v>
      </c>
      <c r="AJ485">
        <v>9.3000000000000007</v>
      </c>
      <c r="AK485">
        <v>19.8</v>
      </c>
      <c r="AL485">
        <v>1</v>
      </c>
      <c r="AM485">
        <v>5</v>
      </c>
      <c r="AN485">
        <v>0</v>
      </c>
      <c r="AO485">
        <v>1</v>
      </c>
      <c r="AP485">
        <v>1</v>
      </c>
      <c r="AQ485">
        <v>0</v>
      </c>
      <c r="AR485">
        <v>0</v>
      </c>
      <c r="AS485" t="s">
        <v>6</v>
      </c>
      <c r="AT485">
        <v>0.01</v>
      </c>
      <c r="AU485" t="s">
        <v>379</v>
      </c>
      <c r="AV485">
        <v>0</v>
      </c>
      <c r="AW485">
        <v>2</v>
      </c>
      <c r="AX485">
        <v>86327807</v>
      </c>
      <c r="AY485">
        <v>1</v>
      </c>
      <c r="AZ485">
        <v>0</v>
      </c>
      <c r="BA485">
        <v>405</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CV485">
        <v>0</v>
      </c>
      <c r="CW485" t="e">
        <f>ROUND(Y485*Source!I375*DO485,9)</f>
        <v>#REF!</v>
      </c>
      <c r="CX485" t="e">
        <f>ROUND(Y485*Source!I375,9)</f>
        <v>#REF!</v>
      </c>
      <c r="CY485">
        <f>AB485</f>
        <v>822.31</v>
      </c>
      <c r="CZ485">
        <f>AF485</f>
        <v>88.42</v>
      </c>
      <c r="DA485">
        <f>AJ485</f>
        <v>9.3000000000000007</v>
      </c>
      <c r="DB485">
        <f t="shared" si="174"/>
        <v>1.76</v>
      </c>
      <c r="DC485">
        <f t="shared" si="175"/>
        <v>0.2</v>
      </c>
      <c r="DD485" t="s">
        <v>6</v>
      </c>
      <c r="DE485" t="s">
        <v>6</v>
      </c>
      <c r="DF485" t="e">
        <f t="shared" si="176"/>
        <v>#REF!</v>
      </c>
      <c r="DG485" t="e">
        <f>ROUND(ROUND(AF485*AJ485,0)*CX485,0)</f>
        <v>#REF!</v>
      </c>
      <c r="DH485" t="e">
        <f>Source!I375*SmtRes!Y485</f>
        <v>#REF!</v>
      </c>
      <c r="DI485">
        <f>AB485</f>
        <v>822.31</v>
      </c>
      <c r="DJ485">
        <f>EtalonRes!Z405</f>
        <v>88.42</v>
      </c>
      <c r="DK485">
        <f>Source!BB375</f>
        <v>9.3000000000000007</v>
      </c>
      <c r="DL485" t="s">
        <v>6</v>
      </c>
      <c r="DM485">
        <v>0</v>
      </c>
      <c r="DN485" t="s">
        <v>6</v>
      </c>
      <c r="DO485">
        <v>0</v>
      </c>
      <c r="GQ485">
        <v>-1</v>
      </c>
      <c r="GR485">
        <v>-1</v>
      </c>
    </row>
    <row r="486" spans="1:200" x14ac:dyDescent="0.2">
      <c r="A486">
        <f>ROW(Source!A375)</f>
        <v>375</v>
      </c>
      <c r="B486">
        <v>86326988</v>
      </c>
      <c r="C486">
        <v>86327796</v>
      </c>
      <c r="D486">
        <v>27439595</v>
      </c>
      <c r="E486">
        <v>1</v>
      </c>
      <c r="F486">
        <v>1</v>
      </c>
      <c r="G486">
        <v>1</v>
      </c>
      <c r="H486">
        <v>2</v>
      </c>
      <c r="I486" t="s">
        <v>679</v>
      </c>
      <c r="J486" t="s">
        <v>680</v>
      </c>
      <c r="K486" t="s">
        <v>681</v>
      </c>
      <c r="L486">
        <v>1368</v>
      </c>
      <c r="N486">
        <v>1011</v>
      </c>
      <c r="O486" t="s">
        <v>137</v>
      </c>
      <c r="P486" t="s">
        <v>137</v>
      </c>
      <c r="Q486">
        <v>1</v>
      </c>
      <c r="W486">
        <v>0</v>
      </c>
      <c r="X486">
        <v>2034592221</v>
      </c>
      <c r="Y486">
        <f t="shared" si="173"/>
        <v>0.02</v>
      </c>
      <c r="AA486">
        <v>0</v>
      </c>
      <c r="AB486">
        <v>20.18</v>
      </c>
      <c r="AC486">
        <v>0</v>
      </c>
      <c r="AD486">
        <v>0</v>
      </c>
      <c r="AE486">
        <v>0</v>
      </c>
      <c r="AF486">
        <v>2.17</v>
      </c>
      <c r="AG486">
        <v>0</v>
      </c>
      <c r="AH486">
        <v>0</v>
      </c>
      <c r="AI486">
        <v>1</v>
      </c>
      <c r="AJ486">
        <v>9.3000000000000007</v>
      </c>
      <c r="AK486">
        <v>19.8</v>
      </c>
      <c r="AL486">
        <v>1</v>
      </c>
      <c r="AM486">
        <v>5</v>
      </c>
      <c r="AN486">
        <v>0</v>
      </c>
      <c r="AO486">
        <v>1</v>
      </c>
      <c r="AP486">
        <v>1</v>
      </c>
      <c r="AQ486">
        <v>0</v>
      </c>
      <c r="AR486">
        <v>0</v>
      </c>
      <c r="AS486" t="s">
        <v>6</v>
      </c>
      <c r="AT486">
        <v>0.01</v>
      </c>
      <c r="AU486" t="s">
        <v>379</v>
      </c>
      <c r="AV486">
        <v>0</v>
      </c>
      <c r="AW486">
        <v>2</v>
      </c>
      <c r="AX486">
        <v>86327808</v>
      </c>
      <c r="AY486">
        <v>1</v>
      </c>
      <c r="AZ486">
        <v>0</v>
      </c>
      <c r="BA486">
        <v>406</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CV486">
        <v>0</v>
      </c>
      <c r="CW486" t="e">
        <f>ROUND(Y486*Source!I375*DO486,9)</f>
        <v>#REF!</v>
      </c>
      <c r="CX486" t="e">
        <f>ROUND(Y486*Source!I375,9)</f>
        <v>#REF!</v>
      </c>
      <c r="CY486">
        <f>AB486</f>
        <v>20.18</v>
      </c>
      <c r="CZ486">
        <f>AF486</f>
        <v>2.17</v>
      </c>
      <c r="DA486">
        <f>AJ486</f>
        <v>9.3000000000000007</v>
      </c>
      <c r="DB486">
        <f t="shared" si="174"/>
        <v>0.04</v>
      </c>
      <c r="DC486">
        <f t="shared" si="175"/>
        <v>0</v>
      </c>
      <c r="DD486" t="s">
        <v>6</v>
      </c>
      <c r="DE486" t="s">
        <v>6</v>
      </c>
      <c r="DF486" t="e">
        <f t="shared" si="176"/>
        <v>#REF!</v>
      </c>
      <c r="DG486" t="e">
        <f>ROUND(ROUND(AF486*AJ486,0)*CX486,0)</f>
        <v>#REF!</v>
      </c>
      <c r="DH486" t="e">
        <f>Source!I375*SmtRes!Y486</f>
        <v>#REF!</v>
      </c>
      <c r="DI486">
        <f>AB486</f>
        <v>20.18</v>
      </c>
      <c r="DJ486">
        <f>EtalonRes!Z406</f>
        <v>2.17</v>
      </c>
      <c r="DK486">
        <f>Source!BB375</f>
        <v>9.3000000000000007</v>
      </c>
      <c r="DL486" t="s">
        <v>6</v>
      </c>
      <c r="DM486">
        <v>0</v>
      </c>
      <c r="DN486" t="s">
        <v>6</v>
      </c>
      <c r="DO486">
        <v>0</v>
      </c>
      <c r="GQ486">
        <v>-1</v>
      </c>
      <c r="GR486">
        <v>-1</v>
      </c>
    </row>
    <row r="487" spans="1:200" x14ac:dyDescent="0.2">
      <c r="A487">
        <f>ROW(Source!A375)</f>
        <v>375</v>
      </c>
      <c r="B487">
        <v>86326988</v>
      </c>
      <c r="C487">
        <v>86327796</v>
      </c>
      <c r="D487">
        <v>27441139</v>
      </c>
      <c r="E487">
        <v>1</v>
      </c>
      <c r="F487">
        <v>1</v>
      </c>
      <c r="G487">
        <v>1</v>
      </c>
      <c r="H487">
        <v>2</v>
      </c>
      <c r="I487" t="s">
        <v>682</v>
      </c>
      <c r="J487" t="s">
        <v>683</v>
      </c>
      <c r="K487" t="s">
        <v>684</v>
      </c>
      <c r="L487">
        <v>1368</v>
      </c>
      <c r="N487">
        <v>1011</v>
      </c>
      <c r="O487" t="s">
        <v>137</v>
      </c>
      <c r="P487" t="s">
        <v>137</v>
      </c>
      <c r="Q487">
        <v>1</v>
      </c>
      <c r="W487">
        <v>0</v>
      </c>
      <c r="X487">
        <v>-1309944936</v>
      </c>
      <c r="Y487">
        <f t="shared" si="173"/>
        <v>1.3</v>
      </c>
      <c r="AA487">
        <v>0</v>
      </c>
      <c r="AB487">
        <v>63.33</v>
      </c>
      <c r="AC487">
        <v>0</v>
      </c>
      <c r="AD487">
        <v>0</v>
      </c>
      <c r="AE487">
        <v>0</v>
      </c>
      <c r="AF487">
        <v>6.81</v>
      </c>
      <c r="AG487">
        <v>0</v>
      </c>
      <c r="AH487">
        <v>0</v>
      </c>
      <c r="AI487">
        <v>1</v>
      </c>
      <c r="AJ487">
        <v>9.3000000000000007</v>
      </c>
      <c r="AK487">
        <v>19.8</v>
      </c>
      <c r="AL487">
        <v>1</v>
      </c>
      <c r="AM487">
        <v>5</v>
      </c>
      <c r="AN487">
        <v>0</v>
      </c>
      <c r="AO487">
        <v>1</v>
      </c>
      <c r="AP487">
        <v>1</v>
      </c>
      <c r="AQ487">
        <v>0</v>
      </c>
      <c r="AR487">
        <v>0</v>
      </c>
      <c r="AS487" t="s">
        <v>6</v>
      </c>
      <c r="AT487">
        <v>0.65</v>
      </c>
      <c r="AU487" t="s">
        <v>379</v>
      </c>
      <c r="AV487">
        <v>0</v>
      </c>
      <c r="AW487">
        <v>2</v>
      </c>
      <c r="AX487">
        <v>86327809</v>
      </c>
      <c r="AY487">
        <v>1</v>
      </c>
      <c r="AZ487">
        <v>0</v>
      </c>
      <c r="BA487">
        <v>407</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CV487">
        <v>0</v>
      </c>
      <c r="CW487" t="e">
        <f>ROUND(Y487*Source!I375*DO487,9)</f>
        <v>#REF!</v>
      </c>
      <c r="CX487" t="e">
        <f>ROUND(Y487*Source!I375,9)</f>
        <v>#REF!</v>
      </c>
      <c r="CY487">
        <f>AB487</f>
        <v>63.33</v>
      </c>
      <c r="CZ487">
        <f>AF487</f>
        <v>6.81</v>
      </c>
      <c r="DA487">
        <f>AJ487</f>
        <v>9.3000000000000007</v>
      </c>
      <c r="DB487">
        <f t="shared" si="174"/>
        <v>8.86</v>
      </c>
      <c r="DC487">
        <f t="shared" si="175"/>
        <v>0</v>
      </c>
      <c r="DD487" t="s">
        <v>6</v>
      </c>
      <c r="DE487" t="s">
        <v>6</v>
      </c>
      <c r="DF487" t="e">
        <f t="shared" si="176"/>
        <v>#REF!</v>
      </c>
      <c r="DG487" t="e">
        <f>ROUND(ROUND(AF487*AJ487,0)*CX487,0)</f>
        <v>#REF!</v>
      </c>
      <c r="DH487" t="e">
        <f>Source!I375*SmtRes!Y487</f>
        <v>#REF!</v>
      </c>
      <c r="DI487">
        <f>AB487</f>
        <v>63.33</v>
      </c>
      <c r="DJ487">
        <f>EtalonRes!Z407</f>
        <v>6.81</v>
      </c>
      <c r="DK487">
        <f>Source!BB375</f>
        <v>9.3000000000000007</v>
      </c>
      <c r="DL487" t="s">
        <v>6</v>
      </c>
      <c r="DM487">
        <v>0</v>
      </c>
      <c r="DN487" t="s">
        <v>6</v>
      </c>
      <c r="DO487">
        <v>0</v>
      </c>
      <c r="GQ487">
        <v>-1</v>
      </c>
      <c r="GR487">
        <v>-1</v>
      </c>
    </row>
    <row r="488" spans="1:200" x14ac:dyDescent="0.2">
      <c r="A488">
        <f>ROW(Source!A375)</f>
        <v>375</v>
      </c>
      <c r="B488">
        <v>86326988</v>
      </c>
      <c r="C488">
        <v>86327796</v>
      </c>
      <c r="D488">
        <v>27441327</v>
      </c>
      <c r="E488">
        <v>1</v>
      </c>
      <c r="F488">
        <v>1</v>
      </c>
      <c r="G488">
        <v>1</v>
      </c>
      <c r="H488">
        <v>2</v>
      </c>
      <c r="I488" t="s">
        <v>637</v>
      </c>
      <c r="J488" t="s">
        <v>638</v>
      </c>
      <c r="K488" t="s">
        <v>639</v>
      </c>
      <c r="L488">
        <v>1368</v>
      </c>
      <c r="N488">
        <v>1011</v>
      </c>
      <c r="O488" t="s">
        <v>137</v>
      </c>
      <c r="P488" t="s">
        <v>137</v>
      </c>
      <c r="Q488">
        <v>1</v>
      </c>
      <c r="W488">
        <v>0</v>
      </c>
      <c r="X488">
        <v>-1583389094</v>
      </c>
      <c r="Y488">
        <f t="shared" si="173"/>
        <v>0.02</v>
      </c>
      <c r="AA488">
        <v>0</v>
      </c>
      <c r="AB488">
        <v>868.34</v>
      </c>
      <c r="AC488">
        <v>231.46</v>
      </c>
      <c r="AD488">
        <v>0</v>
      </c>
      <c r="AE488">
        <v>0</v>
      </c>
      <c r="AF488">
        <v>93.37</v>
      </c>
      <c r="AG488">
        <v>11.69</v>
      </c>
      <c r="AH488">
        <v>0</v>
      </c>
      <c r="AI488">
        <v>1</v>
      </c>
      <c r="AJ488">
        <v>9.3000000000000007</v>
      </c>
      <c r="AK488">
        <v>19.8</v>
      </c>
      <c r="AL488">
        <v>1</v>
      </c>
      <c r="AM488">
        <v>5</v>
      </c>
      <c r="AN488">
        <v>0</v>
      </c>
      <c r="AO488">
        <v>1</v>
      </c>
      <c r="AP488">
        <v>1</v>
      </c>
      <c r="AQ488">
        <v>0</v>
      </c>
      <c r="AR488">
        <v>0</v>
      </c>
      <c r="AS488" t="s">
        <v>6</v>
      </c>
      <c r="AT488">
        <v>0.01</v>
      </c>
      <c r="AU488" t="s">
        <v>379</v>
      </c>
      <c r="AV488">
        <v>0</v>
      </c>
      <c r="AW488">
        <v>2</v>
      </c>
      <c r="AX488">
        <v>86327810</v>
      </c>
      <c r="AY488">
        <v>1</v>
      </c>
      <c r="AZ488">
        <v>0</v>
      </c>
      <c r="BA488">
        <v>408</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CV488">
        <v>0</v>
      </c>
      <c r="CW488" t="e">
        <f>ROUND(Y488*Source!I375*DO488,9)</f>
        <v>#REF!</v>
      </c>
      <c r="CX488" t="e">
        <f>ROUND(Y488*Source!I375,9)</f>
        <v>#REF!</v>
      </c>
      <c r="CY488">
        <f>AB488</f>
        <v>868.34</v>
      </c>
      <c r="CZ488">
        <f>AF488</f>
        <v>93.37</v>
      </c>
      <c r="DA488">
        <f>AJ488</f>
        <v>9.3000000000000007</v>
      </c>
      <c r="DB488">
        <f t="shared" si="174"/>
        <v>1.86</v>
      </c>
      <c r="DC488">
        <f t="shared" si="175"/>
        <v>0.24</v>
      </c>
      <c r="DD488" t="s">
        <v>6</v>
      </c>
      <c r="DE488" t="s">
        <v>6</v>
      </c>
      <c r="DF488" t="e">
        <f t="shared" si="176"/>
        <v>#REF!</v>
      </c>
      <c r="DG488" t="e">
        <f>ROUND(ROUND(AF488*AJ488,0)*CX488,0)</f>
        <v>#REF!</v>
      </c>
      <c r="DH488" t="e">
        <f>Source!I375*SmtRes!Y488</f>
        <v>#REF!</v>
      </c>
      <c r="DI488">
        <f>AB488</f>
        <v>868.34</v>
      </c>
      <c r="DJ488">
        <f>EtalonRes!Z408</f>
        <v>93.37</v>
      </c>
      <c r="DK488">
        <f>Source!BB375</f>
        <v>9.3000000000000007</v>
      </c>
      <c r="DL488" t="s">
        <v>6</v>
      </c>
      <c r="DM488">
        <v>0</v>
      </c>
      <c r="DN488" t="s">
        <v>6</v>
      </c>
      <c r="DO488">
        <v>0</v>
      </c>
      <c r="GQ488">
        <v>-1</v>
      </c>
      <c r="GR488">
        <v>-1</v>
      </c>
    </row>
    <row r="489" spans="1:200" x14ac:dyDescent="0.2">
      <c r="A489">
        <f>ROW(Source!A375)</f>
        <v>375</v>
      </c>
      <c r="B489">
        <v>86326988</v>
      </c>
      <c r="C489">
        <v>86327796</v>
      </c>
      <c r="D489">
        <v>27371445</v>
      </c>
      <c r="E489">
        <v>1</v>
      </c>
      <c r="F489">
        <v>1</v>
      </c>
      <c r="G489">
        <v>1</v>
      </c>
      <c r="H489">
        <v>3</v>
      </c>
      <c r="I489" t="s">
        <v>383</v>
      </c>
      <c r="J489" t="s">
        <v>385</v>
      </c>
      <c r="K489" t="s">
        <v>384</v>
      </c>
      <c r="L489">
        <v>1348</v>
      </c>
      <c r="N489">
        <v>1009</v>
      </c>
      <c r="O489" t="s">
        <v>33</v>
      </c>
      <c r="P489" t="s">
        <v>33</v>
      </c>
      <c r="Q489">
        <v>1000</v>
      </c>
      <c r="W489">
        <v>0</v>
      </c>
      <c r="X489">
        <v>186214095</v>
      </c>
      <c r="Y489">
        <f t="shared" si="173"/>
        <v>2.8E-3</v>
      </c>
      <c r="AA489">
        <v>98057</v>
      </c>
      <c r="AB489">
        <v>0</v>
      </c>
      <c r="AC489">
        <v>0</v>
      </c>
      <c r="AD489">
        <v>0</v>
      </c>
      <c r="AE489">
        <v>13759.11</v>
      </c>
      <c r="AF489">
        <v>0</v>
      </c>
      <c r="AG489">
        <v>0</v>
      </c>
      <c r="AH489">
        <v>0</v>
      </c>
      <c r="AI489">
        <v>7.56</v>
      </c>
      <c r="AJ489">
        <v>1</v>
      </c>
      <c r="AK489">
        <v>1</v>
      </c>
      <c r="AL489">
        <v>1</v>
      </c>
      <c r="AM489">
        <v>0</v>
      </c>
      <c r="AN489">
        <v>0</v>
      </c>
      <c r="AO489">
        <v>0</v>
      </c>
      <c r="AP489">
        <v>1</v>
      </c>
      <c r="AQ489">
        <v>0</v>
      </c>
      <c r="AR489">
        <v>0</v>
      </c>
      <c r="AS489" t="s">
        <v>6</v>
      </c>
      <c r="AT489">
        <v>1.4E-3</v>
      </c>
      <c r="AU489" t="s">
        <v>379</v>
      </c>
      <c r="AV489">
        <v>0</v>
      </c>
      <c r="AW489">
        <v>2</v>
      </c>
      <c r="AX489">
        <v>86327811</v>
      </c>
      <c r="AY489">
        <v>1</v>
      </c>
      <c r="AZ489">
        <v>16384</v>
      </c>
      <c r="BA489">
        <v>409</v>
      </c>
      <c r="BB489">
        <v>3</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CV489">
        <v>0</v>
      </c>
      <c r="CW489">
        <v>0</v>
      </c>
      <c r="CX489" t="e">
        <f>ROUND(Y489*Source!I375,9)</f>
        <v>#REF!</v>
      </c>
      <c r="CY489">
        <f>AA489</f>
        <v>98057</v>
      </c>
      <c r="CZ489">
        <f>AE489</f>
        <v>13759.11</v>
      </c>
      <c r="DA489">
        <f>AI489</f>
        <v>7.56</v>
      </c>
      <c r="DB489">
        <f t="shared" si="174"/>
        <v>38.520000000000003</v>
      </c>
      <c r="DC489">
        <f t="shared" si="175"/>
        <v>0</v>
      </c>
      <c r="DD489" t="s">
        <v>6</v>
      </c>
      <c r="DE489" t="s">
        <v>6</v>
      </c>
      <c r="DF489" t="e">
        <f>ROUND(ROUND(AE489*AI489,0)*CX489,0)</f>
        <v>#REF!</v>
      </c>
      <c r="DG489" t="e">
        <f t="shared" ref="DG489:DG495" si="177">ROUND(ROUND(AF489,0)*CX489,0)</f>
        <v>#REF!</v>
      </c>
      <c r="DH489" t="e">
        <f>Source!I375*SmtRes!Y489</f>
        <v>#REF!</v>
      </c>
      <c r="DI489">
        <f>AA489</f>
        <v>98057</v>
      </c>
      <c r="DJ489">
        <f>EtalonRes!Y409</f>
        <v>6156.33</v>
      </c>
      <c r="DK489">
        <f>Source!BC375</f>
        <v>7.56</v>
      </c>
      <c r="DL489" t="s">
        <v>6</v>
      </c>
      <c r="DM489">
        <v>0</v>
      </c>
      <c r="DN489" t="s">
        <v>6</v>
      </c>
      <c r="DO489">
        <v>0</v>
      </c>
      <c r="GP489">
        <v>1</v>
      </c>
      <c r="GQ489">
        <v>-1</v>
      </c>
      <c r="GR489">
        <v>-1</v>
      </c>
    </row>
    <row r="490" spans="1:200" x14ac:dyDescent="0.2">
      <c r="A490">
        <f>ROW(Source!A375)</f>
        <v>375</v>
      </c>
      <c r="B490">
        <v>86326988</v>
      </c>
      <c r="C490">
        <v>86327796</v>
      </c>
      <c r="D490">
        <v>27387231</v>
      </c>
      <c r="E490">
        <v>1</v>
      </c>
      <c r="F490">
        <v>1</v>
      </c>
      <c r="G490">
        <v>1</v>
      </c>
      <c r="H490">
        <v>3</v>
      </c>
      <c r="I490" t="s">
        <v>388</v>
      </c>
      <c r="J490" t="s">
        <v>390</v>
      </c>
      <c r="K490" t="s">
        <v>389</v>
      </c>
      <c r="L490">
        <v>1348</v>
      </c>
      <c r="N490">
        <v>1009</v>
      </c>
      <c r="O490" t="s">
        <v>33</v>
      </c>
      <c r="P490" t="s">
        <v>33</v>
      </c>
      <c r="Q490">
        <v>1000</v>
      </c>
      <c r="W490">
        <v>0</v>
      </c>
      <c r="X490">
        <v>99884446</v>
      </c>
      <c r="Y490">
        <f t="shared" si="173"/>
        <v>3.7999999999999999E-2</v>
      </c>
      <c r="AA490">
        <v>124030</v>
      </c>
      <c r="AB490">
        <v>0</v>
      </c>
      <c r="AC490">
        <v>0</v>
      </c>
      <c r="AD490">
        <v>0</v>
      </c>
      <c r="AE490">
        <v>17403.570000000003</v>
      </c>
      <c r="AF490">
        <v>0</v>
      </c>
      <c r="AG490">
        <v>0</v>
      </c>
      <c r="AH490">
        <v>0</v>
      </c>
      <c r="AI490">
        <v>7.56</v>
      </c>
      <c r="AJ490">
        <v>1</v>
      </c>
      <c r="AK490">
        <v>1</v>
      </c>
      <c r="AL490">
        <v>1</v>
      </c>
      <c r="AM490">
        <v>0</v>
      </c>
      <c r="AN490">
        <v>0</v>
      </c>
      <c r="AO490">
        <v>0</v>
      </c>
      <c r="AP490">
        <v>1</v>
      </c>
      <c r="AQ490">
        <v>0</v>
      </c>
      <c r="AR490">
        <v>0</v>
      </c>
      <c r="AS490" t="s">
        <v>6</v>
      </c>
      <c r="AT490">
        <v>1.9E-2</v>
      </c>
      <c r="AU490" t="s">
        <v>379</v>
      </c>
      <c r="AV490">
        <v>0</v>
      </c>
      <c r="AW490">
        <v>2</v>
      </c>
      <c r="AX490">
        <v>86327812</v>
      </c>
      <c r="AY490">
        <v>1</v>
      </c>
      <c r="AZ490">
        <v>16384</v>
      </c>
      <c r="BA490">
        <v>410</v>
      </c>
      <c r="BB490">
        <v>3</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CV490">
        <v>0</v>
      </c>
      <c r="CW490">
        <v>0</v>
      </c>
      <c r="CX490" t="e">
        <f>ROUND(Y490*Source!I375,9)</f>
        <v>#REF!</v>
      </c>
      <c r="CY490">
        <f>AA490</f>
        <v>124030</v>
      </c>
      <c r="CZ490">
        <f>AE490</f>
        <v>17403.570000000003</v>
      </c>
      <c r="DA490">
        <f>AI490</f>
        <v>7.56</v>
      </c>
      <c r="DB490">
        <f t="shared" si="174"/>
        <v>661.34</v>
      </c>
      <c r="DC490">
        <f t="shared" si="175"/>
        <v>0</v>
      </c>
      <c r="DD490" t="s">
        <v>6</v>
      </c>
      <c r="DE490" t="s">
        <v>6</v>
      </c>
      <c r="DF490" t="e">
        <f>ROUND(ROUND(AE490*AI490,0)*CX490,0)</f>
        <v>#REF!</v>
      </c>
      <c r="DG490" t="e">
        <f t="shared" si="177"/>
        <v>#REF!</v>
      </c>
      <c r="DH490" t="e">
        <f>Source!I375*SmtRes!Y490</f>
        <v>#REF!</v>
      </c>
      <c r="DI490">
        <f>AA490</f>
        <v>124030</v>
      </c>
      <c r="DJ490">
        <f>EtalonRes!Y410</f>
        <v>14313</v>
      </c>
      <c r="DK490">
        <f>Source!BC375</f>
        <v>7.56</v>
      </c>
      <c r="DL490" t="s">
        <v>6</v>
      </c>
      <c r="DM490">
        <v>0</v>
      </c>
      <c r="DN490" t="s">
        <v>6</v>
      </c>
      <c r="DO490">
        <v>0</v>
      </c>
      <c r="GP490">
        <v>1</v>
      </c>
      <c r="GQ490">
        <v>-1</v>
      </c>
      <c r="GR490">
        <v>-1</v>
      </c>
    </row>
    <row r="491" spans="1:200" x14ac:dyDescent="0.2">
      <c r="A491">
        <f>ROW(Source!A380)</f>
        <v>380</v>
      </c>
      <c r="B491">
        <v>86326987</v>
      </c>
      <c r="C491">
        <v>86327815</v>
      </c>
      <c r="D491">
        <v>27493087</v>
      </c>
      <c r="E491">
        <v>1</v>
      </c>
      <c r="F491">
        <v>1</v>
      </c>
      <c r="G491">
        <v>1</v>
      </c>
      <c r="H491">
        <v>1</v>
      </c>
      <c r="I491" t="s">
        <v>698</v>
      </c>
      <c r="J491" t="s">
        <v>6</v>
      </c>
      <c r="K491" t="s">
        <v>699</v>
      </c>
      <c r="L491">
        <v>1369</v>
      </c>
      <c r="N491">
        <v>1013</v>
      </c>
      <c r="O491" t="s">
        <v>625</v>
      </c>
      <c r="P491" t="s">
        <v>625</v>
      </c>
      <c r="Q491">
        <v>1</v>
      </c>
      <c r="W491">
        <v>0</v>
      </c>
      <c r="X491">
        <v>800791658</v>
      </c>
      <c r="Y491">
        <f>(AT491*1.5)</f>
        <v>14.205000000000002</v>
      </c>
      <c r="AA491">
        <v>0</v>
      </c>
      <c r="AB491">
        <v>0</v>
      </c>
      <c r="AC491">
        <v>0</v>
      </c>
      <c r="AD491">
        <v>9.48</v>
      </c>
      <c r="AE491">
        <v>0</v>
      </c>
      <c r="AF491">
        <v>0</v>
      </c>
      <c r="AG491">
        <v>0</v>
      </c>
      <c r="AH491">
        <v>9.48</v>
      </c>
      <c r="AI491">
        <v>1</v>
      </c>
      <c r="AJ491">
        <v>1</v>
      </c>
      <c r="AK491">
        <v>1</v>
      </c>
      <c r="AL491">
        <v>1</v>
      </c>
      <c r="AM491">
        <v>0</v>
      </c>
      <c r="AN491">
        <v>0</v>
      </c>
      <c r="AO491">
        <v>1</v>
      </c>
      <c r="AP491">
        <v>1</v>
      </c>
      <c r="AQ491">
        <v>0</v>
      </c>
      <c r="AR491">
        <v>0</v>
      </c>
      <c r="AS491" t="s">
        <v>6</v>
      </c>
      <c r="AT491">
        <v>9.4700000000000006</v>
      </c>
      <c r="AU491" t="s">
        <v>519</v>
      </c>
      <c r="AV491">
        <v>1</v>
      </c>
      <c r="AW491">
        <v>2</v>
      </c>
      <c r="AX491">
        <v>86327820</v>
      </c>
      <c r="AY491">
        <v>1</v>
      </c>
      <c r="AZ491">
        <v>0</v>
      </c>
      <c r="BA491">
        <v>411</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CU491" t="e">
        <f>ROUND(AT491*Source!I380*AH491*AL491,0)</f>
        <v>#REF!</v>
      </c>
      <c r="CV491" t="e">
        <f>ROUND(Y491*Source!I380,9)</f>
        <v>#REF!</v>
      </c>
      <c r="CW491">
        <v>0</v>
      </c>
      <c r="CX491" t="e">
        <f>ROUND(Y491*Source!I380,9)</f>
        <v>#REF!</v>
      </c>
      <c r="CY491">
        <f>AD491</f>
        <v>9.48</v>
      </c>
      <c r="CZ491">
        <f>AH491</f>
        <v>9.48</v>
      </c>
      <c r="DA491">
        <f>AL491</f>
        <v>1</v>
      </c>
      <c r="DB491">
        <f>ROUND((ROUND(AT491*CZ491,2)*1.5),2)</f>
        <v>134.66999999999999</v>
      </c>
      <c r="DC491">
        <f>ROUND((ROUND(AT491*AG491,2)*1.5),2)</f>
        <v>0</v>
      </c>
      <c r="DD491" t="s">
        <v>6</v>
      </c>
      <c r="DE491" t="s">
        <v>6</v>
      </c>
      <c r="DF491" t="e">
        <f t="shared" ref="DF491:DF497" si="178">ROUND(ROUND(AE491,0)*CX491,0)</f>
        <v>#REF!</v>
      </c>
      <c r="DG491" t="e">
        <f t="shared" si="177"/>
        <v>#REF!</v>
      </c>
      <c r="DH491" t="e">
        <f>Source!I380*SmtRes!Y491</f>
        <v>#REF!</v>
      </c>
      <c r="DI491">
        <f>AD491</f>
        <v>9.48</v>
      </c>
      <c r="DJ491">
        <f>EtalonRes!AB411</f>
        <v>9.48</v>
      </c>
      <c r="DK491">
        <f>Source!BA380</f>
        <v>1</v>
      </c>
      <c r="DL491" t="s">
        <v>6</v>
      </c>
      <c r="DM491">
        <v>0</v>
      </c>
      <c r="DN491" t="s">
        <v>6</v>
      </c>
      <c r="DO491">
        <v>0</v>
      </c>
      <c r="GQ491">
        <v>-1</v>
      </c>
      <c r="GR491">
        <v>-1</v>
      </c>
    </row>
    <row r="492" spans="1:200" x14ac:dyDescent="0.2">
      <c r="A492">
        <f>ROW(Source!A380)</f>
        <v>380</v>
      </c>
      <c r="B492">
        <v>86326987</v>
      </c>
      <c r="C492">
        <v>86327815</v>
      </c>
      <c r="D492">
        <v>27439597</v>
      </c>
      <c r="E492">
        <v>1</v>
      </c>
      <c r="F492">
        <v>1</v>
      </c>
      <c r="G492">
        <v>1</v>
      </c>
      <c r="H492">
        <v>2</v>
      </c>
      <c r="I492" t="s">
        <v>700</v>
      </c>
      <c r="J492" t="s">
        <v>701</v>
      </c>
      <c r="K492" t="s">
        <v>702</v>
      </c>
      <c r="L492">
        <v>1368</v>
      </c>
      <c r="N492">
        <v>1011</v>
      </c>
      <c r="O492" t="s">
        <v>137</v>
      </c>
      <c r="P492" t="s">
        <v>137</v>
      </c>
      <c r="Q492">
        <v>1</v>
      </c>
      <c r="W492">
        <v>0</v>
      </c>
      <c r="X492">
        <v>-1564010176</v>
      </c>
      <c r="Y492">
        <f>AT492</f>
        <v>0.45</v>
      </c>
      <c r="AA492">
        <v>0</v>
      </c>
      <c r="AB492">
        <v>6.62</v>
      </c>
      <c r="AC492">
        <v>0</v>
      </c>
      <c r="AD492">
        <v>0</v>
      </c>
      <c r="AE492">
        <v>0</v>
      </c>
      <c r="AF492">
        <v>6.62</v>
      </c>
      <c r="AG492">
        <v>0</v>
      </c>
      <c r="AH492">
        <v>0</v>
      </c>
      <c r="AI492">
        <v>1</v>
      </c>
      <c r="AJ492">
        <v>1</v>
      </c>
      <c r="AK492">
        <v>1</v>
      </c>
      <c r="AL492">
        <v>1</v>
      </c>
      <c r="AM492">
        <v>0</v>
      </c>
      <c r="AN492">
        <v>0</v>
      </c>
      <c r="AO492">
        <v>1</v>
      </c>
      <c r="AP492">
        <v>0</v>
      </c>
      <c r="AQ492">
        <v>0</v>
      </c>
      <c r="AR492">
        <v>0</v>
      </c>
      <c r="AS492" t="s">
        <v>6</v>
      </c>
      <c r="AT492">
        <v>0.45</v>
      </c>
      <c r="AU492" t="s">
        <v>6</v>
      </c>
      <c r="AV492">
        <v>0</v>
      </c>
      <c r="AW492">
        <v>2</v>
      </c>
      <c r="AX492">
        <v>86327821</v>
      </c>
      <c r="AY492">
        <v>1</v>
      </c>
      <c r="AZ492">
        <v>0</v>
      </c>
      <c r="BA492">
        <v>412</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CV492">
        <v>0</v>
      </c>
      <c r="CW492" t="e">
        <f>ROUND(Y492*Source!I380*DO492,9)</f>
        <v>#REF!</v>
      </c>
      <c r="CX492" t="e">
        <f>ROUND(Y492*Source!I380,9)</f>
        <v>#REF!</v>
      </c>
      <c r="CY492">
        <f>AB492</f>
        <v>6.62</v>
      </c>
      <c r="CZ492">
        <f>AF492</f>
        <v>6.62</v>
      </c>
      <c r="DA492">
        <f>AJ492</f>
        <v>1</v>
      </c>
      <c r="DB492">
        <f>ROUND(ROUND(AT492*CZ492,2),2)</f>
        <v>2.98</v>
      </c>
      <c r="DC492">
        <f>ROUND(ROUND(AT492*AG492,2),2)</f>
        <v>0</v>
      </c>
      <c r="DD492" t="s">
        <v>6</v>
      </c>
      <c r="DE492" t="s">
        <v>6</v>
      </c>
      <c r="DF492" t="e">
        <f t="shared" si="178"/>
        <v>#REF!</v>
      </c>
      <c r="DG492" t="e">
        <f t="shared" si="177"/>
        <v>#REF!</v>
      </c>
      <c r="DH492" t="e">
        <f>Source!I380*SmtRes!Y492</f>
        <v>#REF!</v>
      </c>
      <c r="DI492">
        <f>AB492</f>
        <v>6.62</v>
      </c>
      <c r="DJ492">
        <f>EtalonRes!Z412</f>
        <v>6.62</v>
      </c>
      <c r="DK492">
        <f>Source!BB380</f>
        <v>1</v>
      </c>
      <c r="DL492" t="s">
        <v>6</v>
      </c>
      <c r="DM492">
        <v>0</v>
      </c>
      <c r="DN492" t="s">
        <v>6</v>
      </c>
      <c r="DO492">
        <v>0</v>
      </c>
      <c r="GQ492">
        <v>-1</v>
      </c>
      <c r="GR492">
        <v>-1</v>
      </c>
    </row>
    <row r="493" spans="1:200" x14ac:dyDescent="0.2">
      <c r="A493">
        <f>ROW(Source!A380)</f>
        <v>380</v>
      </c>
      <c r="B493">
        <v>86326987</v>
      </c>
      <c r="C493">
        <v>86327815</v>
      </c>
      <c r="D493">
        <v>27441327</v>
      </c>
      <c r="E493">
        <v>1</v>
      </c>
      <c r="F493">
        <v>1</v>
      </c>
      <c r="G493">
        <v>1</v>
      </c>
      <c r="H493">
        <v>2</v>
      </c>
      <c r="I493" t="s">
        <v>637</v>
      </c>
      <c r="J493" t="s">
        <v>638</v>
      </c>
      <c r="K493" t="s">
        <v>639</v>
      </c>
      <c r="L493">
        <v>1368</v>
      </c>
      <c r="N493">
        <v>1011</v>
      </c>
      <c r="O493" t="s">
        <v>137</v>
      </c>
      <c r="P493" t="s">
        <v>137</v>
      </c>
      <c r="Q493">
        <v>1</v>
      </c>
      <c r="W493">
        <v>0</v>
      </c>
      <c r="X493">
        <v>-1583389094</v>
      </c>
      <c r="Y493">
        <f>AT493</f>
        <v>0.31</v>
      </c>
      <c r="AA493">
        <v>0</v>
      </c>
      <c r="AB493">
        <v>93.37</v>
      </c>
      <c r="AC493">
        <v>11.69</v>
      </c>
      <c r="AD493">
        <v>0</v>
      </c>
      <c r="AE493">
        <v>0</v>
      </c>
      <c r="AF493">
        <v>93.37</v>
      </c>
      <c r="AG493">
        <v>11.69</v>
      </c>
      <c r="AH493">
        <v>0</v>
      </c>
      <c r="AI493">
        <v>1</v>
      </c>
      <c r="AJ493">
        <v>1</v>
      </c>
      <c r="AK493">
        <v>1</v>
      </c>
      <c r="AL493">
        <v>1</v>
      </c>
      <c r="AM493">
        <v>0</v>
      </c>
      <c r="AN493">
        <v>0</v>
      </c>
      <c r="AO493">
        <v>1</v>
      </c>
      <c r="AP493">
        <v>0</v>
      </c>
      <c r="AQ493">
        <v>0</v>
      </c>
      <c r="AR493">
        <v>0</v>
      </c>
      <c r="AS493" t="s">
        <v>6</v>
      </c>
      <c r="AT493">
        <v>0.31</v>
      </c>
      <c r="AU493" t="s">
        <v>6</v>
      </c>
      <c r="AV493">
        <v>0</v>
      </c>
      <c r="AW493">
        <v>2</v>
      </c>
      <c r="AX493">
        <v>86327822</v>
      </c>
      <c r="AY493">
        <v>1</v>
      </c>
      <c r="AZ493">
        <v>0</v>
      </c>
      <c r="BA493">
        <v>413</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CV493">
        <v>0</v>
      </c>
      <c r="CW493" t="e">
        <f>ROUND(Y493*Source!I380*DO493,9)</f>
        <v>#REF!</v>
      </c>
      <c r="CX493" t="e">
        <f>ROUND(Y493*Source!I380,9)</f>
        <v>#REF!</v>
      </c>
      <c r="CY493">
        <f>AB493</f>
        <v>93.37</v>
      </c>
      <c r="CZ493">
        <f>AF493</f>
        <v>93.37</v>
      </c>
      <c r="DA493">
        <f>AJ493</f>
        <v>1</v>
      </c>
      <c r="DB493">
        <f>ROUND(ROUND(AT493*CZ493,2),2)</f>
        <v>28.94</v>
      </c>
      <c r="DC493">
        <f>ROUND(ROUND(AT493*AG493,2),2)</f>
        <v>3.62</v>
      </c>
      <c r="DD493" t="s">
        <v>6</v>
      </c>
      <c r="DE493" t="s">
        <v>6</v>
      </c>
      <c r="DF493" t="e">
        <f t="shared" si="178"/>
        <v>#REF!</v>
      </c>
      <c r="DG493" t="e">
        <f t="shared" si="177"/>
        <v>#REF!</v>
      </c>
      <c r="DH493" t="e">
        <f>Source!I380*SmtRes!Y493</f>
        <v>#REF!</v>
      </c>
      <c r="DI493">
        <f>AB493</f>
        <v>93.37</v>
      </c>
      <c r="DJ493">
        <f>EtalonRes!Z413</f>
        <v>93.37</v>
      </c>
      <c r="DK493">
        <f>Source!BB380</f>
        <v>1</v>
      </c>
      <c r="DL493" t="s">
        <v>6</v>
      </c>
      <c r="DM493">
        <v>0</v>
      </c>
      <c r="DN493" t="s">
        <v>6</v>
      </c>
      <c r="DO493">
        <v>0</v>
      </c>
      <c r="GQ493">
        <v>-1</v>
      </c>
      <c r="GR493">
        <v>-1</v>
      </c>
    </row>
    <row r="494" spans="1:200" x14ac:dyDescent="0.2">
      <c r="A494">
        <f>ROW(Source!A380)</f>
        <v>380</v>
      </c>
      <c r="B494">
        <v>86326987</v>
      </c>
      <c r="C494">
        <v>86327815</v>
      </c>
      <c r="D494">
        <v>69204593</v>
      </c>
      <c r="E494">
        <v>1</v>
      </c>
      <c r="F494">
        <v>1</v>
      </c>
      <c r="G494">
        <v>1</v>
      </c>
      <c r="H494">
        <v>3</v>
      </c>
      <c r="I494" t="s">
        <v>217</v>
      </c>
      <c r="J494" t="s">
        <v>219</v>
      </c>
      <c r="K494" t="s">
        <v>524</v>
      </c>
      <c r="L494">
        <v>1339</v>
      </c>
      <c r="N494">
        <v>1007</v>
      </c>
      <c r="O494" t="s">
        <v>44</v>
      </c>
      <c r="P494" t="s">
        <v>44</v>
      </c>
      <c r="Q494">
        <v>1</v>
      </c>
      <c r="W494">
        <v>0</v>
      </c>
      <c r="X494">
        <v>517015736</v>
      </c>
      <c r="Y494">
        <f>AT494</f>
        <v>1.02</v>
      </c>
      <c r="AA494">
        <v>459.1</v>
      </c>
      <c r="AB494">
        <v>0</v>
      </c>
      <c r="AC494">
        <v>0</v>
      </c>
      <c r="AD494">
        <v>0</v>
      </c>
      <c r="AE494">
        <v>459.1</v>
      </c>
      <c r="AF494">
        <v>0</v>
      </c>
      <c r="AG494">
        <v>0</v>
      </c>
      <c r="AH494">
        <v>0</v>
      </c>
      <c r="AI494">
        <v>1</v>
      </c>
      <c r="AJ494">
        <v>1</v>
      </c>
      <c r="AK494">
        <v>1</v>
      </c>
      <c r="AL494">
        <v>1</v>
      </c>
      <c r="AM494">
        <v>0</v>
      </c>
      <c r="AN494">
        <v>0</v>
      </c>
      <c r="AO494">
        <v>0</v>
      </c>
      <c r="AP494">
        <v>1</v>
      </c>
      <c r="AQ494">
        <v>0</v>
      </c>
      <c r="AR494">
        <v>0</v>
      </c>
      <c r="AS494" t="s">
        <v>6</v>
      </c>
      <c r="AT494">
        <v>1.02</v>
      </c>
      <c r="AU494" t="s">
        <v>6</v>
      </c>
      <c r="AV494">
        <v>0</v>
      </c>
      <c r="AW494">
        <v>1</v>
      </c>
      <c r="AX494">
        <v>-1</v>
      </c>
      <c r="AY494">
        <v>0</v>
      </c>
      <c r="AZ494">
        <v>0</v>
      </c>
      <c r="BA494" t="s">
        <v>6</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CV494">
        <v>0</v>
      </c>
      <c r="CW494">
        <v>0</v>
      </c>
      <c r="CX494" t="e">
        <f>ROUND(Y494*Source!I380,9)</f>
        <v>#REF!</v>
      </c>
      <c r="CY494">
        <f>AA494</f>
        <v>459.1</v>
      </c>
      <c r="CZ494">
        <f>AE494</f>
        <v>459.1</v>
      </c>
      <c r="DA494">
        <f>AI494</f>
        <v>1</v>
      </c>
      <c r="DB494">
        <f>ROUND(ROUND(AT494*CZ494,2),2)</f>
        <v>468.28</v>
      </c>
      <c r="DC494">
        <f>ROUND(ROUND(AT494*AG494,2),2)</f>
        <v>0</v>
      </c>
      <c r="DD494" t="s">
        <v>6</v>
      </c>
      <c r="DE494" t="s">
        <v>6</v>
      </c>
      <c r="DF494" t="e">
        <f t="shared" si="178"/>
        <v>#REF!</v>
      </c>
      <c r="DG494" t="e">
        <f t="shared" si="177"/>
        <v>#REF!</v>
      </c>
      <c r="DH494" t="e">
        <f>Source!I380*SmtRes!Y494</f>
        <v>#REF!</v>
      </c>
      <c r="DI494">
        <f>AA494</f>
        <v>459.1</v>
      </c>
      <c r="DJ494" t="e">
        <f>DF494</f>
        <v>#REF!</v>
      </c>
      <c r="DK494">
        <f>Source!BC380</f>
        <v>1</v>
      </c>
      <c r="DL494" t="s">
        <v>6</v>
      </c>
      <c r="DM494">
        <v>0</v>
      </c>
      <c r="DN494" t="s">
        <v>6</v>
      </c>
      <c r="DO494">
        <v>0</v>
      </c>
      <c r="GP494">
        <v>1</v>
      </c>
      <c r="GQ494">
        <v>-1</v>
      </c>
      <c r="GR494">
        <v>-1</v>
      </c>
    </row>
    <row r="495" spans="1:200" x14ac:dyDescent="0.2">
      <c r="A495">
        <f>ROW(Source!A381)</f>
        <v>381</v>
      </c>
      <c r="B495">
        <v>86326988</v>
      </c>
      <c r="C495">
        <v>86327815</v>
      </c>
      <c r="D495">
        <v>27493087</v>
      </c>
      <c r="E495">
        <v>1</v>
      </c>
      <c r="F495">
        <v>1</v>
      </c>
      <c r="G495">
        <v>1</v>
      </c>
      <c r="H495">
        <v>1</v>
      </c>
      <c r="I495" t="s">
        <v>698</v>
      </c>
      <c r="J495" t="s">
        <v>6</v>
      </c>
      <c r="K495" t="s">
        <v>699</v>
      </c>
      <c r="L495">
        <v>1369</v>
      </c>
      <c r="N495">
        <v>1013</v>
      </c>
      <c r="O495" t="s">
        <v>625</v>
      </c>
      <c r="P495" t="s">
        <v>625</v>
      </c>
      <c r="Q495">
        <v>1</v>
      </c>
      <c r="W495">
        <v>0</v>
      </c>
      <c r="X495">
        <v>800791658</v>
      </c>
      <c r="Y495">
        <f>(AT495*1.5)</f>
        <v>14.205000000000002</v>
      </c>
      <c r="AA495">
        <v>0</v>
      </c>
      <c r="AB495">
        <v>0</v>
      </c>
      <c r="AC495">
        <v>0</v>
      </c>
      <c r="AD495">
        <v>242.69</v>
      </c>
      <c r="AE495">
        <v>0</v>
      </c>
      <c r="AF495">
        <v>0</v>
      </c>
      <c r="AG495">
        <v>0</v>
      </c>
      <c r="AH495">
        <v>9.48</v>
      </c>
      <c r="AI495">
        <v>1</v>
      </c>
      <c r="AJ495">
        <v>1</v>
      </c>
      <c r="AK495">
        <v>1</v>
      </c>
      <c r="AL495">
        <v>25.6</v>
      </c>
      <c r="AM495">
        <v>5</v>
      </c>
      <c r="AN495">
        <v>0</v>
      </c>
      <c r="AO495">
        <v>1</v>
      </c>
      <c r="AP495">
        <v>1</v>
      </c>
      <c r="AQ495">
        <v>0</v>
      </c>
      <c r="AR495">
        <v>0</v>
      </c>
      <c r="AS495" t="s">
        <v>6</v>
      </c>
      <c r="AT495">
        <v>9.4700000000000006</v>
      </c>
      <c r="AU495" t="s">
        <v>519</v>
      </c>
      <c r="AV495">
        <v>1</v>
      </c>
      <c r="AW495">
        <v>2</v>
      </c>
      <c r="AX495">
        <v>86327820</v>
      </c>
      <c r="AY495">
        <v>1</v>
      </c>
      <c r="AZ495">
        <v>0</v>
      </c>
      <c r="BA495">
        <v>415</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CU495" t="e">
        <f>ROUND(AT495*Source!I381*AH495*AL495,0)</f>
        <v>#REF!</v>
      </c>
      <c r="CV495" t="e">
        <f>ROUND(Y495*Source!I381,9)</f>
        <v>#REF!</v>
      </c>
      <c r="CW495">
        <v>0</v>
      </c>
      <c r="CX495" t="e">
        <f>ROUND(Y495*Source!I381,9)</f>
        <v>#REF!</v>
      </c>
      <c r="CY495">
        <f>AD495</f>
        <v>242.69</v>
      </c>
      <c r="CZ495">
        <f>AH495</f>
        <v>9.48</v>
      </c>
      <c r="DA495">
        <f>AL495</f>
        <v>25.6</v>
      </c>
      <c r="DB495">
        <f>ROUND((ROUND(AT495*CZ495,2)*1.5),2)</f>
        <v>134.66999999999999</v>
      </c>
      <c r="DC495">
        <f>ROUND((ROUND(AT495*AG495,2)*1.5),2)</f>
        <v>0</v>
      </c>
      <c r="DD495" t="s">
        <v>6</v>
      </c>
      <c r="DE495" t="s">
        <v>6</v>
      </c>
      <c r="DF495" t="e">
        <f t="shared" si="178"/>
        <v>#REF!</v>
      </c>
      <c r="DG495" t="e">
        <f t="shared" si="177"/>
        <v>#REF!</v>
      </c>
      <c r="DH495" t="e">
        <f>Source!I381*SmtRes!Y495</f>
        <v>#REF!</v>
      </c>
      <c r="DI495">
        <f>AD495</f>
        <v>242.69</v>
      </c>
      <c r="DJ495">
        <f>EtalonRes!AB415</f>
        <v>9.48</v>
      </c>
      <c r="DK495">
        <f>Source!BA381</f>
        <v>25.6</v>
      </c>
      <c r="DL495" t="s">
        <v>6</v>
      </c>
      <c r="DM495">
        <v>0</v>
      </c>
      <c r="DN495" t="s">
        <v>6</v>
      </c>
      <c r="DO495">
        <v>0</v>
      </c>
      <c r="GQ495">
        <v>-1</v>
      </c>
      <c r="GR495">
        <v>-1</v>
      </c>
    </row>
    <row r="496" spans="1:200" x14ac:dyDescent="0.2">
      <c r="A496">
        <f>ROW(Source!A381)</f>
        <v>381</v>
      </c>
      <c r="B496">
        <v>86326988</v>
      </c>
      <c r="C496">
        <v>86327815</v>
      </c>
      <c r="D496">
        <v>27439597</v>
      </c>
      <c r="E496">
        <v>1</v>
      </c>
      <c r="F496">
        <v>1</v>
      </c>
      <c r="G496">
        <v>1</v>
      </c>
      <c r="H496">
        <v>2</v>
      </c>
      <c r="I496" t="s">
        <v>700</v>
      </c>
      <c r="J496" t="s">
        <v>701</v>
      </c>
      <c r="K496" t="s">
        <v>702</v>
      </c>
      <c r="L496">
        <v>1368</v>
      </c>
      <c r="N496">
        <v>1011</v>
      </c>
      <c r="O496" t="s">
        <v>137</v>
      </c>
      <c r="P496" t="s">
        <v>137</v>
      </c>
      <c r="Q496">
        <v>1</v>
      </c>
      <c r="W496">
        <v>0</v>
      </c>
      <c r="X496">
        <v>-1564010176</v>
      </c>
      <c r="Y496">
        <f t="shared" ref="Y496:Y530" si="179">AT496</f>
        <v>0.45</v>
      </c>
      <c r="AA496">
        <v>0</v>
      </c>
      <c r="AB496">
        <v>61.57</v>
      </c>
      <c r="AC496">
        <v>0</v>
      </c>
      <c r="AD496">
        <v>0</v>
      </c>
      <c r="AE496">
        <v>0</v>
      </c>
      <c r="AF496">
        <v>6.62</v>
      </c>
      <c r="AG496">
        <v>0</v>
      </c>
      <c r="AH496">
        <v>0</v>
      </c>
      <c r="AI496">
        <v>1</v>
      </c>
      <c r="AJ496">
        <v>9.3000000000000007</v>
      </c>
      <c r="AK496">
        <v>19.8</v>
      </c>
      <c r="AL496">
        <v>1</v>
      </c>
      <c r="AM496">
        <v>5</v>
      </c>
      <c r="AN496">
        <v>0</v>
      </c>
      <c r="AO496">
        <v>1</v>
      </c>
      <c r="AP496">
        <v>0</v>
      </c>
      <c r="AQ496">
        <v>0</v>
      </c>
      <c r="AR496">
        <v>0</v>
      </c>
      <c r="AS496" t="s">
        <v>6</v>
      </c>
      <c r="AT496">
        <v>0.45</v>
      </c>
      <c r="AU496" t="s">
        <v>6</v>
      </c>
      <c r="AV496">
        <v>0</v>
      </c>
      <c r="AW496">
        <v>2</v>
      </c>
      <c r="AX496">
        <v>86327821</v>
      </c>
      <c r="AY496">
        <v>1</v>
      </c>
      <c r="AZ496">
        <v>0</v>
      </c>
      <c r="BA496">
        <v>416</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CV496">
        <v>0</v>
      </c>
      <c r="CW496" t="e">
        <f>ROUND(Y496*Source!I381*DO496,9)</f>
        <v>#REF!</v>
      </c>
      <c r="CX496" t="e">
        <f>ROUND(Y496*Source!I381,9)</f>
        <v>#REF!</v>
      </c>
      <c r="CY496">
        <f>AB496</f>
        <v>61.57</v>
      </c>
      <c r="CZ496">
        <f>AF496</f>
        <v>6.62</v>
      </c>
      <c r="DA496">
        <f>AJ496</f>
        <v>9.3000000000000007</v>
      </c>
      <c r="DB496">
        <f t="shared" ref="DB496:DB530" si="180">ROUND(ROUND(AT496*CZ496,2),2)</f>
        <v>2.98</v>
      </c>
      <c r="DC496">
        <f t="shared" ref="DC496:DC530" si="181">ROUND(ROUND(AT496*AG496,2),2)</f>
        <v>0</v>
      </c>
      <c r="DD496" t="s">
        <v>6</v>
      </c>
      <c r="DE496" t="s">
        <v>6</v>
      </c>
      <c r="DF496" t="e">
        <f t="shared" si="178"/>
        <v>#REF!</v>
      </c>
      <c r="DG496" t="e">
        <f>ROUND(ROUND(AF496*AJ496,0)*CX496,0)</f>
        <v>#REF!</v>
      </c>
      <c r="DH496" t="e">
        <f>Source!I381*SmtRes!Y496</f>
        <v>#REF!</v>
      </c>
      <c r="DI496">
        <f>AB496</f>
        <v>61.57</v>
      </c>
      <c r="DJ496">
        <f>EtalonRes!Z416</f>
        <v>6.62</v>
      </c>
      <c r="DK496">
        <f>Source!BB381</f>
        <v>9.3000000000000007</v>
      </c>
      <c r="DL496" t="s">
        <v>6</v>
      </c>
      <c r="DM496">
        <v>0</v>
      </c>
      <c r="DN496" t="s">
        <v>6</v>
      </c>
      <c r="DO496">
        <v>0</v>
      </c>
      <c r="GQ496">
        <v>-1</v>
      </c>
      <c r="GR496">
        <v>-1</v>
      </c>
    </row>
    <row r="497" spans="1:200" x14ac:dyDescent="0.2">
      <c r="A497">
        <f>ROW(Source!A381)</f>
        <v>381</v>
      </c>
      <c r="B497">
        <v>86326988</v>
      </c>
      <c r="C497">
        <v>86327815</v>
      </c>
      <c r="D497">
        <v>27441327</v>
      </c>
      <c r="E497">
        <v>1</v>
      </c>
      <c r="F497">
        <v>1</v>
      </c>
      <c r="G497">
        <v>1</v>
      </c>
      <c r="H497">
        <v>2</v>
      </c>
      <c r="I497" t="s">
        <v>637</v>
      </c>
      <c r="J497" t="s">
        <v>638</v>
      </c>
      <c r="K497" t="s">
        <v>639</v>
      </c>
      <c r="L497">
        <v>1368</v>
      </c>
      <c r="N497">
        <v>1011</v>
      </c>
      <c r="O497" t="s">
        <v>137</v>
      </c>
      <c r="P497" t="s">
        <v>137</v>
      </c>
      <c r="Q497">
        <v>1</v>
      </c>
      <c r="W497">
        <v>0</v>
      </c>
      <c r="X497">
        <v>-1583389094</v>
      </c>
      <c r="Y497">
        <f t="shared" si="179"/>
        <v>0.31</v>
      </c>
      <c r="AA497">
        <v>0</v>
      </c>
      <c r="AB497">
        <v>868.34</v>
      </c>
      <c r="AC497">
        <v>231.46</v>
      </c>
      <c r="AD497">
        <v>0</v>
      </c>
      <c r="AE497">
        <v>0</v>
      </c>
      <c r="AF497">
        <v>93.37</v>
      </c>
      <c r="AG497">
        <v>11.69</v>
      </c>
      <c r="AH497">
        <v>0</v>
      </c>
      <c r="AI497">
        <v>1</v>
      </c>
      <c r="AJ497">
        <v>9.3000000000000007</v>
      </c>
      <c r="AK497">
        <v>19.8</v>
      </c>
      <c r="AL497">
        <v>1</v>
      </c>
      <c r="AM497">
        <v>5</v>
      </c>
      <c r="AN497">
        <v>0</v>
      </c>
      <c r="AO497">
        <v>1</v>
      </c>
      <c r="AP497">
        <v>0</v>
      </c>
      <c r="AQ497">
        <v>0</v>
      </c>
      <c r="AR497">
        <v>0</v>
      </c>
      <c r="AS497" t="s">
        <v>6</v>
      </c>
      <c r="AT497">
        <v>0.31</v>
      </c>
      <c r="AU497" t="s">
        <v>6</v>
      </c>
      <c r="AV497">
        <v>0</v>
      </c>
      <c r="AW497">
        <v>2</v>
      </c>
      <c r="AX497">
        <v>86327822</v>
      </c>
      <c r="AY497">
        <v>1</v>
      </c>
      <c r="AZ497">
        <v>0</v>
      </c>
      <c r="BA497">
        <v>417</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CV497">
        <v>0</v>
      </c>
      <c r="CW497" t="e">
        <f>ROUND(Y497*Source!I381*DO497,9)</f>
        <v>#REF!</v>
      </c>
      <c r="CX497" t="e">
        <f>ROUND(Y497*Source!I381,9)</f>
        <v>#REF!</v>
      </c>
      <c r="CY497">
        <f>AB497</f>
        <v>868.34</v>
      </c>
      <c r="CZ497">
        <f>AF497</f>
        <v>93.37</v>
      </c>
      <c r="DA497">
        <f>AJ497</f>
        <v>9.3000000000000007</v>
      </c>
      <c r="DB497">
        <f t="shared" si="180"/>
        <v>28.94</v>
      </c>
      <c r="DC497">
        <f t="shared" si="181"/>
        <v>3.62</v>
      </c>
      <c r="DD497" t="s">
        <v>6</v>
      </c>
      <c r="DE497" t="s">
        <v>6</v>
      </c>
      <c r="DF497" t="e">
        <f t="shared" si="178"/>
        <v>#REF!</v>
      </c>
      <c r="DG497" t="e">
        <f>ROUND(ROUND(AF497*AJ497,0)*CX497,0)</f>
        <v>#REF!</v>
      </c>
      <c r="DH497" t="e">
        <f>Source!I381*SmtRes!Y497</f>
        <v>#REF!</v>
      </c>
      <c r="DI497">
        <f>AB497</f>
        <v>868.34</v>
      </c>
      <c r="DJ497">
        <f>EtalonRes!Z417</f>
        <v>93.37</v>
      </c>
      <c r="DK497">
        <f>Source!BB381</f>
        <v>9.3000000000000007</v>
      </c>
      <c r="DL497" t="s">
        <v>6</v>
      </c>
      <c r="DM497">
        <v>0</v>
      </c>
      <c r="DN497" t="s">
        <v>6</v>
      </c>
      <c r="DO497">
        <v>0</v>
      </c>
      <c r="GQ497">
        <v>-1</v>
      </c>
      <c r="GR497">
        <v>-1</v>
      </c>
    </row>
    <row r="498" spans="1:200" x14ac:dyDescent="0.2">
      <c r="A498">
        <f>ROW(Source!A381)</f>
        <v>381</v>
      </c>
      <c r="B498">
        <v>86326988</v>
      </c>
      <c r="C498">
        <v>86327815</v>
      </c>
      <c r="D498">
        <v>69204593</v>
      </c>
      <c r="E498">
        <v>1</v>
      </c>
      <c r="F498">
        <v>1</v>
      </c>
      <c r="G498">
        <v>1</v>
      </c>
      <c r="H498">
        <v>3</v>
      </c>
      <c r="I498" t="s">
        <v>217</v>
      </c>
      <c r="J498" t="s">
        <v>219</v>
      </c>
      <c r="K498" t="s">
        <v>524</v>
      </c>
      <c r="L498">
        <v>1339</v>
      </c>
      <c r="N498">
        <v>1007</v>
      </c>
      <c r="O498" t="s">
        <v>44</v>
      </c>
      <c r="P498" t="s">
        <v>44</v>
      </c>
      <c r="Q498">
        <v>1</v>
      </c>
      <c r="W498">
        <v>0</v>
      </c>
      <c r="X498">
        <v>517015736</v>
      </c>
      <c r="Y498">
        <f t="shared" si="179"/>
        <v>1.02</v>
      </c>
      <c r="AA498">
        <v>3755.38</v>
      </c>
      <c r="AB498">
        <v>0</v>
      </c>
      <c r="AC498">
        <v>0</v>
      </c>
      <c r="AD498">
        <v>0</v>
      </c>
      <c r="AE498">
        <v>526.94000000000005</v>
      </c>
      <c r="AF498">
        <v>0</v>
      </c>
      <c r="AG498">
        <v>0</v>
      </c>
      <c r="AH498">
        <v>0</v>
      </c>
      <c r="AI498">
        <v>7.56</v>
      </c>
      <c r="AJ498">
        <v>1</v>
      </c>
      <c r="AK498">
        <v>1</v>
      </c>
      <c r="AL498">
        <v>1</v>
      </c>
      <c r="AM498">
        <v>0</v>
      </c>
      <c r="AN498">
        <v>0</v>
      </c>
      <c r="AO498">
        <v>0</v>
      </c>
      <c r="AP498">
        <v>1</v>
      </c>
      <c r="AQ498">
        <v>0</v>
      </c>
      <c r="AR498">
        <v>0</v>
      </c>
      <c r="AS498" t="s">
        <v>6</v>
      </c>
      <c r="AT498">
        <v>1.02</v>
      </c>
      <c r="AU498" t="s">
        <v>6</v>
      </c>
      <c r="AV498">
        <v>0</v>
      </c>
      <c r="AW498">
        <v>1</v>
      </c>
      <c r="AX498">
        <v>-1</v>
      </c>
      <c r="AY498">
        <v>0</v>
      </c>
      <c r="AZ498">
        <v>0</v>
      </c>
      <c r="BA498" t="s">
        <v>6</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CV498">
        <v>0</v>
      </c>
      <c r="CW498">
        <v>0</v>
      </c>
      <c r="CX498" t="e">
        <f>ROUND(Y498*Source!I381,9)</f>
        <v>#REF!</v>
      </c>
      <c r="CY498">
        <f>AA498</f>
        <v>3755.38</v>
      </c>
      <c r="CZ498">
        <f>AE498</f>
        <v>526.94000000000005</v>
      </c>
      <c r="DA498">
        <f>AI498</f>
        <v>7.56</v>
      </c>
      <c r="DB498">
        <f t="shared" si="180"/>
        <v>537.48</v>
      </c>
      <c r="DC498">
        <f t="shared" si="181"/>
        <v>0</v>
      </c>
      <c r="DD498" t="s">
        <v>6</v>
      </c>
      <c r="DE498" t="s">
        <v>6</v>
      </c>
      <c r="DF498" t="e">
        <f>ROUND(ROUND(AE498*AI498,0)*CX498,0)</f>
        <v>#REF!</v>
      </c>
      <c r="DG498" t="e">
        <f t="shared" ref="DG498:DG511" si="182">ROUND(ROUND(AF498,0)*CX498,0)</f>
        <v>#REF!</v>
      </c>
      <c r="DH498" t="e">
        <f>Source!I381*SmtRes!Y498</f>
        <v>#REF!</v>
      </c>
      <c r="DI498">
        <f>AA498</f>
        <v>3755.38</v>
      </c>
      <c r="DJ498" t="e">
        <f>DF498</f>
        <v>#REF!</v>
      </c>
      <c r="DK498">
        <f>Source!BC381</f>
        <v>7.56</v>
      </c>
      <c r="DL498" t="s">
        <v>6</v>
      </c>
      <c r="DM498">
        <v>0</v>
      </c>
      <c r="DN498" t="s">
        <v>6</v>
      </c>
      <c r="DO498">
        <v>0</v>
      </c>
      <c r="GP498">
        <v>1</v>
      </c>
      <c r="GQ498">
        <v>-1</v>
      </c>
      <c r="GR498">
        <v>-1</v>
      </c>
    </row>
    <row r="499" spans="1:200" x14ac:dyDescent="0.2">
      <c r="A499">
        <f>ROW(Source!A384)</f>
        <v>384</v>
      </c>
      <c r="B499">
        <v>86326987</v>
      </c>
      <c r="C499">
        <v>86327825</v>
      </c>
      <c r="D499">
        <v>27683434</v>
      </c>
      <c r="E499">
        <v>1</v>
      </c>
      <c r="F499">
        <v>1</v>
      </c>
      <c r="G499">
        <v>1</v>
      </c>
      <c r="H499">
        <v>1</v>
      </c>
      <c r="I499" t="s">
        <v>664</v>
      </c>
      <c r="J499" t="s">
        <v>6</v>
      </c>
      <c r="K499" t="s">
        <v>665</v>
      </c>
      <c r="L499">
        <v>1369</v>
      </c>
      <c r="N499">
        <v>1013</v>
      </c>
      <c r="O499" t="s">
        <v>625</v>
      </c>
      <c r="P499" t="s">
        <v>625</v>
      </c>
      <c r="Q499">
        <v>1</v>
      </c>
      <c r="W499">
        <v>0</v>
      </c>
      <c r="X499">
        <v>-1710225347</v>
      </c>
      <c r="Y499">
        <f t="shared" si="179"/>
        <v>15.28</v>
      </c>
      <c r="AA499">
        <v>0</v>
      </c>
      <c r="AB499">
        <v>0</v>
      </c>
      <c r="AC499">
        <v>0</v>
      </c>
      <c r="AD499">
        <v>9.48</v>
      </c>
      <c r="AE499">
        <v>0</v>
      </c>
      <c r="AF499">
        <v>0</v>
      </c>
      <c r="AG499">
        <v>0</v>
      </c>
      <c r="AH499">
        <v>9.48</v>
      </c>
      <c r="AI499">
        <v>1</v>
      </c>
      <c r="AJ499">
        <v>1</v>
      </c>
      <c r="AK499">
        <v>1</v>
      </c>
      <c r="AL499">
        <v>1</v>
      </c>
      <c r="AM499">
        <v>0</v>
      </c>
      <c r="AN499">
        <v>0</v>
      </c>
      <c r="AO499">
        <v>1</v>
      </c>
      <c r="AP499">
        <v>0</v>
      </c>
      <c r="AQ499">
        <v>0</v>
      </c>
      <c r="AR499">
        <v>0</v>
      </c>
      <c r="AS499" t="s">
        <v>6</v>
      </c>
      <c r="AT499">
        <v>15.28</v>
      </c>
      <c r="AU499" t="s">
        <v>6</v>
      </c>
      <c r="AV499">
        <v>1</v>
      </c>
      <c r="AW499">
        <v>2</v>
      </c>
      <c r="AX499">
        <v>86327837</v>
      </c>
      <c r="AY499">
        <v>1</v>
      </c>
      <c r="AZ499">
        <v>0</v>
      </c>
      <c r="BA499">
        <v>419</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CU499">
        <f>ROUND(AT499*Source!I384*AH499*AL499,0)</f>
        <v>99</v>
      </c>
      <c r="CV499">
        <f>ROUND(Y499*Source!I384,9)</f>
        <v>10.3904</v>
      </c>
      <c r="CW499">
        <v>0</v>
      </c>
      <c r="CX499">
        <f>ROUND(Y499*Source!I384,9)</f>
        <v>10.3904</v>
      </c>
      <c r="CY499">
        <f>AD499</f>
        <v>9.48</v>
      </c>
      <c r="CZ499">
        <f>AH499</f>
        <v>9.48</v>
      </c>
      <c r="DA499">
        <f>AL499</f>
        <v>1</v>
      </c>
      <c r="DB499">
        <f t="shared" si="180"/>
        <v>144.85</v>
      </c>
      <c r="DC499">
        <f t="shared" si="181"/>
        <v>0</v>
      </c>
      <c r="DD499" t="s">
        <v>6</v>
      </c>
      <c r="DE499" t="s">
        <v>6</v>
      </c>
      <c r="DF499">
        <f t="shared" ref="DF499:DF514" si="183">ROUND(ROUND(AE499,0)*CX499,0)</f>
        <v>0</v>
      </c>
      <c r="DG499">
        <f t="shared" si="182"/>
        <v>0</v>
      </c>
      <c r="DH499">
        <f>Source!I384*SmtRes!Y499</f>
        <v>10.3904</v>
      </c>
      <c r="DI499">
        <f>AD499</f>
        <v>9.48</v>
      </c>
      <c r="DJ499">
        <f>EtalonRes!AB419</f>
        <v>9.48</v>
      </c>
      <c r="DK499">
        <f>Source!BA384</f>
        <v>1</v>
      </c>
      <c r="DL499" t="s">
        <v>6</v>
      </c>
      <c r="DM499">
        <v>0</v>
      </c>
      <c r="DN499" t="s">
        <v>6</v>
      </c>
      <c r="DO499">
        <v>0</v>
      </c>
      <c r="GQ499">
        <v>-1</v>
      </c>
      <c r="GR499">
        <v>-1</v>
      </c>
    </row>
    <row r="500" spans="1:200" x14ac:dyDescent="0.2">
      <c r="A500">
        <f>ROW(Source!A384)</f>
        <v>384</v>
      </c>
      <c r="B500">
        <v>86326987</v>
      </c>
      <c r="C500">
        <v>86327825</v>
      </c>
      <c r="D500">
        <v>121548</v>
      </c>
      <c r="E500">
        <v>1</v>
      </c>
      <c r="F500">
        <v>1</v>
      </c>
      <c r="G500">
        <v>1</v>
      </c>
      <c r="H500">
        <v>1</v>
      </c>
      <c r="I500" t="s">
        <v>40</v>
      </c>
      <c r="J500" t="s">
        <v>6</v>
      </c>
      <c r="K500" t="s">
        <v>626</v>
      </c>
      <c r="L500">
        <v>608254</v>
      </c>
      <c r="N500">
        <v>1013</v>
      </c>
      <c r="O500" t="s">
        <v>627</v>
      </c>
      <c r="P500" t="s">
        <v>627</v>
      </c>
      <c r="Q500">
        <v>1</v>
      </c>
      <c r="W500">
        <v>0</v>
      </c>
      <c r="X500">
        <v>-185737400</v>
      </c>
      <c r="Y500">
        <f t="shared" si="179"/>
        <v>0.09</v>
      </c>
      <c r="AA500">
        <v>0</v>
      </c>
      <c r="AB500">
        <v>0</v>
      </c>
      <c r="AC500">
        <v>0</v>
      </c>
      <c r="AD500">
        <v>0</v>
      </c>
      <c r="AE500">
        <v>0</v>
      </c>
      <c r="AF500">
        <v>0</v>
      </c>
      <c r="AG500">
        <v>0</v>
      </c>
      <c r="AH500">
        <v>0</v>
      </c>
      <c r="AI500">
        <v>1</v>
      </c>
      <c r="AJ500">
        <v>1</v>
      </c>
      <c r="AK500">
        <v>1</v>
      </c>
      <c r="AL500">
        <v>1</v>
      </c>
      <c r="AM500">
        <v>0</v>
      </c>
      <c r="AN500">
        <v>0</v>
      </c>
      <c r="AO500">
        <v>1</v>
      </c>
      <c r="AP500">
        <v>0</v>
      </c>
      <c r="AQ500">
        <v>0</v>
      </c>
      <c r="AR500">
        <v>0</v>
      </c>
      <c r="AS500" t="s">
        <v>6</v>
      </c>
      <c r="AT500">
        <v>0.09</v>
      </c>
      <c r="AU500" t="s">
        <v>6</v>
      </c>
      <c r="AV500">
        <v>2</v>
      </c>
      <c r="AW500">
        <v>2</v>
      </c>
      <c r="AX500">
        <v>86327838</v>
      </c>
      <c r="AY500">
        <v>1</v>
      </c>
      <c r="AZ500">
        <v>0</v>
      </c>
      <c r="BA500">
        <v>420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CV500">
        <v>0</v>
      </c>
      <c r="CW500">
        <v>0</v>
      </c>
      <c r="CX500">
        <f>ROUND(Y500*Source!I384,9)</f>
        <v>6.1199999999999997E-2</v>
      </c>
      <c r="CY500">
        <f>AD500</f>
        <v>0</v>
      </c>
      <c r="CZ500">
        <f>AH500</f>
        <v>0</v>
      </c>
      <c r="DA500">
        <f>AL500</f>
        <v>1</v>
      </c>
      <c r="DB500">
        <f t="shared" si="180"/>
        <v>0</v>
      </c>
      <c r="DC500">
        <f t="shared" si="181"/>
        <v>0</v>
      </c>
      <c r="DD500" t="s">
        <v>6</v>
      </c>
      <c r="DE500" t="s">
        <v>6</v>
      </c>
      <c r="DF500">
        <f t="shared" si="183"/>
        <v>0</v>
      </c>
      <c r="DG500">
        <f t="shared" si="182"/>
        <v>0</v>
      </c>
      <c r="DH500">
        <f>Source!I384*SmtRes!Y500</f>
        <v>6.1200000000000004E-2</v>
      </c>
      <c r="DI500">
        <f>AD500</f>
        <v>0</v>
      </c>
      <c r="DJ500">
        <f>EtalonRes!AB420</f>
        <v>0</v>
      </c>
      <c r="DK500">
        <f>Source!BA384</f>
        <v>1</v>
      </c>
      <c r="DL500" t="s">
        <v>6</v>
      </c>
      <c r="DM500">
        <v>0</v>
      </c>
      <c r="DN500" t="s">
        <v>6</v>
      </c>
      <c r="DO500">
        <v>0</v>
      </c>
      <c r="GQ500">
        <v>-1</v>
      </c>
      <c r="GR500">
        <v>-1</v>
      </c>
    </row>
    <row r="501" spans="1:200" x14ac:dyDescent="0.2">
      <c r="A501">
        <f>ROW(Source!A384)</f>
        <v>384</v>
      </c>
      <c r="B501">
        <v>86326987</v>
      </c>
      <c r="C501">
        <v>86327825</v>
      </c>
      <c r="D501">
        <v>27439488</v>
      </c>
      <c r="E501">
        <v>1</v>
      </c>
      <c r="F501">
        <v>1</v>
      </c>
      <c r="G501">
        <v>1</v>
      </c>
      <c r="H501">
        <v>2</v>
      </c>
      <c r="I501" t="s">
        <v>666</v>
      </c>
      <c r="J501" t="s">
        <v>667</v>
      </c>
      <c r="K501" t="s">
        <v>668</v>
      </c>
      <c r="L501">
        <v>1368</v>
      </c>
      <c r="N501">
        <v>1011</v>
      </c>
      <c r="O501" t="s">
        <v>137</v>
      </c>
      <c r="P501" t="s">
        <v>137</v>
      </c>
      <c r="Q501">
        <v>1</v>
      </c>
      <c r="W501">
        <v>0</v>
      </c>
      <c r="X501">
        <v>1935423198</v>
      </c>
      <c r="Y501">
        <f t="shared" si="179"/>
        <v>0.09</v>
      </c>
      <c r="AA501">
        <v>0</v>
      </c>
      <c r="AB501">
        <v>113.81</v>
      </c>
      <c r="AC501">
        <v>13.61</v>
      </c>
      <c r="AD501">
        <v>0</v>
      </c>
      <c r="AE501">
        <v>0</v>
      </c>
      <c r="AF501">
        <v>113.81</v>
      </c>
      <c r="AG501">
        <v>13.61</v>
      </c>
      <c r="AH501">
        <v>0</v>
      </c>
      <c r="AI501">
        <v>1</v>
      </c>
      <c r="AJ501">
        <v>1</v>
      </c>
      <c r="AK501">
        <v>1</v>
      </c>
      <c r="AL501">
        <v>1</v>
      </c>
      <c r="AM501">
        <v>0</v>
      </c>
      <c r="AN501">
        <v>0</v>
      </c>
      <c r="AO501">
        <v>1</v>
      </c>
      <c r="AP501">
        <v>0</v>
      </c>
      <c r="AQ501">
        <v>0</v>
      </c>
      <c r="AR501">
        <v>0</v>
      </c>
      <c r="AS501" t="s">
        <v>6</v>
      </c>
      <c r="AT501">
        <v>0.09</v>
      </c>
      <c r="AU501" t="s">
        <v>6</v>
      </c>
      <c r="AV501">
        <v>0</v>
      </c>
      <c r="AW501">
        <v>2</v>
      </c>
      <c r="AX501">
        <v>86327839</v>
      </c>
      <c r="AY501">
        <v>1</v>
      </c>
      <c r="AZ501">
        <v>0</v>
      </c>
      <c r="BA501">
        <v>421</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CV501">
        <v>0</v>
      </c>
      <c r="CW501">
        <f>ROUND(Y501*Source!I384*DO501,9)</f>
        <v>0</v>
      </c>
      <c r="CX501">
        <f>ROUND(Y501*Source!I384,9)</f>
        <v>6.1199999999999997E-2</v>
      </c>
      <c r="CY501">
        <f>AB501</f>
        <v>113.81</v>
      </c>
      <c r="CZ501">
        <f>AF501</f>
        <v>113.81</v>
      </c>
      <c r="DA501">
        <f>AJ501</f>
        <v>1</v>
      </c>
      <c r="DB501">
        <f t="shared" si="180"/>
        <v>10.24</v>
      </c>
      <c r="DC501">
        <f t="shared" si="181"/>
        <v>1.22</v>
      </c>
      <c r="DD501" t="s">
        <v>6</v>
      </c>
      <c r="DE501" t="s">
        <v>6</v>
      </c>
      <c r="DF501">
        <f t="shared" si="183"/>
        <v>0</v>
      </c>
      <c r="DG501">
        <f t="shared" si="182"/>
        <v>7</v>
      </c>
      <c r="DH501">
        <f>Source!I384*SmtRes!Y501</f>
        <v>6.1200000000000004E-2</v>
      </c>
      <c r="DI501">
        <f>AB501</f>
        <v>113.81</v>
      </c>
      <c r="DJ501">
        <f>EtalonRes!Z421</f>
        <v>113.81</v>
      </c>
      <c r="DK501">
        <f>Source!BB384</f>
        <v>1</v>
      </c>
      <c r="DL501" t="s">
        <v>6</v>
      </c>
      <c r="DM501">
        <v>0</v>
      </c>
      <c r="DN501" t="s">
        <v>6</v>
      </c>
      <c r="DO501">
        <v>0</v>
      </c>
      <c r="GQ501">
        <v>-1</v>
      </c>
      <c r="GR501">
        <v>-1</v>
      </c>
    </row>
    <row r="502" spans="1:200" x14ac:dyDescent="0.2">
      <c r="A502">
        <f>ROW(Source!A384)</f>
        <v>384</v>
      </c>
      <c r="B502">
        <v>86326987</v>
      </c>
      <c r="C502">
        <v>86327825</v>
      </c>
      <c r="D502">
        <v>27441078</v>
      </c>
      <c r="E502">
        <v>1</v>
      </c>
      <c r="F502">
        <v>1</v>
      </c>
      <c r="G502">
        <v>1</v>
      </c>
      <c r="H502">
        <v>2</v>
      </c>
      <c r="I502" t="s">
        <v>669</v>
      </c>
      <c r="J502" t="s">
        <v>670</v>
      </c>
      <c r="K502" t="s">
        <v>671</v>
      </c>
      <c r="L502">
        <v>1368</v>
      </c>
      <c r="N502">
        <v>1011</v>
      </c>
      <c r="O502" t="s">
        <v>137</v>
      </c>
      <c r="P502" t="s">
        <v>137</v>
      </c>
      <c r="Q502">
        <v>1</v>
      </c>
      <c r="W502">
        <v>0</v>
      </c>
      <c r="X502">
        <v>-380487195</v>
      </c>
      <c r="Y502">
        <f t="shared" si="179"/>
        <v>2.35</v>
      </c>
      <c r="AA502">
        <v>0</v>
      </c>
      <c r="AB502">
        <v>2.0699999999999998</v>
      </c>
      <c r="AC502">
        <v>0</v>
      </c>
      <c r="AD502">
        <v>0</v>
      </c>
      <c r="AE502">
        <v>0</v>
      </c>
      <c r="AF502">
        <v>2.0699999999999998</v>
      </c>
      <c r="AG502">
        <v>0</v>
      </c>
      <c r="AH502">
        <v>0</v>
      </c>
      <c r="AI502">
        <v>1</v>
      </c>
      <c r="AJ502">
        <v>1</v>
      </c>
      <c r="AK502">
        <v>1</v>
      </c>
      <c r="AL502">
        <v>1</v>
      </c>
      <c r="AM502">
        <v>0</v>
      </c>
      <c r="AN502">
        <v>0</v>
      </c>
      <c r="AO502">
        <v>1</v>
      </c>
      <c r="AP502">
        <v>0</v>
      </c>
      <c r="AQ502">
        <v>0</v>
      </c>
      <c r="AR502">
        <v>0</v>
      </c>
      <c r="AS502" t="s">
        <v>6</v>
      </c>
      <c r="AT502">
        <v>2.35</v>
      </c>
      <c r="AU502" t="s">
        <v>6</v>
      </c>
      <c r="AV502">
        <v>0</v>
      </c>
      <c r="AW502">
        <v>2</v>
      </c>
      <c r="AX502">
        <v>86327840</v>
      </c>
      <c r="AY502">
        <v>1</v>
      </c>
      <c r="AZ502">
        <v>0</v>
      </c>
      <c r="BA502">
        <v>422</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CV502">
        <v>0</v>
      </c>
      <c r="CW502">
        <f>ROUND(Y502*Source!I384*DO502,9)</f>
        <v>0</v>
      </c>
      <c r="CX502">
        <f>ROUND(Y502*Source!I384,9)</f>
        <v>1.5980000000000001</v>
      </c>
      <c r="CY502">
        <f>AB502</f>
        <v>2.0699999999999998</v>
      </c>
      <c r="CZ502">
        <f>AF502</f>
        <v>2.0699999999999998</v>
      </c>
      <c r="DA502">
        <f>AJ502</f>
        <v>1</v>
      </c>
      <c r="DB502">
        <f t="shared" si="180"/>
        <v>4.8600000000000003</v>
      </c>
      <c r="DC502">
        <f t="shared" si="181"/>
        <v>0</v>
      </c>
      <c r="DD502" t="s">
        <v>6</v>
      </c>
      <c r="DE502" t="s">
        <v>6</v>
      </c>
      <c r="DF502">
        <f t="shared" si="183"/>
        <v>0</v>
      </c>
      <c r="DG502">
        <f t="shared" si="182"/>
        <v>3</v>
      </c>
      <c r="DH502">
        <f>Source!I384*SmtRes!Y502</f>
        <v>1.5980000000000001</v>
      </c>
      <c r="DI502">
        <f>AB502</f>
        <v>2.0699999999999998</v>
      </c>
      <c r="DJ502">
        <f>EtalonRes!Z422</f>
        <v>2.0699999999999998</v>
      </c>
      <c r="DK502">
        <f>Source!BB384</f>
        <v>1</v>
      </c>
      <c r="DL502" t="s">
        <v>6</v>
      </c>
      <c r="DM502">
        <v>0</v>
      </c>
      <c r="DN502" t="s">
        <v>6</v>
      </c>
      <c r="DO502">
        <v>0</v>
      </c>
      <c r="GQ502">
        <v>-1</v>
      </c>
      <c r="GR502">
        <v>-1</v>
      </c>
    </row>
    <row r="503" spans="1:200" x14ac:dyDescent="0.2">
      <c r="A503">
        <f>ROW(Source!A384)</f>
        <v>384</v>
      </c>
      <c r="B503">
        <v>86326987</v>
      </c>
      <c r="C503">
        <v>86327825</v>
      </c>
      <c r="D503">
        <v>27441327</v>
      </c>
      <c r="E503">
        <v>1</v>
      </c>
      <c r="F503">
        <v>1</v>
      </c>
      <c r="G503">
        <v>1</v>
      </c>
      <c r="H503">
        <v>2</v>
      </c>
      <c r="I503" t="s">
        <v>637</v>
      </c>
      <c r="J503" t="s">
        <v>638</v>
      </c>
      <c r="K503" t="s">
        <v>639</v>
      </c>
      <c r="L503">
        <v>1368</v>
      </c>
      <c r="N503">
        <v>1011</v>
      </c>
      <c r="O503" t="s">
        <v>137</v>
      </c>
      <c r="P503" t="s">
        <v>137</v>
      </c>
      <c r="Q503">
        <v>1</v>
      </c>
      <c r="W503">
        <v>0</v>
      </c>
      <c r="X503">
        <v>-1583389094</v>
      </c>
      <c r="Y503">
        <f t="shared" si="179"/>
        <v>0.09</v>
      </c>
      <c r="AA503">
        <v>0</v>
      </c>
      <c r="AB503">
        <v>93.37</v>
      </c>
      <c r="AC503">
        <v>11.69</v>
      </c>
      <c r="AD503">
        <v>0</v>
      </c>
      <c r="AE503">
        <v>0</v>
      </c>
      <c r="AF503">
        <v>93.37</v>
      </c>
      <c r="AG503">
        <v>11.69</v>
      </c>
      <c r="AH503">
        <v>0</v>
      </c>
      <c r="AI503">
        <v>1</v>
      </c>
      <c r="AJ503">
        <v>1</v>
      </c>
      <c r="AK503">
        <v>1</v>
      </c>
      <c r="AL503">
        <v>1</v>
      </c>
      <c r="AM503">
        <v>0</v>
      </c>
      <c r="AN503">
        <v>0</v>
      </c>
      <c r="AO503">
        <v>1</v>
      </c>
      <c r="AP503">
        <v>0</v>
      </c>
      <c r="AQ503">
        <v>0</v>
      </c>
      <c r="AR503">
        <v>0</v>
      </c>
      <c r="AS503" t="s">
        <v>6</v>
      </c>
      <c r="AT503">
        <v>0.09</v>
      </c>
      <c r="AU503" t="s">
        <v>6</v>
      </c>
      <c r="AV503">
        <v>0</v>
      </c>
      <c r="AW503">
        <v>2</v>
      </c>
      <c r="AX503">
        <v>86327841</v>
      </c>
      <c r="AY503">
        <v>1</v>
      </c>
      <c r="AZ503">
        <v>0</v>
      </c>
      <c r="BA503">
        <v>423</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CV503">
        <v>0</v>
      </c>
      <c r="CW503">
        <f>ROUND(Y503*Source!I384*DO503,9)</f>
        <v>0</v>
      </c>
      <c r="CX503">
        <f>ROUND(Y503*Source!I384,9)</f>
        <v>6.1199999999999997E-2</v>
      </c>
      <c r="CY503">
        <f>AB503</f>
        <v>93.37</v>
      </c>
      <c r="CZ503">
        <f>AF503</f>
        <v>93.37</v>
      </c>
      <c r="DA503">
        <f>AJ503</f>
        <v>1</v>
      </c>
      <c r="DB503">
        <f t="shared" si="180"/>
        <v>8.4</v>
      </c>
      <c r="DC503">
        <f t="shared" si="181"/>
        <v>1.05</v>
      </c>
      <c r="DD503" t="s">
        <v>6</v>
      </c>
      <c r="DE503" t="s">
        <v>6</v>
      </c>
      <c r="DF503">
        <f t="shared" si="183"/>
        <v>0</v>
      </c>
      <c r="DG503">
        <f t="shared" si="182"/>
        <v>6</v>
      </c>
      <c r="DH503">
        <f>Source!I384*SmtRes!Y503</f>
        <v>6.1200000000000004E-2</v>
      </c>
      <c r="DI503">
        <f>AB503</f>
        <v>93.37</v>
      </c>
      <c r="DJ503">
        <f>EtalonRes!Z423</f>
        <v>93.37</v>
      </c>
      <c r="DK503">
        <f>Source!BB384</f>
        <v>1</v>
      </c>
      <c r="DL503" t="s">
        <v>6</v>
      </c>
      <c r="DM503">
        <v>0</v>
      </c>
      <c r="DN503" t="s">
        <v>6</v>
      </c>
      <c r="DO503">
        <v>0</v>
      </c>
      <c r="GQ503">
        <v>-1</v>
      </c>
      <c r="GR503">
        <v>-1</v>
      </c>
    </row>
    <row r="504" spans="1:200" x14ac:dyDescent="0.2">
      <c r="A504">
        <f>ROW(Source!A384)</f>
        <v>384</v>
      </c>
      <c r="B504">
        <v>86326987</v>
      </c>
      <c r="C504">
        <v>86327825</v>
      </c>
      <c r="D504">
        <v>27377917</v>
      </c>
      <c r="E504">
        <v>1</v>
      </c>
      <c r="F504">
        <v>1</v>
      </c>
      <c r="G504">
        <v>1</v>
      </c>
      <c r="H504">
        <v>3</v>
      </c>
      <c r="I504" t="s">
        <v>316</v>
      </c>
      <c r="J504" t="s">
        <v>318</v>
      </c>
      <c r="K504" t="s">
        <v>317</v>
      </c>
      <c r="L504">
        <v>1348</v>
      </c>
      <c r="N504">
        <v>1009</v>
      </c>
      <c r="O504" t="s">
        <v>33</v>
      </c>
      <c r="P504" t="s">
        <v>33</v>
      </c>
      <c r="Q504">
        <v>1000</v>
      </c>
      <c r="W504">
        <v>0</v>
      </c>
      <c r="X504">
        <v>1988624183</v>
      </c>
      <c r="Y504">
        <f t="shared" si="179"/>
        <v>2.2000000000000001E-3</v>
      </c>
      <c r="AA504">
        <v>10559.12</v>
      </c>
      <c r="AB504">
        <v>0</v>
      </c>
      <c r="AC504">
        <v>0</v>
      </c>
      <c r="AD504">
        <v>0</v>
      </c>
      <c r="AE504">
        <v>10559.12</v>
      </c>
      <c r="AF504">
        <v>0</v>
      </c>
      <c r="AG504">
        <v>0</v>
      </c>
      <c r="AH504">
        <v>0</v>
      </c>
      <c r="AI504">
        <v>1</v>
      </c>
      <c r="AJ504">
        <v>1</v>
      </c>
      <c r="AK504">
        <v>1</v>
      </c>
      <c r="AL504">
        <v>1</v>
      </c>
      <c r="AM504">
        <v>0</v>
      </c>
      <c r="AN504">
        <v>0</v>
      </c>
      <c r="AO504">
        <v>0</v>
      </c>
      <c r="AP504">
        <v>1</v>
      </c>
      <c r="AQ504">
        <v>0</v>
      </c>
      <c r="AR504">
        <v>0</v>
      </c>
      <c r="AS504" t="s">
        <v>6</v>
      </c>
      <c r="AT504">
        <v>2.2000000000000001E-3</v>
      </c>
      <c r="AU504" t="s">
        <v>6</v>
      </c>
      <c r="AV504">
        <v>0</v>
      </c>
      <c r="AW504">
        <v>1</v>
      </c>
      <c r="AX504">
        <v>-1</v>
      </c>
      <c r="AY504">
        <v>0</v>
      </c>
      <c r="AZ504">
        <v>0</v>
      </c>
      <c r="BA504" t="s">
        <v>6</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CV504">
        <v>0</v>
      </c>
      <c r="CW504">
        <v>0</v>
      </c>
      <c r="CX504">
        <f>ROUND(Y504*Source!I384,9)</f>
        <v>1.4959999999999999E-3</v>
      </c>
      <c r="CY504">
        <f t="shared" ref="CY504:CY509" si="184">AA504</f>
        <v>10559.12</v>
      </c>
      <c r="CZ504">
        <f t="shared" ref="CZ504:CZ509" si="185">AE504</f>
        <v>10559.12</v>
      </c>
      <c r="DA504">
        <f t="shared" ref="DA504:DA509" si="186">AI504</f>
        <v>1</v>
      </c>
      <c r="DB504">
        <f t="shared" si="180"/>
        <v>23.23</v>
      </c>
      <c r="DC504">
        <f t="shared" si="181"/>
        <v>0</v>
      </c>
      <c r="DD504" t="s">
        <v>6</v>
      </c>
      <c r="DE504" t="s">
        <v>6</v>
      </c>
      <c r="DF504">
        <f t="shared" si="183"/>
        <v>16</v>
      </c>
      <c r="DG504">
        <f t="shared" si="182"/>
        <v>0</v>
      </c>
      <c r="DH504">
        <f>Source!I384*SmtRes!Y504</f>
        <v>1.4960000000000002E-3</v>
      </c>
      <c r="DI504">
        <f t="shared" ref="DI504:DI509" si="187">AA504</f>
        <v>10559.12</v>
      </c>
      <c r="DJ504">
        <f t="shared" ref="DJ504:DJ509" si="188">DF504</f>
        <v>16</v>
      </c>
      <c r="DK504">
        <f>Source!BC384</f>
        <v>1</v>
      </c>
      <c r="DL504" t="s">
        <v>6</v>
      </c>
      <c r="DM504">
        <v>0</v>
      </c>
      <c r="DN504" t="s">
        <v>6</v>
      </c>
      <c r="DO504">
        <v>0</v>
      </c>
      <c r="GP504">
        <v>1</v>
      </c>
      <c r="GQ504">
        <v>-1</v>
      </c>
      <c r="GR504">
        <v>-1</v>
      </c>
    </row>
    <row r="505" spans="1:200" x14ac:dyDescent="0.2">
      <c r="A505">
        <f>ROW(Source!A384)</f>
        <v>384</v>
      </c>
      <c r="B505">
        <v>86326987</v>
      </c>
      <c r="C505">
        <v>86327825</v>
      </c>
      <c r="D505">
        <v>27422801</v>
      </c>
      <c r="E505">
        <v>1</v>
      </c>
      <c r="F505">
        <v>1</v>
      </c>
      <c r="G505">
        <v>1</v>
      </c>
      <c r="H505">
        <v>3</v>
      </c>
      <c r="I505" t="s">
        <v>321</v>
      </c>
      <c r="J505" t="s">
        <v>324</v>
      </c>
      <c r="K505" t="s">
        <v>528</v>
      </c>
      <c r="L505">
        <v>53010780</v>
      </c>
      <c r="N505">
        <v>1010</v>
      </c>
      <c r="O505" t="s">
        <v>323</v>
      </c>
      <c r="P505" t="s">
        <v>325</v>
      </c>
      <c r="Q505">
        <v>1</v>
      </c>
      <c r="W505">
        <v>0</v>
      </c>
      <c r="X505">
        <v>1366414738</v>
      </c>
      <c r="Y505">
        <f t="shared" si="179"/>
        <v>41.176470600000002</v>
      </c>
      <c r="AA505">
        <v>7.93</v>
      </c>
      <c r="AB505">
        <v>0</v>
      </c>
      <c r="AC505">
        <v>0</v>
      </c>
      <c r="AD505">
        <v>0</v>
      </c>
      <c r="AE505">
        <v>7.93</v>
      </c>
      <c r="AF505">
        <v>0</v>
      </c>
      <c r="AG505">
        <v>0</v>
      </c>
      <c r="AH505">
        <v>0</v>
      </c>
      <c r="AI505">
        <v>1</v>
      </c>
      <c r="AJ505">
        <v>1</v>
      </c>
      <c r="AK505">
        <v>1</v>
      </c>
      <c r="AL505">
        <v>1</v>
      </c>
      <c r="AM505">
        <v>0</v>
      </c>
      <c r="AN505">
        <v>0</v>
      </c>
      <c r="AO505">
        <v>0</v>
      </c>
      <c r="AP505">
        <v>0</v>
      </c>
      <c r="AQ505">
        <v>0</v>
      </c>
      <c r="AR505">
        <v>0</v>
      </c>
      <c r="AS505" t="s">
        <v>6</v>
      </c>
      <c r="AT505">
        <v>41.176470600000002</v>
      </c>
      <c r="AU505" t="s">
        <v>6</v>
      </c>
      <c r="AV505">
        <v>0</v>
      </c>
      <c r="AW505">
        <v>1</v>
      </c>
      <c r="AX505">
        <v>-1</v>
      </c>
      <c r="AY505">
        <v>0</v>
      </c>
      <c r="AZ505">
        <v>0</v>
      </c>
      <c r="BA505" t="s">
        <v>6</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CV505">
        <v>0</v>
      </c>
      <c r="CW505">
        <v>0</v>
      </c>
      <c r="CX505">
        <f>ROUND(Y505*Source!I384,9)</f>
        <v>28.000000008000001</v>
      </c>
      <c r="CY505">
        <f t="shared" si="184"/>
        <v>7.93</v>
      </c>
      <c r="CZ505">
        <f t="shared" si="185"/>
        <v>7.93</v>
      </c>
      <c r="DA505">
        <f t="shared" si="186"/>
        <v>1</v>
      </c>
      <c r="DB505">
        <f t="shared" si="180"/>
        <v>326.52999999999997</v>
      </c>
      <c r="DC505">
        <f t="shared" si="181"/>
        <v>0</v>
      </c>
      <c r="DD505" t="s">
        <v>6</v>
      </c>
      <c r="DE505" t="s">
        <v>6</v>
      </c>
      <c r="DF505">
        <f t="shared" si="183"/>
        <v>224</v>
      </c>
      <c r="DG505">
        <f t="shared" si="182"/>
        <v>0</v>
      </c>
      <c r="DH505">
        <f>Source!I384*SmtRes!Y505</f>
        <v>28.000000008000004</v>
      </c>
      <c r="DI505">
        <f t="shared" si="187"/>
        <v>7.93</v>
      </c>
      <c r="DJ505">
        <f t="shared" si="188"/>
        <v>224</v>
      </c>
      <c r="DK505">
        <f>Source!BC384</f>
        <v>1</v>
      </c>
      <c r="DL505" t="s">
        <v>6</v>
      </c>
      <c r="DM505">
        <v>0</v>
      </c>
      <c r="DN505" t="s">
        <v>6</v>
      </c>
      <c r="DO505">
        <v>0</v>
      </c>
      <c r="GP505">
        <v>1</v>
      </c>
      <c r="GQ505">
        <v>-1</v>
      </c>
      <c r="GR505">
        <v>-1</v>
      </c>
    </row>
    <row r="506" spans="1:200" x14ac:dyDescent="0.2">
      <c r="A506">
        <f>ROW(Source!A384)</f>
        <v>384</v>
      </c>
      <c r="B506">
        <v>86326987</v>
      </c>
      <c r="C506">
        <v>86327825</v>
      </c>
      <c r="D506">
        <v>27422801</v>
      </c>
      <c r="E506">
        <v>1</v>
      </c>
      <c r="F506">
        <v>1</v>
      </c>
      <c r="G506">
        <v>1</v>
      </c>
      <c r="H506">
        <v>3</v>
      </c>
      <c r="I506" t="s">
        <v>321</v>
      </c>
      <c r="J506" t="s">
        <v>324</v>
      </c>
      <c r="K506" t="s">
        <v>328</v>
      </c>
      <c r="L506">
        <v>53010780</v>
      </c>
      <c r="N506">
        <v>1010</v>
      </c>
      <c r="O506" t="s">
        <v>323</v>
      </c>
      <c r="P506" t="s">
        <v>325</v>
      </c>
      <c r="Q506">
        <v>1</v>
      </c>
      <c r="W506">
        <v>0</v>
      </c>
      <c r="X506">
        <v>-2127956255</v>
      </c>
      <c r="Y506">
        <f t="shared" si="179"/>
        <v>54.411764699999999</v>
      </c>
      <c r="AA506">
        <v>7.93</v>
      </c>
      <c r="AB506">
        <v>0</v>
      </c>
      <c r="AC506">
        <v>0</v>
      </c>
      <c r="AD506">
        <v>0</v>
      </c>
      <c r="AE506">
        <v>7.93</v>
      </c>
      <c r="AF506">
        <v>0</v>
      </c>
      <c r="AG506">
        <v>0</v>
      </c>
      <c r="AH506">
        <v>0</v>
      </c>
      <c r="AI506">
        <v>1</v>
      </c>
      <c r="AJ506">
        <v>1</v>
      </c>
      <c r="AK506">
        <v>1</v>
      </c>
      <c r="AL506">
        <v>1</v>
      </c>
      <c r="AM506">
        <v>0</v>
      </c>
      <c r="AN506">
        <v>0</v>
      </c>
      <c r="AO506">
        <v>0</v>
      </c>
      <c r="AP506">
        <v>0</v>
      </c>
      <c r="AQ506">
        <v>0</v>
      </c>
      <c r="AR506">
        <v>0</v>
      </c>
      <c r="AS506" t="s">
        <v>6</v>
      </c>
      <c r="AT506">
        <v>54.411764699999999</v>
      </c>
      <c r="AU506" t="s">
        <v>6</v>
      </c>
      <c r="AV506">
        <v>0</v>
      </c>
      <c r="AW506">
        <v>1</v>
      </c>
      <c r="AX506">
        <v>-1</v>
      </c>
      <c r="AY506">
        <v>0</v>
      </c>
      <c r="AZ506">
        <v>0</v>
      </c>
      <c r="BA506" t="s">
        <v>6</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CV506">
        <v>0</v>
      </c>
      <c r="CW506">
        <v>0</v>
      </c>
      <c r="CX506">
        <f>ROUND(Y506*Source!I384,9)</f>
        <v>36.999999996</v>
      </c>
      <c r="CY506">
        <f t="shared" si="184"/>
        <v>7.93</v>
      </c>
      <c r="CZ506">
        <f t="shared" si="185"/>
        <v>7.93</v>
      </c>
      <c r="DA506">
        <f t="shared" si="186"/>
        <v>1</v>
      </c>
      <c r="DB506">
        <f t="shared" si="180"/>
        <v>431.49</v>
      </c>
      <c r="DC506">
        <f t="shared" si="181"/>
        <v>0</v>
      </c>
      <c r="DD506" t="s">
        <v>6</v>
      </c>
      <c r="DE506" t="s">
        <v>6</v>
      </c>
      <c r="DF506">
        <f t="shared" si="183"/>
        <v>296</v>
      </c>
      <c r="DG506">
        <f t="shared" si="182"/>
        <v>0</v>
      </c>
      <c r="DH506">
        <f>Source!I384*SmtRes!Y506</f>
        <v>36.999999996</v>
      </c>
      <c r="DI506">
        <f t="shared" si="187"/>
        <v>7.93</v>
      </c>
      <c r="DJ506">
        <f t="shared" si="188"/>
        <v>296</v>
      </c>
      <c r="DK506">
        <f>Source!BC384</f>
        <v>1</v>
      </c>
      <c r="DL506" t="s">
        <v>6</v>
      </c>
      <c r="DM506">
        <v>0</v>
      </c>
      <c r="DN506" t="s">
        <v>6</v>
      </c>
      <c r="DO506">
        <v>0</v>
      </c>
      <c r="GP506">
        <v>1</v>
      </c>
      <c r="GQ506">
        <v>-1</v>
      </c>
      <c r="GR506">
        <v>-1</v>
      </c>
    </row>
    <row r="507" spans="1:200" x14ac:dyDescent="0.2">
      <c r="A507">
        <f>ROW(Source!A384)</f>
        <v>384</v>
      </c>
      <c r="B507">
        <v>86326987</v>
      </c>
      <c r="C507">
        <v>86327825</v>
      </c>
      <c r="D507">
        <v>27425664</v>
      </c>
      <c r="E507">
        <v>1</v>
      </c>
      <c r="F507">
        <v>1</v>
      </c>
      <c r="G507">
        <v>1</v>
      </c>
      <c r="H507">
        <v>3</v>
      </c>
      <c r="I507" t="s">
        <v>331</v>
      </c>
      <c r="J507" t="s">
        <v>334</v>
      </c>
      <c r="K507" t="s">
        <v>332</v>
      </c>
      <c r="L507">
        <v>1302</v>
      </c>
      <c r="N507">
        <v>1003</v>
      </c>
      <c r="O507" t="s">
        <v>333</v>
      </c>
      <c r="P507" t="s">
        <v>333</v>
      </c>
      <c r="Q507">
        <v>10</v>
      </c>
      <c r="W507">
        <v>0</v>
      </c>
      <c r="X507">
        <v>-1605369031</v>
      </c>
      <c r="Y507">
        <f t="shared" si="179"/>
        <v>10</v>
      </c>
      <c r="AA507">
        <v>56.95</v>
      </c>
      <c r="AB507">
        <v>0</v>
      </c>
      <c r="AC507">
        <v>0</v>
      </c>
      <c r="AD507">
        <v>0</v>
      </c>
      <c r="AE507">
        <v>56.95</v>
      </c>
      <c r="AF507">
        <v>0</v>
      </c>
      <c r="AG507">
        <v>0</v>
      </c>
      <c r="AH507">
        <v>0</v>
      </c>
      <c r="AI507">
        <v>1</v>
      </c>
      <c r="AJ507">
        <v>1</v>
      </c>
      <c r="AK507">
        <v>1</v>
      </c>
      <c r="AL507">
        <v>1</v>
      </c>
      <c r="AM507">
        <v>0</v>
      </c>
      <c r="AN507">
        <v>0</v>
      </c>
      <c r="AO507">
        <v>0</v>
      </c>
      <c r="AP507">
        <v>1</v>
      </c>
      <c r="AQ507">
        <v>0</v>
      </c>
      <c r="AR507">
        <v>0</v>
      </c>
      <c r="AS507" t="s">
        <v>6</v>
      </c>
      <c r="AT507">
        <v>10</v>
      </c>
      <c r="AU507" t="s">
        <v>6</v>
      </c>
      <c r="AV507">
        <v>0</v>
      </c>
      <c r="AW507">
        <v>1</v>
      </c>
      <c r="AX507">
        <v>-1</v>
      </c>
      <c r="AY507">
        <v>0</v>
      </c>
      <c r="AZ507">
        <v>0</v>
      </c>
      <c r="BA507" t="s">
        <v>6</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CV507">
        <v>0</v>
      </c>
      <c r="CW507">
        <v>0</v>
      </c>
      <c r="CX507">
        <f>ROUND(Y507*Source!I384,9)</f>
        <v>6.8</v>
      </c>
      <c r="CY507">
        <f t="shared" si="184"/>
        <v>56.95</v>
      </c>
      <c r="CZ507">
        <f t="shared" si="185"/>
        <v>56.95</v>
      </c>
      <c r="DA507">
        <f t="shared" si="186"/>
        <v>1</v>
      </c>
      <c r="DB507">
        <f t="shared" si="180"/>
        <v>569.5</v>
      </c>
      <c r="DC507">
        <f t="shared" si="181"/>
        <v>0</v>
      </c>
      <c r="DD507" t="s">
        <v>6</v>
      </c>
      <c r="DE507" t="s">
        <v>6</v>
      </c>
      <c r="DF507">
        <f t="shared" si="183"/>
        <v>388</v>
      </c>
      <c r="DG507">
        <f t="shared" si="182"/>
        <v>0</v>
      </c>
      <c r="DH507">
        <f>Source!I384*SmtRes!Y507</f>
        <v>6.8000000000000007</v>
      </c>
      <c r="DI507">
        <f t="shared" si="187"/>
        <v>56.95</v>
      </c>
      <c r="DJ507">
        <f t="shared" si="188"/>
        <v>388</v>
      </c>
      <c r="DK507">
        <f>Source!BC384</f>
        <v>1</v>
      </c>
      <c r="DL507" t="s">
        <v>6</v>
      </c>
      <c r="DM507">
        <v>0</v>
      </c>
      <c r="DN507" t="s">
        <v>6</v>
      </c>
      <c r="DO507">
        <v>0</v>
      </c>
      <c r="GP507">
        <v>1</v>
      </c>
      <c r="GQ507">
        <v>-1</v>
      </c>
      <c r="GR507">
        <v>-1</v>
      </c>
    </row>
    <row r="508" spans="1:200" x14ac:dyDescent="0.2">
      <c r="A508">
        <f>ROW(Source!A384)</f>
        <v>384</v>
      </c>
      <c r="B508">
        <v>86326987</v>
      </c>
      <c r="C508">
        <v>86327825</v>
      </c>
      <c r="D508">
        <v>69208316</v>
      </c>
      <c r="E508">
        <v>1</v>
      </c>
      <c r="F508">
        <v>1</v>
      </c>
      <c r="G508">
        <v>1</v>
      </c>
      <c r="H508">
        <v>3</v>
      </c>
      <c r="I508" t="s">
        <v>532</v>
      </c>
      <c r="J508" t="s">
        <v>534</v>
      </c>
      <c r="K508" t="s">
        <v>533</v>
      </c>
      <c r="L508">
        <v>1348</v>
      </c>
      <c r="N508">
        <v>1009</v>
      </c>
      <c r="O508" t="s">
        <v>33</v>
      </c>
      <c r="P508" t="s">
        <v>33</v>
      </c>
      <c r="Q508">
        <v>1000</v>
      </c>
      <c r="W508">
        <v>0</v>
      </c>
      <c r="X508">
        <v>-1719326189</v>
      </c>
      <c r="Y508">
        <f t="shared" si="179"/>
        <v>6.0000000000000001E-3</v>
      </c>
      <c r="AA508">
        <v>11267.15</v>
      </c>
      <c r="AB508">
        <v>0</v>
      </c>
      <c r="AC508">
        <v>0</v>
      </c>
      <c r="AD508">
        <v>0</v>
      </c>
      <c r="AE508">
        <v>11267.15</v>
      </c>
      <c r="AF508">
        <v>0</v>
      </c>
      <c r="AG508">
        <v>0</v>
      </c>
      <c r="AH508">
        <v>0</v>
      </c>
      <c r="AI508">
        <v>1</v>
      </c>
      <c r="AJ508">
        <v>1</v>
      </c>
      <c r="AK508">
        <v>1</v>
      </c>
      <c r="AL508">
        <v>1</v>
      </c>
      <c r="AM508">
        <v>0</v>
      </c>
      <c r="AN508">
        <v>0</v>
      </c>
      <c r="AO508">
        <v>0</v>
      </c>
      <c r="AP508">
        <v>1</v>
      </c>
      <c r="AQ508">
        <v>0</v>
      </c>
      <c r="AR508">
        <v>0</v>
      </c>
      <c r="AS508" t="s">
        <v>6</v>
      </c>
      <c r="AT508">
        <v>6.0000000000000001E-3</v>
      </c>
      <c r="AU508" t="s">
        <v>6</v>
      </c>
      <c r="AV508">
        <v>0</v>
      </c>
      <c r="AW508">
        <v>1</v>
      </c>
      <c r="AX508">
        <v>-1</v>
      </c>
      <c r="AY508">
        <v>0</v>
      </c>
      <c r="AZ508">
        <v>0</v>
      </c>
      <c r="BA508" t="s">
        <v>6</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CV508">
        <v>0</v>
      </c>
      <c r="CW508">
        <v>0</v>
      </c>
      <c r="CX508">
        <f>ROUND(Y508*Source!I384,9)</f>
        <v>4.0800000000000003E-3</v>
      </c>
      <c r="CY508">
        <f t="shared" si="184"/>
        <v>11267.15</v>
      </c>
      <c r="CZ508">
        <f t="shared" si="185"/>
        <v>11267.15</v>
      </c>
      <c r="DA508">
        <f t="shared" si="186"/>
        <v>1</v>
      </c>
      <c r="DB508">
        <f t="shared" si="180"/>
        <v>67.599999999999994</v>
      </c>
      <c r="DC508">
        <f t="shared" si="181"/>
        <v>0</v>
      </c>
      <c r="DD508" t="s">
        <v>6</v>
      </c>
      <c r="DE508" t="s">
        <v>6</v>
      </c>
      <c r="DF508">
        <f t="shared" si="183"/>
        <v>46</v>
      </c>
      <c r="DG508">
        <f t="shared" si="182"/>
        <v>0</v>
      </c>
      <c r="DH508">
        <f>Source!I384*SmtRes!Y508</f>
        <v>4.0800000000000003E-3</v>
      </c>
      <c r="DI508">
        <f t="shared" si="187"/>
        <v>11267.15</v>
      </c>
      <c r="DJ508">
        <f t="shared" si="188"/>
        <v>46</v>
      </c>
      <c r="DK508">
        <f>Source!BC384</f>
        <v>1</v>
      </c>
      <c r="DL508" t="s">
        <v>6</v>
      </c>
      <c r="DM508">
        <v>0</v>
      </c>
      <c r="DN508" t="s">
        <v>6</v>
      </c>
      <c r="DO508">
        <v>0</v>
      </c>
      <c r="GP508">
        <v>1</v>
      </c>
      <c r="GQ508">
        <v>-1</v>
      </c>
      <c r="GR508">
        <v>-1</v>
      </c>
    </row>
    <row r="509" spans="1:200" x14ac:dyDescent="0.2">
      <c r="A509">
        <f>ROW(Source!A384)</f>
        <v>384</v>
      </c>
      <c r="B509">
        <v>86326987</v>
      </c>
      <c r="C509">
        <v>86327825</v>
      </c>
      <c r="D509">
        <v>69408707</v>
      </c>
      <c r="E509">
        <v>1</v>
      </c>
      <c r="F509">
        <v>1</v>
      </c>
      <c r="G509">
        <v>1</v>
      </c>
      <c r="H509">
        <v>3</v>
      </c>
      <c r="I509" t="s">
        <v>337</v>
      </c>
      <c r="J509" t="s">
        <v>339</v>
      </c>
      <c r="K509" t="s">
        <v>338</v>
      </c>
      <c r="L509">
        <v>1339</v>
      </c>
      <c r="N509">
        <v>1007</v>
      </c>
      <c r="O509" t="s">
        <v>44</v>
      </c>
      <c r="P509" t="s">
        <v>44</v>
      </c>
      <c r="Q509">
        <v>1</v>
      </c>
      <c r="W509">
        <v>0</v>
      </c>
      <c r="X509">
        <v>2111049581</v>
      </c>
      <c r="Y509">
        <f t="shared" si="179"/>
        <v>2.1000000000000001E-2</v>
      </c>
      <c r="AA509">
        <v>586.71</v>
      </c>
      <c r="AB509">
        <v>0</v>
      </c>
      <c r="AC509">
        <v>0</v>
      </c>
      <c r="AD509">
        <v>0</v>
      </c>
      <c r="AE509">
        <v>586.71</v>
      </c>
      <c r="AF509">
        <v>0</v>
      </c>
      <c r="AG509">
        <v>0</v>
      </c>
      <c r="AH509">
        <v>0</v>
      </c>
      <c r="AI509">
        <v>1</v>
      </c>
      <c r="AJ509">
        <v>1</v>
      </c>
      <c r="AK509">
        <v>1</v>
      </c>
      <c r="AL509">
        <v>1</v>
      </c>
      <c r="AM509">
        <v>0</v>
      </c>
      <c r="AN509">
        <v>0</v>
      </c>
      <c r="AO509">
        <v>0</v>
      </c>
      <c r="AP509">
        <v>1</v>
      </c>
      <c r="AQ509">
        <v>0</v>
      </c>
      <c r="AR509">
        <v>0</v>
      </c>
      <c r="AS509" t="s">
        <v>6</v>
      </c>
      <c r="AT509">
        <v>2.1000000000000001E-2</v>
      </c>
      <c r="AU509" t="s">
        <v>6</v>
      </c>
      <c r="AV509">
        <v>0</v>
      </c>
      <c r="AW509">
        <v>1</v>
      </c>
      <c r="AX509">
        <v>-1</v>
      </c>
      <c r="AY509">
        <v>0</v>
      </c>
      <c r="AZ509">
        <v>0</v>
      </c>
      <c r="BA509" t="s">
        <v>6</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CV509">
        <v>0</v>
      </c>
      <c r="CW509">
        <v>0</v>
      </c>
      <c r="CX509">
        <f>ROUND(Y509*Source!I384,9)</f>
        <v>1.4279999999999999E-2</v>
      </c>
      <c r="CY509">
        <f t="shared" si="184"/>
        <v>586.71</v>
      </c>
      <c r="CZ509">
        <f t="shared" si="185"/>
        <v>586.71</v>
      </c>
      <c r="DA509">
        <f t="shared" si="186"/>
        <v>1</v>
      </c>
      <c r="DB509">
        <f t="shared" si="180"/>
        <v>12.32</v>
      </c>
      <c r="DC509">
        <f t="shared" si="181"/>
        <v>0</v>
      </c>
      <c r="DD509" t="s">
        <v>6</v>
      </c>
      <c r="DE509" t="s">
        <v>6</v>
      </c>
      <c r="DF509">
        <f t="shared" si="183"/>
        <v>8</v>
      </c>
      <c r="DG509">
        <f t="shared" si="182"/>
        <v>0</v>
      </c>
      <c r="DH509">
        <f>Source!I384*SmtRes!Y509</f>
        <v>1.4280000000000003E-2</v>
      </c>
      <c r="DI509">
        <f t="shared" si="187"/>
        <v>586.71</v>
      </c>
      <c r="DJ509">
        <f t="shared" si="188"/>
        <v>8</v>
      </c>
      <c r="DK509">
        <f>Source!BC384</f>
        <v>1</v>
      </c>
      <c r="DL509" t="s">
        <v>6</v>
      </c>
      <c r="DM509">
        <v>0</v>
      </c>
      <c r="DN509" t="s">
        <v>6</v>
      </c>
      <c r="DO509">
        <v>0</v>
      </c>
      <c r="GP509">
        <v>1</v>
      </c>
      <c r="GQ509">
        <v>-1</v>
      </c>
      <c r="GR509">
        <v>-1</v>
      </c>
    </row>
    <row r="510" spans="1:200" x14ac:dyDescent="0.2">
      <c r="A510">
        <f>ROW(Source!A385)</f>
        <v>385</v>
      </c>
      <c r="B510">
        <v>86326988</v>
      </c>
      <c r="C510">
        <v>86327825</v>
      </c>
      <c r="D510">
        <v>27683434</v>
      </c>
      <c r="E510">
        <v>1</v>
      </c>
      <c r="F510">
        <v>1</v>
      </c>
      <c r="G510">
        <v>1</v>
      </c>
      <c r="H510">
        <v>1</v>
      </c>
      <c r="I510" t="s">
        <v>664</v>
      </c>
      <c r="J510" t="s">
        <v>6</v>
      </c>
      <c r="K510" t="s">
        <v>665</v>
      </c>
      <c r="L510">
        <v>1369</v>
      </c>
      <c r="N510">
        <v>1013</v>
      </c>
      <c r="O510" t="s">
        <v>625</v>
      </c>
      <c r="P510" t="s">
        <v>625</v>
      </c>
      <c r="Q510">
        <v>1</v>
      </c>
      <c r="W510">
        <v>0</v>
      </c>
      <c r="X510">
        <v>-1710225347</v>
      </c>
      <c r="Y510">
        <f t="shared" si="179"/>
        <v>15.28</v>
      </c>
      <c r="AA510">
        <v>0</v>
      </c>
      <c r="AB510">
        <v>0</v>
      </c>
      <c r="AC510">
        <v>0</v>
      </c>
      <c r="AD510">
        <v>240.41</v>
      </c>
      <c r="AE510">
        <v>0</v>
      </c>
      <c r="AF510">
        <v>0</v>
      </c>
      <c r="AG510">
        <v>0</v>
      </c>
      <c r="AH510">
        <v>9.48</v>
      </c>
      <c r="AI510">
        <v>1</v>
      </c>
      <c r="AJ510">
        <v>1</v>
      </c>
      <c r="AK510">
        <v>1</v>
      </c>
      <c r="AL510">
        <v>25.36</v>
      </c>
      <c r="AM510">
        <v>5</v>
      </c>
      <c r="AN510">
        <v>0</v>
      </c>
      <c r="AO510">
        <v>1</v>
      </c>
      <c r="AP510">
        <v>0</v>
      </c>
      <c r="AQ510">
        <v>0</v>
      </c>
      <c r="AR510">
        <v>0</v>
      </c>
      <c r="AS510" t="s">
        <v>6</v>
      </c>
      <c r="AT510">
        <v>15.28</v>
      </c>
      <c r="AU510" t="s">
        <v>6</v>
      </c>
      <c r="AV510">
        <v>1</v>
      </c>
      <c r="AW510">
        <v>2</v>
      </c>
      <c r="AX510">
        <v>86327837</v>
      </c>
      <c r="AY510">
        <v>1</v>
      </c>
      <c r="AZ510">
        <v>0</v>
      </c>
      <c r="BA510">
        <v>427</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CU510">
        <f>ROUND(AT510*Source!I385*AH510*AL510,0)</f>
        <v>2498</v>
      </c>
      <c r="CV510">
        <f>ROUND(Y510*Source!I385,9)</f>
        <v>10.3904</v>
      </c>
      <c r="CW510">
        <v>0</v>
      </c>
      <c r="CX510">
        <f>ROUND(Y510*Source!I385,9)</f>
        <v>10.3904</v>
      </c>
      <c r="CY510">
        <f>AD510</f>
        <v>240.41</v>
      </c>
      <c r="CZ510">
        <f>AH510</f>
        <v>9.48</v>
      </c>
      <c r="DA510">
        <f>AL510</f>
        <v>25.36</v>
      </c>
      <c r="DB510">
        <f t="shared" si="180"/>
        <v>144.85</v>
      </c>
      <c r="DC510">
        <f t="shared" si="181"/>
        <v>0</v>
      </c>
      <c r="DD510" t="s">
        <v>6</v>
      </c>
      <c r="DE510" t="s">
        <v>6</v>
      </c>
      <c r="DF510">
        <f t="shared" si="183"/>
        <v>0</v>
      </c>
      <c r="DG510">
        <f t="shared" si="182"/>
        <v>0</v>
      </c>
      <c r="DH510">
        <f>Source!I385*SmtRes!Y510</f>
        <v>10.3904</v>
      </c>
      <c r="DI510">
        <f>AD510</f>
        <v>240.41</v>
      </c>
      <c r="DJ510">
        <f>EtalonRes!AB427</f>
        <v>9.48</v>
      </c>
      <c r="DK510">
        <f>Source!BA385</f>
        <v>25.36</v>
      </c>
      <c r="DL510" t="s">
        <v>6</v>
      </c>
      <c r="DM510">
        <v>0</v>
      </c>
      <c r="DN510" t="s">
        <v>6</v>
      </c>
      <c r="DO510">
        <v>0</v>
      </c>
      <c r="GQ510">
        <v>-1</v>
      </c>
      <c r="GR510">
        <v>-1</v>
      </c>
    </row>
    <row r="511" spans="1:200" x14ac:dyDescent="0.2">
      <c r="A511">
        <f>ROW(Source!A385)</f>
        <v>385</v>
      </c>
      <c r="B511">
        <v>86326988</v>
      </c>
      <c r="C511">
        <v>86327825</v>
      </c>
      <c r="D511">
        <v>121548</v>
      </c>
      <c r="E511">
        <v>1</v>
      </c>
      <c r="F511">
        <v>1</v>
      </c>
      <c r="G511">
        <v>1</v>
      </c>
      <c r="H511">
        <v>1</v>
      </c>
      <c r="I511" t="s">
        <v>40</v>
      </c>
      <c r="J511" t="s">
        <v>6</v>
      </c>
      <c r="K511" t="s">
        <v>626</v>
      </c>
      <c r="L511">
        <v>608254</v>
      </c>
      <c r="N511">
        <v>1013</v>
      </c>
      <c r="O511" t="s">
        <v>627</v>
      </c>
      <c r="P511" t="s">
        <v>627</v>
      </c>
      <c r="Q511">
        <v>1</v>
      </c>
      <c r="W511">
        <v>0</v>
      </c>
      <c r="X511">
        <v>-185737400</v>
      </c>
      <c r="Y511">
        <f t="shared" si="179"/>
        <v>0.09</v>
      </c>
      <c r="AA511">
        <v>0</v>
      </c>
      <c r="AB511">
        <v>0</v>
      </c>
      <c r="AC511">
        <v>0</v>
      </c>
      <c r="AD511">
        <v>0</v>
      </c>
      <c r="AE511">
        <v>0</v>
      </c>
      <c r="AF511">
        <v>0</v>
      </c>
      <c r="AG511">
        <v>0</v>
      </c>
      <c r="AH511">
        <v>0</v>
      </c>
      <c r="AI511">
        <v>1</v>
      </c>
      <c r="AJ511">
        <v>1</v>
      </c>
      <c r="AK511">
        <v>19.8</v>
      </c>
      <c r="AL511">
        <v>1</v>
      </c>
      <c r="AM511">
        <v>5</v>
      </c>
      <c r="AN511">
        <v>0</v>
      </c>
      <c r="AO511">
        <v>1</v>
      </c>
      <c r="AP511">
        <v>0</v>
      </c>
      <c r="AQ511">
        <v>0</v>
      </c>
      <c r="AR511">
        <v>0</v>
      </c>
      <c r="AS511" t="s">
        <v>6</v>
      </c>
      <c r="AT511">
        <v>0.09</v>
      </c>
      <c r="AU511" t="s">
        <v>6</v>
      </c>
      <c r="AV511">
        <v>2</v>
      </c>
      <c r="AW511">
        <v>2</v>
      </c>
      <c r="AX511">
        <v>86327838</v>
      </c>
      <c r="AY511">
        <v>1</v>
      </c>
      <c r="AZ511">
        <v>0</v>
      </c>
      <c r="BA511">
        <v>428</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CV511">
        <v>0</v>
      </c>
      <c r="CW511">
        <v>0</v>
      </c>
      <c r="CX511">
        <f>ROUND(Y511*Source!I385,9)</f>
        <v>6.1199999999999997E-2</v>
      </c>
      <c r="CY511">
        <f>AD511</f>
        <v>0</v>
      </c>
      <c r="CZ511">
        <f>AH511</f>
        <v>0</v>
      </c>
      <c r="DA511">
        <f>AL511</f>
        <v>1</v>
      </c>
      <c r="DB511">
        <f t="shared" si="180"/>
        <v>0</v>
      </c>
      <c r="DC511">
        <f t="shared" si="181"/>
        <v>0</v>
      </c>
      <c r="DD511" t="s">
        <v>6</v>
      </c>
      <c r="DE511" t="s">
        <v>6</v>
      </c>
      <c r="DF511">
        <f t="shared" si="183"/>
        <v>0</v>
      </c>
      <c r="DG511">
        <f t="shared" si="182"/>
        <v>0</v>
      </c>
      <c r="DH511">
        <f>Source!I385*SmtRes!Y511</f>
        <v>6.1200000000000004E-2</v>
      </c>
      <c r="DI511">
        <f>AD511</f>
        <v>0</v>
      </c>
      <c r="DJ511">
        <f>EtalonRes!AB428</f>
        <v>0</v>
      </c>
      <c r="DK511">
        <f>Source!BA385</f>
        <v>25.36</v>
      </c>
      <c r="DL511" t="s">
        <v>6</v>
      </c>
      <c r="DM511">
        <v>0</v>
      </c>
      <c r="DN511" t="s">
        <v>6</v>
      </c>
      <c r="DO511">
        <v>0</v>
      </c>
      <c r="GQ511">
        <v>-1</v>
      </c>
      <c r="GR511">
        <v>-1</v>
      </c>
    </row>
    <row r="512" spans="1:200" x14ac:dyDescent="0.2">
      <c r="A512">
        <f>ROW(Source!A385)</f>
        <v>385</v>
      </c>
      <c r="B512">
        <v>86326988</v>
      </c>
      <c r="C512">
        <v>86327825</v>
      </c>
      <c r="D512">
        <v>27439488</v>
      </c>
      <c r="E512">
        <v>1</v>
      </c>
      <c r="F512">
        <v>1</v>
      </c>
      <c r="G512">
        <v>1</v>
      </c>
      <c r="H512">
        <v>2</v>
      </c>
      <c r="I512" t="s">
        <v>666</v>
      </c>
      <c r="J512" t="s">
        <v>667</v>
      </c>
      <c r="K512" t="s">
        <v>668</v>
      </c>
      <c r="L512">
        <v>1368</v>
      </c>
      <c r="N512">
        <v>1011</v>
      </c>
      <c r="O512" t="s">
        <v>137</v>
      </c>
      <c r="P512" t="s">
        <v>137</v>
      </c>
      <c r="Q512">
        <v>1</v>
      </c>
      <c r="W512">
        <v>0</v>
      </c>
      <c r="X512">
        <v>1935423198</v>
      </c>
      <c r="Y512">
        <f t="shared" si="179"/>
        <v>0.09</v>
      </c>
      <c r="AA512">
        <v>0</v>
      </c>
      <c r="AB512">
        <v>892.27</v>
      </c>
      <c r="AC512">
        <v>269.48</v>
      </c>
      <c r="AD512">
        <v>0</v>
      </c>
      <c r="AE512">
        <v>0</v>
      </c>
      <c r="AF512">
        <v>113.81</v>
      </c>
      <c r="AG512">
        <v>13.61</v>
      </c>
      <c r="AH512">
        <v>0</v>
      </c>
      <c r="AI512">
        <v>1</v>
      </c>
      <c r="AJ512">
        <v>7.84</v>
      </c>
      <c r="AK512">
        <v>19.8</v>
      </c>
      <c r="AL512">
        <v>1</v>
      </c>
      <c r="AM512">
        <v>5</v>
      </c>
      <c r="AN512">
        <v>0</v>
      </c>
      <c r="AO512">
        <v>1</v>
      </c>
      <c r="AP512">
        <v>0</v>
      </c>
      <c r="AQ512">
        <v>0</v>
      </c>
      <c r="AR512">
        <v>0</v>
      </c>
      <c r="AS512" t="s">
        <v>6</v>
      </c>
      <c r="AT512">
        <v>0.09</v>
      </c>
      <c r="AU512" t="s">
        <v>6</v>
      </c>
      <c r="AV512">
        <v>0</v>
      </c>
      <c r="AW512">
        <v>2</v>
      </c>
      <c r="AX512">
        <v>86327839</v>
      </c>
      <c r="AY512">
        <v>1</v>
      </c>
      <c r="AZ512">
        <v>0</v>
      </c>
      <c r="BA512">
        <v>429</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CV512">
        <v>0</v>
      </c>
      <c r="CW512">
        <f>ROUND(Y512*Source!I385*DO512,9)</f>
        <v>0</v>
      </c>
      <c r="CX512">
        <f>ROUND(Y512*Source!I385,9)</f>
        <v>6.1199999999999997E-2</v>
      </c>
      <c r="CY512">
        <f>AB512</f>
        <v>892.27</v>
      </c>
      <c r="CZ512">
        <f>AF512</f>
        <v>113.81</v>
      </c>
      <c r="DA512">
        <f>AJ512</f>
        <v>7.84</v>
      </c>
      <c r="DB512">
        <f t="shared" si="180"/>
        <v>10.24</v>
      </c>
      <c r="DC512">
        <f t="shared" si="181"/>
        <v>1.22</v>
      </c>
      <c r="DD512" t="s">
        <v>6</v>
      </c>
      <c r="DE512" t="s">
        <v>6</v>
      </c>
      <c r="DF512">
        <f t="shared" si="183"/>
        <v>0</v>
      </c>
      <c r="DG512">
        <f>ROUND(ROUND(AF512*AJ512,0)*CX512,0)</f>
        <v>55</v>
      </c>
      <c r="DH512">
        <f>Source!I385*SmtRes!Y512</f>
        <v>6.1200000000000004E-2</v>
      </c>
      <c r="DI512">
        <f>AB512</f>
        <v>892.27</v>
      </c>
      <c r="DJ512">
        <f>EtalonRes!Z429</f>
        <v>113.81</v>
      </c>
      <c r="DK512">
        <f>Source!BB385</f>
        <v>7.84</v>
      </c>
      <c r="DL512" t="s">
        <v>6</v>
      </c>
      <c r="DM512">
        <v>0</v>
      </c>
      <c r="DN512" t="s">
        <v>6</v>
      </c>
      <c r="DO512">
        <v>0</v>
      </c>
      <c r="GQ512">
        <v>-1</v>
      </c>
      <c r="GR512">
        <v>-1</v>
      </c>
    </row>
    <row r="513" spans="1:200" x14ac:dyDescent="0.2">
      <c r="A513">
        <f>ROW(Source!A385)</f>
        <v>385</v>
      </c>
      <c r="B513">
        <v>86326988</v>
      </c>
      <c r="C513">
        <v>86327825</v>
      </c>
      <c r="D513">
        <v>27441078</v>
      </c>
      <c r="E513">
        <v>1</v>
      </c>
      <c r="F513">
        <v>1</v>
      </c>
      <c r="G513">
        <v>1</v>
      </c>
      <c r="H513">
        <v>2</v>
      </c>
      <c r="I513" t="s">
        <v>669</v>
      </c>
      <c r="J513" t="s">
        <v>670</v>
      </c>
      <c r="K513" t="s">
        <v>671</v>
      </c>
      <c r="L513">
        <v>1368</v>
      </c>
      <c r="N513">
        <v>1011</v>
      </c>
      <c r="O513" t="s">
        <v>137</v>
      </c>
      <c r="P513" t="s">
        <v>137</v>
      </c>
      <c r="Q513">
        <v>1</v>
      </c>
      <c r="W513">
        <v>0</v>
      </c>
      <c r="X513">
        <v>-380487195</v>
      </c>
      <c r="Y513">
        <f t="shared" si="179"/>
        <v>2.35</v>
      </c>
      <c r="AA513">
        <v>0</v>
      </c>
      <c r="AB513">
        <v>16.23</v>
      </c>
      <c r="AC513">
        <v>0</v>
      </c>
      <c r="AD513">
        <v>0</v>
      </c>
      <c r="AE513">
        <v>0</v>
      </c>
      <c r="AF513">
        <v>2.0699999999999998</v>
      </c>
      <c r="AG513">
        <v>0</v>
      </c>
      <c r="AH513">
        <v>0</v>
      </c>
      <c r="AI513">
        <v>1</v>
      </c>
      <c r="AJ513">
        <v>7.84</v>
      </c>
      <c r="AK513">
        <v>19.8</v>
      </c>
      <c r="AL513">
        <v>1</v>
      </c>
      <c r="AM513">
        <v>5</v>
      </c>
      <c r="AN513">
        <v>0</v>
      </c>
      <c r="AO513">
        <v>1</v>
      </c>
      <c r="AP513">
        <v>0</v>
      </c>
      <c r="AQ513">
        <v>0</v>
      </c>
      <c r="AR513">
        <v>0</v>
      </c>
      <c r="AS513" t="s">
        <v>6</v>
      </c>
      <c r="AT513">
        <v>2.35</v>
      </c>
      <c r="AU513" t="s">
        <v>6</v>
      </c>
      <c r="AV513">
        <v>0</v>
      </c>
      <c r="AW513">
        <v>2</v>
      </c>
      <c r="AX513">
        <v>86327840</v>
      </c>
      <c r="AY513">
        <v>1</v>
      </c>
      <c r="AZ513">
        <v>0</v>
      </c>
      <c r="BA513">
        <v>430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CV513">
        <v>0</v>
      </c>
      <c r="CW513">
        <f>ROUND(Y513*Source!I385*DO513,9)</f>
        <v>0</v>
      </c>
      <c r="CX513">
        <f>ROUND(Y513*Source!I385,9)</f>
        <v>1.5980000000000001</v>
      </c>
      <c r="CY513">
        <f>AB513</f>
        <v>16.23</v>
      </c>
      <c r="CZ513">
        <f>AF513</f>
        <v>2.0699999999999998</v>
      </c>
      <c r="DA513">
        <f>AJ513</f>
        <v>7.84</v>
      </c>
      <c r="DB513">
        <f t="shared" si="180"/>
        <v>4.8600000000000003</v>
      </c>
      <c r="DC513">
        <f t="shared" si="181"/>
        <v>0</v>
      </c>
      <c r="DD513" t="s">
        <v>6</v>
      </c>
      <c r="DE513" t="s">
        <v>6</v>
      </c>
      <c r="DF513">
        <f t="shared" si="183"/>
        <v>0</v>
      </c>
      <c r="DG513">
        <f>ROUND(ROUND(AF513*AJ513,0)*CX513,0)</f>
        <v>26</v>
      </c>
      <c r="DH513">
        <f>Source!I385*SmtRes!Y513</f>
        <v>1.5980000000000001</v>
      </c>
      <c r="DI513">
        <f>AB513</f>
        <v>16.23</v>
      </c>
      <c r="DJ513">
        <f>EtalonRes!Z430</f>
        <v>2.0699999999999998</v>
      </c>
      <c r="DK513">
        <f>Source!BB385</f>
        <v>7.84</v>
      </c>
      <c r="DL513" t="s">
        <v>6</v>
      </c>
      <c r="DM513">
        <v>0</v>
      </c>
      <c r="DN513" t="s">
        <v>6</v>
      </c>
      <c r="DO513">
        <v>0</v>
      </c>
      <c r="GQ513">
        <v>-1</v>
      </c>
      <c r="GR513">
        <v>-1</v>
      </c>
    </row>
    <row r="514" spans="1:200" x14ac:dyDescent="0.2">
      <c r="A514">
        <f>ROW(Source!A385)</f>
        <v>385</v>
      </c>
      <c r="B514">
        <v>86326988</v>
      </c>
      <c r="C514">
        <v>86327825</v>
      </c>
      <c r="D514">
        <v>27441327</v>
      </c>
      <c r="E514">
        <v>1</v>
      </c>
      <c r="F514">
        <v>1</v>
      </c>
      <c r="G514">
        <v>1</v>
      </c>
      <c r="H514">
        <v>2</v>
      </c>
      <c r="I514" t="s">
        <v>637</v>
      </c>
      <c r="J514" t="s">
        <v>638</v>
      </c>
      <c r="K514" t="s">
        <v>639</v>
      </c>
      <c r="L514">
        <v>1368</v>
      </c>
      <c r="N514">
        <v>1011</v>
      </c>
      <c r="O514" t="s">
        <v>137</v>
      </c>
      <c r="P514" t="s">
        <v>137</v>
      </c>
      <c r="Q514">
        <v>1</v>
      </c>
      <c r="W514">
        <v>0</v>
      </c>
      <c r="X514">
        <v>-1583389094</v>
      </c>
      <c r="Y514">
        <f t="shared" si="179"/>
        <v>0.09</v>
      </c>
      <c r="AA514">
        <v>0</v>
      </c>
      <c r="AB514">
        <v>732.02</v>
      </c>
      <c r="AC514">
        <v>231.46</v>
      </c>
      <c r="AD514">
        <v>0</v>
      </c>
      <c r="AE514">
        <v>0</v>
      </c>
      <c r="AF514">
        <v>93.37</v>
      </c>
      <c r="AG514">
        <v>11.69</v>
      </c>
      <c r="AH514">
        <v>0</v>
      </c>
      <c r="AI514">
        <v>1</v>
      </c>
      <c r="AJ514">
        <v>7.84</v>
      </c>
      <c r="AK514">
        <v>19.8</v>
      </c>
      <c r="AL514">
        <v>1</v>
      </c>
      <c r="AM514">
        <v>5</v>
      </c>
      <c r="AN514">
        <v>0</v>
      </c>
      <c r="AO514">
        <v>1</v>
      </c>
      <c r="AP514">
        <v>0</v>
      </c>
      <c r="AQ514">
        <v>0</v>
      </c>
      <c r="AR514">
        <v>0</v>
      </c>
      <c r="AS514" t="s">
        <v>6</v>
      </c>
      <c r="AT514">
        <v>0.09</v>
      </c>
      <c r="AU514" t="s">
        <v>6</v>
      </c>
      <c r="AV514">
        <v>0</v>
      </c>
      <c r="AW514">
        <v>2</v>
      </c>
      <c r="AX514">
        <v>86327841</v>
      </c>
      <c r="AY514">
        <v>1</v>
      </c>
      <c r="AZ514">
        <v>0</v>
      </c>
      <c r="BA514">
        <v>431</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CV514">
        <v>0</v>
      </c>
      <c r="CW514">
        <f>ROUND(Y514*Source!I385*DO514,9)</f>
        <v>0</v>
      </c>
      <c r="CX514">
        <f>ROUND(Y514*Source!I385,9)</f>
        <v>6.1199999999999997E-2</v>
      </c>
      <c r="CY514">
        <f>AB514</f>
        <v>732.02</v>
      </c>
      <c r="CZ514">
        <f>AF514</f>
        <v>93.37</v>
      </c>
      <c r="DA514">
        <f>AJ514</f>
        <v>7.84</v>
      </c>
      <c r="DB514">
        <f t="shared" si="180"/>
        <v>8.4</v>
      </c>
      <c r="DC514">
        <f t="shared" si="181"/>
        <v>1.05</v>
      </c>
      <c r="DD514" t="s">
        <v>6</v>
      </c>
      <c r="DE514" t="s">
        <v>6</v>
      </c>
      <c r="DF514">
        <f t="shared" si="183"/>
        <v>0</v>
      </c>
      <c r="DG514">
        <f>ROUND(ROUND(AF514*AJ514,0)*CX514,0)</f>
        <v>45</v>
      </c>
      <c r="DH514">
        <f>Source!I385*SmtRes!Y514</f>
        <v>6.1200000000000004E-2</v>
      </c>
      <c r="DI514">
        <f>AB514</f>
        <v>732.02</v>
      </c>
      <c r="DJ514">
        <f>EtalonRes!Z431</f>
        <v>93.37</v>
      </c>
      <c r="DK514">
        <f>Source!BB385</f>
        <v>7.84</v>
      </c>
      <c r="DL514" t="s">
        <v>6</v>
      </c>
      <c r="DM514">
        <v>0</v>
      </c>
      <c r="DN514" t="s">
        <v>6</v>
      </c>
      <c r="DO514">
        <v>0</v>
      </c>
      <c r="GQ514">
        <v>-1</v>
      </c>
      <c r="GR514">
        <v>-1</v>
      </c>
    </row>
    <row r="515" spans="1:200" x14ac:dyDescent="0.2">
      <c r="A515">
        <f>ROW(Source!A385)</f>
        <v>385</v>
      </c>
      <c r="B515">
        <v>86326988</v>
      </c>
      <c r="C515">
        <v>86327825</v>
      </c>
      <c r="D515">
        <v>27377917</v>
      </c>
      <c r="E515">
        <v>1</v>
      </c>
      <c r="F515">
        <v>1</v>
      </c>
      <c r="G515">
        <v>1</v>
      </c>
      <c r="H515">
        <v>3</v>
      </c>
      <c r="I515" t="s">
        <v>316</v>
      </c>
      <c r="J515" t="s">
        <v>318</v>
      </c>
      <c r="K515" t="s">
        <v>317</v>
      </c>
      <c r="L515">
        <v>1348</v>
      </c>
      <c r="N515">
        <v>1009</v>
      </c>
      <c r="O515" t="s">
        <v>33</v>
      </c>
      <c r="P515" t="s">
        <v>33</v>
      </c>
      <c r="Q515">
        <v>1000</v>
      </c>
      <c r="W515">
        <v>0</v>
      </c>
      <c r="X515">
        <v>1988624183</v>
      </c>
      <c r="Y515">
        <f t="shared" si="179"/>
        <v>2.2000000000000001E-3</v>
      </c>
      <c r="AA515">
        <v>96250</v>
      </c>
      <c r="AB515">
        <v>0</v>
      </c>
      <c r="AC515">
        <v>0</v>
      </c>
      <c r="AD515">
        <v>0</v>
      </c>
      <c r="AE515">
        <v>13505.55</v>
      </c>
      <c r="AF515">
        <v>0</v>
      </c>
      <c r="AG515">
        <v>0</v>
      </c>
      <c r="AH515">
        <v>0</v>
      </c>
      <c r="AI515">
        <v>7.56</v>
      </c>
      <c r="AJ515">
        <v>1</v>
      </c>
      <c r="AK515">
        <v>1</v>
      </c>
      <c r="AL515">
        <v>1</v>
      </c>
      <c r="AM515">
        <v>0</v>
      </c>
      <c r="AN515">
        <v>0</v>
      </c>
      <c r="AO515">
        <v>0</v>
      </c>
      <c r="AP515">
        <v>1</v>
      </c>
      <c r="AQ515">
        <v>0</v>
      </c>
      <c r="AR515">
        <v>0</v>
      </c>
      <c r="AS515" t="s">
        <v>6</v>
      </c>
      <c r="AT515">
        <v>2.2000000000000001E-3</v>
      </c>
      <c r="AU515" t="s">
        <v>6</v>
      </c>
      <c r="AV515">
        <v>0</v>
      </c>
      <c r="AW515">
        <v>1</v>
      </c>
      <c r="AX515">
        <v>-1</v>
      </c>
      <c r="AY515">
        <v>0</v>
      </c>
      <c r="AZ515">
        <v>0</v>
      </c>
      <c r="BA515" t="s">
        <v>6</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CV515">
        <v>0</v>
      </c>
      <c r="CW515">
        <v>0</v>
      </c>
      <c r="CX515">
        <f>ROUND(Y515*Source!I385,9)</f>
        <v>1.4959999999999999E-3</v>
      </c>
      <c r="CY515">
        <f t="shared" ref="CY515:CY520" si="189">AA515</f>
        <v>96250</v>
      </c>
      <c r="CZ515">
        <f t="shared" ref="CZ515:CZ520" si="190">AE515</f>
        <v>13505.55</v>
      </c>
      <c r="DA515">
        <f t="shared" ref="DA515:DA520" si="191">AI515</f>
        <v>7.56</v>
      </c>
      <c r="DB515">
        <f t="shared" si="180"/>
        <v>29.71</v>
      </c>
      <c r="DC515">
        <f t="shared" si="181"/>
        <v>0</v>
      </c>
      <c r="DD515" t="s">
        <v>6</v>
      </c>
      <c r="DE515" t="s">
        <v>6</v>
      </c>
      <c r="DF515">
        <f t="shared" ref="DF515:DF520" si="192">ROUND(ROUND(AE515*AI515,0)*CX515,0)</f>
        <v>153</v>
      </c>
      <c r="DG515">
        <f t="shared" ref="DG515:DG526" si="193">ROUND(ROUND(AF515,0)*CX515,0)</f>
        <v>0</v>
      </c>
      <c r="DH515">
        <f>Source!I385*SmtRes!Y515</f>
        <v>1.4960000000000002E-3</v>
      </c>
      <c r="DI515">
        <f t="shared" ref="DI515:DI520" si="194">AA515</f>
        <v>96250</v>
      </c>
      <c r="DJ515">
        <f t="shared" ref="DJ515:DJ520" si="195">DF515</f>
        <v>153</v>
      </c>
      <c r="DK515">
        <f>Source!BC385</f>
        <v>7.56</v>
      </c>
      <c r="DL515" t="s">
        <v>6</v>
      </c>
      <c r="DM515">
        <v>0</v>
      </c>
      <c r="DN515" t="s">
        <v>6</v>
      </c>
      <c r="DO515">
        <v>0</v>
      </c>
      <c r="GP515">
        <v>1</v>
      </c>
      <c r="GQ515">
        <v>-1</v>
      </c>
      <c r="GR515">
        <v>-1</v>
      </c>
    </row>
    <row r="516" spans="1:200" x14ac:dyDescent="0.2">
      <c r="A516">
        <f>ROW(Source!A385)</f>
        <v>385</v>
      </c>
      <c r="B516">
        <v>86326988</v>
      </c>
      <c r="C516">
        <v>86327825</v>
      </c>
      <c r="D516">
        <v>27422801</v>
      </c>
      <c r="E516">
        <v>1</v>
      </c>
      <c r="F516">
        <v>1</v>
      </c>
      <c r="G516">
        <v>1</v>
      </c>
      <c r="H516">
        <v>3</v>
      </c>
      <c r="I516" t="s">
        <v>321</v>
      </c>
      <c r="J516" t="s">
        <v>324</v>
      </c>
      <c r="K516" t="s">
        <v>528</v>
      </c>
      <c r="L516">
        <v>53010780</v>
      </c>
      <c r="N516">
        <v>1010</v>
      </c>
      <c r="O516" t="s">
        <v>323</v>
      </c>
      <c r="P516" t="s">
        <v>325</v>
      </c>
      <c r="Q516">
        <v>1</v>
      </c>
      <c r="W516">
        <v>0</v>
      </c>
      <c r="X516">
        <v>1366414738</v>
      </c>
      <c r="Y516">
        <f t="shared" si="179"/>
        <v>41.176470600000002</v>
      </c>
      <c r="AA516">
        <v>25.15</v>
      </c>
      <c r="AB516">
        <v>0</v>
      </c>
      <c r="AC516">
        <v>0</v>
      </c>
      <c r="AD516">
        <v>0</v>
      </c>
      <c r="AE516">
        <v>3.53</v>
      </c>
      <c r="AF516">
        <v>0</v>
      </c>
      <c r="AG516">
        <v>0</v>
      </c>
      <c r="AH516">
        <v>0</v>
      </c>
      <c r="AI516">
        <v>7.56</v>
      </c>
      <c r="AJ516">
        <v>1</v>
      </c>
      <c r="AK516">
        <v>1</v>
      </c>
      <c r="AL516">
        <v>1</v>
      </c>
      <c r="AM516">
        <v>0</v>
      </c>
      <c r="AN516">
        <v>0</v>
      </c>
      <c r="AO516">
        <v>0</v>
      </c>
      <c r="AP516">
        <v>0</v>
      </c>
      <c r="AQ516">
        <v>0</v>
      </c>
      <c r="AR516">
        <v>0</v>
      </c>
      <c r="AS516" t="s">
        <v>6</v>
      </c>
      <c r="AT516">
        <v>41.176470600000002</v>
      </c>
      <c r="AU516" t="s">
        <v>6</v>
      </c>
      <c r="AV516">
        <v>0</v>
      </c>
      <c r="AW516">
        <v>1</v>
      </c>
      <c r="AX516">
        <v>-1</v>
      </c>
      <c r="AY516">
        <v>0</v>
      </c>
      <c r="AZ516">
        <v>0</v>
      </c>
      <c r="BA516" t="s">
        <v>6</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CV516">
        <v>0</v>
      </c>
      <c r="CW516">
        <v>0</v>
      </c>
      <c r="CX516">
        <f>ROUND(Y516*Source!I385,9)</f>
        <v>28.000000008000001</v>
      </c>
      <c r="CY516">
        <f t="shared" si="189"/>
        <v>25.15</v>
      </c>
      <c r="CZ516">
        <f t="shared" si="190"/>
        <v>3.53</v>
      </c>
      <c r="DA516">
        <f t="shared" si="191"/>
        <v>7.56</v>
      </c>
      <c r="DB516">
        <f t="shared" si="180"/>
        <v>145.35</v>
      </c>
      <c r="DC516">
        <f t="shared" si="181"/>
        <v>0</v>
      </c>
      <c r="DD516" t="s">
        <v>6</v>
      </c>
      <c r="DE516" t="s">
        <v>6</v>
      </c>
      <c r="DF516">
        <f t="shared" si="192"/>
        <v>756</v>
      </c>
      <c r="DG516">
        <f t="shared" si="193"/>
        <v>0</v>
      </c>
      <c r="DH516">
        <f>Source!I385*SmtRes!Y516</f>
        <v>28.000000008000004</v>
      </c>
      <c r="DI516">
        <f t="shared" si="194"/>
        <v>25.15</v>
      </c>
      <c r="DJ516">
        <f t="shared" si="195"/>
        <v>756</v>
      </c>
      <c r="DK516">
        <f>Source!BC385</f>
        <v>7.56</v>
      </c>
      <c r="DL516" t="s">
        <v>6</v>
      </c>
      <c r="DM516">
        <v>0</v>
      </c>
      <c r="DN516" t="s">
        <v>6</v>
      </c>
      <c r="DO516">
        <v>0</v>
      </c>
      <c r="GP516">
        <v>1</v>
      </c>
      <c r="GQ516">
        <v>-1</v>
      </c>
      <c r="GR516">
        <v>-1</v>
      </c>
    </row>
    <row r="517" spans="1:200" x14ac:dyDescent="0.2">
      <c r="A517">
        <f>ROW(Source!A385)</f>
        <v>385</v>
      </c>
      <c r="B517">
        <v>86326988</v>
      </c>
      <c r="C517">
        <v>86327825</v>
      </c>
      <c r="D517">
        <v>27422801</v>
      </c>
      <c r="E517">
        <v>1</v>
      </c>
      <c r="F517">
        <v>1</v>
      </c>
      <c r="G517">
        <v>1</v>
      </c>
      <c r="H517">
        <v>3</v>
      </c>
      <c r="I517" t="s">
        <v>321</v>
      </c>
      <c r="J517" t="s">
        <v>324</v>
      </c>
      <c r="K517" t="s">
        <v>328</v>
      </c>
      <c r="L517">
        <v>53010780</v>
      </c>
      <c r="N517">
        <v>1010</v>
      </c>
      <c r="O517" t="s">
        <v>323</v>
      </c>
      <c r="P517" t="s">
        <v>325</v>
      </c>
      <c r="Q517">
        <v>1</v>
      </c>
      <c r="W517">
        <v>0</v>
      </c>
      <c r="X517">
        <v>-2127956255</v>
      </c>
      <c r="Y517">
        <f t="shared" si="179"/>
        <v>54.411764699999999</v>
      </c>
      <c r="AA517">
        <v>30.28</v>
      </c>
      <c r="AB517">
        <v>0</v>
      </c>
      <c r="AC517">
        <v>0</v>
      </c>
      <c r="AD517">
        <v>0</v>
      </c>
      <c r="AE517">
        <v>4.25</v>
      </c>
      <c r="AF517">
        <v>0</v>
      </c>
      <c r="AG517">
        <v>0</v>
      </c>
      <c r="AH517">
        <v>0</v>
      </c>
      <c r="AI517">
        <v>7.56</v>
      </c>
      <c r="AJ517">
        <v>1</v>
      </c>
      <c r="AK517">
        <v>1</v>
      </c>
      <c r="AL517">
        <v>1</v>
      </c>
      <c r="AM517">
        <v>0</v>
      </c>
      <c r="AN517">
        <v>0</v>
      </c>
      <c r="AO517">
        <v>0</v>
      </c>
      <c r="AP517">
        <v>0</v>
      </c>
      <c r="AQ517">
        <v>0</v>
      </c>
      <c r="AR517">
        <v>0</v>
      </c>
      <c r="AS517" t="s">
        <v>6</v>
      </c>
      <c r="AT517">
        <v>54.411764699999999</v>
      </c>
      <c r="AU517" t="s">
        <v>6</v>
      </c>
      <c r="AV517">
        <v>0</v>
      </c>
      <c r="AW517">
        <v>1</v>
      </c>
      <c r="AX517">
        <v>-1</v>
      </c>
      <c r="AY517">
        <v>0</v>
      </c>
      <c r="AZ517">
        <v>0</v>
      </c>
      <c r="BA517" t="s">
        <v>6</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CV517">
        <v>0</v>
      </c>
      <c r="CW517">
        <v>0</v>
      </c>
      <c r="CX517">
        <f>ROUND(Y517*Source!I385,9)</f>
        <v>36.999999996</v>
      </c>
      <c r="CY517">
        <f t="shared" si="189"/>
        <v>30.28</v>
      </c>
      <c r="CZ517">
        <f t="shared" si="190"/>
        <v>4.25</v>
      </c>
      <c r="DA517">
        <f t="shared" si="191"/>
        <v>7.56</v>
      </c>
      <c r="DB517">
        <f t="shared" si="180"/>
        <v>231.25</v>
      </c>
      <c r="DC517">
        <f t="shared" si="181"/>
        <v>0</v>
      </c>
      <c r="DD517" t="s">
        <v>6</v>
      </c>
      <c r="DE517" t="s">
        <v>6</v>
      </c>
      <c r="DF517">
        <f t="shared" si="192"/>
        <v>1184</v>
      </c>
      <c r="DG517">
        <f t="shared" si="193"/>
        <v>0</v>
      </c>
      <c r="DH517">
        <f>Source!I385*SmtRes!Y517</f>
        <v>36.999999996</v>
      </c>
      <c r="DI517">
        <f t="shared" si="194"/>
        <v>30.28</v>
      </c>
      <c r="DJ517">
        <f t="shared" si="195"/>
        <v>1184</v>
      </c>
      <c r="DK517">
        <f>Source!BC385</f>
        <v>7.56</v>
      </c>
      <c r="DL517" t="s">
        <v>6</v>
      </c>
      <c r="DM517">
        <v>0</v>
      </c>
      <c r="DN517" t="s">
        <v>6</v>
      </c>
      <c r="DO517">
        <v>0</v>
      </c>
      <c r="GP517">
        <v>1</v>
      </c>
      <c r="GQ517">
        <v>-1</v>
      </c>
      <c r="GR517">
        <v>-1</v>
      </c>
    </row>
    <row r="518" spans="1:200" x14ac:dyDescent="0.2">
      <c r="A518">
        <f>ROW(Source!A385)</f>
        <v>385</v>
      </c>
      <c r="B518">
        <v>86326988</v>
      </c>
      <c r="C518">
        <v>86327825</v>
      </c>
      <c r="D518">
        <v>27425664</v>
      </c>
      <c r="E518">
        <v>1</v>
      </c>
      <c r="F518">
        <v>1</v>
      </c>
      <c r="G518">
        <v>1</v>
      </c>
      <c r="H518">
        <v>3</v>
      </c>
      <c r="I518" t="s">
        <v>331</v>
      </c>
      <c r="J518" t="s">
        <v>334</v>
      </c>
      <c r="K518" t="s">
        <v>332</v>
      </c>
      <c r="L518">
        <v>1302</v>
      </c>
      <c r="N518">
        <v>1003</v>
      </c>
      <c r="O518" t="s">
        <v>333</v>
      </c>
      <c r="P518" t="s">
        <v>333</v>
      </c>
      <c r="Q518">
        <v>10</v>
      </c>
      <c r="W518">
        <v>0</v>
      </c>
      <c r="X518">
        <v>-1605369031</v>
      </c>
      <c r="Y518">
        <f t="shared" si="179"/>
        <v>10</v>
      </c>
      <c r="AA518">
        <v>201.1</v>
      </c>
      <c r="AB518">
        <v>0</v>
      </c>
      <c r="AC518">
        <v>0</v>
      </c>
      <c r="AD518">
        <v>0</v>
      </c>
      <c r="AE518">
        <v>28.21</v>
      </c>
      <c r="AF518">
        <v>0</v>
      </c>
      <c r="AG518">
        <v>0</v>
      </c>
      <c r="AH518">
        <v>0</v>
      </c>
      <c r="AI518">
        <v>7.56</v>
      </c>
      <c r="AJ518">
        <v>1</v>
      </c>
      <c r="AK518">
        <v>1</v>
      </c>
      <c r="AL518">
        <v>1</v>
      </c>
      <c r="AM518">
        <v>0</v>
      </c>
      <c r="AN518">
        <v>0</v>
      </c>
      <c r="AO518">
        <v>0</v>
      </c>
      <c r="AP518">
        <v>1</v>
      </c>
      <c r="AQ518">
        <v>0</v>
      </c>
      <c r="AR518">
        <v>0</v>
      </c>
      <c r="AS518" t="s">
        <v>6</v>
      </c>
      <c r="AT518">
        <v>10</v>
      </c>
      <c r="AU518" t="s">
        <v>6</v>
      </c>
      <c r="AV518">
        <v>0</v>
      </c>
      <c r="AW518">
        <v>1</v>
      </c>
      <c r="AX518">
        <v>-1</v>
      </c>
      <c r="AY518">
        <v>0</v>
      </c>
      <c r="AZ518">
        <v>0</v>
      </c>
      <c r="BA518" t="s">
        <v>6</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CV518">
        <v>0</v>
      </c>
      <c r="CW518">
        <v>0</v>
      </c>
      <c r="CX518">
        <f>ROUND(Y518*Source!I385,9)</f>
        <v>6.8</v>
      </c>
      <c r="CY518">
        <f t="shared" si="189"/>
        <v>201.1</v>
      </c>
      <c r="CZ518">
        <f t="shared" si="190"/>
        <v>28.21</v>
      </c>
      <c r="DA518">
        <f t="shared" si="191"/>
        <v>7.56</v>
      </c>
      <c r="DB518">
        <f t="shared" si="180"/>
        <v>282.10000000000002</v>
      </c>
      <c r="DC518">
        <f t="shared" si="181"/>
        <v>0</v>
      </c>
      <c r="DD518" t="s">
        <v>6</v>
      </c>
      <c r="DE518" t="s">
        <v>6</v>
      </c>
      <c r="DF518">
        <f t="shared" si="192"/>
        <v>1448</v>
      </c>
      <c r="DG518">
        <f t="shared" si="193"/>
        <v>0</v>
      </c>
      <c r="DH518">
        <f>Source!I385*SmtRes!Y518</f>
        <v>6.8000000000000007</v>
      </c>
      <c r="DI518">
        <f t="shared" si="194"/>
        <v>201.1</v>
      </c>
      <c r="DJ518">
        <f t="shared" si="195"/>
        <v>1448</v>
      </c>
      <c r="DK518">
        <f>Source!BC385</f>
        <v>7.56</v>
      </c>
      <c r="DL518" t="s">
        <v>6</v>
      </c>
      <c r="DM518">
        <v>0</v>
      </c>
      <c r="DN518" t="s">
        <v>6</v>
      </c>
      <c r="DO518">
        <v>0</v>
      </c>
      <c r="GP518">
        <v>1</v>
      </c>
      <c r="GQ518">
        <v>-1</v>
      </c>
      <c r="GR518">
        <v>-1</v>
      </c>
    </row>
    <row r="519" spans="1:200" x14ac:dyDescent="0.2">
      <c r="A519">
        <f>ROW(Source!A385)</f>
        <v>385</v>
      </c>
      <c r="B519">
        <v>86326988</v>
      </c>
      <c r="C519">
        <v>86327825</v>
      </c>
      <c r="D519">
        <v>69208316</v>
      </c>
      <c r="E519">
        <v>1</v>
      </c>
      <c r="F519">
        <v>1</v>
      </c>
      <c r="G519">
        <v>1</v>
      </c>
      <c r="H519">
        <v>3</v>
      </c>
      <c r="I519" t="s">
        <v>532</v>
      </c>
      <c r="J519" t="s">
        <v>534</v>
      </c>
      <c r="K519" t="s">
        <v>533</v>
      </c>
      <c r="L519">
        <v>1348</v>
      </c>
      <c r="N519">
        <v>1009</v>
      </c>
      <c r="O519" t="s">
        <v>33</v>
      </c>
      <c r="P519" t="s">
        <v>33</v>
      </c>
      <c r="Q519">
        <v>1000</v>
      </c>
      <c r="W519">
        <v>0</v>
      </c>
      <c r="X519">
        <v>-1719326189</v>
      </c>
      <c r="Y519">
        <f t="shared" si="179"/>
        <v>6.0000000000000001E-3</v>
      </c>
      <c r="AA519">
        <v>85179.64</v>
      </c>
      <c r="AB519">
        <v>0</v>
      </c>
      <c r="AC519">
        <v>0</v>
      </c>
      <c r="AD519">
        <v>0</v>
      </c>
      <c r="AE519">
        <v>11805.72</v>
      </c>
      <c r="AF519">
        <v>0</v>
      </c>
      <c r="AG519">
        <v>0</v>
      </c>
      <c r="AH519">
        <v>0</v>
      </c>
      <c r="AI519">
        <v>7.56</v>
      </c>
      <c r="AJ519">
        <v>1</v>
      </c>
      <c r="AK519">
        <v>1</v>
      </c>
      <c r="AL519">
        <v>1</v>
      </c>
      <c r="AM519">
        <v>0</v>
      </c>
      <c r="AN519">
        <v>0</v>
      </c>
      <c r="AO519">
        <v>0</v>
      </c>
      <c r="AP519">
        <v>1</v>
      </c>
      <c r="AQ519">
        <v>0</v>
      </c>
      <c r="AR519">
        <v>0</v>
      </c>
      <c r="AS519" t="s">
        <v>6</v>
      </c>
      <c r="AT519">
        <v>6.0000000000000001E-3</v>
      </c>
      <c r="AU519" t="s">
        <v>6</v>
      </c>
      <c r="AV519">
        <v>0</v>
      </c>
      <c r="AW519">
        <v>1</v>
      </c>
      <c r="AX519">
        <v>-1</v>
      </c>
      <c r="AY519">
        <v>0</v>
      </c>
      <c r="AZ519">
        <v>0</v>
      </c>
      <c r="BA519" t="s">
        <v>6</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CV519">
        <v>0</v>
      </c>
      <c r="CW519">
        <v>0</v>
      </c>
      <c r="CX519">
        <f>ROUND(Y519*Source!I385,9)</f>
        <v>4.0800000000000003E-3</v>
      </c>
      <c r="CY519">
        <f t="shared" si="189"/>
        <v>85179.64</v>
      </c>
      <c r="CZ519">
        <f t="shared" si="190"/>
        <v>11805.72</v>
      </c>
      <c r="DA519">
        <f t="shared" si="191"/>
        <v>7.56</v>
      </c>
      <c r="DB519">
        <f t="shared" si="180"/>
        <v>70.83</v>
      </c>
      <c r="DC519">
        <f t="shared" si="181"/>
        <v>0</v>
      </c>
      <c r="DD519" t="s">
        <v>6</v>
      </c>
      <c r="DE519" t="s">
        <v>6</v>
      </c>
      <c r="DF519">
        <f t="shared" si="192"/>
        <v>364</v>
      </c>
      <c r="DG519">
        <f t="shared" si="193"/>
        <v>0</v>
      </c>
      <c r="DH519">
        <f>Source!I385*SmtRes!Y519</f>
        <v>4.0800000000000003E-3</v>
      </c>
      <c r="DI519">
        <f t="shared" si="194"/>
        <v>85179.64</v>
      </c>
      <c r="DJ519">
        <f t="shared" si="195"/>
        <v>364</v>
      </c>
      <c r="DK519">
        <f>Source!BC385</f>
        <v>7.56</v>
      </c>
      <c r="DL519" t="s">
        <v>6</v>
      </c>
      <c r="DM519">
        <v>0</v>
      </c>
      <c r="DN519" t="s">
        <v>6</v>
      </c>
      <c r="DO519">
        <v>0</v>
      </c>
      <c r="GP519">
        <v>1</v>
      </c>
      <c r="GQ519">
        <v>-1</v>
      </c>
      <c r="GR519">
        <v>-1</v>
      </c>
    </row>
    <row r="520" spans="1:200" x14ac:dyDescent="0.2">
      <c r="A520">
        <f>ROW(Source!A385)</f>
        <v>385</v>
      </c>
      <c r="B520">
        <v>86326988</v>
      </c>
      <c r="C520">
        <v>86327825</v>
      </c>
      <c r="D520">
        <v>69408707</v>
      </c>
      <c r="E520">
        <v>1</v>
      </c>
      <c r="F520">
        <v>1</v>
      </c>
      <c r="G520">
        <v>1</v>
      </c>
      <c r="H520">
        <v>3</v>
      </c>
      <c r="I520" t="s">
        <v>337</v>
      </c>
      <c r="J520" t="s">
        <v>339</v>
      </c>
      <c r="K520" t="s">
        <v>338</v>
      </c>
      <c r="L520">
        <v>1339</v>
      </c>
      <c r="N520">
        <v>1007</v>
      </c>
      <c r="O520" t="s">
        <v>44</v>
      </c>
      <c r="P520" t="s">
        <v>44</v>
      </c>
      <c r="Q520">
        <v>1</v>
      </c>
      <c r="W520">
        <v>0</v>
      </c>
      <c r="X520">
        <v>2111049581</v>
      </c>
      <c r="Y520">
        <f t="shared" si="179"/>
        <v>2.1000000000000001E-2</v>
      </c>
      <c r="AA520">
        <v>4929.3500000000004</v>
      </c>
      <c r="AB520">
        <v>0</v>
      </c>
      <c r="AC520">
        <v>0</v>
      </c>
      <c r="AD520">
        <v>0</v>
      </c>
      <c r="AE520">
        <v>691.67</v>
      </c>
      <c r="AF520">
        <v>0</v>
      </c>
      <c r="AG520">
        <v>0</v>
      </c>
      <c r="AH520">
        <v>0</v>
      </c>
      <c r="AI520">
        <v>7.56</v>
      </c>
      <c r="AJ520">
        <v>1</v>
      </c>
      <c r="AK520">
        <v>1</v>
      </c>
      <c r="AL520">
        <v>1</v>
      </c>
      <c r="AM520">
        <v>0</v>
      </c>
      <c r="AN520">
        <v>0</v>
      </c>
      <c r="AO520">
        <v>0</v>
      </c>
      <c r="AP520">
        <v>1</v>
      </c>
      <c r="AQ520">
        <v>0</v>
      </c>
      <c r="AR520">
        <v>0</v>
      </c>
      <c r="AS520" t="s">
        <v>6</v>
      </c>
      <c r="AT520">
        <v>2.1000000000000001E-2</v>
      </c>
      <c r="AU520" t="s">
        <v>6</v>
      </c>
      <c r="AV520">
        <v>0</v>
      </c>
      <c r="AW520">
        <v>1</v>
      </c>
      <c r="AX520">
        <v>-1</v>
      </c>
      <c r="AY520">
        <v>0</v>
      </c>
      <c r="AZ520">
        <v>0</v>
      </c>
      <c r="BA520" t="s">
        <v>6</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CV520">
        <v>0</v>
      </c>
      <c r="CW520">
        <v>0</v>
      </c>
      <c r="CX520">
        <f>ROUND(Y520*Source!I385,9)</f>
        <v>1.4279999999999999E-2</v>
      </c>
      <c r="CY520">
        <f t="shared" si="189"/>
        <v>4929.3500000000004</v>
      </c>
      <c r="CZ520">
        <f t="shared" si="190"/>
        <v>691.67</v>
      </c>
      <c r="DA520">
        <f t="shared" si="191"/>
        <v>7.56</v>
      </c>
      <c r="DB520">
        <f t="shared" si="180"/>
        <v>14.53</v>
      </c>
      <c r="DC520">
        <f t="shared" si="181"/>
        <v>0</v>
      </c>
      <c r="DD520" t="s">
        <v>6</v>
      </c>
      <c r="DE520" t="s">
        <v>6</v>
      </c>
      <c r="DF520">
        <f t="shared" si="192"/>
        <v>75</v>
      </c>
      <c r="DG520">
        <f t="shared" si="193"/>
        <v>0</v>
      </c>
      <c r="DH520">
        <f>Source!I385*SmtRes!Y520</f>
        <v>1.4280000000000003E-2</v>
      </c>
      <c r="DI520">
        <f t="shared" si="194"/>
        <v>4929.3500000000004</v>
      </c>
      <c r="DJ520">
        <f t="shared" si="195"/>
        <v>75</v>
      </c>
      <c r="DK520">
        <f>Source!BC385</f>
        <v>7.56</v>
      </c>
      <c r="DL520" t="s">
        <v>6</v>
      </c>
      <c r="DM520">
        <v>0</v>
      </c>
      <c r="DN520" t="s">
        <v>6</v>
      </c>
      <c r="DO520">
        <v>0</v>
      </c>
      <c r="GP520">
        <v>1</v>
      </c>
      <c r="GQ520">
        <v>-1</v>
      </c>
      <c r="GR520">
        <v>-1</v>
      </c>
    </row>
    <row r="521" spans="1:200" x14ac:dyDescent="0.2">
      <c r="A521">
        <f>ROW(Source!A398)</f>
        <v>398</v>
      </c>
      <c r="B521">
        <v>86326987</v>
      </c>
      <c r="C521">
        <v>86327851</v>
      </c>
      <c r="D521">
        <v>27493458</v>
      </c>
      <c r="E521">
        <v>1</v>
      </c>
      <c r="F521">
        <v>1</v>
      </c>
      <c r="G521">
        <v>1</v>
      </c>
      <c r="H521">
        <v>1</v>
      </c>
      <c r="I521" t="s">
        <v>685</v>
      </c>
      <c r="J521" t="s">
        <v>6</v>
      </c>
      <c r="K521" t="s">
        <v>686</v>
      </c>
      <c r="L521">
        <v>1369</v>
      </c>
      <c r="N521">
        <v>1013</v>
      </c>
      <c r="O521" t="s">
        <v>625</v>
      </c>
      <c r="P521" t="s">
        <v>625</v>
      </c>
      <c r="Q521">
        <v>1</v>
      </c>
      <c r="W521">
        <v>0</v>
      </c>
      <c r="X521">
        <v>-115882720</v>
      </c>
      <c r="Y521">
        <f t="shared" si="179"/>
        <v>8.6999999999999993</v>
      </c>
      <c r="AA521">
        <v>0</v>
      </c>
      <c r="AB521">
        <v>0</v>
      </c>
      <c r="AC521">
        <v>0</v>
      </c>
      <c r="AD521">
        <v>8.6</v>
      </c>
      <c r="AE521">
        <v>0</v>
      </c>
      <c r="AF521">
        <v>0</v>
      </c>
      <c r="AG521">
        <v>0</v>
      </c>
      <c r="AH521">
        <v>8.6</v>
      </c>
      <c r="AI521">
        <v>1</v>
      </c>
      <c r="AJ521">
        <v>1</v>
      </c>
      <c r="AK521">
        <v>1</v>
      </c>
      <c r="AL521">
        <v>1</v>
      </c>
      <c r="AM521">
        <v>-2</v>
      </c>
      <c r="AN521">
        <v>0</v>
      </c>
      <c r="AO521">
        <v>1</v>
      </c>
      <c r="AP521">
        <v>0</v>
      </c>
      <c r="AQ521">
        <v>0</v>
      </c>
      <c r="AR521">
        <v>0</v>
      </c>
      <c r="AS521" t="s">
        <v>6</v>
      </c>
      <c r="AT521">
        <v>8.6999999999999993</v>
      </c>
      <c r="AU521" t="s">
        <v>6</v>
      </c>
      <c r="AV521">
        <v>1</v>
      </c>
      <c r="AW521">
        <v>2</v>
      </c>
      <c r="AX521">
        <v>86327857</v>
      </c>
      <c r="AY521">
        <v>1</v>
      </c>
      <c r="AZ521">
        <v>0</v>
      </c>
      <c r="BA521">
        <v>435</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CU521" t="e">
        <f>ROUND(AT521*Source!I398*AH521*AL521,0)</f>
        <v>#REF!</v>
      </c>
      <c r="CV521" t="e">
        <f>ROUND(Y521*Source!I398,9)</f>
        <v>#REF!</v>
      </c>
      <c r="CW521">
        <v>0</v>
      </c>
      <c r="CX521" t="e">
        <f>ROUND(Y521*Source!I398,9)</f>
        <v>#REF!</v>
      </c>
      <c r="CY521">
        <f>AD521</f>
        <v>8.6</v>
      </c>
      <c r="CZ521">
        <f>AH521</f>
        <v>8.6</v>
      </c>
      <c r="DA521">
        <f>AL521</f>
        <v>1</v>
      </c>
      <c r="DB521">
        <f t="shared" si="180"/>
        <v>74.819999999999993</v>
      </c>
      <c r="DC521">
        <f t="shared" si="181"/>
        <v>0</v>
      </c>
      <c r="DD521" t="s">
        <v>6</v>
      </c>
      <c r="DE521" t="s">
        <v>6</v>
      </c>
      <c r="DF521" t="e">
        <f t="shared" ref="DF521:DF528" si="196">ROUND(ROUND(AE521,0)*CX521,0)</f>
        <v>#REF!</v>
      </c>
      <c r="DG521" t="e">
        <f t="shared" si="193"/>
        <v>#REF!</v>
      </c>
      <c r="DH521" t="e">
        <f>Source!I398*SmtRes!Y521</f>
        <v>#REF!</v>
      </c>
      <c r="DI521">
        <f>AD521</f>
        <v>8.6</v>
      </c>
      <c r="DJ521">
        <f>EtalonRes!AB435</f>
        <v>8.6</v>
      </c>
      <c r="DK521">
        <f>Source!BA398</f>
        <v>1</v>
      </c>
      <c r="DL521" t="s">
        <v>6</v>
      </c>
      <c r="DM521">
        <v>0</v>
      </c>
      <c r="DN521" t="s">
        <v>6</v>
      </c>
      <c r="DO521">
        <v>0</v>
      </c>
      <c r="GQ521">
        <v>-1</v>
      </c>
      <c r="GR521">
        <v>-1</v>
      </c>
    </row>
    <row r="522" spans="1:200" x14ac:dyDescent="0.2">
      <c r="A522">
        <f>ROW(Source!A398)</f>
        <v>398</v>
      </c>
      <c r="B522">
        <v>86326987</v>
      </c>
      <c r="C522">
        <v>86327851</v>
      </c>
      <c r="D522">
        <v>27439746</v>
      </c>
      <c r="E522">
        <v>1</v>
      </c>
      <c r="F522">
        <v>1</v>
      </c>
      <c r="G522">
        <v>1</v>
      </c>
      <c r="H522">
        <v>2</v>
      </c>
      <c r="I522" t="s">
        <v>687</v>
      </c>
      <c r="J522" t="s">
        <v>688</v>
      </c>
      <c r="K522" t="s">
        <v>689</v>
      </c>
      <c r="L522">
        <v>1368</v>
      </c>
      <c r="N522">
        <v>1011</v>
      </c>
      <c r="O522" t="s">
        <v>137</v>
      </c>
      <c r="P522" t="s">
        <v>137</v>
      </c>
      <c r="Q522">
        <v>1</v>
      </c>
      <c r="W522">
        <v>0</v>
      </c>
      <c r="X522">
        <v>1382346422</v>
      </c>
      <c r="Y522">
        <f t="shared" si="179"/>
        <v>0.31</v>
      </c>
      <c r="AA522">
        <v>0</v>
      </c>
      <c r="AB522">
        <v>32.5</v>
      </c>
      <c r="AC522">
        <v>0</v>
      </c>
      <c r="AD522">
        <v>0</v>
      </c>
      <c r="AE522">
        <v>0</v>
      </c>
      <c r="AF522">
        <v>32.5</v>
      </c>
      <c r="AG522">
        <v>0</v>
      </c>
      <c r="AH522">
        <v>0</v>
      </c>
      <c r="AI522">
        <v>1</v>
      </c>
      <c r="AJ522">
        <v>1</v>
      </c>
      <c r="AK522">
        <v>1</v>
      </c>
      <c r="AL522">
        <v>1</v>
      </c>
      <c r="AM522">
        <v>-2</v>
      </c>
      <c r="AN522">
        <v>0</v>
      </c>
      <c r="AO522">
        <v>1</v>
      </c>
      <c r="AP522">
        <v>0</v>
      </c>
      <c r="AQ522">
        <v>0</v>
      </c>
      <c r="AR522">
        <v>0</v>
      </c>
      <c r="AS522" t="s">
        <v>6</v>
      </c>
      <c r="AT522">
        <v>0.31</v>
      </c>
      <c r="AU522" t="s">
        <v>6</v>
      </c>
      <c r="AV522">
        <v>0</v>
      </c>
      <c r="AW522">
        <v>2</v>
      </c>
      <c r="AX522">
        <v>86327858</v>
      </c>
      <c r="AY522">
        <v>1</v>
      </c>
      <c r="AZ522">
        <v>0</v>
      </c>
      <c r="BA522">
        <v>436</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CV522">
        <v>0</v>
      </c>
      <c r="CW522" t="e">
        <f>ROUND(Y522*Source!I398*DO522,9)</f>
        <v>#REF!</v>
      </c>
      <c r="CX522" t="e">
        <f>ROUND(Y522*Source!I398,9)</f>
        <v>#REF!</v>
      </c>
      <c r="CY522">
        <f>AB522</f>
        <v>32.5</v>
      </c>
      <c r="CZ522">
        <f>AF522</f>
        <v>32.5</v>
      </c>
      <c r="DA522">
        <f>AJ522</f>
        <v>1</v>
      </c>
      <c r="DB522">
        <f t="shared" si="180"/>
        <v>10.08</v>
      </c>
      <c r="DC522">
        <f t="shared" si="181"/>
        <v>0</v>
      </c>
      <c r="DD522" t="s">
        <v>6</v>
      </c>
      <c r="DE522" t="s">
        <v>6</v>
      </c>
      <c r="DF522" t="e">
        <f t="shared" si="196"/>
        <v>#REF!</v>
      </c>
      <c r="DG522" t="e">
        <f t="shared" si="193"/>
        <v>#REF!</v>
      </c>
      <c r="DH522" t="e">
        <f>Source!I398*SmtRes!Y522</f>
        <v>#REF!</v>
      </c>
      <c r="DI522">
        <f>AB522</f>
        <v>32.5</v>
      </c>
      <c r="DJ522">
        <f>EtalonRes!Z436</f>
        <v>32.5</v>
      </c>
      <c r="DK522">
        <f>Source!BB398</f>
        <v>1</v>
      </c>
      <c r="DL522" t="s">
        <v>6</v>
      </c>
      <c r="DM522">
        <v>0</v>
      </c>
      <c r="DN522" t="s">
        <v>6</v>
      </c>
      <c r="DO522">
        <v>0</v>
      </c>
      <c r="GQ522">
        <v>-1</v>
      </c>
      <c r="GR522">
        <v>-1</v>
      </c>
    </row>
    <row r="523" spans="1:200" x14ac:dyDescent="0.2">
      <c r="A523">
        <f>ROW(Source!A398)</f>
        <v>398</v>
      </c>
      <c r="B523">
        <v>86326987</v>
      </c>
      <c r="C523">
        <v>86327851</v>
      </c>
      <c r="D523">
        <v>27441078</v>
      </c>
      <c r="E523">
        <v>1</v>
      </c>
      <c r="F523">
        <v>1</v>
      </c>
      <c r="G523">
        <v>1</v>
      </c>
      <c r="H523">
        <v>2</v>
      </c>
      <c r="I523" t="s">
        <v>669</v>
      </c>
      <c r="J523" t="s">
        <v>670</v>
      </c>
      <c r="K523" t="s">
        <v>671</v>
      </c>
      <c r="L523">
        <v>1368</v>
      </c>
      <c r="N523">
        <v>1011</v>
      </c>
      <c r="O523" t="s">
        <v>137</v>
      </c>
      <c r="P523" t="s">
        <v>137</v>
      </c>
      <c r="Q523">
        <v>1</v>
      </c>
      <c r="W523">
        <v>0</v>
      </c>
      <c r="X523">
        <v>-380487195</v>
      </c>
      <c r="Y523">
        <f t="shared" si="179"/>
        <v>3.96</v>
      </c>
      <c r="AA523">
        <v>0</v>
      </c>
      <c r="AB523">
        <v>2.0699999999999998</v>
      </c>
      <c r="AC523">
        <v>0</v>
      </c>
      <c r="AD523">
        <v>0</v>
      </c>
      <c r="AE523">
        <v>0</v>
      </c>
      <c r="AF523">
        <v>2.0699999999999998</v>
      </c>
      <c r="AG523">
        <v>0</v>
      </c>
      <c r="AH523">
        <v>0</v>
      </c>
      <c r="AI523">
        <v>1</v>
      </c>
      <c r="AJ523">
        <v>1</v>
      </c>
      <c r="AK523">
        <v>1</v>
      </c>
      <c r="AL523">
        <v>1</v>
      </c>
      <c r="AM523">
        <v>-2</v>
      </c>
      <c r="AN523">
        <v>0</v>
      </c>
      <c r="AO523">
        <v>1</v>
      </c>
      <c r="AP523">
        <v>0</v>
      </c>
      <c r="AQ523">
        <v>0</v>
      </c>
      <c r="AR523">
        <v>0</v>
      </c>
      <c r="AS523" t="s">
        <v>6</v>
      </c>
      <c r="AT523">
        <v>3.96</v>
      </c>
      <c r="AU523" t="s">
        <v>6</v>
      </c>
      <c r="AV523">
        <v>0</v>
      </c>
      <c r="AW523">
        <v>2</v>
      </c>
      <c r="AX523">
        <v>86327859</v>
      </c>
      <c r="AY523">
        <v>1</v>
      </c>
      <c r="AZ523">
        <v>0</v>
      </c>
      <c r="BA523">
        <v>437</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CV523">
        <v>0</v>
      </c>
      <c r="CW523" t="e">
        <f>ROUND(Y523*Source!I398*DO523,9)</f>
        <v>#REF!</v>
      </c>
      <c r="CX523" t="e">
        <f>ROUND(Y523*Source!I398,9)</f>
        <v>#REF!</v>
      </c>
      <c r="CY523">
        <f>AB523</f>
        <v>2.0699999999999998</v>
      </c>
      <c r="CZ523">
        <f>AF523</f>
        <v>2.0699999999999998</v>
      </c>
      <c r="DA523">
        <f>AJ523</f>
        <v>1</v>
      </c>
      <c r="DB523">
        <f t="shared" si="180"/>
        <v>8.1999999999999993</v>
      </c>
      <c r="DC523">
        <f t="shared" si="181"/>
        <v>0</v>
      </c>
      <c r="DD523" t="s">
        <v>6</v>
      </c>
      <c r="DE523" t="s">
        <v>6</v>
      </c>
      <c r="DF523" t="e">
        <f t="shared" si="196"/>
        <v>#REF!</v>
      </c>
      <c r="DG523" t="e">
        <f t="shared" si="193"/>
        <v>#REF!</v>
      </c>
      <c r="DH523" t="e">
        <f>Source!I398*SmtRes!Y523</f>
        <v>#REF!</v>
      </c>
      <c r="DI523">
        <f>AB523</f>
        <v>2.0699999999999998</v>
      </c>
      <c r="DJ523">
        <f>EtalonRes!Z437</f>
        <v>2.0699999999999998</v>
      </c>
      <c r="DK523">
        <f>Source!BB398</f>
        <v>1</v>
      </c>
      <c r="DL523" t="s">
        <v>6</v>
      </c>
      <c r="DM523">
        <v>0</v>
      </c>
      <c r="DN523" t="s">
        <v>6</v>
      </c>
      <c r="DO523">
        <v>0</v>
      </c>
      <c r="GQ523">
        <v>-1</v>
      </c>
      <c r="GR523">
        <v>-1</v>
      </c>
    </row>
    <row r="524" spans="1:200" x14ac:dyDescent="0.2">
      <c r="A524">
        <f>ROW(Source!A398)</f>
        <v>398</v>
      </c>
      <c r="B524">
        <v>86326987</v>
      </c>
      <c r="C524">
        <v>86327851</v>
      </c>
      <c r="D524">
        <v>27431498</v>
      </c>
      <c r="E524">
        <v>1</v>
      </c>
      <c r="F524">
        <v>1</v>
      </c>
      <c r="G524">
        <v>1</v>
      </c>
      <c r="H524">
        <v>3</v>
      </c>
      <c r="I524" t="s">
        <v>406</v>
      </c>
      <c r="J524" t="s">
        <v>408</v>
      </c>
      <c r="K524" t="s">
        <v>407</v>
      </c>
      <c r="L524">
        <v>53010780</v>
      </c>
      <c r="N524">
        <v>1010</v>
      </c>
      <c r="O524" t="s">
        <v>323</v>
      </c>
      <c r="P524" t="s">
        <v>325</v>
      </c>
      <c r="Q524">
        <v>1</v>
      </c>
      <c r="W524">
        <v>0</v>
      </c>
      <c r="X524">
        <v>231135007</v>
      </c>
      <c r="Y524">
        <f t="shared" si="179"/>
        <v>8.1666670000000003</v>
      </c>
      <c r="AA524">
        <v>391.34</v>
      </c>
      <c r="AB524">
        <v>0</v>
      </c>
      <c r="AC524">
        <v>0</v>
      </c>
      <c r="AD524">
        <v>0</v>
      </c>
      <c r="AE524">
        <v>391.34</v>
      </c>
      <c r="AF524">
        <v>0</v>
      </c>
      <c r="AG524">
        <v>0</v>
      </c>
      <c r="AH524">
        <v>0</v>
      </c>
      <c r="AI524">
        <v>1</v>
      </c>
      <c r="AJ524">
        <v>1</v>
      </c>
      <c r="AK524">
        <v>1</v>
      </c>
      <c r="AL524">
        <v>1</v>
      </c>
      <c r="AM524">
        <v>0</v>
      </c>
      <c r="AN524">
        <v>0</v>
      </c>
      <c r="AO524">
        <v>0</v>
      </c>
      <c r="AP524">
        <v>0</v>
      </c>
      <c r="AQ524">
        <v>0</v>
      </c>
      <c r="AR524">
        <v>0</v>
      </c>
      <c r="AS524" t="s">
        <v>6</v>
      </c>
      <c r="AT524">
        <v>8.1666670000000003</v>
      </c>
      <c r="AU524" t="s">
        <v>6</v>
      </c>
      <c r="AV524">
        <v>0</v>
      </c>
      <c r="AW524">
        <v>1</v>
      </c>
      <c r="AX524">
        <v>-1</v>
      </c>
      <c r="AY524">
        <v>0</v>
      </c>
      <c r="AZ524">
        <v>0</v>
      </c>
      <c r="BA524" t="s">
        <v>6</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CV524">
        <v>0</v>
      </c>
      <c r="CW524">
        <v>0</v>
      </c>
      <c r="CX524" t="e">
        <f>ROUND(Y524*Source!I398,9)</f>
        <v>#REF!</v>
      </c>
      <c r="CY524">
        <f>AA524</f>
        <v>391.34</v>
      </c>
      <c r="CZ524">
        <f>AE524</f>
        <v>391.34</v>
      </c>
      <c r="DA524">
        <f>AI524</f>
        <v>1</v>
      </c>
      <c r="DB524">
        <f t="shared" si="180"/>
        <v>3195.94</v>
      </c>
      <c r="DC524">
        <f t="shared" si="181"/>
        <v>0</v>
      </c>
      <c r="DD524" t="s">
        <v>6</v>
      </c>
      <c r="DE524" t="s">
        <v>6</v>
      </c>
      <c r="DF524" t="e">
        <f t="shared" si="196"/>
        <v>#REF!</v>
      </c>
      <c r="DG524" t="e">
        <f t="shared" si="193"/>
        <v>#REF!</v>
      </c>
      <c r="DH524" t="e">
        <f>Source!I398*SmtRes!Y524</f>
        <v>#REF!</v>
      </c>
      <c r="DI524">
        <f>AA524</f>
        <v>391.34</v>
      </c>
      <c r="DJ524" t="e">
        <f>DF524</f>
        <v>#REF!</v>
      </c>
      <c r="DK524">
        <f>Source!BC398</f>
        <v>1</v>
      </c>
      <c r="DL524" t="s">
        <v>6</v>
      </c>
      <c r="DM524">
        <v>0</v>
      </c>
      <c r="DN524" t="s">
        <v>6</v>
      </c>
      <c r="DO524">
        <v>0</v>
      </c>
      <c r="GP524">
        <v>1</v>
      </c>
      <c r="GQ524">
        <v>-1</v>
      </c>
      <c r="GR524">
        <v>-1</v>
      </c>
    </row>
    <row r="525" spans="1:200" x14ac:dyDescent="0.2">
      <c r="A525">
        <f>ROW(Source!A398)</f>
        <v>398</v>
      </c>
      <c r="B525">
        <v>86326987</v>
      </c>
      <c r="C525">
        <v>86327851</v>
      </c>
      <c r="D525">
        <v>69205384</v>
      </c>
      <c r="E525">
        <v>1</v>
      </c>
      <c r="F525">
        <v>1</v>
      </c>
      <c r="G525">
        <v>1</v>
      </c>
      <c r="H525">
        <v>3</v>
      </c>
      <c r="I525" t="s">
        <v>401</v>
      </c>
      <c r="J525" t="s">
        <v>403</v>
      </c>
      <c r="K525" t="s">
        <v>402</v>
      </c>
      <c r="L525">
        <v>1348</v>
      </c>
      <c r="N525">
        <v>1009</v>
      </c>
      <c r="O525" t="s">
        <v>33</v>
      </c>
      <c r="P525" t="s">
        <v>33</v>
      </c>
      <c r="Q525">
        <v>1000</v>
      </c>
      <c r="W525">
        <v>0</v>
      </c>
      <c r="X525">
        <v>-1182898848</v>
      </c>
      <c r="Y525">
        <f t="shared" si="179"/>
        <v>4.8000000000000001E-2</v>
      </c>
      <c r="AA525">
        <v>18003.77</v>
      </c>
      <c r="AB525">
        <v>0</v>
      </c>
      <c r="AC525">
        <v>0</v>
      </c>
      <c r="AD525">
        <v>0</v>
      </c>
      <c r="AE525">
        <v>18003.77</v>
      </c>
      <c r="AF525">
        <v>0</v>
      </c>
      <c r="AG525">
        <v>0</v>
      </c>
      <c r="AH525">
        <v>0</v>
      </c>
      <c r="AI525">
        <v>1</v>
      </c>
      <c r="AJ525">
        <v>1</v>
      </c>
      <c r="AK525">
        <v>1</v>
      </c>
      <c r="AL525">
        <v>1</v>
      </c>
      <c r="AM525">
        <v>0</v>
      </c>
      <c r="AN525">
        <v>0</v>
      </c>
      <c r="AO525">
        <v>0</v>
      </c>
      <c r="AP525">
        <v>1</v>
      </c>
      <c r="AQ525">
        <v>0</v>
      </c>
      <c r="AR525">
        <v>0</v>
      </c>
      <c r="AS525" t="s">
        <v>6</v>
      </c>
      <c r="AT525">
        <v>4.8000000000000001E-2</v>
      </c>
      <c r="AU525" t="s">
        <v>6</v>
      </c>
      <c r="AV525">
        <v>0</v>
      </c>
      <c r="AW525">
        <v>1</v>
      </c>
      <c r="AX525">
        <v>-1</v>
      </c>
      <c r="AY525">
        <v>0</v>
      </c>
      <c r="AZ525">
        <v>0</v>
      </c>
      <c r="BA525" t="s">
        <v>6</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CV525">
        <v>0</v>
      </c>
      <c r="CW525">
        <v>0</v>
      </c>
      <c r="CX525" t="e">
        <f>ROUND(Y525*Source!I398,9)</f>
        <v>#REF!</v>
      </c>
      <c r="CY525">
        <f>AA525</f>
        <v>18003.77</v>
      </c>
      <c r="CZ525">
        <f>AE525</f>
        <v>18003.77</v>
      </c>
      <c r="DA525">
        <f>AI525</f>
        <v>1</v>
      </c>
      <c r="DB525">
        <f t="shared" si="180"/>
        <v>864.18</v>
      </c>
      <c r="DC525">
        <f t="shared" si="181"/>
        <v>0</v>
      </c>
      <c r="DD525" t="s">
        <v>6</v>
      </c>
      <c r="DE525" t="s">
        <v>6</v>
      </c>
      <c r="DF525" t="e">
        <f t="shared" si="196"/>
        <v>#REF!</v>
      </c>
      <c r="DG525" t="e">
        <f t="shared" si="193"/>
        <v>#REF!</v>
      </c>
      <c r="DH525" t="e">
        <f>Source!I398*SmtRes!Y525</f>
        <v>#REF!</v>
      </c>
      <c r="DI525">
        <f>AA525</f>
        <v>18003.77</v>
      </c>
      <c r="DJ525" t="e">
        <f>DF525</f>
        <v>#REF!</v>
      </c>
      <c r="DK525">
        <f>Source!BC398</f>
        <v>1</v>
      </c>
      <c r="DL525" t="s">
        <v>6</v>
      </c>
      <c r="DM525">
        <v>0</v>
      </c>
      <c r="DN525" t="s">
        <v>6</v>
      </c>
      <c r="DO525">
        <v>0</v>
      </c>
      <c r="GP525">
        <v>1</v>
      </c>
      <c r="GQ525">
        <v>-1</v>
      </c>
      <c r="GR525">
        <v>-1</v>
      </c>
    </row>
    <row r="526" spans="1:200" x14ac:dyDescent="0.2">
      <c r="A526">
        <f>ROW(Source!A399)</f>
        <v>399</v>
      </c>
      <c r="B526">
        <v>86326988</v>
      </c>
      <c r="C526">
        <v>86327851</v>
      </c>
      <c r="D526">
        <v>27493458</v>
      </c>
      <c r="E526">
        <v>1</v>
      </c>
      <c r="F526">
        <v>1</v>
      </c>
      <c r="G526">
        <v>1</v>
      </c>
      <c r="H526">
        <v>1</v>
      </c>
      <c r="I526" t="s">
        <v>685</v>
      </c>
      <c r="J526" t="s">
        <v>6</v>
      </c>
      <c r="K526" t="s">
        <v>686</v>
      </c>
      <c r="L526">
        <v>1369</v>
      </c>
      <c r="N526">
        <v>1013</v>
      </c>
      <c r="O526" t="s">
        <v>625</v>
      </c>
      <c r="P526" t="s">
        <v>625</v>
      </c>
      <c r="Q526">
        <v>1</v>
      </c>
      <c r="W526">
        <v>0</v>
      </c>
      <c r="X526">
        <v>-115882720</v>
      </c>
      <c r="Y526">
        <f t="shared" si="179"/>
        <v>8.6999999999999993</v>
      </c>
      <c r="AA526">
        <v>0</v>
      </c>
      <c r="AB526">
        <v>0</v>
      </c>
      <c r="AC526">
        <v>0</v>
      </c>
      <c r="AD526">
        <v>218.1</v>
      </c>
      <c r="AE526">
        <v>0</v>
      </c>
      <c r="AF526">
        <v>0</v>
      </c>
      <c r="AG526">
        <v>0</v>
      </c>
      <c r="AH526">
        <v>8.6</v>
      </c>
      <c r="AI526">
        <v>1</v>
      </c>
      <c r="AJ526">
        <v>1</v>
      </c>
      <c r="AK526">
        <v>1</v>
      </c>
      <c r="AL526">
        <v>25.36</v>
      </c>
      <c r="AM526">
        <v>5</v>
      </c>
      <c r="AN526">
        <v>0</v>
      </c>
      <c r="AO526">
        <v>1</v>
      </c>
      <c r="AP526">
        <v>0</v>
      </c>
      <c r="AQ526">
        <v>0</v>
      </c>
      <c r="AR526">
        <v>0</v>
      </c>
      <c r="AS526" t="s">
        <v>6</v>
      </c>
      <c r="AT526">
        <v>8.6999999999999993</v>
      </c>
      <c r="AU526" t="s">
        <v>6</v>
      </c>
      <c r="AV526">
        <v>1</v>
      </c>
      <c r="AW526">
        <v>2</v>
      </c>
      <c r="AX526">
        <v>86327857</v>
      </c>
      <c r="AY526">
        <v>1</v>
      </c>
      <c r="AZ526">
        <v>0</v>
      </c>
      <c r="BA526">
        <v>440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CU526" t="e">
        <f>ROUND(AT526*Source!I399*AH526*AL526,0)</f>
        <v>#REF!</v>
      </c>
      <c r="CV526" t="e">
        <f>ROUND(Y526*Source!I399,9)</f>
        <v>#REF!</v>
      </c>
      <c r="CW526">
        <v>0</v>
      </c>
      <c r="CX526" t="e">
        <f>ROUND(Y526*Source!I399,9)</f>
        <v>#REF!</v>
      </c>
      <c r="CY526">
        <f>AD526</f>
        <v>218.1</v>
      </c>
      <c r="CZ526">
        <f>AH526</f>
        <v>8.6</v>
      </c>
      <c r="DA526">
        <f>AL526</f>
        <v>25.36</v>
      </c>
      <c r="DB526">
        <f t="shared" si="180"/>
        <v>74.819999999999993</v>
      </c>
      <c r="DC526">
        <f t="shared" si="181"/>
        <v>0</v>
      </c>
      <c r="DD526" t="s">
        <v>6</v>
      </c>
      <c r="DE526" t="s">
        <v>6</v>
      </c>
      <c r="DF526" t="e">
        <f t="shared" si="196"/>
        <v>#REF!</v>
      </c>
      <c r="DG526" t="e">
        <f t="shared" si="193"/>
        <v>#REF!</v>
      </c>
      <c r="DH526" t="e">
        <f>Source!I399*SmtRes!Y526</f>
        <v>#REF!</v>
      </c>
      <c r="DI526">
        <f>AD526</f>
        <v>218.1</v>
      </c>
      <c r="DJ526">
        <f>EtalonRes!AB440</f>
        <v>8.6</v>
      </c>
      <c r="DK526">
        <f>Source!BA399</f>
        <v>25.36</v>
      </c>
      <c r="DL526" t="s">
        <v>6</v>
      </c>
      <c r="DM526">
        <v>0</v>
      </c>
      <c r="DN526" t="s">
        <v>6</v>
      </c>
      <c r="DO526">
        <v>0</v>
      </c>
      <c r="GQ526">
        <v>-1</v>
      </c>
      <c r="GR526">
        <v>-1</v>
      </c>
    </row>
    <row r="527" spans="1:200" x14ac:dyDescent="0.2">
      <c r="A527">
        <f>ROW(Source!A399)</f>
        <v>399</v>
      </c>
      <c r="B527">
        <v>86326988</v>
      </c>
      <c r="C527">
        <v>86327851</v>
      </c>
      <c r="D527">
        <v>27439746</v>
      </c>
      <c r="E527">
        <v>1</v>
      </c>
      <c r="F527">
        <v>1</v>
      </c>
      <c r="G527">
        <v>1</v>
      </c>
      <c r="H527">
        <v>2</v>
      </c>
      <c r="I527" t="s">
        <v>687</v>
      </c>
      <c r="J527" t="s">
        <v>688</v>
      </c>
      <c r="K527" t="s">
        <v>689</v>
      </c>
      <c r="L527">
        <v>1368</v>
      </c>
      <c r="N527">
        <v>1011</v>
      </c>
      <c r="O527" t="s">
        <v>137</v>
      </c>
      <c r="P527" t="s">
        <v>137</v>
      </c>
      <c r="Q527">
        <v>1</v>
      </c>
      <c r="W527">
        <v>0</v>
      </c>
      <c r="X527">
        <v>1382346422</v>
      </c>
      <c r="Y527">
        <f t="shared" si="179"/>
        <v>0.31</v>
      </c>
      <c r="AA527">
        <v>0</v>
      </c>
      <c r="AB527">
        <v>254.8</v>
      </c>
      <c r="AC527">
        <v>0</v>
      </c>
      <c r="AD527">
        <v>0</v>
      </c>
      <c r="AE527">
        <v>0</v>
      </c>
      <c r="AF527">
        <v>32.5</v>
      </c>
      <c r="AG527">
        <v>0</v>
      </c>
      <c r="AH527">
        <v>0</v>
      </c>
      <c r="AI527">
        <v>1</v>
      </c>
      <c r="AJ527">
        <v>7.84</v>
      </c>
      <c r="AK527">
        <v>19.8</v>
      </c>
      <c r="AL527">
        <v>1</v>
      </c>
      <c r="AM527">
        <v>5</v>
      </c>
      <c r="AN527">
        <v>0</v>
      </c>
      <c r="AO527">
        <v>1</v>
      </c>
      <c r="AP527">
        <v>0</v>
      </c>
      <c r="AQ527">
        <v>0</v>
      </c>
      <c r="AR527">
        <v>0</v>
      </c>
      <c r="AS527" t="s">
        <v>6</v>
      </c>
      <c r="AT527">
        <v>0.31</v>
      </c>
      <c r="AU527" t="s">
        <v>6</v>
      </c>
      <c r="AV527">
        <v>0</v>
      </c>
      <c r="AW527">
        <v>2</v>
      </c>
      <c r="AX527">
        <v>86327858</v>
      </c>
      <c r="AY527">
        <v>1</v>
      </c>
      <c r="AZ527">
        <v>0</v>
      </c>
      <c r="BA527">
        <v>441</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CV527">
        <v>0</v>
      </c>
      <c r="CW527" t="e">
        <f>ROUND(Y527*Source!I399*DO527,9)</f>
        <v>#REF!</v>
      </c>
      <c r="CX527" t="e">
        <f>ROUND(Y527*Source!I399,9)</f>
        <v>#REF!</v>
      </c>
      <c r="CY527">
        <f>AB527</f>
        <v>254.8</v>
      </c>
      <c r="CZ527">
        <f>AF527</f>
        <v>32.5</v>
      </c>
      <c r="DA527">
        <f>AJ527</f>
        <v>7.84</v>
      </c>
      <c r="DB527">
        <f t="shared" si="180"/>
        <v>10.08</v>
      </c>
      <c r="DC527">
        <f t="shared" si="181"/>
        <v>0</v>
      </c>
      <c r="DD527" t="s">
        <v>6</v>
      </c>
      <c r="DE527" t="s">
        <v>6</v>
      </c>
      <c r="DF527" t="e">
        <f t="shared" si="196"/>
        <v>#REF!</v>
      </c>
      <c r="DG527" t="e">
        <f>ROUND(ROUND(AF527*AJ527,0)*CX527,0)</f>
        <v>#REF!</v>
      </c>
      <c r="DH527" t="e">
        <f>Source!I399*SmtRes!Y527</f>
        <v>#REF!</v>
      </c>
      <c r="DI527">
        <f>AB527</f>
        <v>254.8</v>
      </c>
      <c r="DJ527">
        <f>EtalonRes!Z441</f>
        <v>32.5</v>
      </c>
      <c r="DK527">
        <f>Source!BB399</f>
        <v>7.84</v>
      </c>
      <c r="DL527" t="s">
        <v>6</v>
      </c>
      <c r="DM527">
        <v>0</v>
      </c>
      <c r="DN527" t="s">
        <v>6</v>
      </c>
      <c r="DO527">
        <v>0</v>
      </c>
      <c r="GQ527">
        <v>-1</v>
      </c>
      <c r="GR527">
        <v>-1</v>
      </c>
    </row>
    <row r="528" spans="1:200" x14ac:dyDescent="0.2">
      <c r="A528">
        <f>ROW(Source!A399)</f>
        <v>399</v>
      </c>
      <c r="B528">
        <v>86326988</v>
      </c>
      <c r="C528">
        <v>86327851</v>
      </c>
      <c r="D528">
        <v>27441078</v>
      </c>
      <c r="E528">
        <v>1</v>
      </c>
      <c r="F528">
        <v>1</v>
      </c>
      <c r="G528">
        <v>1</v>
      </c>
      <c r="H528">
        <v>2</v>
      </c>
      <c r="I528" t="s">
        <v>669</v>
      </c>
      <c r="J528" t="s">
        <v>670</v>
      </c>
      <c r="K528" t="s">
        <v>671</v>
      </c>
      <c r="L528">
        <v>1368</v>
      </c>
      <c r="N528">
        <v>1011</v>
      </c>
      <c r="O528" t="s">
        <v>137</v>
      </c>
      <c r="P528" t="s">
        <v>137</v>
      </c>
      <c r="Q528">
        <v>1</v>
      </c>
      <c r="W528">
        <v>0</v>
      </c>
      <c r="X528">
        <v>-380487195</v>
      </c>
      <c r="Y528">
        <f t="shared" si="179"/>
        <v>3.96</v>
      </c>
      <c r="AA528">
        <v>0</v>
      </c>
      <c r="AB528">
        <v>16.23</v>
      </c>
      <c r="AC528">
        <v>0</v>
      </c>
      <c r="AD528">
        <v>0</v>
      </c>
      <c r="AE528">
        <v>0</v>
      </c>
      <c r="AF528">
        <v>2.0699999999999998</v>
      </c>
      <c r="AG528">
        <v>0</v>
      </c>
      <c r="AH528">
        <v>0</v>
      </c>
      <c r="AI528">
        <v>1</v>
      </c>
      <c r="AJ528">
        <v>7.84</v>
      </c>
      <c r="AK528">
        <v>19.8</v>
      </c>
      <c r="AL528">
        <v>1</v>
      </c>
      <c r="AM528">
        <v>5</v>
      </c>
      <c r="AN528">
        <v>0</v>
      </c>
      <c r="AO528">
        <v>1</v>
      </c>
      <c r="AP528">
        <v>0</v>
      </c>
      <c r="AQ528">
        <v>0</v>
      </c>
      <c r="AR528">
        <v>0</v>
      </c>
      <c r="AS528" t="s">
        <v>6</v>
      </c>
      <c r="AT528">
        <v>3.96</v>
      </c>
      <c r="AU528" t="s">
        <v>6</v>
      </c>
      <c r="AV528">
        <v>0</v>
      </c>
      <c r="AW528">
        <v>2</v>
      </c>
      <c r="AX528">
        <v>86327859</v>
      </c>
      <c r="AY528">
        <v>1</v>
      </c>
      <c r="AZ528">
        <v>0</v>
      </c>
      <c r="BA528">
        <v>442</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CV528">
        <v>0</v>
      </c>
      <c r="CW528" t="e">
        <f>ROUND(Y528*Source!I399*DO528,9)</f>
        <v>#REF!</v>
      </c>
      <c r="CX528" t="e">
        <f>ROUND(Y528*Source!I399,9)</f>
        <v>#REF!</v>
      </c>
      <c r="CY528">
        <f>AB528</f>
        <v>16.23</v>
      </c>
      <c r="CZ528">
        <f>AF528</f>
        <v>2.0699999999999998</v>
      </c>
      <c r="DA528">
        <f>AJ528</f>
        <v>7.84</v>
      </c>
      <c r="DB528">
        <f t="shared" si="180"/>
        <v>8.1999999999999993</v>
      </c>
      <c r="DC528">
        <f t="shared" si="181"/>
        <v>0</v>
      </c>
      <c r="DD528" t="s">
        <v>6</v>
      </c>
      <c r="DE528" t="s">
        <v>6</v>
      </c>
      <c r="DF528" t="e">
        <f t="shared" si="196"/>
        <v>#REF!</v>
      </c>
      <c r="DG528" t="e">
        <f>ROUND(ROUND(AF528*AJ528,0)*CX528,0)</f>
        <v>#REF!</v>
      </c>
      <c r="DH528" t="e">
        <f>Source!I399*SmtRes!Y528</f>
        <v>#REF!</v>
      </c>
      <c r="DI528">
        <f>AB528</f>
        <v>16.23</v>
      </c>
      <c r="DJ528">
        <f>EtalonRes!Z442</f>
        <v>2.0699999999999998</v>
      </c>
      <c r="DK528">
        <f>Source!BB399</f>
        <v>7.84</v>
      </c>
      <c r="DL528" t="s">
        <v>6</v>
      </c>
      <c r="DM528">
        <v>0</v>
      </c>
      <c r="DN528" t="s">
        <v>6</v>
      </c>
      <c r="DO528">
        <v>0</v>
      </c>
      <c r="GQ528">
        <v>-1</v>
      </c>
      <c r="GR528">
        <v>-1</v>
      </c>
    </row>
    <row r="529" spans="1:200" x14ac:dyDescent="0.2">
      <c r="A529">
        <f>ROW(Source!A399)</f>
        <v>399</v>
      </c>
      <c r="B529">
        <v>86326988</v>
      </c>
      <c r="C529">
        <v>86327851</v>
      </c>
      <c r="D529">
        <v>27431498</v>
      </c>
      <c r="E529">
        <v>1</v>
      </c>
      <c r="F529">
        <v>1</v>
      </c>
      <c r="G529">
        <v>1</v>
      </c>
      <c r="H529">
        <v>3</v>
      </c>
      <c r="I529" t="s">
        <v>406</v>
      </c>
      <c r="J529" t="s">
        <v>408</v>
      </c>
      <c r="K529" t="s">
        <v>407</v>
      </c>
      <c r="L529">
        <v>53010780</v>
      </c>
      <c r="N529">
        <v>1010</v>
      </c>
      <c r="O529" t="s">
        <v>323</v>
      </c>
      <c r="P529" t="s">
        <v>325</v>
      </c>
      <c r="Q529">
        <v>1</v>
      </c>
      <c r="W529">
        <v>0</v>
      </c>
      <c r="X529">
        <v>231135007</v>
      </c>
      <c r="Y529">
        <f t="shared" si="179"/>
        <v>8.1666670000000003</v>
      </c>
      <c r="AA529">
        <v>2222.2199999999998</v>
      </c>
      <c r="AB529">
        <v>0</v>
      </c>
      <c r="AC529">
        <v>0</v>
      </c>
      <c r="AD529">
        <v>0</v>
      </c>
      <c r="AE529">
        <v>311.81</v>
      </c>
      <c r="AF529">
        <v>0</v>
      </c>
      <c r="AG529">
        <v>0</v>
      </c>
      <c r="AH529">
        <v>0</v>
      </c>
      <c r="AI529">
        <v>7.56</v>
      </c>
      <c r="AJ529">
        <v>1</v>
      </c>
      <c r="AK529">
        <v>1</v>
      </c>
      <c r="AL529">
        <v>1</v>
      </c>
      <c r="AM529">
        <v>0</v>
      </c>
      <c r="AN529">
        <v>0</v>
      </c>
      <c r="AO529">
        <v>0</v>
      </c>
      <c r="AP529">
        <v>0</v>
      </c>
      <c r="AQ529">
        <v>0</v>
      </c>
      <c r="AR529">
        <v>0</v>
      </c>
      <c r="AS529" t="s">
        <v>6</v>
      </c>
      <c r="AT529">
        <v>8.1666670000000003</v>
      </c>
      <c r="AU529" t="s">
        <v>6</v>
      </c>
      <c r="AV529">
        <v>0</v>
      </c>
      <c r="AW529">
        <v>1</v>
      </c>
      <c r="AX529">
        <v>-1</v>
      </c>
      <c r="AY529">
        <v>0</v>
      </c>
      <c r="AZ529">
        <v>0</v>
      </c>
      <c r="BA529" t="s">
        <v>6</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CV529">
        <v>0</v>
      </c>
      <c r="CW529">
        <v>0</v>
      </c>
      <c r="CX529" t="e">
        <f>ROUND(Y529*Source!I399,9)</f>
        <v>#REF!</v>
      </c>
      <c r="CY529">
        <f>AA529</f>
        <v>2222.2199999999998</v>
      </c>
      <c r="CZ529">
        <f>AE529</f>
        <v>311.81</v>
      </c>
      <c r="DA529">
        <f>AI529</f>
        <v>7.56</v>
      </c>
      <c r="DB529">
        <f t="shared" si="180"/>
        <v>2546.4499999999998</v>
      </c>
      <c r="DC529">
        <f t="shared" si="181"/>
        <v>0</v>
      </c>
      <c r="DD529" t="s">
        <v>6</v>
      </c>
      <c r="DE529" t="s">
        <v>6</v>
      </c>
      <c r="DF529" t="e">
        <f>ROUND(ROUND(AE529*AI529,0)*CX529,0)</f>
        <v>#REF!</v>
      </c>
      <c r="DG529" t="e">
        <f t="shared" ref="DG529:DG534" si="197">ROUND(ROUND(AF529,0)*CX529,0)</f>
        <v>#REF!</v>
      </c>
      <c r="DH529" t="e">
        <f>Source!I399*SmtRes!Y529</f>
        <v>#REF!</v>
      </c>
      <c r="DI529">
        <f>AA529</f>
        <v>2222.2199999999998</v>
      </c>
      <c r="DJ529" t="e">
        <f>DF529</f>
        <v>#REF!</v>
      </c>
      <c r="DK529">
        <f>Source!BC399</f>
        <v>7.56</v>
      </c>
      <c r="DL529" t="s">
        <v>6</v>
      </c>
      <c r="DM529">
        <v>0</v>
      </c>
      <c r="DN529" t="s">
        <v>6</v>
      </c>
      <c r="DO529">
        <v>0</v>
      </c>
      <c r="GP529">
        <v>1</v>
      </c>
      <c r="GQ529">
        <v>-1</v>
      </c>
      <c r="GR529">
        <v>-1</v>
      </c>
    </row>
    <row r="530" spans="1:200" x14ac:dyDescent="0.2">
      <c r="A530">
        <f>ROW(Source!A399)</f>
        <v>399</v>
      </c>
      <c r="B530">
        <v>86326988</v>
      </c>
      <c r="C530">
        <v>86327851</v>
      </c>
      <c r="D530">
        <v>69205384</v>
      </c>
      <c r="E530">
        <v>1</v>
      </c>
      <c r="F530">
        <v>1</v>
      </c>
      <c r="G530">
        <v>1</v>
      </c>
      <c r="H530">
        <v>3</v>
      </c>
      <c r="I530" t="s">
        <v>401</v>
      </c>
      <c r="J530" t="s">
        <v>403</v>
      </c>
      <c r="K530" t="s">
        <v>402</v>
      </c>
      <c r="L530">
        <v>1348</v>
      </c>
      <c r="N530">
        <v>1009</v>
      </c>
      <c r="O530" t="s">
        <v>33</v>
      </c>
      <c r="P530" t="s">
        <v>33</v>
      </c>
      <c r="Q530">
        <v>1000</v>
      </c>
      <c r="W530">
        <v>0</v>
      </c>
      <c r="X530">
        <v>-1182898848</v>
      </c>
      <c r="Y530">
        <f t="shared" si="179"/>
        <v>4.8000000000000001E-2</v>
      </c>
      <c r="AA530">
        <v>129899.35</v>
      </c>
      <c r="AB530">
        <v>0</v>
      </c>
      <c r="AC530">
        <v>0</v>
      </c>
      <c r="AD530">
        <v>0</v>
      </c>
      <c r="AE530">
        <v>18003.77</v>
      </c>
      <c r="AF530">
        <v>0</v>
      </c>
      <c r="AG530">
        <v>0</v>
      </c>
      <c r="AH530">
        <v>0</v>
      </c>
      <c r="AI530">
        <v>7.56</v>
      </c>
      <c r="AJ530">
        <v>1</v>
      </c>
      <c r="AK530">
        <v>1</v>
      </c>
      <c r="AL530">
        <v>1</v>
      </c>
      <c r="AM530">
        <v>0</v>
      </c>
      <c r="AN530">
        <v>0</v>
      </c>
      <c r="AO530">
        <v>0</v>
      </c>
      <c r="AP530">
        <v>1</v>
      </c>
      <c r="AQ530">
        <v>0</v>
      </c>
      <c r="AR530">
        <v>0</v>
      </c>
      <c r="AS530" t="s">
        <v>6</v>
      </c>
      <c r="AT530">
        <v>4.8000000000000001E-2</v>
      </c>
      <c r="AU530" t="s">
        <v>6</v>
      </c>
      <c r="AV530">
        <v>0</v>
      </c>
      <c r="AW530">
        <v>1</v>
      </c>
      <c r="AX530">
        <v>-1</v>
      </c>
      <c r="AY530">
        <v>0</v>
      </c>
      <c r="AZ530">
        <v>0</v>
      </c>
      <c r="BA530" t="s">
        <v>6</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CV530">
        <v>0</v>
      </c>
      <c r="CW530">
        <v>0</v>
      </c>
      <c r="CX530" t="e">
        <f>ROUND(Y530*Source!I399,9)</f>
        <v>#REF!</v>
      </c>
      <c r="CY530">
        <f>AA530</f>
        <v>129899.35</v>
      </c>
      <c r="CZ530">
        <f>AE530</f>
        <v>18003.77</v>
      </c>
      <c r="DA530">
        <f>AI530</f>
        <v>7.56</v>
      </c>
      <c r="DB530">
        <f t="shared" si="180"/>
        <v>864.18</v>
      </c>
      <c r="DC530">
        <f t="shared" si="181"/>
        <v>0</v>
      </c>
      <c r="DD530" t="s">
        <v>6</v>
      </c>
      <c r="DE530" t="s">
        <v>6</v>
      </c>
      <c r="DF530" t="e">
        <f>ROUND(ROUND(AE530*AI530,0)*CX530,0)</f>
        <v>#REF!</v>
      </c>
      <c r="DG530" t="e">
        <f t="shared" si="197"/>
        <v>#REF!</v>
      </c>
      <c r="DH530" t="e">
        <f>Source!I399*SmtRes!Y530</f>
        <v>#REF!</v>
      </c>
      <c r="DI530">
        <f>AA530</f>
        <v>129899.35</v>
      </c>
      <c r="DJ530" t="e">
        <f>DF530</f>
        <v>#REF!</v>
      </c>
      <c r="DK530">
        <f>Source!BC399</f>
        <v>7.56</v>
      </c>
      <c r="DL530" t="s">
        <v>6</v>
      </c>
      <c r="DM530">
        <v>0</v>
      </c>
      <c r="DN530" t="s">
        <v>6</v>
      </c>
      <c r="DO530">
        <v>0</v>
      </c>
      <c r="GP530">
        <v>1</v>
      </c>
      <c r="GQ530">
        <v>-1</v>
      </c>
      <c r="GR530">
        <v>-1</v>
      </c>
    </row>
    <row r="531" spans="1:200" x14ac:dyDescent="0.2">
      <c r="A531">
        <f>ROW(Source!A404)</f>
        <v>404</v>
      </c>
      <c r="B531">
        <v>86326987</v>
      </c>
      <c r="C531">
        <v>86327864</v>
      </c>
      <c r="D531">
        <v>27493458</v>
      </c>
      <c r="E531">
        <v>1</v>
      </c>
      <c r="F531">
        <v>1</v>
      </c>
      <c r="G531">
        <v>1</v>
      </c>
      <c r="H531">
        <v>1</v>
      </c>
      <c r="I531" t="s">
        <v>685</v>
      </c>
      <c r="J531" t="s">
        <v>6</v>
      </c>
      <c r="K531" t="s">
        <v>686</v>
      </c>
      <c r="L531">
        <v>1369</v>
      </c>
      <c r="N531">
        <v>1013</v>
      </c>
      <c r="O531" t="s">
        <v>625</v>
      </c>
      <c r="P531" t="s">
        <v>625</v>
      </c>
      <c r="Q531">
        <v>1</v>
      </c>
      <c r="W531">
        <v>0</v>
      </c>
      <c r="X531">
        <v>-115882720</v>
      </c>
      <c r="Y531">
        <f t="shared" ref="Y531:Y536" si="198">(AT531*14)</f>
        <v>11.479999999999999</v>
      </c>
      <c r="AA531">
        <v>0</v>
      </c>
      <c r="AB531">
        <v>0</v>
      </c>
      <c r="AC531">
        <v>0</v>
      </c>
      <c r="AD531">
        <v>8.6</v>
      </c>
      <c r="AE531">
        <v>0</v>
      </c>
      <c r="AF531">
        <v>0</v>
      </c>
      <c r="AG531">
        <v>0</v>
      </c>
      <c r="AH531">
        <v>8.6</v>
      </c>
      <c r="AI531">
        <v>1</v>
      </c>
      <c r="AJ531">
        <v>1</v>
      </c>
      <c r="AK531">
        <v>1</v>
      </c>
      <c r="AL531">
        <v>1</v>
      </c>
      <c r="AM531">
        <v>-2</v>
      </c>
      <c r="AN531">
        <v>0</v>
      </c>
      <c r="AO531">
        <v>1</v>
      </c>
      <c r="AP531">
        <v>1</v>
      </c>
      <c r="AQ531">
        <v>0</v>
      </c>
      <c r="AR531">
        <v>0</v>
      </c>
      <c r="AS531" t="s">
        <v>6</v>
      </c>
      <c r="AT531">
        <v>0.82</v>
      </c>
      <c r="AU531" t="s">
        <v>542</v>
      </c>
      <c r="AV531">
        <v>1</v>
      </c>
      <c r="AW531">
        <v>2</v>
      </c>
      <c r="AX531">
        <v>86327868</v>
      </c>
      <c r="AY531">
        <v>1</v>
      </c>
      <c r="AZ531">
        <v>0</v>
      </c>
      <c r="BA531">
        <v>445</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CU531" t="e">
        <f>ROUND(AT531*Source!I404*AH531*AL531,0)</f>
        <v>#REF!</v>
      </c>
      <c r="CV531" t="e">
        <f>ROUND(Y531*Source!I404,9)</f>
        <v>#REF!</v>
      </c>
      <c r="CW531">
        <v>0</v>
      </c>
      <c r="CX531" t="e">
        <f>ROUND(Y531*Source!I404,9)</f>
        <v>#REF!</v>
      </c>
      <c r="CY531">
        <f>AD531</f>
        <v>8.6</v>
      </c>
      <c r="CZ531">
        <f>AH531</f>
        <v>8.6</v>
      </c>
      <c r="DA531">
        <f>AL531</f>
        <v>1</v>
      </c>
      <c r="DB531">
        <f t="shared" ref="DB531:DB536" si="199">ROUND((ROUND(AT531*CZ531,2)*14),2)</f>
        <v>98.7</v>
      </c>
      <c r="DC531">
        <f t="shared" ref="DC531:DC536" si="200">ROUND((ROUND(AT531*AG531,2)*14),2)</f>
        <v>0</v>
      </c>
      <c r="DD531" t="s">
        <v>6</v>
      </c>
      <c r="DE531" t="s">
        <v>6</v>
      </c>
      <c r="DF531" t="e">
        <f t="shared" ref="DF531:DF536" si="201">ROUND(ROUND(AE531,0)*CX531,0)</f>
        <v>#REF!</v>
      </c>
      <c r="DG531" t="e">
        <f t="shared" si="197"/>
        <v>#REF!</v>
      </c>
      <c r="DH531" t="e">
        <f>Source!I404*SmtRes!Y531</f>
        <v>#REF!</v>
      </c>
      <c r="DI531">
        <f>AD531</f>
        <v>8.6</v>
      </c>
      <c r="DJ531">
        <f>EtalonRes!AB445</f>
        <v>8.6</v>
      </c>
      <c r="DK531">
        <f>Source!BA404</f>
        <v>1</v>
      </c>
      <c r="DL531" t="s">
        <v>6</v>
      </c>
      <c r="DM531">
        <v>0</v>
      </c>
      <c r="DN531" t="s">
        <v>6</v>
      </c>
      <c r="DO531">
        <v>0</v>
      </c>
      <c r="GQ531">
        <v>-1</v>
      </c>
      <c r="GR531">
        <v>-1</v>
      </c>
    </row>
    <row r="532" spans="1:200" x14ac:dyDescent="0.2">
      <c r="A532">
        <f>ROW(Source!A404)</f>
        <v>404</v>
      </c>
      <c r="B532">
        <v>86326987</v>
      </c>
      <c r="C532">
        <v>86327864</v>
      </c>
      <c r="D532">
        <v>27439746</v>
      </c>
      <c r="E532">
        <v>1</v>
      </c>
      <c r="F532">
        <v>1</v>
      </c>
      <c r="G532">
        <v>1</v>
      </c>
      <c r="H532">
        <v>2</v>
      </c>
      <c r="I532" t="s">
        <v>687</v>
      </c>
      <c r="J532" t="s">
        <v>688</v>
      </c>
      <c r="K532" t="s">
        <v>689</v>
      </c>
      <c r="L532">
        <v>1368</v>
      </c>
      <c r="N532">
        <v>1011</v>
      </c>
      <c r="O532" t="s">
        <v>137</v>
      </c>
      <c r="P532" t="s">
        <v>137</v>
      </c>
      <c r="Q532">
        <v>1</v>
      </c>
      <c r="W532">
        <v>0</v>
      </c>
      <c r="X532">
        <v>1382346422</v>
      </c>
      <c r="Y532">
        <f t="shared" si="198"/>
        <v>0.42</v>
      </c>
      <c r="AA532">
        <v>0</v>
      </c>
      <c r="AB532">
        <v>32.5</v>
      </c>
      <c r="AC532">
        <v>0</v>
      </c>
      <c r="AD532">
        <v>0</v>
      </c>
      <c r="AE532">
        <v>0</v>
      </c>
      <c r="AF532">
        <v>32.5</v>
      </c>
      <c r="AG532">
        <v>0</v>
      </c>
      <c r="AH532">
        <v>0</v>
      </c>
      <c r="AI532">
        <v>1</v>
      </c>
      <c r="AJ532">
        <v>1</v>
      </c>
      <c r="AK532">
        <v>1</v>
      </c>
      <c r="AL532">
        <v>1</v>
      </c>
      <c r="AM532">
        <v>-2</v>
      </c>
      <c r="AN532">
        <v>0</v>
      </c>
      <c r="AO532">
        <v>1</v>
      </c>
      <c r="AP532">
        <v>1</v>
      </c>
      <c r="AQ532">
        <v>0</v>
      </c>
      <c r="AR532">
        <v>0</v>
      </c>
      <c r="AS532" t="s">
        <v>6</v>
      </c>
      <c r="AT532">
        <v>0.03</v>
      </c>
      <c r="AU532" t="s">
        <v>542</v>
      </c>
      <c r="AV532">
        <v>0</v>
      </c>
      <c r="AW532">
        <v>2</v>
      </c>
      <c r="AX532">
        <v>86327869</v>
      </c>
      <c r="AY532">
        <v>1</v>
      </c>
      <c r="AZ532">
        <v>0</v>
      </c>
      <c r="BA532">
        <v>446</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CV532">
        <v>0</v>
      </c>
      <c r="CW532" t="e">
        <f>ROUND(Y532*Source!I404*DO532,9)</f>
        <v>#REF!</v>
      </c>
      <c r="CX532" t="e">
        <f>ROUND(Y532*Source!I404,9)</f>
        <v>#REF!</v>
      </c>
      <c r="CY532">
        <f>AB532</f>
        <v>32.5</v>
      </c>
      <c r="CZ532">
        <f>AF532</f>
        <v>32.5</v>
      </c>
      <c r="DA532">
        <f>AJ532</f>
        <v>1</v>
      </c>
      <c r="DB532">
        <f t="shared" si="199"/>
        <v>13.72</v>
      </c>
      <c r="DC532">
        <f t="shared" si="200"/>
        <v>0</v>
      </c>
      <c r="DD532" t="s">
        <v>6</v>
      </c>
      <c r="DE532" t="s">
        <v>6</v>
      </c>
      <c r="DF532" t="e">
        <f t="shared" si="201"/>
        <v>#REF!</v>
      </c>
      <c r="DG532" t="e">
        <f t="shared" si="197"/>
        <v>#REF!</v>
      </c>
      <c r="DH532" t="e">
        <f>Source!I404*SmtRes!Y532</f>
        <v>#REF!</v>
      </c>
      <c r="DI532">
        <f>AB532</f>
        <v>32.5</v>
      </c>
      <c r="DJ532">
        <f>EtalonRes!Z446</f>
        <v>32.5</v>
      </c>
      <c r="DK532">
        <f>Source!BB404</f>
        <v>1</v>
      </c>
      <c r="DL532" t="s">
        <v>6</v>
      </c>
      <c r="DM532">
        <v>0</v>
      </c>
      <c r="DN532" t="s">
        <v>6</v>
      </c>
      <c r="DO532">
        <v>0</v>
      </c>
      <c r="GQ532">
        <v>-1</v>
      </c>
      <c r="GR532">
        <v>-1</v>
      </c>
    </row>
    <row r="533" spans="1:200" x14ac:dyDescent="0.2">
      <c r="A533">
        <f>ROW(Source!A404)</f>
        <v>404</v>
      </c>
      <c r="B533">
        <v>86326987</v>
      </c>
      <c r="C533">
        <v>86327864</v>
      </c>
      <c r="D533">
        <v>27441078</v>
      </c>
      <c r="E533">
        <v>1</v>
      </c>
      <c r="F533">
        <v>1</v>
      </c>
      <c r="G533">
        <v>1</v>
      </c>
      <c r="H533">
        <v>2</v>
      </c>
      <c r="I533" t="s">
        <v>669</v>
      </c>
      <c r="J533" t="s">
        <v>670</v>
      </c>
      <c r="K533" t="s">
        <v>671</v>
      </c>
      <c r="L533">
        <v>1368</v>
      </c>
      <c r="N533">
        <v>1011</v>
      </c>
      <c r="O533" t="s">
        <v>137</v>
      </c>
      <c r="P533" t="s">
        <v>137</v>
      </c>
      <c r="Q533">
        <v>1</v>
      </c>
      <c r="W533">
        <v>0</v>
      </c>
      <c r="X533">
        <v>-380487195</v>
      </c>
      <c r="Y533">
        <f t="shared" si="198"/>
        <v>4.8999999999999995</v>
      </c>
      <c r="AA533">
        <v>0</v>
      </c>
      <c r="AB533">
        <v>2.0699999999999998</v>
      </c>
      <c r="AC533">
        <v>0</v>
      </c>
      <c r="AD533">
        <v>0</v>
      </c>
      <c r="AE533">
        <v>0</v>
      </c>
      <c r="AF533">
        <v>2.0699999999999998</v>
      </c>
      <c r="AG533">
        <v>0</v>
      </c>
      <c r="AH533">
        <v>0</v>
      </c>
      <c r="AI533">
        <v>1</v>
      </c>
      <c r="AJ533">
        <v>1</v>
      </c>
      <c r="AK533">
        <v>1</v>
      </c>
      <c r="AL533">
        <v>1</v>
      </c>
      <c r="AM533">
        <v>-2</v>
      </c>
      <c r="AN533">
        <v>0</v>
      </c>
      <c r="AO533">
        <v>1</v>
      </c>
      <c r="AP533">
        <v>1</v>
      </c>
      <c r="AQ533">
        <v>0</v>
      </c>
      <c r="AR533">
        <v>0</v>
      </c>
      <c r="AS533" t="s">
        <v>6</v>
      </c>
      <c r="AT533">
        <v>0.35</v>
      </c>
      <c r="AU533" t="s">
        <v>542</v>
      </c>
      <c r="AV533">
        <v>0</v>
      </c>
      <c r="AW533">
        <v>2</v>
      </c>
      <c r="AX533">
        <v>86327870</v>
      </c>
      <c r="AY533">
        <v>1</v>
      </c>
      <c r="AZ533">
        <v>0</v>
      </c>
      <c r="BA533">
        <v>447</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CV533">
        <v>0</v>
      </c>
      <c r="CW533" t="e">
        <f>ROUND(Y533*Source!I404*DO533,9)</f>
        <v>#REF!</v>
      </c>
      <c r="CX533" t="e">
        <f>ROUND(Y533*Source!I404,9)</f>
        <v>#REF!</v>
      </c>
      <c r="CY533">
        <f>AB533</f>
        <v>2.0699999999999998</v>
      </c>
      <c r="CZ533">
        <f>AF533</f>
        <v>2.0699999999999998</v>
      </c>
      <c r="DA533">
        <f>AJ533</f>
        <v>1</v>
      </c>
      <c r="DB533">
        <f t="shared" si="199"/>
        <v>10.08</v>
      </c>
      <c r="DC533">
        <f t="shared" si="200"/>
        <v>0</v>
      </c>
      <c r="DD533" t="s">
        <v>6</v>
      </c>
      <c r="DE533" t="s">
        <v>6</v>
      </c>
      <c r="DF533" t="e">
        <f t="shared" si="201"/>
        <v>#REF!</v>
      </c>
      <c r="DG533" t="e">
        <f t="shared" si="197"/>
        <v>#REF!</v>
      </c>
      <c r="DH533" t="e">
        <f>Source!I404*SmtRes!Y533</f>
        <v>#REF!</v>
      </c>
      <c r="DI533">
        <f>AB533</f>
        <v>2.0699999999999998</v>
      </c>
      <c r="DJ533">
        <f>EtalonRes!Z447</f>
        <v>2.0699999999999998</v>
      </c>
      <c r="DK533">
        <f>Source!BB404</f>
        <v>1</v>
      </c>
      <c r="DL533" t="s">
        <v>6</v>
      </c>
      <c r="DM533">
        <v>0</v>
      </c>
      <c r="DN533" t="s">
        <v>6</v>
      </c>
      <c r="DO533">
        <v>0</v>
      </c>
      <c r="GQ533">
        <v>-1</v>
      </c>
      <c r="GR533">
        <v>-1</v>
      </c>
    </row>
    <row r="534" spans="1:200" x14ac:dyDescent="0.2">
      <c r="A534">
        <f>ROW(Source!A405)</f>
        <v>405</v>
      </c>
      <c r="B534">
        <v>86326988</v>
      </c>
      <c r="C534">
        <v>86327864</v>
      </c>
      <c r="D534">
        <v>27493458</v>
      </c>
      <c r="E534">
        <v>1</v>
      </c>
      <c r="F534">
        <v>1</v>
      </c>
      <c r="G534">
        <v>1</v>
      </c>
      <c r="H534">
        <v>1</v>
      </c>
      <c r="I534" t="s">
        <v>685</v>
      </c>
      <c r="J534" t="s">
        <v>6</v>
      </c>
      <c r="K534" t="s">
        <v>686</v>
      </c>
      <c r="L534">
        <v>1369</v>
      </c>
      <c r="N534">
        <v>1013</v>
      </c>
      <c r="O534" t="s">
        <v>625</v>
      </c>
      <c r="P534" t="s">
        <v>625</v>
      </c>
      <c r="Q534">
        <v>1</v>
      </c>
      <c r="W534">
        <v>0</v>
      </c>
      <c r="X534">
        <v>-115882720</v>
      </c>
      <c r="Y534">
        <f t="shared" si="198"/>
        <v>11.479999999999999</v>
      </c>
      <c r="AA534">
        <v>0</v>
      </c>
      <c r="AB534">
        <v>0</v>
      </c>
      <c r="AC534">
        <v>0</v>
      </c>
      <c r="AD534">
        <v>218.1</v>
      </c>
      <c r="AE534">
        <v>0</v>
      </c>
      <c r="AF534">
        <v>0</v>
      </c>
      <c r="AG534">
        <v>0</v>
      </c>
      <c r="AH534">
        <v>8.6</v>
      </c>
      <c r="AI534">
        <v>1</v>
      </c>
      <c r="AJ534">
        <v>1</v>
      </c>
      <c r="AK534">
        <v>1</v>
      </c>
      <c r="AL534">
        <v>25.36</v>
      </c>
      <c r="AM534">
        <v>5</v>
      </c>
      <c r="AN534">
        <v>0</v>
      </c>
      <c r="AO534">
        <v>1</v>
      </c>
      <c r="AP534">
        <v>1</v>
      </c>
      <c r="AQ534">
        <v>0</v>
      </c>
      <c r="AR534">
        <v>0</v>
      </c>
      <c r="AS534" t="s">
        <v>6</v>
      </c>
      <c r="AT534">
        <v>0.82</v>
      </c>
      <c r="AU534" t="s">
        <v>542</v>
      </c>
      <c r="AV534">
        <v>1</v>
      </c>
      <c r="AW534">
        <v>2</v>
      </c>
      <c r="AX534">
        <v>86327868</v>
      </c>
      <c r="AY534">
        <v>1</v>
      </c>
      <c r="AZ534">
        <v>0</v>
      </c>
      <c r="BA534">
        <v>450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CU534" t="e">
        <f>ROUND(AT534*Source!I405*AH534*AL534,0)</f>
        <v>#REF!</v>
      </c>
      <c r="CV534" t="e">
        <f>ROUND(Y534*Source!I405,9)</f>
        <v>#REF!</v>
      </c>
      <c r="CW534">
        <v>0</v>
      </c>
      <c r="CX534" t="e">
        <f>ROUND(Y534*Source!I405,9)</f>
        <v>#REF!</v>
      </c>
      <c r="CY534">
        <f>AD534</f>
        <v>218.1</v>
      </c>
      <c r="CZ534">
        <f>AH534</f>
        <v>8.6</v>
      </c>
      <c r="DA534">
        <f>AL534</f>
        <v>25.36</v>
      </c>
      <c r="DB534">
        <f t="shared" si="199"/>
        <v>98.7</v>
      </c>
      <c r="DC534">
        <f t="shared" si="200"/>
        <v>0</v>
      </c>
      <c r="DD534" t="s">
        <v>6</v>
      </c>
      <c r="DE534" t="s">
        <v>6</v>
      </c>
      <c r="DF534" t="e">
        <f t="shared" si="201"/>
        <v>#REF!</v>
      </c>
      <c r="DG534" t="e">
        <f t="shared" si="197"/>
        <v>#REF!</v>
      </c>
      <c r="DH534" t="e">
        <f>Source!I405*SmtRes!Y534</f>
        <v>#REF!</v>
      </c>
      <c r="DI534">
        <f>AD534</f>
        <v>218.1</v>
      </c>
      <c r="DJ534">
        <f>EtalonRes!AB450</f>
        <v>8.6</v>
      </c>
      <c r="DK534">
        <f>Source!BA405</f>
        <v>25.36</v>
      </c>
      <c r="DL534" t="s">
        <v>6</v>
      </c>
      <c r="DM534">
        <v>0</v>
      </c>
      <c r="DN534" t="s">
        <v>6</v>
      </c>
      <c r="DO534">
        <v>0</v>
      </c>
      <c r="GQ534">
        <v>-1</v>
      </c>
      <c r="GR534">
        <v>-1</v>
      </c>
    </row>
    <row r="535" spans="1:200" x14ac:dyDescent="0.2">
      <c r="A535">
        <f>ROW(Source!A405)</f>
        <v>405</v>
      </c>
      <c r="B535">
        <v>86326988</v>
      </c>
      <c r="C535">
        <v>86327864</v>
      </c>
      <c r="D535">
        <v>27439746</v>
      </c>
      <c r="E535">
        <v>1</v>
      </c>
      <c r="F535">
        <v>1</v>
      </c>
      <c r="G535">
        <v>1</v>
      </c>
      <c r="H535">
        <v>2</v>
      </c>
      <c r="I535" t="s">
        <v>687</v>
      </c>
      <c r="J535" t="s">
        <v>688</v>
      </c>
      <c r="K535" t="s">
        <v>689</v>
      </c>
      <c r="L535">
        <v>1368</v>
      </c>
      <c r="N535">
        <v>1011</v>
      </c>
      <c r="O535" t="s">
        <v>137</v>
      </c>
      <c r="P535" t="s">
        <v>137</v>
      </c>
      <c r="Q535">
        <v>1</v>
      </c>
      <c r="W535">
        <v>0</v>
      </c>
      <c r="X535">
        <v>1382346422</v>
      </c>
      <c r="Y535">
        <f t="shared" si="198"/>
        <v>0.42</v>
      </c>
      <c r="AA535">
        <v>0</v>
      </c>
      <c r="AB535">
        <v>254.8</v>
      </c>
      <c r="AC535">
        <v>0</v>
      </c>
      <c r="AD535">
        <v>0</v>
      </c>
      <c r="AE535">
        <v>0</v>
      </c>
      <c r="AF535">
        <v>32.5</v>
      </c>
      <c r="AG535">
        <v>0</v>
      </c>
      <c r="AH535">
        <v>0</v>
      </c>
      <c r="AI535">
        <v>1</v>
      </c>
      <c r="AJ535">
        <v>7.84</v>
      </c>
      <c r="AK535">
        <v>19.8</v>
      </c>
      <c r="AL535">
        <v>1</v>
      </c>
      <c r="AM535">
        <v>5</v>
      </c>
      <c r="AN535">
        <v>0</v>
      </c>
      <c r="AO535">
        <v>1</v>
      </c>
      <c r="AP535">
        <v>1</v>
      </c>
      <c r="AQ535">
        <v>0</v>
      </c>
      <c r="AR535">
        <v>0</v>
      </c>
      <c r="AS535" t="s">
        <v>6</v>
      </c>
      <c r="AT535">
        <v>0.03</v>
      </c>
      <c r="AU535" t="s">
        <v>542</v>
      </c>
      <c r="AV535">
        <v>0</v>
      </c>
      <c r="AW535">
        <v>2</v>
      </c>
      <c r="AX535">
        <v>86327869</v>
      </c>
      <c r="AY535">
        <v>1</v>
      </c>
      <c r="AZ535">
        <v>0</v>
      </c>
      <c r="BA535">
        <v>451</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CV535">
        <v>0</v>
      </c>
      <c r="CW535" t="e">
        <f>ROUND(Y535*Source!I405*DO535,9)</f>
        <v>#REF!</v>
      </c>
      <c r="CX535" t="e">
        <f>ROUND(Y535*Source!I405,9)</f>
        <v>#REF!</v>
      </c>
      <c r="CY535">
        <f>AB535</f>
        <v>254.8</v>
      </c>
      <c r="CZ535">
        <f>AF535</f>
        <v>32.5</v>
      </c>
      <c r="DA535">
        <f>AJ535</f>
        <v>7.84</v>
      </c>
      <c r="DB535">
        <f t="shared" si="199"/>
        <v>13.72</v>
      </c>
      <c r="DC535">
        <f t="shared" si="200"/>
        <v>0</v>
      </c>
      <c r="DD535" t="s">
        <v>6</v>
      </c>
      <c r="DE535" t="s">
        <v>6</v>
      </c>
      <c r="DF535" t="e">
        <f t="shared" si="201"/>
        <v>#REF!</v>
      </c>
      <c r="DG535" t="e">
        <f>ROUND(ROUND(AF535*AJ535,0)*CX535,0)</f>
        <v>#REF!</v>
      </c>
      <c r="DH535" t="e">
        <f>Source!I405*SmtRes!Y535</f>
        <v>#REF!</v>
      </c>
      <c r="DI535">
        <f>AB535</f>
        <v>254.8</v>
      </c>
      <c r="DJ535">
        <f>EtalonRes!Z451</f>
        <v>32.5</v>
      </c>
      <c r="DK535">
        <f>Source!BB405</f>
        <v>7.84</v>
      </c>
      <c r="DL535" t="s">
        <v>6</v>
      </c>
      <c r="DM535">
        <v>0</v>
      </c>
      <c r="DN535" t="s">
        <v>6</v>
      </c>
      <c r="DO535">
        <v>0</v>
      </c>
      <c r="GQ535">
        <v>-1</v>
      </c>
      <c r="GR535">
        <v>-1</v>
      </c>
    </row>
    <row r="536" spans="1:200" x14ac:dyDescent="0.2">
      <c r="A536">
        <f>ROW(Source!A405)</f>
        <v>405</v>
      </c>
      <c r="B536">
        <v>86326988</v>
      </c>
      <c r="C536">
        <v>86327864</v>
      </c>
      <c r="D536">
        <v>27441078</v>
      </c>
      <c r="E536">
        <v>1</v>
      </c>
      <c r="F536">
        <v>1</v>
      </c>
      <c r="G536">
        <v>1</v>
      </c>
      <c r="H536">
        <v>2</v>
      </c>
      <c r="I536" t="s">
        <v>669</v>
      </c>
      <c r="J536" t="s">
        <v>670</v>
      </c>
      <c r="K536" t="s">
        <v>671</v>
      </c>
      <c r="L536">
        <v>1368</v>
      </c>
      <c r="N536">
        <v>1011</v>
      </c>
      <c r="O536" t="s">
        <v>137</v>
      </c>
      <c r="P536" t="s">
        <v>137</v>
      </c>
      <c r="Q536">
        <v>1</v>
      </c>
      <c r="W536">
        <v>0</v>
      </c>
      <c r="X536">
        <v>-380487195</v>
      </c>
      <c r="Y536">
        <f t="shared" si="198"/>
        <v>4.8999999999999995</v>
      </c>
      <c r="AA536">
        <v>0</v>
      </c>
      <c r="AB536">
        <v>16.23</v>
      </c>
      <c r="AC536">
        <v>0</v>
      </c>
      <c r="AD536">
        <v>0</v>
      </c>
      <c r="AE536">
        <v>0</v>
      </c>
      <c r="AF536">
        <v>2.0699999999999998</v>
      </c>
      <c r="AG536">
        <v>0</v>
      </c>
      <c r="AH536">
        <v>0</v>
      </c>
      <c r="AI536">
        <v>1</v>
      </c>
      <c r="AJ536">
        <v>7.84</v>
      </c>
      <c r="AK536">
        <v>19.8</v>
      </c>
      <c r="AL536">
        <v>1</v>
      </c>
      <c r="AM536">
        <v>5</v>
      </c>
      <c r="AN536">
        <v>0</v>
      </c>
      <c r="AO536">
        <v>1</v>
      </c>
      <c r="AP536">
        <v>1</v>
      </c>
      <c r="AQ536">
        <v>0</v>
      </c>
      <c r="AR536">
        <v>0</v>
      </c>
      <c r="AS536" t="s">
        <v>6</v>
      </c>
      <c r="AT536">
        <v>0.35</v>
      </c>
      <c r="AU536" t="s">
        <v>542</v>
      </c>
      <c r="AV536">
        <v>0</v>
      </c>
      <c r="AW536">
        <v>2</v>
      </c>
      <c r="AX536">
        <v>86327870</v>
      </c>
      <c r="AY536">
        <v>1</v>
      </c>
      <c r="AZ536">
        <v>0</v>
      </c>
      <c r="BA536">
        <v>452</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CV536">
        <v>0</v>
      </c>
      <c r="CW536" t="e">
        <f>ROUND(Y536*Source!I405*DO536,9)</f>
        <v>#REF!</v>
      </c>
      <c r="CX536" t="e">
        <f>ROUND(Y536*Source!I405,9)</f>
        <v>#REF!</v>
      </c>
      <c r="CY536">
        <f>AB536</f>
        <v>16.23</v>
      </c>
      <c r="CZ536">
        <f>AF536</f>
        <v>2.0699999999999998</v>
      </c>
      <c r="DA536">
        <f>AJ536</f>
        <v>7.84</v>
      </c>
      <c r="DB536">
        <f t="shared" si="199"/>
        <v>10.08</v>
      </c>
      <c r="DC536">
        <f t="shared" si="200"/>
        <v>0</v>
      </c>
      <c r="DD536" t="s">
        <v>6</v>
      </c>
      <c r="DE536" t="s">
        <v>6</v>
      </c>
      <c r="DF536" t="e">
        <f t="shared" si="201"/>
        <v>#REF!</v>
      </c>
      <c r="DG536" t="e">
        <f>ROUND(ROUND(AF536*AJ536,0)*CX536,0)</f>
        <v>#REF!</v>
      </c>
      <c r="DH536" t="e">
        <f>Source!I405*SmtRes!Y536</f>
        <v>#REF!</v>
      </c>
      <c r="DI536">
        <f>AB536</f>
        <v>16.23</v>
      </c>
      <c r="DJ536">
        <f>EtalonRes!Z452</f>
        <v>2.0699999999999998</v>
      </c>
      <c r="DK536">
        <f>Source!BB405</f>
        <v>7.84</v>
      </c>
      <c r="DL536" t="s">
        <v>6</v>
      </c>
      <c r="DM536">
        <v>0</v>
      </c>
      <c r="DN536" t="s">
        <v>6</v>
      </c>
      <c r="DO536">
        <v>0</v>
      </c>
      <c r="GQ536">
        <v>-1</v>
      </c>
      <c r="GR536">
        <v>-1</v>
      </c>
    </row>
  </sheetData>
  <printOptions gridLines="1"/>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4"/>
  <sheetViews>
    <sheetView workbookViewId="0"/>
  </sheetViews>
  <sheetFormatPr defaultColWidth="9.140625" defaultRowHeight="12.75" x14ac:dyDescent="0.2"/>
  <cols>
    <col min="1" max="256" width="9.140625" customWidth="1"/>
  </cols>
  <sheetData>
    <row r="1" spans="1:44" x14ac:dyDescent="0.2">
      <c r="A1">
        <f>ROW(Source!A28)</f>
        <v>28</v>
      </c>
      <c r="B1">
        <v>86327233</v>
      </c>
      <c r="C1">
        <v>86327224</v>
      </c>
      <c r="D1">
        <v>27493207</v>
      </c>
      <c r="E1">
        <v>1</v>
      </c>
      <c r="F1">
        <v>1</v>
      </c>
      <c r="G1">
        <v>1</v>
      </c>
      <c r="H1">
        <v>1</v>
      </c>
      <c r="I1" t="s">
        <v>623</v>
      </c>
      <c r="J1" t="s">
        <v>6</v>
      </c>
      <c r="K1" t="s">
        <v>624</v>
      </c>
      <c r="L1">
        <v>1369</v>
      </c>
      <c r="N1">
        <v>1013</v>
      </c>
      <c r="O1" t="s">
        <v>625</v>
      </c>
      <c r="P1" t="s">
        <v>625</v>
      </c>
      <c r="Q1">
        <v>1</v>
      </c>
      <c r="X1">
        <v>16.61</v>
      </c>
      <c r="Y1">
        <v>0</v>
      </c>
      <c r="Z1">
        <v>0</v>
      </c>
      <c r="AA1">
        <v>0</v>
      </c>
      <c r="AB1">
        <v>7.87</v>
      </c>
      <c r="AC1">
        <v>0</v>
      </c>
      <c r="AD1">
        <v>1</v>
      </c>
      <c r="AE1">
        <v>1</v>
      </c>
      <c r="AF1" t="s">
        <v>25</v>
      </c>
      <c r="AG1">
        <v>17.4405</v>
      </c>
      <c r="AH1">
        <v>2</v>
      </c>
      <c r="AI1">
        <v>86327225</v>
      </c>
      <c r="AJ1">
        <v>1</v>
      </c>
      <c r="AK1">
        <v>0</v>
      </c>
      <c r="AL1">
        <v>0</v>
      </c>
      <c r="AM1">
        <v>0</v>
      </c>
      <c r="AN1">
        <v>0</v>
      </c>
      <c r="AO1">
        <v>0</v>
      </c>
      <c r="AP1">
        <v>0</v>
      </c>
      <c r="AQ1">
        <v>0</v>
      </c>
      <c r="AR1">
        <v>0</v>
      </c>
    </row>
    <row r="2" spans="1:44" x14ac:dyDescent="0.2">
      <c r="A2">
        <f>ROW(Source!A28)</f>
        <v>28</v>
      </c>
      <c r="B2">
        <v>86327234</v>
      </c>
      <c r="C2">
        <v>86327224</v>
      </c>
      <c r="D2">
        <v>121548</v>
      </c>
      <c r="E2">
        <v>1</v>
      </c>
      <c r="F2">
        <v>1</v>
      </c>
      <c r="G2">
        <v>1</v>
      </c>
      <c r="H2">
        <v>1</v>
      </c>
      <c r="I2" t="s">
        <v>40</v>
      </c>
      <c r="J2" t="s">
        <v>6</v>
      </c>
      <c r="K2" t="s">
        <v>626</v>
      </c>
      <c r="L2">
        <v>608254</v>
      </c>
      <c r="N2">
        <v>1013</v>
      </c>
      <c r="O2" t="s">
        <v>627</v>
      </c>
      <c r="P2" t="s">
        <v>627</v>
      </c>
      <c r="Q2">
        <v>1</v>
      </c>
      <c r="X2">
        <v>5.04</v>
      </c>
      <c r="Y2">
        <v>0</v>
      </c>
      <c r="Z2">
        <v>0</v>
      </c>
      <c r="AA2">
        <v>0</v>
      </c>
      <c r="AB2">
        <v>0</v>
      </c>
      <c r="AC2">
        <v>0</v>
      </c>
      <c r="AD2">
        <v>1</v>
      </c>
      <c r="AE2">
        <v>2</v>
      </c>
      <c r="AF2" t="s">
        <v>24</v>
      </c>
      <c r="AG2">
        <v>5.6448000000000009</v>
      </c>
      <c r="AH2">
        <v>2</v>
      </c>
      <c r="AI2">
        <v>86327226</v>
      </c>
      <c r="AJ2">
        <v>2</v>
      </c>
      <c r="AK2">
        <v>0</v>
      </c>
      <c r="AL2">
        <v>0</v>
      </c>
      <c r="AM2">
        <v>0</v>
      </c>
      <c r="AN2">
        <v>0</v>
      </c>
      <c r="AO2">
        <v>0</v>
      </c>
      <c r="AP2">
        <v>0</v>
      </c>
      <c r="AQ2">
        <v>0</v>
      </c>
      <c r="AR2">
        <v>0</v>
      </c>
    </row>
    <row r="3" spans="1:44" x14ac:dyDescent="0.2">
      <c r="A3">
        <f>ROW(Source!A28)</f>
        <v>28</v>
      </c>
      <c r="B3">
        <v>86327235</v>
      </c>
      <c r="C3">
        <v>86327224</v>
      </c>
      <c r="D3">
        <v>27439418</v>
      </c>
      <c r="E3">
        <v>1</v>
      </c>
      <c r="F3">
        <v>1</v>
      </c>
      <c r="G3">
        <v>1</v>
      </c>
      <c r="H3">
        <v>2</v>
      </c>
      <c r="I3" t="s">
        <v>652</v>
      </c>
      <c r="J3" t="s">
        <v>653</v>
      </c>
      <c r="K3" t="s">
        <v>654</v>
      </c>
      <c r="L3">
        <v>1368</v>
      </c>
      <c r="N3">
        <v>1011</v>
      </c>
      <c r="O3" t="s">
        <v>137</v>
      </c>
      <c r="P3" t="s">
        <v>137</v>
      </c>
      <c r="Q3">
        <v>1</v>
      </c>
      <c r="X3">
        <v>3</v>
      </c>
      <c r="Y3">
        <v>0</v>
      </c>
      <c r="Z3">
        <v>91.69</v>
      </c>
      <c r="AA3">
        <v>13.61</v>
      </c>
      <c r="AB3">
        <v>0</v>
      </c>
      <c r="AC3">
        <v>0</v>
      </c>
      <c r="AD3">
        <v>1</v>
      </c>
      <c r="AE3">
        <v>0</v>
      </c>
      <c r="AF3" t="s">
        <v>24</v>
      </c>
      <c r="AG3">
        <v>3.3600000000000003</v>
      </c>
      <c r="AH3">
        <v>3</v>
      </c>
      <c r="AI3">
        <v>-1</v>
      </c>
      <c r="AJ3" t="s">
        <v>6</v>
      </c>
      <c r="AK3">
        <v>4</v>
      </c>
      <c r="AL3">
        <v>0</v>
      </c>
      <c r="AM3">
        <v>-308.07840000000004</v>
      </c>
      <c r="AN3">
        <v>-45.729600000000005</v>
      </c>
      <c r="AO3">
        <v>0</v>
      </c>
      <c r="AP3">
        <v>0</v>
      </c>
      <c r="AQ3">
        <v>0</v>
      </c>
      <c r="AR3">
        <v>1</v>
      </c>
    </row>
    <row r="4" spans="1:44" x14ac:dyDescent="0.2">
      <c r="A4">
        <f>ROW(Source!A28)</f>
        <v>28</v>
      </c>
      <c r="B4">
        <v>86327236</v>
      </c>
      <c r="C4">
        <v>86327224</v>
      </c>
      <c r="D4">
        <v>27439499</v>
      </c>
      <c r="E4">
        <v>1</v>
      </c>
      <c r="F4">
        <v>1</v>
      </c>
      <c r="G4">
        <v>1</v>
      </c>
      <c r="H4">
        <v>2</v>
      </c>
      <c r="I4" t="s">
        <v>631</v>
      </c>
      <c r="J4" t="s">
        <v>632</v>
      </c>
      <c r="K4" t="s">
        <v>633</v>
      </c>
      <c r="L4">
        <v>1368</v>
      </c>
      <c r="N4">
        <v>1011</v>
      </c>
      <c r="O4" t="s">
        <v>137</v>
      </c>
      <c r="P4" t="s">
        <v>137</v>
      </c>
      <c r="Q4">
        <v>1</v>
      </c>
      <c r="X4">
        <v>0.44</v>
      </c>
      <c r="Y4">
        <v>0</v>
      </c>
      <c r="Z4">
        <v>112.67</v>
      </c>
      <c r="AA4">
        <v>13.61</v>
      </c>
      <c r="AB4">
        <v>0</v>
      </c>
      <c r="AC4">
        <v>0</v>
      </c>
      <c r="AD4">
        <v>1</v>
      </c>
      <c r="AE4">
        <v>0</v>
      </c>
      <c r="AF4" t="s">
        <v>24</v>
      </c>
      <c r="AG4">
        <v>0.49280000000000007</v>
      </c>
      <c r="AH4">
        <v>2</v>
      </c>
      <c r="AI4">
        <v>86327228</v>
      </c>
      <c r="AJ4">
        <v>4</v>
      </c>
      <c r="AK4">
        <v>0</v>
      </c>
      <c r="AL4">
        <v>0</v>
      </c>
      <c r="AM4">
        <v>0</v>
      </c>
      <c r="AN4">
        <v>0</v>
      </c>
      <c r="AO4">
        <v>0</v>
      </c>
      <c r="AP4">
        <v>0</v>
      </c>
      <c r="AQ4">
        <v>0</v>
      </c>
      <c r="AR4">
        <v>0</v>
      </c>
    </row>
    <row r="5" spans="1:44" x14ac:dyDescent="0.2">
      <c r="A5">
        <f>ROW(Source!A28)</f>
        <v>28</v>
      </c>
      <c r="B5">
        <v>86327237</v>
      </c>
      <c r="C5">
        <v>86327224</v>
      </c>
      <c r="D5">
        <v>27439640</v>
      </c>
      <c r="E5">
        <v>1</v>
      </c>
      <c r="F5">
        <v>1</v>
      </c>
      <c r="G5">
        <v>1</v>
      </c>
      <c r="H5">
        <v>2</v>
      </c>
      <c r="I5" t="s">
        <v>634</v>
      </c>
      <c r="J5" t="s">
        <v>635</v>
      </c>
      <c r="K5" t="s">
        <v>636</v>
      </c>
      <c r="L5">
        <v>1368</v>
      </c>
      <c r="N5">
        <v>1011</v>
      </c>
      <c r="O5" t="s">
        <v>137</v>
      </c>
      <c r="P5" t="s">
        <v>137</v>
      </c>
      <c r="Q5">
        <v>1</v>
      </c>
      <c r="X5">
        <v>1.6</v>
      </c>
      <c r="Y5">
        <v>0</v>
      </c>
      <c r="Z5">
        <v>56.1</v>
      </c>
      <c r="AA5">
        <v>13.61</v>
      </c>
      <c r="AB5">
        <v>0</v>
      </c>
      <c r="AC5">
        <v>0</v>
      </c>
      <c r="AD5">
        <v>1</v>
      </c>
      <c r="AE5">
        <v>0</v>
      </c>
      <c r="AF5" t="s">
        <v>24</v>
      </c>
      <c r="AG5">
        <v>1.7920000000000003</v>
      </c>
      <c r="AH5">
        <v>2</v>
      </c>
      <c r="AI5">
        <v>86327229</v>
      </c>
      <c r="AJ5">
        <v>5</v>
      </c>
      <c r="AK5">
        <v>0</v>
      </c>
      <c r="AL5">
        <v>0</v>
      </c>
      <c r="AM5">
        <v>0</v>
      </c>
      <c r="AN5">
        <v>0</v>
      </c>
      <c r="AO5">
        <v>0</v>
      </c>
      <c r="AP5">
        <v>0</v>
      </c>
      <c r="AQ5">
        <v>0</v>
      </c>
      <c r="AR5">
        <v>0</v>
      </c>
    </row>
    <row r="6" spans="1:44" x14ac:dyDescent="0.2">
      <c r="A6">
        <f>ROW(Source!A28)</f>
        <v>28</v>
      </c>
      <c r="B6">
        <v>86327238</v>
      </c>
      <c r="C6">
        <v>86327224</v>
      </c>
      <c r="D6">
        <v>27441327</v>
      </c>
      <c r="E6">
        <v>1</v>
      </c>
      <c r="F6">
        <v>1</v>
      </c>
      <c r="G6">
        <v>1</v>
      </c>
      <c r="H6">
        <v>2</v>
      </c>
      <c r="I6" t="s">
        <v>637</v>
      </c>
      <c r="J6" t="s">
        <v>638</v>
      </c>
      <c r="K6" t="s">
        <v>639</v>
      </c>
      <c r="L6">
        <v>1368</v>
      </c>
      <c r="N6">
        <v>1011</v>
      </c>
      <c r="O6" t="s">
        <v>137</v>
      </c>
      <c r="P6" t="s">
        <v>137</v>
      </c>
      <c r="Q6">
        <v>1</v>
      </c>
      <c r="X6">
        <v>0.55000000000000004</v>
      </c>
      <c r="Y6">
        <v>0</v>
      </c>
      <c r="Z6">
        <v>93.37</v>
      </c>
      <c r="AA6">
        <v>11.69</v>
      </c>
      <c r="AB6">
        <v>0</v>
      </c>
      <c r="AC6">
        <v>0</v>
      </c>
      <c r="AD6">
        <v>1</v>
      </c>
      <c r="AE6">
        <v>0</v>
      </c>
      <c r="AF6" t="s">
        <v>24</v>
      </c>
      <c r="AG6">
        <v>0.6160000000000001</v>
      </c>
      <c r="AH6">
        <v>2</v>
      </c>
      <c r="AI6">
        <v>86327230</v>
      </c>
      <c r="AJ6">
        <v>6</v>
      </c>
      <c r="AK6">
        <v>0</v>
      </c>
      <c r="AL6">
        <v>0</v>
      </c>
      <c r="AM6">
        <v>0</v>
      </c>
      <c r="AN6">
        <v>0</v>
      </c>
      <c r="AO6">
        <v>0</v>
      </c>
      <c r="AP6">
        <v>0</v>
      </c>
      <c r="AQ6">
        <v>0</v>
      </c>
      <c r="AR6">
        <v>0</v>
      </c>
    </row>
    <row r="7" spans="1:44" x14ac:dyDescent="0.2">
      <c r="A7">
        <f>ROW(Source!A28)</f>
        <v>28</v>
      </c>
      <c r="B7">
        <v>86327239</v>
      </c>
      <c r="C7">
        <v>86327224</v>
      </c>
      <c r="D7">
        <v>27378576</v>
      </c>
      <c r="E7">
        <v>1</v>
      </c>
      <c r="F7">
        <v>1</v>
      </c>
      <c r="G7">
        <v>1</v>
      </c>
      <c r="H7">
        <v>3</v>
      </c>
      <c r="I7" t="s">
        <v>703</v>
      </c>
      <c r="J7" t="s">
        <v>704</v>
      </c>
      <c r="K7" t="s">
        <v>32</v>
      </c>
      <c r="L7">
        <v>1348</v>
      </c>
      <c r="N7">
        <v>1009</v>
      </c>
      <c r="O7" t="s">
        <v>33</v>
      </c>
      <c r="P7" t="s">
        <v>33</v>
      </c>
      <c r="Q7">
        <v>1000</v>
      </c>
      <c r="X7">
        <v>6.0000000000000001E-3</v>
      </c>
      <c r="Y7">
        <v>12050</v>
      </c>
      <c r="Z7">
        <v>0</v>
      </c>
      <c r="AA7">
        <v>0</v>
      </c>
      <c r="AB7">
        <v>0</v>
      </c>
      <c r="AC7">
        <v>0</v>
      </c>
      <c r="AD7">
        <v>1</v>
      </c>
      <c r="AE7">
        <v>0</v>
      </c>
      <c r="AF7" t="s">
        <v>6</v>
      </c>
      <c r="AG7">
        <v>6.0000000000000001E-3</v>
      </c>
      <c r="AH7">
        <v>3</v>
      </c>
      <c r="AI7">
        <v>-1</v>
      </c>
      <c r="AJ7" t="s">
        <v>6</v>
      </c>
      <c r="AK7">
        <v>4</v>
      </c>
      <c r="AL7">
        <v>-72.3</v>
      </c>
      <c r="AM7">
        <v>0</v>
      </c>
      <c r="AN7">
        <v>0</v>
      </c>
      <c r="AO7">
        <v>0</v>
      </c>
      <c r="AP7">
        <v>0</v>
      </c>
      <c r="AQ7">
        <v>0</v>
      </c>
      <c r="AR7">
        <v>1</v>
      </c>
    </row>
    <row r="8" spans="1:44" x14ac:dyDescent="0.2">
      <c r="A8">
        <f>ROW(Source!A28)</f>
        <v>28</v>
      </c>
      <c r="B8">
        <v>86327240</v>
      </c>
      <c r="C8">
        <v>86327224</v>
      </c>
      <c r="D8">
        <v>27379786</v>
      </c>
      <c r="E8">
        <v>1</v>
      </c>
      <c r="F8">
        <v>1</v>
      </c>
      <c r="G8">
        <v>1</v>
      </c>
      <c r="H8">
        <v>3</v>
      </c>
      <c r="I8" t="s">
        <v>42</v>
      </c>
      <c r="J8" t="s">
        <v>45</v>
      </c>
      <c r="K8" t="s">
        <v>43</v>
      </c>
      <c r="L8">
        <v>1339</v>
      </c>
      <c r="N8">
        <v>1007</v>
      </c>
      <c r="O8" t="s">
        <v>44</v>
      </c>
      <c r="P8" t="s">
        <v>44</v>
      </c>
      <c r="Q8">
        <v>1</v>
      </c>
      <c r="X8">
        <v>3.7999999999999999E-2</v>
      </c>
      <c r="Y8">
        <v>1100</v>
      </c>
      <c r="Z8">
        <v>0</v>
      </c>
      <c r="AA8">
        <v>0</v>
      </c>
      <c r="AB8">
        <v>0</v>
      </c>
      <c r="AC8">
        <v>0</v>
      </c>
      <c r="AD8">
        <v>1</v>
      </c>
      <c r="AE8">
        <v>0</v>
      </c>
      <c r="AF8" t="s">
        <v>6</v>
      </c>
      <c r="AG8">
        <v>3.7999999999999999E-2</v>
      </c>
      <c r="AH8">
        <v>2</v>
      </c>
      <c r="AI8">
        <v>86327232</v>
      </c>
      <c r="AJ8">
        <v>8</v>
      </c>
      <c r="AK8">
        <v>3</v>
      </c>
      <c r="AL8">
        <v>-41.8</v>
      </c>
      <c r="AM8">
        <v>0</v>
      </c>
      <c r="AN8">
        <v>0</v>
      </c>
      <c r="AO8">
        <v>0</v>
      </c>
      <c r="AP8">
        <v>0</v>
      </c>
      <c r="AQ8">
        <v>0</v>
      </c>
      <c r="AR8">
        <v>1</v>
      </c>
    </row>
    <row r="9" spans="1:44" x14ac:dyDescent="0.2">
      <c r="A9">
        <f>ROW(Source!A29)</f>
        <v>29</v>
      </c>
      <c r="B9">
        <v>86327233</v>
      </c>
      <c r="C9">
        <v>86327224</v>
      </c>
      <c r="D9">
        <v>27493207</v>
      </c>
      <c r="E9">
        <v>1</v>
      </c>
      <c r="F9">
        <v>1</v>
      </c>
      <c r="G9">
        <v>1</v>
      </c>
      <c r="H9">
        <v>1</v>
      </c>
      <c r="I9" t="s">
        <v>623</v>
      </c>
      <c r="J9" t="s">
        <v>6</v>
      </c>
      <c r="K9" t="s">
        <v>624</v>
      </c>
      <c r="L9">
        <v>1369</v>
      </c>
      <c r="N9">
        <v>1013</v>
      </c>
      <c r="O9" t="s">
        <v>625</v>
      </c>
      <c r="P9" t="s">
        <v>625</v>
      </c>
      <c r="Q9">
        <v>1</v>
      </c>
      <c r="X9">
        <v>16.61</v>
      </c>
      <c r="Y9">
        <v>0</v>
      </c>
      <c r="Z9">
        <v>0</v>
      </c>
      <c r="AA9">
        <v>0</v>
      </c>
      <c r="AB9">
        <v>7.87</v>
      </c>
      <c r="AC9">
        <v>0</v>
      </c>
      <c r="AD9">
        <v>1</v>
      </c>
      <c r="AE9">
        <v>1</v>
      </c>
      <c r="AF9" t="s">
        <v>25</v>
      </c>
      <c r="AG9">
        <v>17.4405</v>
      </c>
      <c r="AH9">
        <v>2</v>
      </c>
      <c r="AI9">
        <v>86327225</v>
      </c>
      <c r="AJ9">
        <v>9</v>
      </c>
      <c r="AK9">
        <v>0</v>
      </c>
      <c r="AL9">
        <v>0</v>
      </c>
      <c r="AM9">
        <v>0</v>
      </c>
      <c r="AN9">
        <v>0</v>
      </c>
      <c r="AO9">
        <v>0</v>
      </c>
      <c r="AP9">
        <v>0</v>
      </c>
      <c r="AQ9">
        <v>0</v>
      </c>
      <c r="AR9">
        <v>0</v>
      </c>
    </row>
    <row r="10" spans="1:44" x14ac:dyDescent="0.2">
      <c r="A10">
        <f>ROW(Source!A29)</f>
        <v>29</v>
      </c>
      <c r="B10">
        <v>86327234</v>
      </c>
      <c r="C10">
        <v>86327224</v>
      </c>
      <c r="D10">
        <v>121548</v>
      </c>
      <c r="E10">
        <v>1</v>
      </c>
      <c r="F10">
        <v>1</v>
      </c>
      <c r="G10">
        <v>1</v>
      </c>
      <c r="H10">
        <v>1</v>
      </c>
      <c r="I10" t="s">
        <v>40</v>
      </c>
      <c r="J10" t="s">
        <v>6</v>
      </c>
      <c r="K10" t="s">
        <v>626</v>
      </c>
      <c r="L10">
        <v>608254</v>
      </c>
      <c r="N10">
        <v>1013</v>
      </c>
      <c r="O10" t="s">
        <v>627</v>
      </c>
      <c r="P10" t="s">
        <v>627</v>
      </c>
      <c r="Q10">
        <v>1</v>
      </c>
      <c r="X10">
        <v>5.04</v>
      </c>
      <c r="Y10">
        <v>0</v>
      </c>
      <c r="Z10">
        <v>0</v>
      </c>
      <c r="AA10">
        <v>0</v>
      </c>
      <c r="AB10">
        <v>0</v>
      </c>
      <c r="AC10">
        <v>0</v>
      </c>
      <c r="AD10">
        <v>1</v>
      </c>
      <c r="AE10">
        <v>2</v>
      </c>
      <c r="AF10" t="s">
        <v>24</v>
      </c>
      <c r="AG10">
        <v>5.6448000000000009</v>
      </c>
      <c r="AH10">
        <v>2</v>
      </c>
      <c r="AI10">
        <v>86327226</v>
      </c>
      <c r="AJ10">
        <v>10</v>
      </c>
      <c r="AK10">
        <v>0</v>
      </c>
      <c r="AL10">
        <v>0</v>
      </c>
      <c r="AM10">
        <v>0</v>
      </c>
      <c r="AN10">
        <v>0</v>
      </c>
      <c r="AO10">
        <v>0</v>
      </c>
      <c r="AP10">
        <v>0</v>
      </c>
      <c r="AQ10">
        <v>0</v>
      </c>
      <c r="AR10">
        <v>0</v>
      </c>
    </row>
    <row r="11" spans="1:44" x14ac:dyDescent="0.2">
      <c r="A11">
        <f>ROW(Source!A29)</f>
        <v>29</v>
      </c>
      <c r="B11">
        <v>86327235</v>
      </c>
      <c r="C11">
        <v>86327224</v>
      </c>
      <c r="D11">
        <v>27439418</v>
      </c>
      <c r="E11">
        <v>1</v>
      </c>
      <c r="F11">
        <v>1</v>
      </c>
      <c r="G11">
        <v>1</v>
      </c>
      <c r="H11">
        <v>2</v>
      </c>
      <c r="I11" t="s">
        <v>652</v>
      </c>
      <c r="J11" t="s">
        <v>653</v>
      </c>
      <c r="K11" t="s">
        <v>654</v>
      </c>
      <c r="L11">
        <v>1368</v>
      </c>
      <c r="N11">
        <v>1011</v>
      </c>
      <c r="O11" t="s">
        <v>137</v>
      </c>
      <c r="P11" t="s">
        <v>137</v>
      </c>
      <c r="Q11">
        <v>1</v>
      </c>
      <c r="X11">
        <v>3</v>
      </c>
      <c r="Y11">
        <v>0</v>
      </c>
      <c r="Z11">
        <v>91.69</v>
      </c>
      <c r="AA11">
        <v>13.61</v>
      </c>
      <c r="AB11">
        <v>0</v>
      </c>
      <c r="AC11">
        <v>0</v>
      </c>
      <c r="AD11">
        <v>1</v>
      </c>
      <c r="AE11">
        <v>0</v>
      </c>
      <c r="AF11" t="s">
        <v>24</v>
      </c>
      <c r="AG11">
        <v>3.3600000000000003</v>
      </c>
      <c r="AH11">
        <v>3</v>
      </c>
      <c r="AI11">
        <v>-1</v>
      </c>
      <c r="AJ11" t="s">
        <v>6</v>
      </c>
      <c r="AK11">
        <v>4</v>
      </c>
      <c r="AL11">
        <v>0</v>
      </c>
      <c r="AM11">
        <v>-308.07840000000004</v>
      </c>
      <c r="AN11">
        <v>-45.729600000000005</v>
      </c>
      <c r="AO11">
        <v>0</v>
      </c>
      <c r="AP11">
        <v>0</v>
      </c>
      <c r="AQ11">
        <v>0</v>
      </c>
      <c r="AR11">
        <v>1</v>
      </c>
    </row>
    <row r="12" spans="1:44" x14ac:dyDescent="0.2">
      <c r="A12">
        <f>ROW(Source!A29)</f>
        <v>29</v>
      </c>
      <c r="B12">
        <v>86327236</v>
      </c>
      <c r="C12">
        <v>86327224</v>
      </c>
      <c r="D12">
        <v>27439499</v>
      </c>
      <c r="E12">
        <v>1</v>
      </c>
      <c r="F12">
        <v>1</v>
      </c>
      <c r="G12">
        <v>1</v>
      </c>
      <c r="H12">
        <v>2</v>
      </c>
      <c r="I12" t="s">
        <v>631</v>
      </c>
      <c r="J12" t="s">
        <v>632</v>
      </c>
      <c r="K12" t="s">
        <v>633</v>
      </c>
      <c r="L12">
        <v>1368</v>
      </c>
      <c r="N12">
        <v>1011</v>
      </c>
      <c r="O12" t="s">
        <v>137</v>
      </c>
      <c r="P12" t="s">
        <v>137</v>
      </c>
      <c r="Q12">
        <v>1</v>
      </c>
      <c r="X12">
        <v>0.44</v>
      </c>
      <c r="Y12">
        <v>0</v>
      </c>
      <c r="Z12">
        <v>112.67</v>
      </c>
      <c r="AA12">
        <v>13.61</v>
      </c>
      <c r="AB12">
        <v>0</v>
      </c>
      <c r="AC12">
        <v>0</v>
      </c>
      <c r="AD12">
        <v>1</v>
      </c>
      <c r="AE12">
        <v>0</v>
      </c>
      <c r="AF12" t="s">
        <v>24</v>
      </c>
      <c r="AG12">
        <v>0.49280000000000007</v>
      </c>
      <c r="AH12">
        <v>2</v>
      </c>
      <c r="AI12">
        <v>86327228</v>
      </c>
      <c r="AJ12">
        <v>12</v>
      </c>
      <c r="AK12">
        <v>0</v>
      </c>
      <c r="AL12">
        <v>0</v>
      </c>
      <c r="AM12">
        <v>0</v>
      </c>
      <c r="AN12">
        <v>0</v>
      </c>
      <c r="AO12">
        <v>0</v>
      </c>
      <c r="AP12">
        <v>0</v>
      </c>
      <c r="AQ12">
        <v>0</v>
      </c>
      <c r="AR12">
        <v>0</v>
      </c>
    </row>
    <row r="13" spans="1:44" x14ac:dyDescent="0.2">
      <c r="A13">
        <f>ROW(Source!A29)</f>
        <v>29</v>
      </c>
      <c r="B13">
        <v>86327237</v>
      </c>
      <c r="C13">
        <v>86327224</v>
      </c>
      <c r="D13">
        <v>27439640</v>
      </c>
      <c r="E13">
        <v>1</v>
      </c>
      <c r="F13">
        <v>1</v>
      </c>
      <c r="G13">
        <v>1</v>
      </c>
      <c r="H13">
        <v>2</v>
      </c>
      <c r="I13" t="s">
        <v>634</v>
      </c>
      <c r="J13" t="s">
        <v>635</v>
      </c>
      <c r="K13" t="s">
        <v>636</v>
      </c>
      <c r="L13">
        <v>1368</v>
      </c>
      <c r="N13">
        <v>1011</v>
      </c>
      <c r="O13" t="s">
        <v>137</v>
      </c>
      <c r="P13" t="s">
        <v>137</v>
      </c>
      <c r="Q13">
        <v>1</v>
      </c>
      <c r="X13">
        <v>1.6</v>
      </c>
      <c r="Y13">
        <v>0</v>
      </c>
      <c r="Z13">
        <v>56.1</v>
      </c>
      <c r="AA13">
        <v>13.61</v>
      </c>
      <c r="AB13">
        <v>0</v>
      </c>
      <c r="AC13">
        <v>0</v>
      </c>
      <c r="AD13">
        <v>1</v>
      </c>
      <c r="AE13">
        <v>0</v>
      </c>
      <c r="AF13" t="s">
        <v>24</v>
      </c>
      <c r="AG13">
        <v>1.7920000000000003</v>
      </c>
      <c r="AH13">
        <v>2</v>
      </c>
      <c r="AI13">
        <v>86327229</v>
      </c>
      <c r="AJ13">
        <v>13</v>
      </c>
      <c r="AK13">
        <v>0</v>
      </c>
      <c r="AL13">
        <v>0</v>
      </c>
      <c r="AM13">
        <v>0</v>
      </c>
      <c r="AN13">
        <v>0</v>
      </c>
      <c r="AO13">
        <v>0</v>
      </c>
      <c r="AP13">
        <v>0</v>
      </c>
      <c r="AQ13">
        <v>0</v>
      </c>
      <c r="AR13">
        <v>0</v>
      </c>
    </row>
    <row r="14" spans="1:44" x14ac:dyDescent="0.2">
      <c r="A14">
        <f>ROW(Source!A29)</f>
        <v>29</v>
      </c>
      <c r="B14">
        <v>86327238</v>
      </c>
      <c r="C14">
        <v>86327224</v>
      </c>
      <c r="D14">
        <v>27441327</v>
      </c>
      <c r="E14">
        <v>1</v>
      </c>
      <c r="F14">
        <v>1</v>
      </c>
      <c r="G14">
        <v>1</v>
      </c>
      <c r="H14">
        <v>2</v>
      </c>
      <c r="I14" t="s">
        <v>637</v>
      </c>
      <c r="J14" t="s">
        <v>638</v>
      </c>
      <c r="K14" t="s">
        <v>639</v>
      </c>
      <c r="L14">
        <v>1368</v>
      </c>
      <c r="N14">
        <v>1011</v>
      </c>
      <c r="O14" t="s">
        <v>137</v>
      </c>
      <c r="P14" t="s">
        <v>137</v>
      </c>
      <c r="Q14">
        <v>1</v>
      </c>
      <c r="X14">
        <v>0.55000000000000004</v>
      </c>
      <c r="Y14">
        <v>0</v>
      </c>
      <c r="Z14">
        <v>93.37</v>
      </c>
      <c r="AA14">
        <v>11.69</v>
      </c>
      <c r="AB14">
        <v>0</v>
      </c>
      <c r="AC14">
        <v>0</v>
      </c>
      <c r="AD14">
        <v>1</v>
      </c>
      <c r="AE14">
        <v>0</v>
      </c>
      <c r="AF14" t="s">
        <v>24</v>
      </c>
      <c r="AG14">
        <v>0.6160000000000001</v>
      </c>
      <c r="AH14">
        <v>2</v>
      </c>
      <c r="AI14">
        <v>86327230</v>
      </c>
      <c r="AJ14">
        <v>14</v>
      </c>
      <c r="AK14">
        <v>0</v>
      </c>
      <c r="AL14">
        <v>0</v>
      </c>
      <c r="AM14">
        <v>0</v>
      </c>
      <c r="AN14">
        <v>0</v>
      </c>
      <c r="AO14">
        <v>0</v>
      </c>
      <c r="AP14">
        <v>0</v>
      </c>
      <c r="AQ14">
        <v>0</v>
      </c>
      <c r="AR14">
        <v>0</v>
      </c>
    </row>
    <row r="15" spans="1:44" x14ac:dyDescent="0.2">
      <c r="A15">
        <f>ROW(Source!A29)</f>
        <v>29</v>
      </c>
      <c r="B15">
        <v>86327239</v>
      </c>
      <c r="C15">
        <v>86327224</v>
      </c>
      <c r="D15">
        <v>27378576</v>
      </c>
      <c r="E15">
        <v>1</v>
      </c>
      <c r="F15">
        <v>1</v>
      </c>
      <c r="G15">
        <v>1</v>
      </c>
      <c r="H15">
        <v>3</v>
      </c>
      <c r="I15" t="s">
        <v>703</v>
      </c>
      <c r="J15" t="s">
        <v>704</v>
      </c>
      <c r="K15" t="s">
        <v>32</v>
      </c>
      <c r="L15">
        <v>1348</v>
      </c>
      <c r="N15">
        <v>1009</v>
      </c>
      <c r="O15" t="s">
        <v>33</v>
      </c>
      <c r="P15" t="s">
        <v>33</v>
      </c>
      <c r="Q15">
        <v>1000</v>
      </c>
      <c r="X15">
        <v>6.0000000000000001E-3</v>
      </c>
      <c r="Y15">
        <v>12050</v>
      </c>
      <c r="Z15">
        <v>0</v>
      </c>
      <c r="AA15">
        <v>0</v>
      </c>
      <c r="AB15">
        <v>0</v>
      </c>
      <c r="AC15">
        <v>0</v>
      </c>
      <c r="AD15">
        <v>1</v>
      </c>
      <c r="AE15">
        <v>0</v>
      </c>
      <c r="AF15" t="s">
        <v>6</v>
      </c>
      <c r="AG15">
        <v>6.0000000000000001E-3</v>
      </c>
      <c r="AH15">
        <v>3</v>
      </c>
      <c r="AI15">
        <v>-1</v>
      </c>
      <c r="AJ15" t="s">
        <v>6</v>
      </c>
      <c r="AK15">
        <v>4</v>
      </c>
      <c r="AL15">
        <v>-72.3</v>
      </c>
      <c r="AM15">
        <v>0</v>
      </c>
      <c r="AN15">
        <v>0</v>
      </c>
      <c r="AO15">
        <v>0</v>
      </c>
      <c r="AP15">
        <v>0</v>
      </c>
      <c r="AQ15">
        <v>0</v>
      </c>
      <c r="AR15">
        <v>1</v>
      </c>
    </row>
    <row r="16" spans="1:44" x14ac:dyDescent="0.2">
      <c r="A16">
        <f>ROW(Source!A29)</f>
        <v>29</v>
      </c>
      <c r="B16">
        <v>86327240</v>
      </c>
      <c r="C16">
        <v>86327224</v>
      </c>
      <c r="D16">
        <v>27379786</v>
      </c>
      <c r="E16">
        <v>1</v>
      </c>
      <c r="F16">
        <v>1</v>
      </c>
      <c r="G16">
        <v>1</v>
      </c>
      <c r="H16">
        <v>3</v>
      </c>
      <c r="I16" t="s">
        <v>42</v>
      </c>
      <c r="J16" t="s">
        <v>45</v>
      </c>
      <c r="K16" t="s">
        <v>43</v>
      </c>
      <c r="L16">
        <v>1339</v>
      </c>
      <c r="N16">
        <v>1007</v>
      </c>
      <c r="O16" t="s">
        <v>44</v>
      </c>
      <c r="P16" t="s">
        <v>44</v>
      </c>
      <c r="Q16">
        <v>1</v>
      </c>
      <c r="X16">
        <v>3.7999999999999999E-2</v>
      </c>
      <c r="Y16">
        <v>1100</v>
      </c>
      <c r="Z16">
        <v>0</v>
      </c>
      <c r="AA16">
        <v>0</v>
      </c>
      <c r="AB16">
        <v>0</v>
      </c>
      <c r="AC16">
        <v>0</v>
      </c>
      <c r="AD16">
        <v>1</v>
      </c>
      <c r="AE16">
        <v>0</v>
      </c>
      <c r="AF16" t="s">
        <v>6</v>
      </c>
      <c r="AG16">
        <v>3.7999999999999999E-2</v>
      </c>
      <c r="AH16">
        <v>2</v>
      </c>
      <c r="AI16">
        <v>86327232</v>
      </c>
      <c r="AJ16">
        <v>16</v>
      </c>
      <c r="AK16">
        <v>3</v>
      </c>
      <c r="AL16">
        <v>-41.8</v>
      </c>
      <c r="AM16">
        <v>0</v>
      </c>
      <c r="AN16">
        <v>0</v>
      </c>
      <c r="AO16">
        <v>0</v>
      </c>
      <c r="AP16">
        <v>0</v>
      </c>
      <c r="AQ16">
        <v>0</v>
      </c>
      <c r="AR16">
        <v>1</v>
      </c>
    </row>
    <row r="17" spans="1:44" x14ac:dyDescent="0.2">
      <c r="A17">
        <f>ROW(Source!A34)</f>
        <v>34</v>
      </c>
      <c r="B17">
        <v>86327250</v>
      </c>
      <c r="C17">
        <v>86327243</v>
      </c>
      <c r="D17">
        <v>5511010</v>
      </c>
      <c r="E17">
        <v>1</v>
      </c>
      <c r="F17">
        <v>1</v>
      </c>
      <c r="G17">
        <v>1</v>
      </c>
      <c r="H17">
        <v>1</v>
      </c>
      <c r="I17" t="s">
        <v>640</v>
      </c>
      <c r="J17" t="s">
        <v>6</v>
      </c>
      <c r="K17" t="s">
        <v>641</v>
      </c>
      <c r="L17">
        <v>1369</v>
      </c>
      <c r="N17">
        <v>1013</v>
      </c>
      <c r="O17" t="s">
        <v>625</v>
      </c>
      <c r="P17" t="s">
        <v>625</v>
      </c>
      <c r="Q17">
        <v>1</v>
      </c>
      <c r="X17">
        <v>59.867400000000004</v>
      </c>
      <c r="Y17">
        <v>0</v>
      </c>
      <c r="Z17">
        <v>0</v>
      </c>
      <c r="AA17">
        <v>0</v>
      </c>
      <c r="AB17">
        <v>11.92</v>
      </c>
      <c r="AC17">
        <v>0</v>
      </c>
      <c r="AD17">
        <v>1</v>
      </c>
      <c r="AE17">
        <v>1</v>
      </c>
      <c r="AF17" t="s">
        <v>25</v>
      </c>
      <c r="AG17">
        <v>62.860770000000009</v>
      </c>
      <c r="AH17">
        <v>2</v>
      </c>
      <c r="AI17">
        <v>86327244</v>
      </c>
      <c r="AJ17">
        <v>17</v>
      </c>
      <c r="AK17">
        <v>0</v>
      </c>
      <c r="AL17">
        <v>0</v>
      </c>
      <c r="AM17">
        <v>0</v>
      </c>
      <c r="AN17">
        <v>0</v>
      </c>
      <c r="AO17">
        <v>0</v>
      </c>
      <c r="AP17">
        <v>0</v>
      </c>
      <c r="AQ17">
        <v>0</v>
      </c>
      <c r="AR17">
        <v>0</v>
      </c>
    </row>
    <row r="18" spans="1:44" x14ac:dyDescent="0.2">
      <c r="A18">
        <f>ROW(Source!A34)</f>
        <v>34</v>
      </c>
      <c r="B18">
        <v>86327251</v>
      </c>
      <c r="C18">
        <v>86327243</v>
      </c>
      <c r="D18">
        <v>121548</v>
      </c>
      <c r="E18">
        <v>1</v>
      </c>
      <c r="F18">
        <v>1</v>
      </c>
      <c r="G18">
        <v>1</v>
      </c>
      <c r="H18">
        <v>1</v>
      </c>
      <c r="I18" t="s">
        <v>40</v>
      </c>
      <c r="J18" t="s">
        <v>6</v>
      </c>
      <c r="K18" t="s">
        <v>626</v>
      </c>
      <c r="L18">
        <v>608254</v>
      </c>
      <c r="N18">
        <v>1013</v>
      </c>
      <c r="O18" t="s">
        <v>627</v>
      </c>
      <c r="P18" t="s">
        <v>627</v>
      </c>
      <c r="Q18">
        <v>1</v>
      </c>
      <c r="X18">
        <v>0.46</v>
      </c>
      <c r="Y18">
        <v>0</v>
      </c>
      <c r="Z18">
        <v>0</v>
      </c>
      <c r="AA18">
        <v>0</v>
      </c>
      <c r="AB18">
        <v>0</v>
      </c>
      <c r="AC18">
        <v>0</v>
      </c>
      <c r="AD18">
        <v>1</v>
      </c>
      <c r="AE18">
        <v>2</v>
      </c>
      <c r="AF18" t="s">
        <v>24</v>
      </c>
      <c r="AG18">
        <v>0.5152000000000001</v>
      </c>
      <c r="AH18">
        <v>2</v>
      </c>
      <c r="AI18">
        <v>86327245</v>
      </c>
      <c r="AJ18">
        <v>18</v>
      </c>
      <c r="AK18">
        <v>0</v>
      </c>
      <c r="AL18">
        <v>0</v>
      </c>
      <c r="AM18">
        <v>0</v>
      </c>
      <c r="AN18">
        <v>0</v>
      </c>
      <c r="AO18">
        <v>0</v>
      </c>
      <c r="AP18">
        <v>0</v>
      </c>
      <c r="AQ18">
        <v>0</v>
      </c>
      <c r="AR18">
        <v>0</v>
      </c>
    </row>
    <row r="19" spans="1:44" x14ac:dyDescent="0.2">
      <c r="A19">
        <f>ROW(Source!A34)</f>
        <v>34</v>
      </c>
      <c r="B19">
        <v>86327252</v>
      </c>
      <c r="C19">
        <v>86327243</v>
      </c>
      <c r="D19">
        <v>35950917</v>
      </c>
      <c r="E19">
        <v>1</v>
      </c>
      <c r="F19">
        <v>1</v>
      </c>
      <c r="G19">
        <v>1</v>
      </c>
      <c r="H19">
        <v>2</v>
      </c>
      <c r="I19" t="s">
        <v>628</v>
      </c>
      <c r="J19" t="s">
        <v>642</v>
      </c>
      <c r="K19" t="s">
        <v>643</v>
      </c>
      <c r="L19">
        <v>1368</v>
      </c>
      <c r="N19">
        <v>1011</v>
      </c>
      <c r="O19" t="s">
        <v>137</v>
      </c>
      <c r="P19" t="s">
        <v>137</v>
      </c>
      <c r="Q19">
        <v>1</v>
      </c>
      <c r="X19">
        <v>0.36</v>
      </c>
      <c r="Y19">
        <v>0</v>
      </c>
      <c r="Z19">
        <v>115.64</v>
      </c>
      <c r="AA19">
        <v>11.18</v>
      </c>
      <c r="AB19">
        <v>0</v>
      </c>
      <c r="AC19">
        <v>0</v>
      </c>
      <c r="AD19">
        <v>1</v>
      </c>
      <c r="AE19">
        <v>0</v>
      </c>
      <c r="AF19" t="s">
        <v>24</v>
      </c>
      <c r="AG19">
        <v>0.4032</v>
      </c>
      <c r="AH19">
        <v>2</v>
      </c>
      <c r="AI19">
        <v>86327246</v>
      </c>
      <c r="AJ19">
        <v>19</v>
      </c>
      <c r="AK19">
        <v>0</v>
      </c>
      <c r="AL19">
        <v>0</v>
      </c>
      <c r="AM19">
        <v>0</v>
      </c>
      <c r="AN19">
        <v>0</v>
      </c>
      <c r="AO19">
        <v>0</v>
      </c>
      <c r="AP19">
        <v>0</v>
      </c>
      <c r="AQ19">
        <v>0</v>
      </c>
      <c r="AR19">
        <v>0</v>
      </c>
    </row>
    <row r="20" spans="1:44" x14ac:dyDescent="0.2">
      <c r="A20">
        <f>ROW(Source!A34)</f>
        <v>34</v>
      </c>
      <c r="B20">
        <v>86327253</v>
      </c>
      <c r="C20">
        <v>86327243</v>
      </c>
      <c r="D20">
        <v>35950918</v>
      </c>
      <c r="E20">
        <v>1</v>
      </c>
      <c r="F20">
        <v>1</v>
      </c>
      <c r="G20">
        <v>1</v>
      </c>
      <c r="H20">
        <v>2</v>
      </c>
      <c r="I20" t="s">
        <v>631</v>
      </c>
      <c r="J20" t="s">
        <v>644</v>
      </c>
      <c r="K20" t="s">
        <v>645</v>
      </c>
      <c r="L20">
        <v>1368</v>
      </c>
      <c r="N20">
        <v>1011</v>
      </c>
      <c r="O20" t="s">
        <v>137</v>
      </c>
      <c r="P20" t="s">
        <v>137</v>
      </c>
      <c r="Q20">
        <v>1</v>
      </c>
      <c r="X20">
        <v>0.1</v>
      </c>
      <c r="Y20">
        <v>0</v>
      </c>
      <c r="Z20">
        <v>112.67</v>
      </c>
      <c r="AA20">
        <v>13.02</v>
      </c>
      <c r="AB20">
        <v>0</v>
      </c>
      <c r="AC20">
        <v>0</v>
      </c>
      <c r="AD20">
        <v>1</v>
      </c>
      <c r="AE20">
        <v>0</v>
      </c>
      <c r="AF20" t="s">
        <v>24</v>
      </c>
      <c r="AG20">
        <v>0.11200000000000002</v>
      </c>
      <c r="AH20">
        <v>2</v>
      </c>
      <c r="AI20">
        <v>86327247</v>
      </c>
      <c r="AJ20">
        <v>20</v>
      </c>
      <c r="AK20">
        <v>0</v>
      </c>
      <c r="AL20">
        <v>0</v>
      </c>
      <c r="AM20">
        <v>0</v>
      </c>
      <c r="AN20">
        <v>0</v>
      </c>
      <c r="AO20">
        <v>0</v>
      </c>
      <c r="AP20">
        <v>0</v>
      </c>
      <c r="AQ20">
        <v>0</v>
      </c>
      <c r="AR20">
        <v>0</v>
      </c>
    </row>
    <row r="21" spans="1:44" x14ac:dyDescent="0.2">
      <c r="A21">
        <f>ROW(Source!A34)</f>
        <v>34</v>
      </c>
      <c r="B21">
        <v>86327254</v>
      </c>
      <c r="C21">
        <v>86327243</v>
      </c>
      <c r="D21">
        <v>35950919</v>
      </c>
      <c r="E21">
        <v>1</v>
      </c>
      <c r="F21">
        <v>1</v>
      </c>
      <c r="G21">
        <v>1</v>
      </c>
      <c r="H21">
        <v>2</v>
      </c>
      <c r="I21" t="s">
        <v>637</v>
      </c>
      <c r="J21" t="s">
        <v>646</v>
      </c>
      <c r="K21" t="s">
        <v>639</v>
      </c>
      <c r="L21">
        <v>1368</v>
      </c>
      <c r="N21">
        <v>1011</v>
      </c>
      <c r="O21" t="s">
        <v>137</v>
      </c>
      <c r="P21" t="s">
        <v>137</v>
      </c>
      <c r="Q21">
        <v>1</v>
      </c>
      <c r="X21">
        <v>0.14000000000000001</v>
      </c>
      <c r="Y21">
        <v>0</v>
      </c>
      <c r="Z21">
        <v>93.37</v>
      </c>
      <c r="AA21">
        <v>11.69</v>
      </c>
      <c r="AB21">
        <v>0</v>
      </c>
      <c r="AC21">
        <v>0</v>
      </c>
      <c r="AD21">
        <v>1</v>
      </c>
      <c r="AE21">
        <v>0</v>
      </c>
      <c r="AF21" t="s">
        <v>24</v>
      </c>
      <c r="AG21">
        <v>0.15680000000000002</v>
      </c>
      <c r="AH21">
        <v>2</v>
      </c>
      <c r="AI21">
        <v>86327248</v>
      </c>
      <c r="AJ21">
        <v>21</v>
      </c>
      <c r="AK21">
        <v>0</v>
      </c>
      <c r="AL21">
        <v>0</v>
      </c>
      <c r="AM21">
        <v>0</v>
      </c>
      <c r="AN21">
        <v>0</v>
      </c>
      <c r="AO21">
        <v>0</v>
      </c>
      <c r="AP21">
        <v>0</v>
      </c>
      <c r="AQ21">
        <v>0</v>
      </c>
      <c r="AR21">
        <v>0</v>
      </c>
    </row>
    <row r="22" spans="1:44" x14ac:dyDescent="0.2">
      <c r="A22">
        <f>ROW(Source!A34)</f>
        <v>34</v>
      </c>
      <c r="B22">
        <v>86327255</v>
      </c>
      <c r="C22">
        <v>86327243</v>
      </c>
      <c r="D22">
        <v>10841104</v>
      </c>
      <c r="E22">
        <v>1</v>
      </c>
      <c r="F22">
        <v>1</v>
      </c>
      <c r="G22">
        <v>1</v>
      </c>
      <c r="H22">
        <v>3</v>
      </c>
      <c r="I22" t="s">
        <v>316</v>
      </c>
      <c r="J22" t="s">
        <v>705</v>
      </c>
      <c r="K22" t="s">
        <v>706</v>
      </c>
      <c r="L22">
        <v>1348</v>
      </c>
      <c r="N22">
        <v>1009</v>
      </c>
      <c r="O22" t="s">
        <v>33</v>
      </c>
      <c r="P22" t="s">
        <v>33</v>
      </c>
      <c r="Q22">
        <v>1000</v>
      </c>
      <c r="X22">
        <v>6.0000000000000001E-3</v>
      </c>
      <c r="Y22">
        <v>10559.12</v>
      </c>
      <c r="Z22">
        <v>0</v>
      </c>
      <c r="AA22">
        <v>0</v>
      </c>
      <c r="AB22">
        <v>0</v>
      </c>
      <c r="AC22">
        <v>0</v>
      </c>
      <c r="AD22">
        <v>1</v>
      </c>
      <c r="AE22">
        <v>0</v>
      </c>
      <c r="AF22" t="s">
        <v>6</v>
      </c>
      <c r="AG22">
        <v>6.0000000000000001E-3</v>
      </c>
      <c r="AH22">
        <v>3</v>
      </c>
      <c r="AI22">
        <v>-1</v>
      </c>
      <c r="AJ22" t="s">
        <v>6</v>
      </c>
      <c r="AK22">
        <v>4</v>
      </c>
      <c r="AL22">
        <v>-63.354720000000007</v>
      </c>
      <c r="AM22">
        <v>0</v>
      </c>
      <c r="AN22">
        <v>0</v>
      </c>
      <c r="AO22">
        <v>0</v>
      </c>
      <c r="AP22">
        <v>0</v>
      </c>
      <c r="AQ22">
        <v>0</v>
      </c>
      <c r="AR22">
        <v>1</v>
      </c>
    </row>
    <row r="23" spans="1:44" x14ac:dyDescent="0.2">
      <c r="A23">
        <f>ROW(Source!A34)</f>
        <v>34</v>
      </c>
      <c r="B23">
        <v>86327256</v>
      </c>
      <c r="C23">
        <v>86327243</v>
      </c>
      <c r="D23">
        <v>35950861</v>
      </c>
      <c r="E23">
        <v>1</v>
      </c>
      <c r="F23">
        <v>1</v>
      </c>
      <c r="G23">
        <v>1</v>
      </c>
      <c r="H23">
        <v>3</v>
      </c>
      <c r="I23" t="s">
        <v>707</v>
      </c>
      <c r="J23" t="s">
        <v>708</v>
      </c>
      <c r="K23" t="s">
        <v>709</v>
      </c>
      <c r="L23">
        <v>1348</v>
      </c>
      <c r="N23">
        <v>1009</v>
      </c>
      <c r="O23" t="s">
        <v>33</v>
      </c>
      <c r="P23" t="s">
        <v>33</v>
      </c>
      <c r="Q23">
        <v>1000</v>
      </c>
      <c r="X23">
        <v>1</v>
      </c>
      <c r="Y23">
        <v>4700.26</v>
      </c>
      <c r="Z23">
        <v>0</v>
      </c>
      <c r="AA23">
        <v>0</v>
      </c>
      <c r="AB23">
        <v>0</v>
      </c>
      <c r="AC23">
        <v>0</v>
      </c>
      <c r="AD23">
        <v>1</v>
      </c>
      <c r="AE23">
        <v>0</v>
      </c>
      <c r="AF23" t="s">
        <v>6</v>
      </c>
      <c r="AG23">
        <v>1</v>
      </c>
      <c r="AH23">
        <v>3</v>
      </c>
      <c r="AI23">
        <v>-1</v>
      </c>
      <c r="AJ23" t="s">
        <v>6</v>
      </c>
      <c r="AK23">
        <v>4</v>
      </c>
      <c r="AL23">
        <v>-4700.26</v>
      </c>
      <c r="AM23">
        <v>0</v>
      </c>
      <c r="AN23">
        <v>0</v>
      </c>
      <c r="AO23">
        <v>0</v>
      </c>
      <c r="AP23">
        <v>0</v>
      </c>
      <c r="AQ23">
        <v>0</v>
      </c>
      <c r="AR23">
        <v>1</v>
      </c>
    </row>
    <row r="24" spans="1:44" x14ac:dyDescent="0.2">
      <c r="A24">
        <f>ROW(Source!A35)</f>
        <v>35</v>
      </c>
      <c r="B24">
        <v>86327250</v>
      </c>
      <c r="C24">
        <v>86327243</v>
      </c>
      <c r="D24">
        <v>5511010</v>
      </c>
      <c r="E24">
        <v>1</v>
      </c>
      <c r="F24">
        <v>1</v>
      </c>
      <c r="G24">
        <v>1</v>
      </c>
      <c r="H24">
        <v>1</v>
      </c>
      <c r="I24" t="s">
        <v>640</v>
      </c>
      <c r="J24" t="s">
        <v>6</v>
      </c>
      <c r="K24" t="s">
        <v>641</v>
      </c>
      <c r="L24">
        <v>1369</v>
      </c>
      <c r="N24">
        <v>1013</v>
      </c>
      <c r="O24" t="s">
        <v>625</v>
      </c>
      <c r="P24" t="s">
        <v>625</v>
      </c>
      <c r="Q24">
        <v>1</v>
      </c>
      <c r="X24">
        <v>59.867400000000004</v>
      </c>
      <c r="Y24">
        <v>0</v>
      </c>
      <c r="Z24">
        <v>0</v>
      </c>
      <c r="AA24">
        <v>0</v>
      </c>
      <c r="AB24">
        <v>11.92</v>
      </c>
      <c r="AC24">
        <v>0</v>
      </c>
      <c r="AD24">
        <v>1</v>
      </c>
      <c r="AE24">
        <v>1</v>
      </c>
      <c r="AF24" t="s">
        <v>25</v>
      </c>
      <c r="AG24">
        <v>62.860770000000009</v>
      </c>
      <c r="AH24">
        <v>2</v>
      </c>
      <c r="AI24">
        <v>86327244</v>
      </c>
      <c r="AJ24">
        <v>23</v>
      </c>
      <c r="AK24">
        <v>0</v>
      </c>
      <c r="AL24">
        <v>0</v>
      </c>
      <c r="AM24">
        <v>0</v>
      </c>
      <c r="AN24">
        <v>0</v>
      </c>
      <c r="AO24">
        <v>0</v>
      </c>
      <c r="AP24">
        <v>0</v>
      </c>
      <c r="AQ24">
        <v>0</v>
      </c>
      <c r="AR24">
        <v>0</v>
      </c>
    </row>
    <row r="25" spans="1:44" x14ac:dyDescent="0.2">
      <c r="A25">
        <f>ROW(Source!A35)</f>
        <v>35</v>
      </c>
      <c r="B25">
        <v>86327251</v>
      </c>
      <c r="C25">
        <v>86327243</v>
      </c>
      <c r="D25">
        <v>121548</v>
      </c>
      <c r="E25">
        <v>1</v>
      </c>
      <c r="F25">
        <v>1</v>
      </c>
      <c r="G25">
        <v>1</v>
      </c>
      <c r="H25">
        <v>1</v>
      </c>
      <c r="I25" t="s">
        <v>40</v>
      </c>
      <c r="J25" t="s">
        <v>6</v>
      </c>
      <c r="K25" t="s">
        <v>626</v>
      </c>
      <c r="L25">
        <v>608254</v>
      </c>
      <c r="N25">
        <v>1013</v>
      </c>
      <c r="O25" t="s">
        <v>627</v>
      </c>
      <c r="P25" t="s">
        <v>627</v>
      </c>
      <c r="Q25">
        <v>1</v>
      </c>
      <c r="X25">
        <v>0.46</v>
      </c>
      <c r="Y25">
        <v>0</v>
      </c>
      <c r="Z25">
        <v>0</v>
      </c>
      <c r="AA25">
        <v>0</v>
      </c>
      <c r="AB25">
        <v>0</v>
      </c>
      <c r="AC25">
        <v>0</v>
      </c>
      <c r="AD25">
        <v>1</v>
      </c>
      <c r="AE25">
        <v>2</v>
      </c>
      <c r="AF25" t="s">
        <v>24</v>
      </c>
      <c r="AG25">
        <v>0.5152000000000001</v>
      </c>
      <c r="AH25">
        <v>2</v>
      </c>
      <c r="AI25">
        <v>86327245</v>
      </c>
      <c r="AJ25">
        <v>24</v>
      </c>
      <c r="AK25">
        <v>0</v>
      </c>
      <c r="AL25">
        <v>0</v>
      </c>
      <c r="AM25">
        <v>0</v>
      </c>
      <c r="AN25">
        <v>0</v>
      </c>
      <c r="AO25">
        <v>0</v>
      </c>
      <c r="AP25">
        <v>0</v>
      </c>
      <c r="AQ25">
        <v>0</v>
      </c>
      <c r="AR25">
        <v>0</v>
      </c>
    </row>
    <row r="26" spans="1:44" x14ac:dyDescent="0.2">
      <c r="A26">
        <f>ROW(Source!A35)</f>
        <v>35</v>
      </c>
      <c r="B26">
        <v>86327252</v>
      </c>
      <c r="C26">
        <v>86327243</v>
      </c>
      <c r="D26">
        <v>35950917</v>
      </c>
      <c r="E26">
        <v>1</v>
      </c>
      <c r="F26">
        <v>1</v>
      </c>
      <c r="G26">
        <v>1</v>
      </c>
      <c r="H26">
        <v>2</v>
      </c>
      <c r="I26" t="s">
        <v>628</v>
      </c>
      <c r="J26" t="s">
        <v>642</v>
      </c>
      <c r="K26" t="s">
        <v>643</v>
      </c>
      <c r="L26">
        <v>1368</v>
      </c>
      <c r="N26">
        <v>1011</v>
      </c>
      <c r="O26" t="s">
        <v>137</v>
      </c>
      <c r="P26" t="s">
        <v>137</v>
      </c>
      <c r="Q26">
        <v>1</v>
      </c>
      <c r="X26">
        <v>0.36</v>
      </c>
      <c r="Y26">
        <v>0</v>
      </c>
      <c r="Z26">
        <v>115.64</v>
      </c>
      <c r="AA26">
        <v>11.18</v>
      </c>
      <c r="AB26">
        <v>0</v>
      </c>
      <c r="AC26">
        <v>0</v>
      </c>
      <c r="AD26">
        <v>1</v>
      </c>
      <c r="AE26">
        <v>0</v>
      </c>
      <c r="AF26" t="s">
        <v>24</v>
      </c>
      <c r="AG26">
        <v>0.4032</v>
      </c>
      <c r="AH26">
        <v>2</v>
      </c>
      <c r="AI26">
        <v>86327246</v>
      </c>
      <c r="AJ26">
        <v>25</v>
      </c>
      <c r="AK26">
        <v>0</v>
      </c>
      <c r="AL26">
        <v>0</v>
      </c>
      <c r="AM26">
        <v>0</v>
      </c>
      <c r="AN26">
        <v>0</v>
      </c>
      <c r="AO26">
        <v>0</v>
      </c>
      <c r="AP26">
        <v>0</v>
      </c>
      <c r="AQ26">
        <v>0</v>
      </c>
      <c r="AR26">
        <v>0</v>
      </c>
    </row>
    <row r="27" spans="1:44" x14ac:dyDescent="0.2">
      <c r="A27">
        <f>ROW(Source!A35)</f>
        <v>35</v>
      </c>
      <c r="B27">
        <v>86327253</v>
      </c>
      <c r="C27">
        <v>86327243</v>
      </c>
      <c r="D27">
        <v>35950918</v>
      </c>
      <c r="E27">
        <v>1</v>
      </c>
      <c r="F27">
        <v>1</v>
      </c>
      <c r="G27">
        <v>1</v>
      </c>
      <c r="H27">
        <v>2</v>
      </c>
      <c r="I27" t="s">
        <v>631</v>
      </c>
      <c r="J27" t="s">
        <v>644</v>
      </c>
      <c r="K27" t="s">
        <v>645</v>
      </c>
      <c r="L27">
        <v>1368</v>
      </c>
      <c r="N27">
        <v>1011</v>
      </c>
      <c r="O27" t="s">
        <v>137</v>
      </c>
      <c r="P27" t="s">
        <v>137</v>
      </c>
      <c r="Q27">
        <v>1</v>
      </c>
      <c r="X27">
        <v>0.1</v>
      </c>
      <c r="Y27">
        <v>0</v>
      </c>
      <c r="Z27">
        <v>112.67</v>
      </c>
      <c r="AA27">
        <v>13.02</v>
      </c>
      <c r="AB27">
        <v>0</v>
      </c>
      <c r="AC27">
        <v>0</v>
      </c>
      <c r="AD27">
        <v>1</v>
      </c>
      <c r="AE27">
        <v>0</v>
      </c>
      <c r="AF27" t="s">
        <v>24</v>
      </c>
      <c r="AG27">
        <v>0.11200000000000002</v>
      </c>
      <c r="AH27">
        <v>2</v>
      </c>
      <c r="AI27">
        <v>86327247</v>
      </c>
      <c r="AJ27">
        <v>26</v>
      </c>
      <c r="AK27">
        <v>0</v>
      </c>
      <c r="AL27">
        <v>0</v>
      </c>
      <c r="AM27">
        <v>0</v>
      </c>
      <c r="AN27">
        <v>0</v>
      </c>
      <c r="AO27">
        <v>0</v>
      </c>
      <c r="AP27">
        <v>0</v>
      </c>
      <c r="AQ27">
        <v>0</v>
      </c>
      <c r="AR27">
        <v>0</v>
      </c>
    </row>
    <row r="28" spans="1:44" x14ac:dyDescent="0.2">
      <c r="A28">
        <f>ROW(Source!A35)</f>
        <v>35</v>
      </c>
      <c r="B28">
        <v>86327254</v>
      </c>
      <c r="C28">
        <v>86327243</v>
      </c>
      <c r="D28">
        <v>35950919</v>
      </c>
      <c r="E28">
        <v>1</v>
      </c>
      <c r="F28">
        <v>1</v>
      </c>
      <c r="G28">
        <v>1</v>
      </c>
      <c r="H28">
        <v>2</v>
      </c>
      <c r="I28" t="s">
        <v>637</v>
      </c>
      <c r="J28" t="s">
        <v>646</v>
      </c>
      <c r="K28" t="s">
        <v>639</v>
      </c>
      <c r="L28">
        <v>1368</v>
      </c>
      <c r="N28">
        <v>1011</v>
      </c>
      <c r="O28" t="s">
        <v>137</v>
      </c>
      <c r="P28" t="s">
        <v>137</v>
      </c>
      <c r="Q28">
        <v>1</v>
      </c>
      <c r="X28">
        <v>0.14000000000000001</v>
      </c>
      <c r="Y28">
        <v>0</v>
      </c>
      <c r="Z28">
        <v>93.37</v>
      </c>
      <c r="AA28">
        <v>11.69</v>
      </c>
      <c r="AB28">
        <v>0</v>
      </c>
      <c r="AC28">
        <v>0</v>
      </c>
      <c r="AD28">
        <v>1</v>
      </c>
      <c r="AE28">
        <v>0</v>
      </c>
      <c r="AF28" t="s">
        <v>24</v>
      </c>
      <c r="AG28">
        <v>0.15680000000000002</v>
      </c>
      <c r="AH28">
        <v>2</v>
      </c>
      <c r="AI28">
        <v>86327248</v>
      </c>
      <c r="AJ28">
        <v>27</v>
      </c>
      <c r="AK28">
        <v>0</v>
      </c>
      <c r="AL28">
        <v>0</v>
      </c>
      <c r="AM28">
        <v>0</v>
      </c>
      <c r="AN28">
        <v>0</v>
      </c>
      <c r="AO28">
        <v>0</v>
      </c>
      <c r="AP28">
        <v>0</v>
      </c>
      <c r="AQ28">
        <v>0</v>
      </c>
      <c r="AR28">
        <v>0</v>
      </c>
    </row>
    <row r="29" spans="1:44" x14ac:dyDescent="0.2">
      <c r="A29">
        <f>ROW(Source!A35)</f>
        <v>35</v>
      </c>
      <c r="B29">
        <v>86327255</v>
      </c>
      <c r="C29">
        <v>86327243</v>
      </c>
      <c r="D29">
        <v>10841104</v>
      </c>
      <c r="E29">
        <v>1</v>
      </c>
      <c r="F29">
        <v>1</v>
      </c>
      <c r="G29">
        <v>1</v>
      </c>
      <c r="H29">
        <v>3</v>
      </c>
      <c r="I29" t="s">
        <v>316</v>
      </c>
      <c r="J29" t="s">
        <v>705</v>
      </c>
      <c r="K29" t="s">
        <v>706</v>
      </c>
      <c r="L29">
        <v>1348</v>
      </c>
      <c r="N29">
        <v>1009</v>
      </c>
      <c r="O29" t="s">
        <v>33</v>
      </c>
      <c r="P29" t="s">
        <v>33</v>
      </c>
      <c r="Q29">
        <v>1000</v>
      </c>
      <c r="X29">
        <v>6.0000000000000001E-3</v>
      </c>
      <c r="Y29">
        <v>10559.12</v>
      </c>
      <c r="Z29">
        <v>0</v>
      </c>
      <c r="AA29">
        <v>0</v>
      </c>
      <c r="AB29">
        <v>0</v>
      </c>
      <c r="AC29">
        <v>0</v>
      </c>
      <c r="AD29">
        <v>1</v>
      </c>
      <c r="AE29">
        <v>0</v>
      </c>
      <c r="AF29" t="s">
        <v>6</v>
      </c>
      <c r="AG29">
        <v>6.0000000000000001E-3</v>
      </c>
      <c r="AH29">
        <v>3</v>
      </c>
      <c r="AI29">
        <v>-1</v>
      </c>
      <c r="AJ29" t="s">
        <v>6</v>
      </c>
      <c r="AK29">
        <v>4</v>
      </c>
      <c r="AL29">
        <v>-63.354720000000007</v>
      </c>
      <c r="AM29">
        <v>0</v>
      </c>
      <c r="AN29">
        <v>0</v>
      </c>
      <c r="AO29">
        <v>0</v>
      </c>
      <c r="AP29">
        <v>0</v>
      </c>
      <c r="AQ29">
        <v>0</v>
      </c>
      <c r="AR29">
        <v>1</v>
      </c>
    </row>
    <row r="30" spans="1:44" x14ac:dyDescent="0.2">
      <c r="A30">
        <f>ROW(Source!A35)</f>
        <v>35</v>
      </c>
      <c r="B30">
        <v>86327256</v>
      </c>
      <c r="C30">
        <v>86327243</v>
      </c>
      <c r="D30">
        <v>35950861</v>
      </c>
      <c r="E30">
        <v>1</v>
      </c>
      <c r="F30">
        <v>1</v>
      </c>
      <c r="G30">
        <v>1</v>
      </c>
      <c r="H30">
        <v>3</v>
      </c>
      <c r="I30" t="s">
        <v>707</v>
      </c>
      <c r="J30" t="s">
        <v>708</v>
      </c>
      <c r="K30" t="s">
        <v>709</v>
      </c>
      <c r="L30">
        <v>1348</v>
      </c>
      <c r="N30">
        <v>1009</v>
      </c>
      <c r="O30" t="s">
        <v>33</v>
      </c>
      <c r="P30" t="s">
        <v>33</v>
      </c>
      <c r="Q30">
        <v>1000</v>
      </c>
      <c r="X30">
        <v>1</v>
      </c>
      <c r="Y30">
        <v>4700.26</v>
      </c>
      <c r="Z30">
        <v>0</v>
      </c>
      <c r="AA30">
        <v>0</v>
      </c>
      <c r="AB30">
        <v>0</v>
      </c>
      <c r="AC30">
        <v>0</v>
      </c>
      <c r="AD30">
        <v>1</v>
      </c>
      <c r="AE30">
        <v>0</v>
      </c>
      <c r="AF30" t="s">
        <v>6</v>
      </c>
      <c r="AG30">
        <v>1</v>
      </c>
      <c r="AH30">
        <v>3</v>
      </c>
      <c r="AI30">
        <v>-1</v>
      </c>
      <c r="AJ30" t="s">
        <v>6</v>
      </c>
      <c r="AK30">
        <v>4</v>
      </c>
      <c r="AL30">
        <v>-4700.26</v>
      </c>
      <c r="AM30">
        <v>0</v>
      </c>
      <c r="AN30">
        <v>0</v>
      </c>
      <c r="AO30">
        <v>0</v>
      </c>
      <c r="AP30">
        <v>0</v>
      </c>
      <c r="AQ30">
        <v>0</v>
      </c>
      <c r="AR30">
        <v>1</v>
      </c>
    </row>
    <row r="31" spans="1:44" x14ac:dyDescent="0.2">
      <c r="A31">
        <f>ROW(Source!A38)</f>
        <v>38</v>
      </c>
      <c r="B31">
        <v>86327265</v>
      </c>
      <c r="C31">
        <v>86327258</v>
      </c>
      <c r="D31">
        <v>5511010</v>
      </c>
      <c r="E31">
        <v>1</v>
      </c>
      <c r="F31">
        <v>1</v>
      </c>
      <c r="G31">
        <v>1</v>
      </c>
      <c r="H31">
        <v>1</v>
      </c>
      <c r="I31" t="s">
        <v>640</v>
      </c>
      <c r="J31" t="s">
        <v>6</v>
      </c>
      <c r="K31" t="s">
        <v>641</v>
      </c>
      <c r="L31">
        <v>1369</v>
      </c>
      <c r="N31">
        <v>1013</v>
      </c>
      <c r="O31" t="s">
        <v>625</v>
      </c>
      <c r="P31" t="s">
        <v>625</v>
      </c>
      <c r="Q31">
        <v>1</v>
      </c>
      <c r="X31">
        <v>59.867400000000004</v>
      </c>
      <c r="Y31">
        <v>0</v>
      </c>
      <c r="Z31">
        <v>0</v>
      </c>
      <c r="AA31">
        <v>0</v>
      </c>
      <c r="AB31">
        <v>11.92</v>
      </c>
      <c r="AC31">
        <v>0</v>
      </c>
      <c r="AD31">
        <v>1</v>
      </c>
      <c r="AE31">
        <v>1</v>
      </c>
      <c r="AF31" t="s">
        <v>25</v>
      </c>
      <c r="AG31">
        <v>62.860770000000009</v>
      </c>
      <c r="AH31">
        <v>2</v>
      </c>
      <c r="AI31">
        <v>86327259</v>
      </c>
      <c r="AJ31">
        <v>29</v>
      </c>
      <c r="AK31">
        <v>0</v>
      </c>
      <c r="AL31">
        <v>0</v>
      </c>
      <c r="AM31">
        <v>0</v>
      </c>
      <c r="AN31">
        <v>0</v>
      </c>
      <c r="AO31">
        <v>0</v>
      </c>
      <c r="AP31">
        <v>0</v>
      </c>
      <c r="AQ31">
        <v>0</v>
      </c>
      <c r="AR31">
        <v>0</v>
      </c>
    </row>
    <row r="32" spans="1:44" x14ac:dyDescent="0.2">
      <c r="A32">
        <f>ROW(Source!A38)</f>
        <v>38</v>
      </c>
      <c r="B32">
        <v>86327266</v>
      </c>
      <c r="C32">
        <v>86327258</v>
      </c>
      <c r="D32">
        <v>121548</v>
      </c>
      <c r="E32">
        <v>1</v>
      </c>
      <c r="F32">
        <v>1</v>
      </c>
      <c r="G32">
        <v>1</v>
      </c>
      <c r="H32">
        <v>1</v>
      </c>
      <c r="I32" t="s">
        <v>40</v>
      </c>
      <c r="J32" t="s">
        <v>6</v>
      </c>
      <c r="K32" t="s">
        <v>626</v>
      </c>
      <c r="L32">
        <v>608254</v>
      </c>
      <c r="N32">
        <v>1013</v>
      </c>
      <c r="O32" t="s">
        <v>627</v>
      </c>
      <c r="P32" t="s">
        <v>627</v>
      </c>
      <c r="Q32">
        <v>1</v>
      </c>
      <c r="X32">
        <v>0.45</v>
      </c>
      <c r="Y32">
        <v>0</v>
      </c>
      <c r="Z32">
        <v>0</v>
      </c>
      <c r="AA32">
        <v>0</v>
      </c>
      <c r="AB32">
        <v>0</v>
      </c>
      <c r="AC32">
        <v>0</v>
      </c>
      <c r="AD32">
        <v>1</v>
      </c>
      <c r="AE32">
        <v>2</v>
      </c>
      <c r="AF32" t="s">
        <v>24</v>
      </c>
      <c r="AG32">
        <v>0.50400000000000011</v>
      </c>
      <c r="AH32">
        <v>2</v>
      </c>
      <c r="AI32">
        <v>86327260</v>
      </c>
      <c r="AJ32">
        <v>30</v>
      </c>
      <c r="AK32">
        <v>0</v>
      </c>
      <c r="AL32">
        <v>0</v>
      </c>
      <c r="AM32">
        <v>0</v>
      </c>
      <c r="AN32">
        <v>0</v>
      </c>
      <c r="AO32">
        <v>0</v>
      </c>
      <c r="AP32">
        <v>0</v>
      </c>
      <c r="AQ32">
        <v>0</v>
      </c>
      <c r="AR32">
        <v>0</v>
      </c>
    </row>
    <row r="33" spans="1:44" x14ac:dyDescent="0.2">
      <c r="A33">
        <f>ROW(Source!A38)</f>
        <v>38</v>
      </c>
      <c r="B33">
        <v>86327267</v>
      </c>
      <c r="C33">
        <v>86327258</v>
      </c>
      <c r="D33">
        <v>35950917</v>
      </c>
      <c r="E33">
        <v>1</v>
      </c>
      <c r="F33">
        <v>1</v>
      </c>
      <c r="G33">
        <v>1</v>
      </c>
      <c r="H33">
        <v>2</v>
      </c>
      <c r="I33" t="s">
        <v>628</v>
      </c>
      <c r="J33" t="s">
        <v>642</v>
      </c>
      <c r="K33" t="s">
        <v>643</v>
      </c>
      <c r="L33">
        <v>1368</v>
      </c>
      <c r="N33">
        <v>1011</v>
      </c>
      <c r="O33" t="s">
        <v>137</v>
      </c>
      <c r="P33" t="s">
        <v>137</v>
      </c>
      <c r="Q33">
        <v>1</v>
      </c>
      <c r="X33">
        <v>0.36</v>
      </c>
      <c r="Y33">
        <v>0</v>
      </c>
      <c r="Z33">
        <v>115.64</v>
      </c>
      <c r="AA33">
        <v>11.18</v>
      </c>
      <c r="AB33">
        <v>0</v>
      </c>
      <c r="AC33">
        <v>0</v>
      </c>
      <c r="AD33">
        <v>1</v>
      </c>
      <c r="AE33">
        <v>0</v>
      </c>
      <c r="AF33" t="s">
        <v>24</v>
      </c>
      <c r="AG33">
        <v>0.4032</v>
      </c>
      <c r="AH33">
        <v>2</v>
      </c>
      <c r="AI33">
        <v>86327261</v>
      </c>
      <c r="AJ33">
        <v>31</v>
      </c>
      <c r="AK33">
        <v>0</v>
      </c>
      <c r="AL33">
        <v>0</v>
      </c>
      <c r="AM33">
        <v>0</v>
      </c>
      <c r="AN33">
        <v>0</v>
      </c>
      <c r="AO33">
        <v>0</v>
      </c>
      <c r="AP33">
        <v>0</v>
      </c>
      <c r="AQ33">
        <v>0</v>
      </c>
      <c r="AR33">
        <v>0</v>
      </c>
    </row>
    <row r="34" spans="1:44" x14ac:dyDescent="0.2">
      <c r="A34">
        <f>ROW(Source!A38)</f>
        <v>38</v>
      </c>
      <c r="B34">
        <v>86327268</v>
      </c>
      <c r="C34">
        <v>86327258</v>
      </c>
      <c r="D34">
        <v>35950918</v>
      </c>
      <c r="E34">
        <v>1</v>
      </c>
      <c r="F34">
        <v>1</v>
      </c>
      <c r="G34">
        <v>1</v>
      </c>
      <c r="H34">
        <v>2</v>
      </c>
      <c r="I34" t="s">
        <v>631</v>
      </c>
      <c r="J34" t="s">
        <v>644</v>
      </c>
      <c r="K34" t="s">
        <v>645</v>
      </c>
      <c r="L34">
        <v>1368</v>
      </c>
      <c r="N34">
        <v>1011</v>
      </c>
      <c r="O34" t="s">
        <v>137</v>
      </c>
      <c r="P34" t="s">
        <v>137</v>
      </c>
      <c r="Q34">
        <v>1</v>
      </c>
      <c r="X34">
        <v>0.09</v>
      </c>
      <c r="Y34">
        <v>0</v>
      </c>
      <c r="Z34">
        <v>112.67</v>
      </c>
      <c r="AA34">
        <v>13.02</v>
      </c>
      <c r="AB34">
        <v>0</v>
      </c>
      <c r="AC34">
        <v>0</v>
      </c>
      <c r="AD34">
        <v>1</v>
      </c>
      <c r="AE34">
        <v>0</v>
      </c>
      <c r="AF34" t="s">
        <v>24</v>
      </c>
      <c r="AG34">
        <v>0.1008</v>
      </c>
      <c r="AH34">
        <v>2</v>
      </c>
      <c r="AI34">
        <v>86327262</v>
      </c>
      <c r="AJ34">
        <v>32</v>
      </c>
      <c r="AK34">
        <v>0</v>
      </c>
      <c r="AL34">
        <v>0</v>
      </c>
      <c r="AM34">
        <v>0</v>
      </c>
      <c r="AN34">
        <v>0</v>
      </c>
      <c r="AO34">
        <v>0</v>
      </c>
      <c r="AP34">
        <v>0</v>
      </c>
      <c r="AQ34">
        <v>0</v>
      </c>
      <c r="AR34">
        <v>0</v>
      </c>
    </row>
    <row r="35" spans="1:44" x14ac:dyDescent="0.2">
      <c r="A35">
        <f>ROW(Source!A38)</f>
        <v>38</v>
      </c>
      <c r="B35">
        <v>86327269</v>
      </c>
      <c r="C35">
        <v>86327258</v>
      </c>
      <c r="D35">
        <v>35950919</v>
      </c>
      <c r="E35">
        <v>1</v>
      </c>
      <c r="F35">
        <v>1</v>
      </c>
      <c r="G35">
        <v>1</v>
      </c>
      <c r="H35">
        <v>2</v>
      </c>
      <c r="I35" t="s">
        <v>637</v>
      </c>
      <c r="J35" t="s">
        <v>646</v>
      </c>
      <c r="K35" t="s">
        <v>639</v>
      </c>
      <c r="L35">
        <v>1368</v>
      </c>
      <c r="N35">
        <v>1011</v>
      </c>
      <c r="O35" t="s">
        <v>137</v>
      </c>
      <c r="P35" t="s">
        <v>137</v>
      </c>
      <c r="Q35">
        <v>1</v>
      </c>
      <c r="X35">
        <v>0.13</v>
      </c>
      <c r="Y35">
        <v>0</v>
      </c>
      <c r="Z35">
        <v>93.37</v>
      </c>
      <c r="AA35">
        <v>11.69</v>
      </c>
      <c r="AB35">
        <v>0</v>
      </c>
      <c r="AC35">
        <v>0</v>
      </c>
      <c r="AD35">
        <v>1</v>
      </c>
      <c r="AE35">
        <v>0</v>
      </c>
      <c r="AF35" t="s">
        <v>24</v>
      </c>
      <c r="AG35">
        <v>0.14560000000000001</v>
      </c>
      <c r="AH35">
        <v>2</v>
      </c>
      <c r="AI35">
        <v>86327263</v>
      </c>
      <c r="AJ35">
        <v>33</v>
      </c>
      <c r="AK35">
        <v>0</v>
      </c>
      <c r="AL35">
        <v>0</v>
      </c>
      <c r="AM35">
        <v>0</v>
      </c>
      <c r="AN35">
        <v>0</v>
      </c>
      <c r="AO35">
        <v>0</v>
      </c>
      <c r="AP35">
        <v>0</v>
      </c>
      <c r="AQ35">
        <v>0</v>
      </c>
      <c r="AR35">
        <v>0</v>
      </c>
    </row>
    <row r="36" spans="1:44" x14ac:dyDescent="0.2">
      <c r="A36">
        <f>ROW(Source!A38)</f>
        <v>38</v>
      </c>
      <c r="B36">
        <v>86327270</v>
      </c>
      <c r="C36">
        <v>86327258</v>
      </c>
      <c r="D36">
        <v>10841104</v>
      </c>
      <c r="E36">
        <v>1</v>
      </c>
      <c r="F36">
        <v>1</v>
      </c>
      <c r="G36">
        <v>1</v>
      </c>
      <c r="H36">
        <v>3</v>
      </c>
      <c r="I36" t="s">
        <v>316</v>
      </c>
      <c r="J36" t="s">
        <v>705</v>
      </c>
      <c r="K36" t="s">
        <v>706</v>
      </c>
      <c r="L36">
        <v>1348</v>
      </c>
      <c r="N36">
        <v>1009</v>
      </c>
      <c r="O36" t="s">
        <v>33</v>
      </c>
      <c r="P36" t="s">
        <v>33</v>
      </c>
      <c r="Q36">
        <v>1000</v>
      </c>
      <c r="X36">
        <v>5.0000000000000001E-3</v>
      </c>
      <c r="Y36">
        <v>10559.12</v>
      </c>
      <c r="Z36">
        <v>0</v>
      </c>
      <c r="AA36">
        <v>0</v>
      </c>
      <c r="AB36">
        <v>0</v>
      </c>
      <c r="AC36">
        <v>0</v>
      </c>
      <c r="AD36">
        <v>1</v>
      </c>
      <c r="AE36">
        <v>0</v>
      </c>
      <c r="AF36" t="s">
        <v>6</v>
      </c>
      <c r="AG36">
        <v>5.0000000000000001E-3</v>
      </c>
      <c r="AH36">
        <v>3</v>
      </c>
      <c r="AI36">
        <v>-1</v>
      </c>
      <c r="AJ36" t="s">
        <v>6</v>
      </c>
      <c r="AK36">
        <v>4</v>
      </c>
      <c r="AL36">
        <v>-52.795600000000007</v>
      </c>
      <c r="AM36">
        <v>0</v>
      </c>
      <c r="AN36">
        <v>0</v>
      </c>
      <c r="AO36">
        <v>0</v>
      </c>
      <c r="AP36">
        <v>0</v>
      </c>
      <c r="AQ36">
        <v>0</v>
      </c>
      <c r="AR36">
        <v>1</v>
      </c>
    </row>
    <row r="37" spans="1:44" x14ac:dyDescent="0.2">
      <c r="A37">
        <f>ROW(Source!A38)</f>
        <v>38</v>
      </c>
      <c r="B37">
        <v>86327271</v>
      </c>
      <c r="C37">
        <v>86327258</v>
      </c>
      <c r="D37">
        <v>35950858</v>
      </c>
      <c r="E37">
        <v>1</v>
      </c>
      <c r="F37">
        <v>1</v>
      </c>
      <c r="G37">
        <v>1</v>
      </c>
      <c r="H37">
        <v>3</v>
      </c>
      <c r="I37" t="s">
        <v>710</v>
      </c>
      <c r="J37" t="s">
        <v>711</v>
      </c>
      <c r="K37" t="s">
        <v>712</v>
      </c>
      <c r="L37">
        <v>1348</v>
      </c>
      <c r="N37">
        <v>1009</v>
      </c>
      <c r="O37" t="s">
        <v>33</v>
      </c>
      <c r="P37" t="s">
        <v>33</v>
      </c>
      <c r="Q37">
        <v>1000</v>
      </c>
      <c r="X37">
        <v>1</v>
      </c>
      <c r="Y37">
        <v>4700.26</v>
      </c>
      <c r="Z37">
        <v>0</v>
      </c>
      <c r="AA37">
        <v>0</v>
      </c>
      <c r="AB37">
        <v>0</v>
      </c>
      <c r="AC37">
        <v>0</v>
      </c>
      <c r="AD37">
        <v>1</v>
      </c>
      <c r="AE37">
        <v>0</v>
      </c>
      <c r="AF37" t="s">
        <v>6</v>
      </c>
      <c r="AG37">
        <v>1</v>
      </c>
      <c r="AH37">
        <v>3</v>
      </c>
      <c r="AI37">
        <v>-1</v>
      </c>
      <c r="AJ37" t="s">
        <v>6</v>
      </c>
      <c r="AK37">
        <v>4</v>
      </c>
      <c r="AL37">
        <v>-4700.26</v>
      </c>
      <c r="AM37">
        <v>0</v>
      </c>
      <c r="AN37">
        <v>0</v>
      </c>
      <c r="AO37">
        <v>0</v>
      </c>
      <c r="AP37">
        <v>0</v>
      </c>
      <c r="AQ37">
        <v>0</v>
      </c>
      <c r="AR37">
        <v>1</v>
      </c>
    </row>
    <row r="38" spans="1:44" x14ac:dyDescent="0.2">
      <c r="A38">
        <f>ROW(Source!A39)</f>
        <v>39</v>
      </c>
      <c r="B38">
        <v>86327265</v>
      </c>
      <c r="C38">
        <v>86327258</v>
      </c>
      <c r="D38">
        <v>5511010</v>
      </c>
      <c r="E38">
        <v>1</v>
      </c>
      <c r="F38">
        <v>1</v>
      </c>
      <c r="G38">
        <v>1</v>
      </c>
      <c r="H38">
        <v>1</v>
      </c>
      <c r="I38" t="s">
        <v>640</v>
      </c>
      <c r="J38" t="s">
        <v>6</v>
      </c>
      <c r="K38" t="s">
        <v>641</v>
      </c>
      <c r="L38">
        <v>1369</v>
      </c>
      <c r="N38">
        <v>1013</v>
      </c>
      <c r="O38" t="s">
        <v>625</v>
      </c>
      <c r="P38" t="s">
        <v>625</v>
      </c>
      <c r="Q38">
        <v>1</v>
      </c>
      <c r="X38">
        <v>59.867400000000004</v>
      </c>
      <c r="Y38">
        <v>0</v>
      </c>
      <c r="Z38">
        <v>0</v>
      </c>
      <c r="AA38">
        <v>0</v>
      </c>
      <c r="AB38">
        <v>11.92</v>
      </c>
      <c r="AC38">
        <v>0</v>
      </c>
      <c r="AD38">
        <v>1</v>
      </c>
      <c r="AE38">
        <v>1</v>
      </c>
      <c r="AF38" t="s">
        <v>25</v>
      </c>
      <c r="AG38">
        <v>62.860770000000009</v>
      </c>
      <c r="AH38">
        <v>2</v>
      </c>
      <c r="AI38">
        <v>86327259</v>
      </c>
      <c r="AJ38">
        <v>35</v>
      </c>
      <c r="AK38">
        <v>0</v>
      </c>
      <c r="AL38">
        <v>0</v>
      </c>
      <c r="AM38">
        <v>0</v>
      </c>
      <c r="AN38">
        <v>0</v>
      </c>
      <c r="AO38">
        <v>0</v>
      </c>
      <c r="AP38">
        <v>0</v>
      </c>
      <c r="AQ38">
        <v>0</v>
      </c>
      <c r="AR38">
        <v>0</v>
      </c>
    </row>
    <row r="39" spans="1:44" x14ac:dyDescent="0.2">
      <c r="A39">
        <f>ROW(Source!A39)</f>
        <v>39</v>
      </c>
      <c r="B39">
        <v>86327266</v>
      </c>
      <c r="C39">
        <v>86327258</v>
      </c>
      <c r="D39">
        <v>121548</v>
      </c>
      <c r="E39">
        <v>1</v>
      </c>
      <c r="F39">
        <v>1</v>
      </c>
      <c r="G39">
        <v>1</v>
      </c>
      <c r="H39">
        <v>1</v>
      </c>
      <c r="I39" t="s">
        <v>40</v>
      </c>
      <c r="J39" t="s">
        <v>6</v>
      </c>
      <c r="K39" t="s">
        <v>626</v>
      </c>
      <c r="L39">
        <v>608254</v>
      </c>
      <c r="N39">
        <v>1013</v>
      </c>
      <c r="O39" t="s">
        <v>627</v>
      </c>
      <c r="P39" t="s">
        <v>627</v>
      </c>
      <c r="Q39">
        <v>1</v>
      </c>
      <c r="X39">
        <v>0.45</v>
      </c>
      <c r="Y39">
        <v>0</v>
      </c>
      <c r="Z39">
        <v>0</v>
      </c>
      <c r="AA39">
        <v>0</v>
      </c>
      <c r="AB39">
        <v>0</v>
      </c>
      <c r="AC39">
        <v>0</v>
      </c>
      <c r="AD39">
        <v>1</v>
      </c>
      <c r="AE39">
        <v>2</v>
      </c>
      <c r="AF39" t="s">
        <v>24</v>
      </c>
      <c r="AG39">
        <v>0.50400000000000011</v>
      </c>
      <c r="AH39">
        <v>2</v>
      </c>
      <c r="AI39">
        <v>86327260</v>
      </c>
      <c r="AJ39">
        <v>36</v>
      </c>
      <c r="AK39">
        <v>0</v>
      </c>
      <c r="AL39">
        <v>0</v>
      </c>
      <c r="AM39">
        <v>0</v>
      </c>
      <c r="AN39">
        <v>0</v>
      </c>
      <c r="AO39">
        <v>0</v>
      </c>
      <c r="AP39">
        <v>0</v>
      </c>
      <c r="AQ39">
        <v>0</v>
      </c>
      <c r="AR39">
        <v>0</v>
      </c>
    </row>
    <row r="40" spans="1:44" x14ac:dyDescent="0.2">
      <c r="A40">
        <f>ROW(Source!A39)</f>
        <v>39</v>
      </c>
      <c r="B40">
        <v>86327267</v>
      </c>
      <c r="C40">
        <v>86327258</v>
      </c>
      <c r="D40">
        <v>35950917</v>
      </c>
      <c r="E40">
        <v>1</v>
      </c>
      <c r="F40">
        <v>1</v>
      </c>
      <c r="G40">
        <v>1</v>
      </c>
      <c r="H40">
        <v>2</v>
      </c>
      <c r="I40" t="s">
        <v>628</v>
      </c>
      <c r="J40" t="s">
        <v>642</v>
      </c>
      <c r="K40" t="s">
        <v>643</v>
      </c>
      <c r="L40">
        <v>1368</v>
      </c>
      <c r="N40">
        <v>1011</v>
      </c>
      <c r="O40" t="s">
        <v>137</v>
      </c>
      <c r="P40" t="s">
        <v>137</v>
      </c>
      <c r="Q40">
        <v>1</v>
      </c>
      <c r="X40">
        <v>0.36</v>
      </c>
      <c r="Y40">
        <v>0</v>
      </c>
      <c r="Z40">
        <v>115.64</v>
      </c>
      <c r="AA40">
        <v>11.18</v>
      </c>
      <c r="AB40">
        <v>0</v>
      </c>
      <c r="AC40">
        <v>0</v>
      </c>
      <c r="AD40">
        <v>1</v>
      </c>
      <c r="AE40">
        <v>0</v>
      </c>
      <c r="AF40" t="s">
        <v>24</v>
      </c>
      <c r="AG40">
        <v>0.4032</v>
      </c>
      <c r="AH40">
        <v>2</v>
      </c>
      <c r="AI40">
        <v>86327261</v>
      </c>
      <c r="AJ40">
        <v>37</v>
      </c>
      <c r="AK40">
        <v>0</v>
      </c>
      <c r="AL40">
        <v>0</v>
      </c>
      <c r="AM40">
        <v>0</v>
      </c>
      <c r="AN40">
        <v>0</v>
      </c>
      <c r="AO40">
        <v>0</v>
      </c>
      <c r="AP40">
        <v>0</v>
      </c>
      <c r="AQ40">
        <v>0</v>
      </c>
      <c r="AR40">
        <v>0</v>
      </c>
    </row>
    <row r="41" spans="1:44" x14ac:dyDescent="0.2">
      <c r="A41">
        <f>ROW(Source!A39)</f>
        <v>39</v>
      </c>
      <c r="B41">
        <v>86327268</v>
      </c>
      <c r="C41">
        <v>86327258</v>
      </c>
      <c r="D41">
        <v>35950918</v>
      </c>
      <c r="E41">
        <v>1</v>
      </c>
      <c r="F41">
        <v>1</v>
      </c>
      <c r="G41">
        <v>1</v>
      </c>
      <c r="H41">
        <v>2</v>
      </c>
      <c r="I41" t="s">
        <v>631</v>
      </c>
      <c r="J41" t="s">
        <v>644</v>
      </c>
      <c r="K41" t="s">
        <v>645</v>
      </c>
      <c r="L41">
        <v>1368</v>
      </c>
      <c r="N41">
        <v>1011</v>
      </c>
      <c r="O41" t="s">
        <v>137</v>
      </c>
      <c r="P41" t="s">
        <v>137</v>
      </c>
      <c r="Q41">
        <v>1</v>
      </c>
      <c r="X41">
        <v>0.09</v>
      </c>
      <c r="Y41">
        <v>0</v>
      </c>
      <c r="Z41">
        <v>112.67</v>
      </c>
      <c r="AA41">
        <v>13.02</v>
      </c>
      <c r="AB41">
        <v>0</v>
      </c>
      <c r="AC41">
        <v>0</v>
      </c>
      <c r="AD41">
        <v>1</v>
      </c>
      <c r="AE41">
        <v>0</v>
      </c>
      <c r="AF41" t="s">
        <v>24</v>
      </c>
      <c r="AG41">
        <v>0.1008</v>
      </c>
      <c r="AH41">
        <v>2</v>
      </c>
      <c r="AI41">
        <v>86327262</v>
      </c>
      <c r="AJ41">
        <v>38</v>
      </c>
      <c r="AK41">
        <v>0</v>
      </c>
      <c r="AL41">
        <v>0</v>
      </c>
      <c r="AM41">
        <v>0</v>
      </c>
      <c r="AN41">
        <v>0</v>
      </c>
      <c r="AO41">
        <v>0</v>
      </c>
      <c r="AP41">
        <v>0</v>
      </c>
      <c r="AQ41">
        <v>0</v>
      </c>
      <c r="AR41">
        <v>0</v>
      </c>
    </row>
    <row r="42" spans="1:44" x14ac:dyDescent="0.2">
      <c r="A42">
        <f>ROW(Source!A39)</f>
        <v>39</v>
      </c>
      <c r="B42">
        <v>86327269</v>
      </c>
      <c r="C42">
        <v>86327258</v>
      </c>
      <c r="D42">
        <v>35950919</v>
      </c>
      <c r="E42">
        <v>1</v>
      </c>
      <c r="F42">
        <v>1</v>
      </c>
      <c r="G42">
        <v>1</v>
      </c>
      <c r="H42">
        <v>2</v>
      </c>
      <c r="I42" t="s">
        <v>637</v>
      </c>
      <c r="J42" t="s">
        <v>646</v>
      </c>
      <c r="K42" t="s">
        <v>639</v>
      </c>
      <c r="L42">
        <v>1368</v>
      </c>
      <c r="N42">
        <v>1011</v>
      </c>
      <c r="O42" t="s">
        <v>137</v>
      </c>
      <c r="P42" t="s">
        <v>137</v>
      </c>
      <c r="Q42">
        <v>1</v>
      </c>
      <c r="X42">
        <v>0.13</v>
      </c>
      <c r="Y42">
        <v>0</v>
      </c>
      <c r="Z42">
        <v>93.37</v>
      </c>
      <c r="AA42">
        <v>11.69</v>
      </c>
      <c r="AB42">
        <v>0</v>
      </c>
      <c r="AC42">
        <v>0</v>
      </c>
      <c r="AD42">
        <v>1</v>
      </c>
      <c r="AE42">
        <v>0</v>
      </c>
      <c r="AF42" t="s">
        <v>24</v>
      </c>
      <c r="AG42">
        <v>0.14560000000000001</v>
      </c>
      <c r="AH42">
        <v>2</v>
      </c>
      <c r="AI42">
        <v>86327263</v>
      </c>
      <c r="AJ42">
        <v>39</v>
      </c>
      <c r="AK42">
        <v>0</v>
      </c>
      <c r="AL42">
        <v>0</v>
      </c>
      <c r="AM42">
        <v>0</v>
      </c>
      <c r="AN42">
        <v>0</v>
      </c>
      <c r="AO42">
        <v>0</v>
      </c>
      <c r="AP42">
        <v>0</v>
      </c>
      <c r="AQ42">
        <v>0</v>
      </c>
      <c r="AR42">
        <v>0</v>
      </c>
    </row>
    <row r="43" spans="1:44" x14ac:dyDescent="0.2">
      <c r="A43">
        <f>ROW(Source!A39)</f>
        <v>39</v>
      </c>
      <c r="B43">
        <v>86327270</v>
      </c>
      <c r="C43">
        <v>86327258</v>
      </c>
      <c r="D43">
        <v>10841104</v>
      </c>
      <c r="E43">
        <v>1</v>
      </c>
      <c r="F43">
        <v>1</v>
      </c>
      <c r="G43">
        <v>1</v>
      </c>
      <c r="H43">
        <v>3</v>
      </c>
      <c r="I43" t="s">
        <v>316</v>
      </c>
      <c r="J43" t="s">
        <v>705</v>
      </c>
      <c r="K43" t="s">
        <v>706</v>
      </c>
      <c r="L43">
        <v>1348</v>
      </c>
      <c r="N43">
        <v>1009</v>
      </c>
      <c r="O43" t="s">
        <v>33</v>
      </c>
      <c r="P43" t="s">
        <v>33</v>
      </c>
      <c r="Q43">
        <v>1000</v>
      </c>
      <c r="X43">
        <v>5.0000000000000001E-3</v>
      </c>
      <c r="Y43">
        <v>10559.12</v>
      </c>
      <c r="Z43">
        <v>0</v>
      </c>
      <c r="AA43">
        <v>0</v>
      </c>
      <c r="AB43">
        <v>0</v>
      </c>
      <c r="AC43">
        <v>0</v>
      </c>
      <c r="AD43">
        <v>1</v>
      </c>
      <c r="AE43">
        <v>0</v>
      </c>
      <c r="AF43" t="s">
        <v>6</v>
      </c>
      <c r="AG43">
        <v>5.0000000000000001E-3</v>
      </c>
      <c r="AH43">
        <v>3</v>
      </c>
      <c r="AI43">
        <v>-1</v>
      </c>
      <c r="AJ43" t="s">
        <v>6</v>
      </c>
      <c r="AK43">
        <v>4</v>
      </c>
      <c r="AL43">
        <v>-52.795600000000007</v>
      </c>
      <c r="AM43">
        <v>0</v>
      </c>
      <c r="AN43">
        <v>0</v>
      </c>
      <c r="AO43">
        <v>0</v>
      </c>
      <c r="AP43">
        <v>0</v>
      </c>
      <c r="AQ43">
        <v>0</v>
      </c>
      <c r="AR43">
        <v>1</v>
      </c>
    </row>
    <row r="44" spans="1:44" x14ac:dyDescent="0.2">
      <c r="A44">
        <f>ROW(Source!A39)</f>
        <v>39</v>
      </c>
      <c r="B44">
        <v>86327271</v>
      </c>
      <c r="C44">
        <v>86327258</v>
      </c>
      <c r="D44">
        <v>35950858</v>
      </c>
      <c r="E44">
        <v>1</v>
      </c>
      <c r="F44">
        <v>1</v>
      </c>
      <c r="G44">
        <v>1</v>
      </c>
      <c r="H44">
        <v>3</v>
      </c>
      <c r="I44" t="s">
        <v>710</v>
      </c>
      <c r="J44" t="s">
        <v>711</v>
      </c>
      <c r="K44" t="s">
        <v>712</v>
      </c>
      <c r="L44">
        <v>1348</v>
      </c>
      <c r="N44">
        <v>1009</v>
      </c>
      <c r="O44" t="s">
        <v>33</v>
      </c>
      <c r="P44" t="s">
        <v>33</v>
      </c>
      <c r="Q44">
        <v>1000</v>
      </c>
      <c r="X44">
        <v>1</v>
      </c>
      <c r="Y44">
        <v>4700.26</v>
      </c>
      <c r="Z44">
        <v>0</v>
      </c>
      <c r="AA44">
        <v>0</v>
      </c>
      <c r="AB44">
        <v>0</v>
      </c>
      <c r="AC44">
        <v>0</v>
      </c>
      <c r="AD44">
        <v>1</v>
      </c>
      <c r="AE44">
        <v>0</v>
      </c>
      <c r="AF44" t="s">
        <v>6</v>
      </c>
      <c r="AG44">
        <v>1</v>
      </c>
      <c r="AH44">
        <v>3</v>
      </c>
      <c r="AI44">
        <v>-1</v>
      </c>
      <c r="AJ44" t="s">
        <v>6</v>
      </c>
      <c r="AK44">
        <v>4</v>
      </c>
      <c r="AL44">
        <v>-4700.26</v>
      </c>
      <c r="AM44">
        <v>0</v>
      </c>
      <c r="AN44">
        <v>0</v>
      </c>
      <c r="AO44">
        <v>0</v>
      </c>
      <c r="AP44">
        <v>0</v>
      </c>
      <c r="AQ44">
        <v>0</v>
      </c>
      <c r="AR44">
        <v>1</v>
      </c>
    </row>
    <row r="45" spans="1:44" x14ac:dyDescent="0.2">
      <c r="A45">
        <f>ROW(Source!A42)</f>
        <v>42</v>
      </c>
      <c r="B45">
        <v>86327287</v>
      </c>
      <c r="C45">
        <v>86327273</v>
      </c>
      <c r="D45">
        <v>27497778</v>
      </c>
      <c r="E45">
        <v>1</v>
      </c>
      <c r="F45">
        <v>1</v>
      </c>
      <c r="G45">
        <v>1</v>
      </c>
      <c r="H45">
        <v>1</v>
      </c>
      <c r="I45" t="s">
        <v>647</v>
      </c>
      <c r="J45" t="s">
        <v>6</v>
      </c>
      <c r="K45" t="s">
        <v>648</v>
      </c>
      <c r="L45">
        <v>1369</v>
      </c>
      <c r="N45">
        <v>1013</v>
      </c>
      <c r="O45" t="s">
        <v>625</v>
      </c>
      <c r="P45" t="s">
        <v>625</v>
      </c>
      <c r="Q45">
        <v>1</v>
      </c>
      <c r="X45">
        <v>4.34</v>
      </c>
      <c r="Y45">
        <v>0</v>
      </c>
      <c r="Z45">
        <v>0</v>
      </c>
      <c r="AA45">
        <v>0</v>
      </c>
      <c r="AB45">
        <v>8.7100000000000009</v>
      </c>
      <c r="AC45">
        <v>0</v>
      </c>
      <c r="AD45">
        <v>1</v>
      </c>
      <c r="AE45">
        <v>1</v>
      </c>
      <c r="AF45" t="s">
        <v>25</v>
      </c>
      <c r="AG45">
        <v>4.5570000000000004</v>
      </c>
      <c r="AH45">
        <v>2</v>
      </c>
      <c r="AI45">
        <v>86327274</v>
      </c>
      <c r="AJ45">
        <v>41</v>
      </c>
      <c r="AK45">
        <v>0</v>
      </c>
      <c r="AL45">
        <v>0</v>
      </c>
      <c r="AM45">
        <v>0</v>
      </c>
      <c r="AN45">
        <v>0</v>
      </c>
      <c r="AO45">
        <v>0</v>
      </c>
      <c r="AP45">
        <v>0</v>
      </c>
      <c r="AQ45">
        <v>0</v>
      </c>
      <c r="AR45">
        <v>0</v>
      </c>
    </row>
    <row r="46" spans="1:44" x14ac:dyDescent="0.2">
      <c r="A46">
        <f>ROW(Source!A42)</f>
        <v>42</v>
      </c>
      <c r="B46">
        <v>86327288</v>
      </c>
      <c r="C46">
        <v>86327273</v>
      </c>
      <c r="D46">
        <v>121548</v>
      </c>
      <c r="E46">
        <v>1</v>
      </c>
      <c r="F46">
        <v>1</v>
      </c>
      <c r="G46">
        <v>1</v>
      </c>
      <c r="H46">
        <v>1</v>
      </c>
      <c r="I46" t="s">
        <v>40</v>
      </c>
      <c r="J46" t="s">
        <v>6</v>
      </c>
      <c r="K46" t="s">
        <v>626</v>
      </c>
      <c r="L46">
        <v>608254</v>
      </c>
      <c r="N46">
        <v>1013</v>
      </c>
      <c r="O46" t="s">
        <v>627</v>
      </c>
      <c r="P46" t="s">
        <v>627</v>
      </c>
      <c r="Q46">
        <v>1</v>
      </c>
      <c r="X46">
        <v>1.71</v>
      </c>
      <c r="Y46">
        <v>0</v>
      </c>
      <c r="Z46">
        <v>0</v>
      </c>
      <c r="AA46">
        <v>0</v>
      </c>
      <c r="AB46">
        <v>0</v>
      </c>
      <c r="AC46">
        <v>0</v>
      </c>
      <c r="AD46">
        <v>1</v>
      </c>
      <c r="AE46">
        <v>2</v>
      </c>
      <c r="AF46" t="s">
        <v>24</v>
      </c>
      <c r="AG46">
        <v>1.9152000000000002</v>
      </c>
      <c r="AH46">
        <v>2</v>
      </c>
      <c r="AI46">
        <v>86327275</v>
      </c>
      <c r="AJ46">
        <v>42</v>
      </c>
      <c r="AK46">
        <v>0</v>
      </c>
      <c r="AL46">
        <v>0</v>
      </c>
      <c r="AM46">
        <v>0</v>
      </c>
      <c r="AN46">
        <v>0</v>
      </c>
      <c r="AO46">
        <v>0</v>
      </c>
      <c r="AP46">
        <v>0</v>
      </c>
      <c r="AQ46">
        <v>0</v>
      </c>
      <c r="AR46">
        <v>0</v>
      </c>
    </row>
    <row r="47" spans="1:44" x14ac:dyDescent="0.2">
      <c r="A47">
        <f>ROW(Source!A42)</f>
        <v>42</v>
      </c>
      <c r="B47">
        <v>86327289</v>
      </c>
      <c r="C47">
        <v>86327273</v>
      </c>
      <c r="D47">
        <v>27439418</v>
      </c>
      <c r="E47">
        <v>1</v>
      </c>
      <c r="F47">
        <v>1</v>
      </c>
      <c r="G47">
        <v>1</v>
      </c>
      <c r="H47">
        <v>2</v>
      </c>
      <c r="I47" t="s">
        <v>652</v>
      </c>
      <c r="J47" t="s">
        <v>653</v>
      </c>
      <c r="K47" t="s">
        <v>654</v>
      </c>
      <c r="L47">
        <v>1368</v>
      </c>
      <c r="N47">
        <v>1011</v>
      </c>
      <c r="O47" t="s">
        <v>137</v>
      </c>
      <c r="P47" t="s">
        <v>137</v>
      </c>
      <c r="Q47">
        <v>1</v>
      </c>
      <c r="X47">
        <v>1.71</v>
      </c>
      <c r="Y47">
        <v>0</v>
      </c>
      <c r="Z47">
        <v>91.69</v>
      </c>
      <c r="AA47">
        <v>13.61</v>
      </c>
      <c r="AB47">
        <v>0</v>
      </c>
      <c r="AC47">
        <v>0</v>
      </c>
      <c r="AD47">
        <v>1</v>
      </c>
      <c r="AE47">
        <v>0</v>
      </c>
      <c r="AF47" t="s">
        <v>24</v>
      </c>
      <c r="AG47">
        <v>1.9152000000000002</v>
      </c>
      <c r="AH47">
        <v>3</v>
      </c>
      <c r="AI47">
        <v>-1</v>
      </c>
      <c r="AJ47" t="s">
        <v>6</v>
      </c>
      <c r="AK47">
        <v>4</v>
      </c>
      <c r="AL47">
        <v>0</v>
      </c>
      <c r="AM47">
        <v>-175.60468800000001</v>
      </c>
      <c r="AN47">
        <v>-26.065872000000002</v>
      </c>
      <c r="AO47">
        <v>0</v>
      </c>
      <c r="AP47">
        <v>0</v>
      </c>
      <c r="AQ47">
        <v>0</v>
      </c>
      <c r="AR47">
        <v>1</v>
      </c>
    </row>
    <row r="48" spans="1:44" x14ac:dyDescent="0.2">
      <c r="A48">
        <f>ROW(Source!A42)</f>
        <v>42</v>
      </c>
      <c r="B48">
        <v>86327290</v>
      </c>
      <c r="C48">
        <v>86327273</v>
      </c>
      <c r="D48">
        <v>27440039</v>
      </c>
      <c r="E48">
        <v>1</v>
      </c>
      <c r="F48">
        <v>1</v>
      </c>
      <c r="G48">
        <v>1</v>
      </c>
      <c r="H48">
        <v>2</v>
      </c>
      <c r="I48" t="s">
        <v>649</v>
      </c>
      <c r="J48" t="s">
        <v>650</v>
      </c>
      <c r="K48" t="s">
        <v>651</v>
      </c>
      <c r="L48">
        <v>1368</v>
      </c>
      <c r="N48">
        <v>1011</v>
      </c>
      <c r="O48" t="s">
        <v>137</v>
      </c>
      <c r="P48" t="s">
        <v>137</v>
      </c>
      <c r="Q48">
        <v>1</v>
      </c>
      <c r="X48">
        <v>2.02</v>
      </c>
      <c r="Y48">
        <v>0</v>
      </c>
      <c r="Z48">
        <v>1.83</v>
      </c>
      <c r="AA48">
        <v>0</v>
      </c>
      <c r="AB48">
        <v>0</v>
      </c>
      <c r="AC48">
        <v>0</v>
      </c>
      <c r="AD48">
        <v>1</v>
      </c>
      <c r="AE48">
        <v>0</v>
      </c>
      <c r="AF48" t="s">
        <v>24</v>
      </c>
      <c r="AG48">
        <v>2.2624000000000004</v>
      </c>
      <c r="AH48">
        <v>2</v>
      </c>
      <c r="AI48">
        <v>86327277</v>
      </c>
      <c r="AJ48">
        <v>44</v>
      </c>
      <c r="AK48">
        <v>0</v>
      </c>
      <c r="AL48">
        <v>0</v>
      </c>
      <c r="AM48">
        <v>0</v>
      </c>
      <c r="AN48">
        <v>0</v>
      </c>
      <c r="AO48">
        <v>0</v>
      </c>
      <c r="AP48">
        <v>0</v>
      </c>
      <c r="AQ48">
        <v>0</v>
      </c>
      <c r="AR48">
        <v>0</v>
      </c>
    </row>
    <row r="49" spans="1:44" x14ac:dyDescent="0.2">
      <c r="A49">
        <f>ROW(Source!A42)</f>
        <v>42</v>
      </c>
      <c r="B49">
        <v>86327291</v>
      </c>
      <c r="C49">
        <v>86327273</v>
      </c>
      <c r="D49">
        <v>27371200</v>
      </c>
      <c r="E49">
        <v>1</v>
      </c>
      <c r="F49">
        <v>1</v>
      </c>
      <c r="G49">
        <v>1</v>
      </c>
      <c r="H49">
        <v>3</v>
      </c>
      <c r="I49" t="s">
        <v>71</v>
      </c>
      <c r="J49" t="s">
        <v>713</v>
      </c>
      <c r="K49" t="s">
        <v>72</v>
      </c>
      <c r="L49">
        <v>1348</v>
      </c>
      <c r="N49">
        <v>1009</v>
      </c>
      <c r="O49" t="s">
        <v>33</v>
      </c>
      <c r="P49" t="s">
        <v>33</v>
      </c>
      <c r="Q49">
        <v>1000</v>
      </c>
      <c r="X49">
        <v>4.1999999999999997E-3</v>
      </c>
      <c r="Y49">
        <v>1696.01</v>
      </c>
      <c r="Z49">
        <v>0</v>
      </c>
      <c r="AA49">
        <v>0</v>
      </c>
      <c r="AB49">
        <v>0</v>
      </c>
      <c r="AC49">
        <v>0</v>
      </c>
      <c r="AD49">
        <v>1</v>
      </c>
      <c r="AE49">
        <v>0</v>
      </c>
      <c r="AF49" t="s">
        <v>6</v>
      </c>
      <c r="AG49">
        <v>4.1999999999999997E-3</v>
      </c>
      <c r="AH49">
        <v>2</v>
      </c>
      <c r="AI49">
        <v>86327278</v>
      </c>
      <c r="AJ49">
        <v>45</v>
      </c>
      <c r="AK49">
        <v>3</v>
      </c>
      <c r="AL49">
        <v>-7.1232419999999994</v>
      </c>
      <c r="AM49">
        <v>0</v>
      </c>
      <c r="AN49">
        <v>0</v>
      </c>
      <c r="AO49">
        <v>0</v>
      </c>
      <c r="AP49">
        <v>0</v>
      </c>
      <c r="AQ49">
        <v>0</v>
      </c>
      <c r="AR49">
        <v>1</v>
      </c>
    </row>
    <row r="50" spans="1:44" x14ac:dyDescent="0.2">
      <c r="A50">
        <f>ROW(Source!A42)</f>
        <v>42</v>
      </c>
      <c r="B50">
        <v>86327292</v>
      </c>
      <c r="C50">
        <v>86327273</v>
      </c>
      <c r="D50">
        <v>27379319</v>
      </c>
      <c r="E50">
        <v>1</v>
      </c>
      <c r="F50">
        <v>1</v>
      </c>
      <c r="G50">
        <v>1</v>
      </c>
      <c r="H50">
        <v>3</v>
      </c>
      <c r="I50" t="s">
        <v>714</v>
      </c>
      <c r="J50" t="s">
        <v>715</v>
      </c>
      <c r="K50" t="s">
        <v>716</v>
      </c>
      <c r="L50">
        <v>1035</v>
      </c>
      <c r="N50">
        <v>1013</v>
      </c>
      <c r="O50" t="s">
        <v>717</v>
      </c>
      <c r="P50" t="s">
        <v>717</v>
      </c>
      <c r="Q50">
        <v>1</v>
      </c>
      <c r="X50">
        <v>0</v>
      </c>
      <c r="Y50">
        <v>0</v>
      </c>
      <c r="Z50">
        <v>0</v>
      </c>
      <c r="AA50">
        <v>0</v>
      </c>
      <c r="AB50">
        <v>0</v>
      </c>
      <c r="AC50">
        <v>1</v>
      </c>
      <c r="AD50">
        <v>0</v>
      </c>
      <c r="AE50">
        <v>0</v>
      </c>
      <c r="AF50" t="s">
        <v>6</v>
      </c>
      <c r="AG50">
        <v>0</v>
      </c>
      <c r="AH50">
        <v>3</v>
      </c>
      <c r="AI50">
        <v>-1</v>
      </c>
      <c r="AJ50" t="s">
        <v>6</v>
      </c>
      <c r="AK50">
        <v>0</v>
      </c>
      <c r="AL50">
        <v>0</v>
      </c>
      <c r="AM50">
        <v>0</v>
      </c>
      <c r="AN50">
        <v>0</v>
      </c>
      <c r="AO50">
        <v>0</v>
      </c>
      <c r="AP50">
        <v>0</v>
      </c>
      <c r="AQ50">
        <v>0</v>
      </c>
      <c r="AR50">
        <v>0</v>
      </c>
    </row>
    <row r="51" spans="1:44" x14ac:dyDescent="0.2">
      <c r="A51">
        <f>ROW(Source!A42)</f>
        <v>42</v>
      </c>
      <c r="B51">
        <v>86327293</v>
      </c>
      <c r="C51">
        <v>86327273</v>
      </c>
      <c r="D51">
        <v>27407521</v>
      </c>
      <c r="E51">
        <v>1</v>
      </c>
      <c r="F51">
        <v>1</v>
      </c>
      <c r="G51">
        <v>1</v>
      </c>
      <c r="H51">
        <v>3</v>
      </c>
      <c r="I51" t="s">
        <v>718</v>
      </c>
      <c r="J51" t="s">
        <v>719</v>
      </c>
      <c r="K51" t="s">
        <v>720</v>
      </c>
      <c r="L51">
        <v>1339</v>
      </c>
      <c r="N51">
        <v>1007</v>
      </c>
      <c r="O51" t="s">
        <v>44</v>
      </c>
      <c r="P51" t="s">
        <v>44</v>
      </c>
      <c r="Q51">
        <v>1</v>
      </c>
      <c r="X51">
        <v>0</v>
      </c>
      <c r="Y51">
        <v>0</v>
      </c>
      <c r="Z51">
        <v>0</v>
      </c>
      <c r="AA51">
        <v>0</v>
      </c>
      <c r="AB51">
        <v>0</v>
      </c>
      <c r="AC51">
        <v>1</v>
      </c>
      <c r="AD51">
        <v>0</v>
      </c>
      <c r="AE51">
        <v>0</v>
      </c>
      <c r="AF51" t="s">
        <v>6</v>
      </c>
      <c r="AG51">
        <v>0</v>
      </c>
      <c r="AH51">
        <v>3</v>
      </c>
      <c r="AI51">
        <v>-1</v>
      </c>
      <c r="AJ51" t="s">
        <v>6</v>
      </c>
      <c r="AK51">
        <v>0</v>
      </c>
      <c r="AL51">
        <v>0</v>
      </c>
      <c r="AM51">
        <v>0</v>
      </c>
      <c r="AN51">
        <v>0</v>
      </c>
      <c r="AO51">
        <v>0</v>
      </c>
      <c r="AP51">
        <v>0</v>
      </c>
      <c r="AQ51">
        <v>0</v>
      </c>
      <c r="AR51">
        <v>0</v>
      </c>
    </row>
    <row r="52" spans="1:44" x14ac:dyDescent="0.2">
      <c r="A52">
        <f>ROW(Source!A43)</f>
        <v>43</v>
      </c>
      <c r="B52">
        <v>86327287</v>
      </c>
      <c r="C52">
        <v>86327273</v>
      </c>
      <c r="D52">
        <v>27497778</v>
      </c>
      <c r="E52">
        <v>1</v>
      </c>
      <c r="F52">
        <v>1</v>
      </c>
      <c r="G52">
        <v>1</v>
      </c>
      <c r="H52">
        <v>1</v>
      </c>
      <c r="I52" t="s">
        <v>647</v>
      </c>
      <c r="J52" t="s">
        <v>6</v>
      </c>
      <c r="K52" t="s">
        <v>648</v>
      </c>
      <c r="L52">
        <v>1369</v>
      </c>
      <c r="N52">
        <v>1013</v>
      </c>
      <c r="O52" t="s">
        <v>625</v>
      </c>
      <c r="P52" t="s">
        <v>625</v>
      </c>
      <c r="Q52">
        <v>1</v>
      </c>
      <c r="X52">
        <v>4.34</v>
      </c>
      <c r="Y52">
        <v>0</v>
      </c>
      <c r="Z52">
        <v>0</v>
      </c>
      <c r="AA52">
        <v>0</v>
      </c>
      <c r="AB52">
        <v>8.7100000000000009</v>
      </c>
      <c r="AC52">
        <v>0</v>
      </c>
      <c r="AD52">
        <v>1</v>
      </c>
      <c r="AE52">
        <v>1</v>
      </c>
      <c r="AF52" t="s">
        <v>25</v>
      </c>
      <c r="AG52">
        <v>4.5570000000000004</v>
      </c>
      <c r="AH52">
        <v>2</v>
      </c>
      <c r="AI52">
        <v>86327274</v>
      </c>
      <c r="AJ52">
        <v>54</v>
      </c>
      <c r="AK52">
        <v>0</v>
      </c>
      <c r="AL52">
        <v>0</v>
      </c>
      <c r="AM52">
        <v>0</v>
      </c>
      <c r="AN52">
        <v>0</v>
      </c>
      <c r="AO52">
        <v>0</v>
      </c>
      <c r="AP52">
        <v>0</v>
      </c>
      <c r="AQ52">
        <v>0</v>
      </c>
      <c r="AR52">
        <v>0</v>
      </c>
    </row>
    <row r="53" spans="1:44" x14ac:dyDescent="0.2">
      <c r="A53">
        <f>ROW(Source!A43)</f>
        <v>43</v>
      </c>
      <c r="B53">
        <v>86327288</v>
      </c>
      <c r="C53">
        <v>86327273</v>
      </c>
      <c r="D53">
        <v>121548</v>
      </c>
      <c r="E53">
        <v>1</v>
      </c>
      <c r="F53">
        <v>1</v>
      </c>
      <c r="G53">
        <v>1</v>
      </c>
      <c r="H53">
        <v>1</v>
      </c>
      <c r="I53" t="s">
        <v>40</v>
      </c>
      <c r="J53" t="s">
        <v>6</v>
      </c>
      <c r="K53" t="s">
        <v>626</v>
      </c>
      <c r="L53">
        <v>608254</v>
      </c>
      <c r="N53">
        <v>1013</v>
      </c>
      <c r="O53" t="s">
        <v>627</v>
      </c>
      <c r="P53" t="s">
        <v>627</v>
      </c>
      <c r="Q53">
        <v>1</v>
      </c>
      <c r="X53">
        <v>1.71</v>
      </c>
      <c r="Y53">
        <v>0</v>
      </c>
      <c r="Z53">
        <v>0</v>
      </c>
      <c r="AA53">
        <v>0</v>
      </c>
      <c r="AB53">
        <v>0</v>
      </c>
      <c r="AC53">
        <v>0</v>
      </c>
      <c r="AD53">
        <v>1</v>
      </c>
      <c r="AE53">
        <v>2</v>
      </c>
      <c r="AF53" t="s">
        <v>24</v>
      </c>
      <c r="AG53">
        <v>1.9152000000000002</v>
      </c>
      <c r="AH53">
        <v>2</v>
      </c>
      <c r="AI53">
        <v>86327275</v>
      </c>
      <c r="AJ53">
        <v>55</v>
      </c>
      <c r="AK53">
        <v>0</v>
      </c>
      <c r="AL53">
        <v>0</v>
      </c>
      <c r="AM53">
        <v>0</v>
      </c>
      <c r="AN53">
        <v>0</v>
      </c>
      <c r="AO53">
        <v>0</v>
      </c>
      <c r="AP53">
        <v>0</v>
      </c>
      <c r="AQ53">
        <v>0</v>
      </c>
      <c r="AR53">
        <v>0</v>
      </c>
    </row>
    <row r="54" spans="1:44" x14ac:dyDescent="0.2">
      <c r="A54">
        <f>ROW(Source!A43)</f>
        <v>43</v>
      </c>
      <c r="B54">
        <v>86327289</v>
      </c>
      <c r="C54">
        <v>86327273</v>
      </c>
      <c r="D54">
        <v>27439418</v>
      </c>
      <c r="E54">
        <v>1</v>
      </c>
      <c r="F54">
        <v>1</v>
      </c>
      <c r="G54">
        <v>1</v>
      </c>
      <c r="H54">
        <v>2</v>
      </c>
      <c r="I54" t="s">
        <v>652</v>
      </c>
      <c r="J54" t="s">
        <v>653</v>
      </c>
      <c r="K54" t="s">
        <v>654</v>
      </c>
      <c r="L54">
        <v>1368</v>
      </c>
      <c r="N54">
        <v>1011</v>
      </c>
      <c r="O54" t="s">
        <v>137</v>
      </c>
      <c r="P54" t="s">
        <v>137</v>
      </c>
      <c r="Q54">
        <v>1</v>
      </c>
      <c r="X54">
        <v>1.71</v>
      </c>
      <c r="Y54">
        <v>0</v>
      </c>
      <c r="Z54">
        <v>91.69</v>
      </c>
      <c r="AA54">
        <v>13.61</v>
      </c>
      <c r="AB54">
        <v>0</v>
      </c>
      <c r="AC54">
        <v>0</v>
      </c>
      <c r="AD54">
        <v>1</v>
      </c>
      <c r="AE54">
        <v>0</v>
      </c>
      <c r="AF54" t="s">
        <v>24</v>
      </c>
      <c r="AG54">
        <v>1.9152000000000002</v>
      </c>
      <c r="AH54">
        <v>3</v>
      </c>
      <c r="AI54">
        <v>-1</v>
      </c>
      <c r="AJ54" t="s">
        <v>6</v>
      </c>
      <c r="AK54">
        <v>4</v>
      </c>
      <c r="AL54">
        <v>0</v>
      </c>
      <c r="AM54">
        <v>-175.60468800000001</v>
      </c>
      <c r="AN54">
        <v>-26.065872000000002</v>
      </c>
      <c r="AO54">
        <v>0</v>
      </c>
      <c r="AP54">
        <v>0</v>
      </c>
      <c r="AQ54">
        <v>0</v>
      </c>
      <c r="AR54">
        <v>1</v>
      </c>
    </row>
    <row r="55" spans="1:44" x14ac:dyDescent="0.2">
      <c r="A55">
        <f>ROW(Source!A43)</f>
        <v>43</v>
      </c>
      <c r="B55">
        <v>86327290</v>
      </c>
      <c r="C55">
        <v>86327273</v>
      </c>
      <c r="D55">
        <v>27440039</v>
      </c>
      <c r="E55">
        <v>1</v>
      </c>
      <c r="F55">
        <v>1</v>
      </c>
      <c r="G55">
        <v>1</v>
      </c>
      <c r="H55">
        <v>2</v>
      </c>
      <c r="I55" t="s">
        <v>649</v>
      </c>
      <c r="J55" t="s">
        <v>650</v>
      </c>
      <c r="K55" t="s">
        <v>651</v>
      </c>
      <c r="L55">
        <v>1368</v>
      </c>
      <c r="N55">
        <v>1011</v>
      </c>
      <c r="O55" t="s">
        <v>137</v>
      </c>
      <c r="P55" t="s">
        <v>137</v>
      </c>
      <c r="Q55">
        <v>1</v>
      </c>
      <c r="X55">
        <v>2.02</v>
      </c>
      <c r="Y55">
        <v>0</v>
      </c>
      <c r="Z55">
        <v>1.83</v>
      </c>
      <c r="AA55">
        <v>0</v>
      </c>
      <c r="AB55">
        <v>0</v>
      </c>
      <c r="AC55">
        <v>0</v>
      </c>
      <c r="AD55">
        <v>1</v>
      </c>
      <c r="AE55">
        <v>0</v>
      </c>
      <c r="AF55" t="s">
        <v>24</v>
      </c>
      <c r="AG55">
        <v>2.2624000000000004</v>
      </c>
      <c r="AH55">
        <v>2</v>
      </c>
      <c r="AI55">
        <v>86327277</v>
      </c>
      <c r="AJ55">
        <v>57</v>
      </c>
      <c r="AK55">
        <v>0</v>
      </c>
      <c r="AL55">
        <v>0</v>
      </c>
      <c r="AM55">
        <v>0</v>
      </c>
      <c r="AN55">
        <v>0</v>
      </c>
      <c r="AO55">
        <v>0</v>
      </c>
      <c r="AP55">
        <v>0</v>
      </c>
      <c r="AQ55">
        <v>0</v>
      </c>
      <c r="AR55">
        <v>0</v>
      </c>
    </row>
    <row r="56" spans="1:44" x14ac:dyDescent="0.2">
      <c r="A56">
        <f>ROW(Source!A43)</f>
        <v>43</v>
      </c>
      <c r="B56">
        <v>86327291</v>
      </c>
      <c r="C56">
        <v>86327273</v>
      </c>
      <c r="D56">
        <v>27371200</v>
      </c>
      <c r="E56">
        <v>1</v>
      </c>
      <c r="F56">
        <v>1</v>
      </c>
      <c r="G56">
        <v>1</v>
      </c>
      <c r="H56">
        <v>3</v>
      </c>
      <c r="I56" t="s">
        <v>71</v>
      </c>
      <c r="J56" t="s">
        <v>713</v>
      </c>
      <c r="K56" t="s">
        <v>72</v>
      </c>
      <c r="L56">
        <v>1348</v>
      </c>
      <c r="N56">
        <v>1009</v>
      </c>
      <c r="O56" t="s">
        <v>33</v>
      </c>
      <c r="P56" t="s">
        <v>33</v>
      </c>
      <c r="Q56">
        <v>1000</v>
      </c>
      <c r="X56">
        <v>4.1999999999999997E-3</v>
      </c>
      <c r="Y56">
        <v>1696.01</v>
      </c>
      <c r="Z56">
        <v>0</v>
      </c>
      <c r="AA56">
        <v>0</v>
      </c>
      <c r="AB56">
        <v>0</v>
      </c>
      <c r="AC56">
        <v>0</v>
      </c>
      <c r="AD56">
        <v>1</v>
      </c>
      <c r="AE56">
        <v>0</v>
      </c>
      <c r="AF56" t="s">
        <v>6</v>
      </c>
      <c r="AG56">
        <v>4.1999999999999997E-3</v>
      </c>
      <c r="AH56">
        <v>2</v>
      </c>
      <c r="AI56">
        <v>86327278</v>
      </c>
      <c r="AJ56">
        <v>58</v>
      </c>
      <c r="AK56">
        <v>3</v>
      </c>
      <c r="AL56">
        <v>-7.1232419999999994</v>
      </c>
      <c r="AM56">
        <v>0</v>
      </c>
      <c r="AN56">
        <v>0</v>
      </c>
      <c r="AO56">
        <v>0</v>
      </c>
      <c r="AP56">
        <v>0</v>
      </c>
      <c r="AQ56">
        <v>0</v>
      </c>
      <c r="AR56">
        <v>1</v>
      </c>
    </row>
    <row r="57" spans="1:44" x14ac:dyDescent="0.2">
      <c r="A57">
        <f>ROW(Source!A43)</f>
        <v>43</v>
      </c>
      <c r="B57">
        <v>86327292</v>
      </c>
      <c r="C57">
        <v>86327273</v>
      </c>
      <c r="D57">
        <v>27379319</v>
      </c>
      <c r="E57">
        <v>1</v>
      </c>
      <c r="F57">
        <v>1</v>
      </c>
      <c r="G57">
        <v>1</v>
      </c>
      <c r="H57">
        <v>3</v>
      </c>
      <c r="I57" t="s">
        <v>714</v>
      </c>
      <c r="J57" t="s">
        <v>715</v>
      </c>
      <c r="K57" t="s">
        <v>716</v>
      </c>
      <c r="L57">
        <v>1035</v>
      </c>
      <c r="N57">
        <v>1013</v>
      </c>
      <c r="O57" t="s">
        <v>717</v>
      </c>
      <c r="P57" t="s">
        <v>717</v>
      </c>
      <c r="Q57">
        <v>1</v>
      </c>
      <c r="X57">
        <v>0</v>
      </c>
      <c r="Y57">
        <v>0</v>
      </c>
      <c r="Z57">
        <v>0</v>
      </c>
      <c r="AA57">
        <v>0</v>
      </c>
      <c r="AB57">
        <v>0</v>
      </c>
      <c r="AC57">
        <v>1</v>
      </c>
      <c r="AD57">
        <v>0</v>
      </c>
      <c r="AE57">
        <v>0</v>
      </c>
      <c r="AF57" t="s">
        <v>6</v>
      </c>
      <c r="AG57">
        <v>0</v>
      </c>
      <c r="AH57">
        <v>3</v>
      </c>
      <c r="AI57">
        <v>-1</v>
      </c>
      <c r="AJ57" t="s">
        <v>6</v>
      </c>
      <c r="AK57">
        <v>0</v>
      </c>
      <c r="AL57">
        <v>0</v>
      </c>
      <c r="AM57">
        <v>0</v>
      </c>
      <c r="AN57">
        <v>0</v>
      </c>
      <c r="AO57">
        <v>0</v>
      </c>
      <c r="AP57">
        <v>0</v>
      </c>
      <c r="AQ57">
        <v>0</v>
      </c>
      <c r="AR57">
        <v>0</v>
      </c>
    </row>
    <row r="58" spans="1:44" x14ac:dyDescent="0.2">
      <c r="A58">
        <f>ROW(Source!A43)</f>
        <v>43</v>
      </c>
      <c r="B58">
        <v>86327293</v>
      </c>
      <c r="C58">
        <v>86327273</v>
      </c>
      <c r="D58">
        <v>27407521</v>
      </c>
      <c r="E58">
        <v>1</v>
      </c>
      <c r="F58">
        <v>1</v>
      </c>
      <c r="G58">
        <v>1</v>
      </c>
      <c r="H58">
        <v>3</v>
      </c>
      <c r="I58" t="s">
        <v>718</v>
      </c>
      <c r="J58" t="s">
        <v>719</v>
      </c>
      <c r="K58" t="s">
        <v>720</v>
      </c>
      <c r="L58">
        <v>1339</v>
      </c>
      <c r="N58">
        <v>1007</v>
      </c>
      <c r="O58" t="s">
        <v>44</v>
      </c>
      <c r="P58" t="s">
        <v>44</v>
      </c>
      <c r="Q58">
        <v>1</v>
      </c>
      <c r="X58">
        <v>0</v>
      </c>
      <c r="Y58">
        <v>0</v>
      </c>
      <c r="Z58">
        <v>0</v>
      </c>
      <c r="AA58">
        <v>0</v>
      </c>
      <c r="AB58">
        <v>0</v>
      </c>
      <c r="AC58">
        <v>1</v>
      </c>
      <c r="AD58">
        <v>0</v>
      </c>
      <c r="AE58">
        <v>0</v>
      </c>
      <c r="AF58" t="s">
        <v>6</v>
      </c>
      <c r="AG58">
        <v>0</v>
      </c>
      <c r="AH58">
        <v>3</v>
      </c>
      <c r="AI58">
        <v>-1</v>
      </c>
      <c r="AJ58" t="s">
        <v>6</v>
      </c>
      <c r="AK58">
        <v>0</v>
      </c>
      <c r="AL58">
        <v>0</v>
      </c>
      <c r="AM58">
        <v>0</v>
      </c>
      <c r="AN58">
        <v>0</v>
      </c>
      <c r="AO58">
        <v>0</v>
      </c>
      <c r="AP58">
        <v>0</v>
      </c>
      <c r="AQ58">
        <v>0</v>
      </c>
      <c r="AR58">
        <v>0</v>
      </c>
    </row>
    <row r="59" spans="1:44" x14ac:dyDescent="0.2">
      <c r="A59">
        <f>ROW(Source!A62)</f>
        <v>62</v>
      </c>
      <c r="B59">
        <v>86327317</v>
      </c>
      <c r="C59">
        <v>86327303</v>
      </c>
      <c r="D59">
        <v>27497778</v>
      </c>
      <c r="E59">
        <v>1</v>
      </c>
      <c r="F59">
        <v>1</v>
      </c>
      <c r="G59">
        <v>1</v>
      </c>
      <c r="H59">
        <v>1</v>
      </c>
      <c r="I59" t="s">
        <v>647</v>
      </c>
      <c r="J59" t="s">
        <v>6</v>
      </c>
      <c r="K59" t="s">
        <v>648</v>
      </c>
      <c r="L59">
        <v>1369</v>
      </c>
      <c r="N59">
        <v>1013</v>
      </c>
      <c r="O59" t="s">
        <v>625</v>
      </c>
      <c r="P59" t="s">
        <v>625</v>
      </c>
      <c r="Q59">
        <v>1</v>
      </c>
      <c r="X59">
        <v>4.8899999999999997</v>
      </c>
      <c r="Y59">
        <v>0</v>
      </c>
      <c r="Z59">
        <v>0</v>
      </c>
      <c r="AA59">
        <v>0</v>
      </c>
      <c r="AB59">
        <v>8.7100000000000009</v>
      </c>
      <c r="AC59">
        <v>0</v>
      </c>
      <c r="AD59">
        <v>1</v>
      </c>
      <c r="AE59">
        <v>1</v>
      </c>
      <c r="AF59" t="s">
        <v>25</v>
      </c>
      <c r="AG59">
        <v>5.1345000000000001</v>
      </c>
      <c r="AH59">
        <v>2</v>
      </c>
      <c r="AI59">
        <v>86327304</v>
      </c>
      <c r="AJ59">
        <v>67</v>
      </c>
      <c r="AK59">
        <v>0</v>
      </c>
      <c r="AL59">
        <v>0</v>
      </c>
      <c r="AM59">
        <v>0</v>
      </c>
      <c r="AN59">
        <v>0</v>
      </c>
      <c r="AO59">
        <v>0</v>
      </c>
      <c r="AP59">
        <v>0</v>
      </c>
      <c r="AQ59">
        <v>0</v>
      </c>
      <c r="AR59">
        <v>0</v>
      </c>
    </row>
    <row r="60" spans="1:44" x14ac:dyDescent="0.2">
      <c r="A60">
        <f>ROW(Source!A62)</f>
        <v>62</v>
      </c>
      <c r="B60">
        <v>86327318</v>
      </c>
      <c r="C60">
        <v>86327303</v>
      </c>
      <c r="D60">
        <v>121548</v>
      </c>
      <c r="E60">
        <v>1</v>
      </c>
      <c r="F60">
        <v>1</v>
      </c>
      <c r="G60">
        <v>1</v>
      </c>
      <c r="H60">
        <v>1</v>
      </c>
      <c r="I60" t="s">
        <v>40</v>
      </c>
      <c r="J60" t="s">
        <v>6</v>
      </c>
      <c r="K60" t="s">
        <v>626</v>
      </c>
      <c r="L60">
        <v>608254</v>
      </c>
      <c r="N60">
        <v>1013</v>
      </c>
      <c r="O60" t="s">
        <v>627</v>
      </c>
      <c r="P60" t="s">
        <v>627</v>
      </c>
      <c r="Q60">
        <v>1</v>
      </c>
      <c r="X60">
        <v>1.96</v>
      </c>
      <c r="Y60">
        <v>0</v>
      </c>
      <c r="Z60">
        <v>0</v>
      </c>
      <c r="AA60">
        <v>0</v>
      </c>
      <c r="AB60">
        <v>0</v>
      </c>
      <c r="AC60">
        <v>0</v>
      </c>
      <c r="AD60">
        <v>1</v>
      </c>
      <c r="AE60">
        <v>2</v>
      </c>
      <c r="AF60" t="s">
        <v>24</v>
      </c>
      <c r="AG60">
        <v>2.1952000000000003</v>
      </c>
      <c r="AH60">
        <v>2</v>
      </c>
      <c r="AI60">
        <v>86327305</v>
      </c>
      <c r="AJ60">
        <v>68</v>
      </c>
      <c r="AK60">
        <v>0</v>
      </c>
      <c r="AL60">
        <v>0</v>
      </c>
      <c r="AM60">
        <v>0</v>
      </c>
      <c r="AN60">
        <v>0</v>
      </c>
      <c r="AO60">
        <v>0</v>
      </c>
      <c r="AP60">
        <v>0</v>
      </c>
      <c r="AQ60">
        <v>0</v>
      </c>
      <c r="AR60">
        <v>0</v>
      </c>
    </row>
    <row r="61" spans="1:44" x14ac:dyDescent="0.2">
      <c r="A61">
        <f>ROW(Source!A62)</f>
        <v>62</v>
      </c>
      <c r="B61">
        <v>86327319</v>
      </c>
      <c r="C61">
        <v>86327303</v>
      </c>
      <c r="D61">
        <v>27439418</v>
      </c>
      <c r="E61">
        <v>1</v>
      </c>
      <c r="F61">
        <v>1</v>
      </c>
      <c r="G61">
        <v>1</v>
      </c>
      <c r="H61">
        <v>2</v>
      </c>
      <c r="I61" t="s">
        <v>652</v>
      </c>
      <c r="J61" t="s">
        <v>653</v>
      </c>
      <c r="K61" t="s">
        <v>654</v>
      </c>
      <c r="L61">
        <v>1368</v>
      </c>
      <c r="N61">
        <v>1011</v>
      </c>
      <c r="O61" t="s">
        <v>137</v>
      </c>
      <c r="P61" t="s">
        <v>137</v>
      </c>
      <c r="Q61">
        <v>1</v>
      </c>
      <c r="X61">
        <v>1.96</v>
      </c>
      <c r="Y61">
        <v>0</v>
      </c>
      <c r="Z61">
        <v>91.69</v>
      </c>
      <c r="AA61">
        <v>13.61</v>
      </c>
      <c r="AB61">
        <v>0</v>
      </c>
      <c r="AC61">
        <v>0</v>
      </c>
      <c r="AD61">
        <v>1</v>
      </c>
      <c r="AE61">
        <v>0</v>
      </c>
      <c r="AF61" t="s">
        <v>24</v>
      </c>
      <c r="AG61">
        <v>2.1952000000000003</v>
      </c>
      <c r="AH61">
        <v>3</v>
      </c>
      <c r="AI61">
        <v>-1</v>
      </c>
      <c r="AJ61" t="s">
        <v>6</v>
      </c>
      <c r="AK61">
        <v>4</v>
      </c>
      <c r="AL61">
        <v>0</v>
      </c>
      <c r="AM61">
        <v>-201.27788800000002</v>
      </c>
      <c r="AN61">
        <v>-29.876672000000003</v>
      </c>
      <c r="AO61">
        <v>0</v>
      </c>
      <c r="AP61">
        <v>0</v>
      </c>
      <c r="AQ61">
        <v>0</v>
      </c>
      <c r="AR61">
        <v>1</v>
      </c>
    </row>
    <row r="62" spans="1:44" x14ac:dyDescent="0.2">
      <c r="A62">
        <f>ROW(Source!A62)</f>
        <v>62</v>
      </c>
      <c r="B62">
        <v>86327320</v>
      </c>
      <c r="C62">
        <v>86327303</v>
      </c>
      <c r="D62">
        <v>27440039</v>
      </c>
      <c r="E62">
        <v>1</v>
      </c>
      <c r="F62">
        <v>1</v>
      </c>
      <c r="G62">
        <v>1</v>
      </c>
      <c r="H62">
        <v>2</v>
      </c>
      <c r="I62" t="s">
        <v>649</v>
      </c>
      <c r="J62" t="s">
        <v>650</v>
      </c>
      <c r="K62" t="s">
        <v>651</v>
      </c>
      <c r="L62">
        <v>1368</v>
      </c>
      <c r="N62">
        <v>1011</v>
      </c>
      <c r="O62" t="s">
        <v>137</v>
      </c>
      <c r="P62" t="s">
        <v>137</v>
      </c>
      <c r="Q62">
        <v>1</v>
      </c>
      <c r="X62">
        <v>2.2400000000000002</v>
      </c>
      <c r="Y62">
        <v>0</v>
      </c>
      <c r="Z62">
        <v>1.83</v>
      </c>
      <c r="AA62">
        <v>0</v>
      </c>
      <c r="AB62">
        <v>0</v>
      </c>
      <c r="AC62">
        <v>0</v>
      </c>
      <c r="AD62">
        <v>1</v>
      </c>
      <c r="AE62">
        <v>0</v>
      </c>
      <c r="AF62" t="s">
        <v>24</v>
      </c>
      <c r="AG62">
        <v>2.5088000000000004</v>
      </c>
      <c r="AH62">
        <v>2</v>
      </c>
      <c r="AI62">
        <v>86327307</v>
      </c>
      <c r="AJ62">
        <v>70</v>
      </c>
      <c r="AK62">
        <v>0</v>
      </c>
      <c r="AL62">
        <v>0</v>
      </c>
      <c r="AM62">
        <v>0</v>
      </c>
      <c r="AN62">
        <v>0</v>
      </c>
      <c r="AO62">
        <v>0</v>
      </c>
      <c r="AP62">
        <v>0</v>
      </c>
      <c r="AQ62">
        <v>0</v>
      </c>
      <c r="AR62">
        <v>0</v>
      </c>
    </row>
    <row r="63" spans="1:44" x14ac:dyDescent="0.2">
      <c r="A63">
        <f>ROW(Source!A62)</f>
        <v>62</v>
      </c>
      <c r="B63">
        <v>86327321</v>
      </c>
      <c r="C63">
        <v>86327303</v>
      </c>
      <c r="D63">
        <v>27371200</v>
      </c>
      <c r="E63">
        <v>1</v>
      </c>
      <c r="F63">
        <v>1</v>
      </c>
      <c r="G63">
        <v>1</v>
      </c>
      <c r="H63">
        <v>3</v>
      </c>
      <c r="I63" t="s">
        <v>71</v>
      </c>
      <c r="J63" t="s">
        <v>713</v>
      </c>
      <c r="K63" t="s">
        <v>72</v>
      </c>
      <c r="L63">
        <v>1348</v>
      </c>
      <c r="N63">
        <v>1009</v>
      </c>
      <c r="O63" t="s">
        <v>33</v>
      </c>
      <c r="P63" t="s">
        <v>33</v>
      </c>
      <c r="Q63">
        <v>1000</v>
      </c>
      <c r="X63">
        <v>4.1999999999999997E-3</v>
      </c>
      <c r="Y63">
        <v>1696.01</v>
      </c>
      <c r="Z63">
        <v>0</v>
      </c>
      <c r="AA63">
        <v>0</v>
      </c>
      <c r="AB63">
        <v>0</v>
      </c>
      <c r="AC63">
        <v>0</v>
      </c>
      <c r="AD63">
        <v>1</v>
      </c>
      <c r="AE63">
        <v>0</v>
      </c>
      <c r="AF63" t="s">
        <v>6</v>
      </c>
      <c r="AG63">
        <v>4.1999999999999997E-3</v>
      </c>
      <c r="AH63">
        <v>2</v>
      </c>
      <c r="AI63">
        <v>86327308</v>
      </c>
      <c r="AJ63">
        <v>71</v>
      </c>
      <c r="AK63">
        <v>3</v>
      </c>
      <c r="AL63">
        <v>-7.1232419999999994</v>
      </c>
      <c r="AM63">
        <v>0</v>
      </c>
      <c r="AN63">
        <v>0</v>
      </c>
      <c r="AO63">
        <v>0</v>
      </c>
      <c r="AP63">
        <v>0</v>
      </c>
      <c r="AQ63">
        <v>0</v>
      </c>
      <c r="AR63">
        <v>1</v>
      </c>
    </row>
    <row r="64" spans="1:44" x14ac:dyDescent="0.2">
      <c r="A64">
        <f>ROW(Source!A62)</f>
        <v>62</v>
      </c>
      <c r="B64">
        <v>86327322</v>
      </c>
      <c r="C64">
        <v>86327303</v>
      </c>
      <c r="D64">
        <v>27379319</v>
      </c>
      <c r="E64">
        <v>1</v>
      </c>
      <c r="F64">
        <v>1</v>
      </c>
      <c r="G64">
        <v>1</v>
      </c>
      <c r="H64">
        <v>3</v>
      </c>
      <c r="I64" t="s">
        <v>714</v>
      </c>
      <c r="J64" t="s">
        <v>715</v>
      </c>
      <c r="K64" t="s">
        <v>716</v>
      </c>
      <c r="L64">
        <v>1035</v>
      </c>
      <c r="N64">
        <v>1013</v>
      </c>
      <c r="O64" t="s">
        <v>717</v>
      </c>
      <c r="P64" t="s">
        <v>717</v>
      </c>
      <c r="Q64">
        <v>1</v>
      </c>
      <c r="X64">
        <v>0</v>
      </c>
      <c r="Y64">
        <v>0</v>
      </c>
      <c r="Z64">
        <v>0</v>
      </c>
      <c r="AA64">
        <v>0</v>
      </c>
      <c r="AB64">
        <v>0</v>
      </c>
      <c r="AC64">
        <v>1</v>
      </c>
      <c r="AD64">
        <v>0</v>
      </c>
      <c r="AE64">
        <v>0</v>
      </c>
      <c r="AF64" t="s">
        <v>6</v>
      </c>
      <c r="AG64">
        <v>0</v>
      </c>
      <c r="AH64">
        <v>3</v>
      </c>
      <c r="AI64">
        <v>-1</v>
      </c>
      <c r="AJ64" t="s">
        <v>6</v>
      </c>
      <c r="AK64">
        <v>0</v>
      </c>
      <c r="AL64">
        <v>0</v>
      </c>
      <c r="AM64">
        <v>0</v>
      </c>
      <c r="AN64">
        <v>0</v>
      </c>
      <c r="AO64">
        <v>0</v>
      </c>
      <c r="AP64">
        <v>0</v>
      </c>
      <c r="AQ64">
        <v>0</v>
      </c>
      <c r="AR64">
        <v>0</v>
      </c>
    </row>
    <row r="65" spans="1:44" x14ac:dyDescent="0.2">
      <c r="A65">
        <f>ROW(Source!A62)</f>
        <v>62</v>
      </c>
      <c r="B65">
        <v>86327323</v>
      </c>
      <c r="C65">
        <v>86327303</v>
      </c>
      <c r="D65">
        <v>27407521</v>
      </c>
      <c r="E65">
        <v>1</v>
      </c>
      <c r="F65">
        <v>1</v>
      </c>
      <c r="G65">
        <v>1</v>
      </c>
      <c r="H65">
        <v>3</v>
      </c>
      <c r="I65" t="s">
        <v>718</v>
      </c>
      <c r="J65" t="s">
        <v>719</v>
      </c>
      <c r="K65" t="s">
        <v>720</v>
      </c>
      <c r="L65">
        <v>1339</v>
      </c>
      <c r="N65">
        <v>1007</v>
      </c>
      <c r="O65" t="s">
        <v>44</v>
      </c>
      <c r="P65" t="s">
        <v>44</v>
      </c>
      <c r="Q65">
        <v>1</v>
      </c>
      <c r="X65">
        <v>0</v>
      </c>
      <c r="Y65">
        <v>0</v>
      </c>
      <c r="Z65">
        <v>0</v>
      </c>
      <c r="AA65">
        <v>0</v>
      </c>
      <c r="AB65">
        <v>0</v>
      </c>
      <c r="AC65">
        <v>1</v>
      </c>
      <c r="AD65">
        <v>0</v>
      </c>
      <c r="AE65">
        <v>0</v>
      </c>
      <c r="AF65" t="s">
        <v>6</v>
      </c>
      <c r="AG65">
        <v>0</v>
      </c>
      <c r="AH65">
        <v>3</v>
      </c>
      <c r="AI65">
        <v>-1</v>
      </c>
      <c r="AJ65" t="s">
        <v>6</v>
      </c>
      <c r="AK65">
        <v>0</v>
      </c>
      <c r="AL65">
        <v>0</v>
      </c>
      <c r="AM65">
        <v>0</v>
      </c>
      <c r="AN65">
        <v>0</v>
      </c>
      <c r="AO65">
        <v>0</v>
      </c>
      <c r="AP65">
        <v>0</v>
      </c>
      <c r="AQ65">
        <v>0</v>
      </c>
      <c r="AR65">
        <v>0</v>
      </c>
    </row>
    <row r="66" spans="1:44" x14ac:dyDescent="0.2">
      <c r="A66">
        <f>ROW(Source!A63)</f>
        <v>63</v>
      </c>
      <c r="B66">
        <v>86327317</v>
      </c>
      <c r="C66">
        <v>86327303</v>
      </c>
      <c r="D66">
        <v>27497778</v>
      </c>
      <c r="E66">
        <v>1</v>
      </c>
      <c r="F66">
        <v>1</v>
      </c>
      <c r="G66">
        <v>1</v>
      </c>
      <c r="H66">
        <v>1</v>
      </c>
      <c r="I66" t="s">
        <v>647</v>
      </c>
      <c r="J66" t="s">
        <v>6</v>
      </c>
      <c r="K66" t="s">
        <v>648</v>
      </c>
      <c r="L66">
        <v>1369</v>
      </c>
      <c r="N66">
        <v>1013</v>
      </c>
      <c r="O66" t="s">
        <v>625</v>
      </c>
      <c r="P66" t="s">
        <v>625</v>
      </c>
      <c r="Q66">
        <v>1</v>
      </c>
      <c r="X66">
        <v>4.8899999999999997</v>
      </c>
      <c r="Y66">
        <v>0</v>
      </c>
      <c r="Z66">
        <v>0</v>
      </c>
      <c r="AA66">
        <v>0</v>
      </c>
      <c r="AB66">
        <v>8.7100000000000009</v>
      </c>
      <c r="AC66">
        <v>0</v>
      </c>
      <c r="AD66">
        <v>1</v>
      </c>
      <c r="AE66">
        <v>1</v>
      </c>
      <c r="AF66" t="s">
        <v>25</v>
      </c>
      <c r="AG66">
        <v>5.1345000000000001</v>
      </c>
      <c r="AH66">
        <v>2</v>
      </c>
      <c r="AI66">
        <v>86327304</v>
      </c>
      <c r="AJ66">
        <v>80</v>
      </c>
      <c r="AK66">
        <v>0</v>
      </c>
      <c r="AL66">
        <v>0</v>
      </c>
      <c r="AM66">
        <v>0</v>
      </c>
      <c r="AN66">
        <v>0</v>
      </c>
      <c r="AO66">
        <v>0</v>
      </c>
      <c r="AP66">
        <v>0</v>
      </c>
      <c r="AQ66">
        <v>0</v>
      </c>
      <c r="AR66">
        <v>0</v>
      </c>
    </row>
    <row r="67" spans="1:44" x14ac:dyDescent="0.2">
      <c r="A67">
        <f>ROW(Source!A63)</f>
        <v>63</v>
      </c>
      <c r="B67">
        <v>86327318</v>
      </c>
      <c r="C67">
        <v>86327303</v>
      </c>
      <c r="D67">
        <v>121548</v>
      </c>
      <c r="E67">
        <v>1</v>
      </c>
      <c r="F67">
        <v>1</v>
      </c>
      <c r="G67">
        <v>1</v>
      </c>
      <c r="H67">
        <v>1</v>
      </c>
      <c r="I67" t="s">
        <v>40</v>
      </c>
      <c r="J67" t="s">
        <v>6</v>
      </c>
      <c r="K67" t="s">
        <v>626</v>
      </c>
      <c r="L67">
        <v>608254</v>
      </c>
      <c r="N67">
        <v>1013</v>
      </c>
      <c r="O67" t="s">
        <v>627</v>
      </c>
      <c r="P67" t="s">
        <v>627</v>
      </c>
      <c r="Q67">
        <v>1</v>
      </c>
      <c r="X67">
        <v>1.96</v>
      </c>
      <c r="Y67">
        <v>0</v>
      </c>
      <c r="Z67">
        <v>0</v>
      </c>
      <c r="AA67">
        <v>0</v>
      </c>
      <c r="AB67">
        <v>0</v>
      </c>
      <c r="AC67">
        <v>0</v>
      </c>
      <c r="AD67">
        <v>1</v>
      </c>
      <c r="AE67">
        <v>2</v>
      </c>
      <c r="AF67" t="s">
        <v>24</v>
      </c>
      <c r="AG67">
        <v>2.1952000000000003</v>
      </c>
      <c r="AH67">
        <v>2</v>
      </c>
      <c r="AI67">
        <v>86327305</v>
      </c>
      <c r="AJ67">
        <v>81</v>
      </c>
      <c r="AK67">
        <v>0</v>
      </c>
      <c r="AL67">
        <v>0</v>
      </c>
      <c r="AM67">
        <v>0</v>
      </c>
      <c r="AN67">
        <v>0</v>
      </c>
      <c r="AO67">
        <v>0</v>
      </c>
      <c r="AP67">
        <v>0</v>
      </c>
      <c r="AQ67">
        <v>0</v>
      </c>
      <c r="AR67">
        <v>0</v>
      </c>
    </row>
    <row r="68" spans="1:44" x14ac:dyDescent="0.2">
      <c r="A68">
        <f>ROW(Source!A63)</f>
        <v>63</v>
      </c>
      <c r="B68">
        <v>86327319</v>
      </c>
      <c r="C68">
        <v>86327303</v>
      </c>
      <c r="D68">
        <v>27439418</v>
      </c>
      <c r="E68">
        <v>1</v>
      </c>
      <c r="F68">
        <v>1</v>
      </c>
      <c r="G68">
        <v>1</v>
      </c>
      <c r="H68">
        <v>2</v>
      </c>
      <c r="I68" t="s">
        <v>652</v>
      </c>
      <c r="J68" t="s">
        <v>653</v>
      </c>
      <c r="K68" t="s">
        <v>654</v>
      </c>
      <c r="L68">
        <v>1368</v>
      </c>
      <c r="N68">
        <v>1011</v>
      </c>
      <c r="O68" t="s">
        <v>137</v>
      </c>
      <c r="P68" t="s">
        <v>137</v>
      </c>
      <c r="Q68">
        <v>1</v>
      </c>
      <c r="X68">
        <v>1.96</v>
      </c>
      <c r="Y68">
        <v>0</v>
      </c>
      <c r="Z68">
        <v>91.69</v>
      </c>
      <c r="AA68">
        <v>13.61</v>
      </c>
      <c r="AB68">
        <v>0</v>
      </c>
      <c r="AC68">
        <v>0</v>
      </c>
      <c r="AD68">
        <v>1</v>
      </c>
      <c r="AE68">
        <v>0</v>
      </c>
      <c r="AF68" t="s">
        <v>24</v>
      </c>
      <c r="AG68">
        <v>2.1952000000000003</v>
      </c>
      <c r="AH68">
        <v>3</v>
      </c>
      <c r="AI68">
        <v>-1</v>
      </c>
      <c r="AJ68" t="s">
        <v>6</v>
      </c>
      <c r="AK68">
        <v>4</v>
      </c>
      <c r="AL68">
        <v>0</v>
      </c>
      <c r="AM68">
        <v>-201.27788800000002</v>
      </c>
      <c r="AN68">
        <v>-29.876672000000003</v>
      </c>
      <c r="AO68">
        <v>0</v>
      </c>
      <c r="AP68">
        <v>0</v>
      </c>
      <c r="AQ68">
        <v>0</v>
      </c>
      <c r="AR68">
        <v>1</v>
      </c>
    </row>
    <row r="69" spans="1:44" x14ac:dyDescent="0.2">
      <c r="A69">
        <f>ROW(Source!A63)</f>
        <v>63</v>
      </c>
      <c r="B69">
        <v>86327320</v>
      </c>
      <c r="C69">
        <v>86327303</v>
      </c>
      <c r="D69">
        <v>27440039</v>
      </c>
      <c r="E69">
        <v>1</v>
      </c>
      <c r="F69">
        <v>1</v>
      </c>
      <c r="G69">
        <v>1</v>
      </c>
      <c r="H69">
        <v>2</v>
      </c>
      <c r="I69" t="s">
        <v>649</v>
      </c>
      <c r="J69" t="s">
        <v>650</v>
      </c>
      <c r="K69" t="s">
        <v>651</v>
      </c>
      <c r="L69">
        <v>1368</v>
      </c>
      <c r="N69">
        <v>1011</v>
      </c>
      <c r="O69" t="s">
        <v>137</v>
      </c>
      <c r="P69" t="s">
        <v>137</v>
      </c>
      <c r="Q69">
        <v>1</v>
      </c>
      <c r="X69">
        <v>2.2400000000000002</v>
      </c>
      <c r="Y69">
        <v>0</v>
      </c>
      <c r="Z69">
        <v>1.83</v>
      </c>
      <c r="AA69">
        <v>0</v>
      </c>
      <c r="AB69">
        <v>0</v>
      </c>
      <c r="AC69">
        <v>0</v>
      </c>
      <c r="AD69">
        <v>1</v>
      </c>
      <c r="AE69">
        <v>0</v>
      </c>
      <c r="AF69" t="s">
        <v>24</v>
      </c>
      <c r="AG69">
        <v>2.5088000000000004</v>
      </c>
      <c r="AH69">
        <v>2</v>
      </c>
      <c r="AI69">
        <v>86327307</v>
      </c>
      <c r="AJ69">
        <v>83</v>
      </c>
      <c r="AK69">
        <v>0</v>
      </c>
      <c r="AL69">
        <v>0</v>
      </c>
      <c r="AM69">
        <v>0</v>
      </c>
      <c r="AN69">
        <v>0</v>
      </c>
      <c r="AO69">
        <v>0</v>
      </c>
      <c r="AP69">
        <v>0</v>
      </c>
      <c r="AQ69">
        <v>0</v>
      </c>
      <c r="AR69">
        <v>0</v>
      </c>
    </row>
    <row r="70" spans="1:44" x14ac:dyDescent="0.2">
      <c r="A70">
        <f>ROW(Source!A63)</f>
        <v>63</v>
      </c>
      <c r="B70">
        <v>86327321</v>
      </c>
      <c r="C70">
        <v>86327303</v>
      </c>
      <c r="D70">
        <v>27371200</v>
      </c>
      <c r="E70">
        <v>1</v>
      </c>
      <c r="F70">
        <v>1</v>
      </c>
      <c r="G70">
        <v>1</v>
      </c>
      <c r="H70">
        <v>3</v>
      </c>
      <c r="I70" t="s">
        <v>71</v>
      </c>
      <c r="J70" t="s">
        <v>713</v>
      </c>
      <c r="K70" t="s">
        <v>72</v>
      </c>
      <c r="L70">
        <v>1348</v>
      </c>
      <c r="N70">
        <v>1009</v>
      </c>
      <c r="O70" t="s">
        <v>33</v>
      </c>
      <c r="P70" t="s">
        <v>33</v>
      </c>
      <c r="Q70">
        <v>1000</v>
      </c>
      <c r="X70">
        <v>4.1999999999999997E-3</v>
      </c>
      <c r="Y70">
        <v>1696.01</v>
      </c>
      <c r="Z70">
        <v>0</v>
      </c>
      <c r="AA70">
        <v>0</v>
      </c>
      <c r="AB70">
        <v>0</v>
      </c>
      <c r="AC70">
        <v>0</v>
      </c>
      <c r="AD70">
        <v>1</v>
      </c>
      <c r="AE70">
        <v>0</v>
      </c>
      <c r="AF70" t="s">
        <v>6</v>
      </c>
      <c r="AG70">
        <v>4.1999999999999997E-3</v>
      </c>
      <c r="AH70">
        <v>2</v>
      </c>
      <c r="AI70">
        <v>86327308</v>
      </c>
      <c r="AJ70">
        <v>84</v>
      </c>
      <c r="AK70">
        <v>3</v>
      </c>
      <c r="AL70">
        <v>-7.1232419999999994</v>
      </c>
      <c r="AM70">
        <v>0</v>
      </c>
      <c r="AN70">
        <v>0</v>
      </c>
      <c r="AO70">
        <v>0</v>
      </c>
      <c r="AP70">
        <v>0</v>
      </c>
      <c r="AQ70">
        <v>0</v>
      </c>
      <c r="AR70">
        <v>1</v>
      </c>
    </row>
    <row r="71" spans="1:44" x14ac:dyDescent="0.2">
      <c r="A71">
        <f>ROW(Source!A63)</f>
        <v>63</v>
      </c>
      <c r="B71">
        <v>86327322</v>
      </c>
      <c r="C71">
        <v>86327303</v>
      </c>
      <c r="D71">
        <v>27379319</v>
      </c>
      <c r="E71">
        <v>1</v>
      </c>
      <c r="F71">
        <v>1</v>
      </c>
      <c r="G71">
        <v>1</v>
      </c>
      <c r="H71">
        <v>3</v>
      </c>
      <c r="I71" t="s">
        <v>714</v>
      </c>
      <c r="J71" t="s">
        <v>715</v>
      </c>
      <c r="K71" t="s">
        <v>716</v>
      </c>
      <c r="L71">
        <v>1035</v>
      </c>
      <c r="N71">
        <v>1013</v>
      </c>
      <c r="O71" t="s">
        <v>717</v>
      </c>
      <c r="P71" t="s">
        <v>717</v>
      </c>
      <c r="Q71">
        <v>1</v>
      </c>
      <c r="X71">
        <v>0</v>
      </c>
      <c r="Y71">
        <v>0</v>
      </c>
      <c r="Z71">
        <v>0</v>
      </c>
      <c r="AA71">
        <v>0</v>
      </c>
      <c r="AB71">
        <v>0</v>
      </c>
      <c r="AC71">
        <v>1</v>
      </c>
      <c r="AD71">
        <v>0</v>
      </c>
      <c r="AE71">
        <v>0</v>
      </c>
      <c r="AF71" t="s">
        <v>6</v>
      </c>
      <c r="AG71">
        <v>0</v>
      </c>
      <c r="AH71">
        <v>3</v>
      </c>
      <c r="AI71">
        <v>-1</v>
      </c>
      <c r="AJ71" t="s">
        <v>6</v>
      </c>
      <c r="AK71">
        <v>0</v>
      </c>
      <c r="AL71">
        <v>0</v>
      </c>
      <c r="AM71">
        <v>0</v>
      </c>
      <c r="AN71">
        <v>0</v>
      </c>
      <c r="AO71">
        <v>0</v>
      </c>
      <c r="AP71">
        <v>0</v>
      </c>
      <c r="AQ71">
        <v>0</v>
      </c>
      <c r="AR71">
        <v>0</v>
      </c>
    </row>
    <row r="72" spans="1:44" x14ac:dyDescent="0.2">
      <c r="A72">
        <f>ROW(Source!A63)</f>
        <v>63</v>
      </c>
      <c r="B72">
        <v>86327323</v>
      </c>
      <c r="C72">
        <v>86327303</v>
      </c>
      <c r="D72">
        <v>27407521</v>
      </c>
      <c r="E72">
        <v>1</v>
      </c>
      <c r="F72">
        <v>1</v>
      </c>
      <c r="G72">
        <v>1</v>
      </c>
      <c r="H72">
        <v>3</v>
      </c>
      <c r="I72" t="s">
        <v>718</v>
      </c>
      <c r="J72" t="s">
        <v>719</v>
      </c>
      <c r="K72" t="s">
        <v>720</v>
      </c>
      <c r="L72">
        <v>1339</v>
      </c>
      <c r="N72">
        <v>1007</v>
      </c>
      <c r="O72" t="s">
        <v>44</v>
      </c>
      <c r="P72" t="s">
        <v>44</v>
      </c>
      <c r="Q72">
        <v>1</v>
      </c>
      <c r="X72">
        <v>0</v>
      </c>
      <c r="Y72">
        <v>0</v>
      </c>
      <c r="Z72">
        <v>0</v>
      </c>
      <c r="AA72">
        <v>0</v>
      </c>
      <c r="AB72">
        <v>0</v>
      </c>
      <c r="AC72">
        <v>1</v>
      </c>
      <c r="AD72">
        <v>0</v>
      </c>
      <c r="AE72">
        <v>0</v>
      </c>
      <c r="AF72" t="s">
        <v>6</v>
      </c>
      <c r="AG72">
        <v>0</v>
      </c>
      <c r="AH72">
        <v>3</v>
      </c>
      <c r="AI72">
        <v>-1</v>
      </c>
      <c r="AJ72" t="s">
        <v>6</v>
      </c>
      <c r="AK72">
        <v>0</v>
      </c>
      <c r="AL72">
        <v>0</v>
      </c>
      <c r="AM72">
        <v>0</v>
      </c>
      <c r="AN72">
        <v>0</v>
      </c>
      <c r="AO72">
        <v>0</v>
      </c>
      <c r="AP72">
        <v>0</v>
      </c>
      <c r="AQ72">
        <v>0</v>
      </c>
      <c r="AR72">
        <v>0</v>
      </c>
    </row>
    <row r="73" spans="1:44" x14ac:dyDescent="0.2">
      <c r="A73">
        <f>ROW(Source!A119)</f>
        <v>119</v>
      </c>
      <c r="B73">
        <v>86327343</v>
      </c>
      <c r="C73">
        <v>86327334</v>
      </c>
      <c r="D73">
        <v>27493207</v>
      </c>
      <c r="E73">
        <v>1</v>
      </c>
      <c r="F73">
        <v>1</v>
      </c>
      <c r="G73">
        <v>1</v>
      </c>
      <c r="H73">
        <v>1</v>
      </c>
      <c r="I73" t="s">
        <v>623</v>
      </c>
      <c r="J73" t="s">
        <v>6</v>
      </c>
      <c r="K73" t="s">
        <v>624</v>
      </c>
      <c r="L73">
        <v>1369</v>
      </c>
      <c r="N73">
        <v>1013</v>
      </c>
      <c r="O73" t="s">
        <v>625</v>
      </c>
      <c r="P73" t="s">
        <v>625</v>
      </c>
      <c r="Q73">
        <v>1</v>
      </c>
      <c r="X73">
        <v>16.61</v>
      </c>
      <c r="Y73">
        <v>0</v>
      </c>
      <c r="Z73">
        <v>0</v>
      </c>
      <c r="AA73">
        <v>0</v>
      </c>
      <c r="AB73">
        <v>7.87</v>
      </c>
      <c r="AC73">
        <v>0</v>
      </c>
      <c r="AD73">
        <v>1</v>
      </c>
      <c r="AE73">
        <v>1</v>
      </c>
      <c r="AF73" t="s">
        <v>25</v>
      </c>
      <c r="AG73">
        <v>17.4405</v>
      </c>
      <c r="AH73">
        <v>2</v>
      </c>
      <c r="AI73">
        <v>86327335</v>
      </c>
      <c r="AJ73">
        <v>93</v>
      </c>
      <c r="AK73">
        <v>0</v>
      </c>
      <c r="AL73">
        <v>0</v>
      </c>
      <c r="AM73">
        <v>0</v>
      </c>
      <c r="AN73">
        <v>0</v>
      </c>
      <c r="AO73">
        <v>0</v>
      </c>
      <c r="AP73">
        <v>0</v>
      </c>
      <c r="AQ73">
        <v>0</v>
      </c>
      <c r="AR73">
        <v>0</v>
      </c>
    </row>
    <row r="74" spans="1:44" x14ac:dyDescent="0.2">
      <c r="A74">
        <f>ROW(Source!A119)</f>
        <v>119</v>
      </c>
      <c r="B74">
        <v>86327344</v>
      </c>
      <c r="C74">
        <v>86327334</v>
      </c>
      <c r="D74">
        <v>121548</v>
      </c>
      <c r="E74">
        <v>1</v>
      </c>
      <c r="F74">
        <v>1</v>
      </c>
      <c r="G74">
        <v>1</v>
      </c>
      <c r="H74">
        <v>1</v>
      </c>
      <c r="I74" t="s">
        <v>40</v>
      </c>
      <c r="J74" t="s">
        <v>6</v>
      </c>
      <c r="K74" t="s">
        <v>626</v>
      </c>
      <c r="L74">
        <v>608254</v>
      </c>
      <c r="N74">
        <v>1013</v>
      </c>
      <c r="O74" t="s">
        <v>627</v>
      </c>
      <c r="P74" t="s">
        <v>627</v>
      </c>
      <c r="Q74">
        <v>1</v>
      </c>
      <c r="X74">
        <v>5.04</v>
      </c>
      <c r="Y74">
        <v>0</v>
      </c>
      <c r="Z74">
        <v>0</v>
      </c>
      <c r="AA74">
        <v>0</v>
      </c>
      <c r="AB74">
        <v>0</v>
      </c>
      <c r="AC74">
        <v>0</v>
      </c>
      <c r="AD74">
        <v>1</v>
      </c>
      <c r="AE74">
        <v>2</v>
      </c>
      <c r="AF74" t="s">
        <v>24</v>
      </c>
      <c r="AG74">
        <v>5.6448000000000009</v>
      </c>
      <c r="AH74">
        <v>2</v>
      </c>
      <c r="AI74">
        <v>86327336</v>
      </c>
      <c r="AJ74">
        <v>94</v>
      </c>
      <c r="AK74">
        <v>0</v>
      </c>
      <c r="AL74">
        <v>0</v>
      </c>
      <c r="AM74">
        <v>0</v>
      </c>
      <c r="AN74">
        <v>0</v>
      </c>
      <c r="AO74">
        <v>0</v>
      </c>
      <c r="AP74">
        <v>0</v>
      </c>
      <c r="AQ74">
        <v>0</v>
      </c>
      <c r="AR74">
        <v>0</v>
      </c>
    </row>
    <row r="75" spans="1:44" x14ac:dyDescent="0.2">
      <c r="A75">
        <f>ROW(Source!A119)</f>
        <v>119</v>
      </c>
      <c r="B75">
        <v>86327345</v>
      </c>
      <c r="C75">
        <v>86327334</v>
      </c>
      <c r="D75">
        <v>27439418</v>
      </c>
      <c r="E75">
        <v>1</v>
      </c>
      <c r="F75">
        <v>1</v>
      </c>
      <c r="G75">
        <v>1</v>
      </c>
      <c r="H75">
        <v>2</v>
      </c>
      <c r="I75" t="s">
        <v>652</v>
      </c>
      <c r="J75" t="s">
        <v>653</v>
      </c>
      <c r="K75" t="s">
        <v>654</v>
      </c>
      <c r="L75">
        <v>1368</v>
      </c>
      <c r="N75">
        <v>1011</v>
      </c>
      <c r="O75" t="s">
        <v>137</v>
      </c>
      <c r="P75" t="s">
        <v>137</v>
      </c>
      <c r="Q75">
        <v>1</v>
      </c>
      <c r="X75">
        <v>3</v>
      </c>
      <c r="Y75">
        <v>0</v>
      </c>
      <c r="Z75">
        <v>91.69</v>
      </c>
      <c r="AA75">
        <v>13.61</v>
      </c>
      <c r="AB75">
        <v>0</v>
      </c>
      <c r="AC75">
        <v>0</v>
      </c>
      <c r="AD75">
        <v>1</v>
      </c>
      <c r="AE75">
        <v>0</v>
      </c>
      <c r="AF75" t="s">
        <v>24</v>
      </c>
      <c r="AG75">
        <v>3.3600000000000003</v>
      </c>
      <c r="AH75">
        <v>3</v>
      </c>
      <c r="AI75">
        <v>-1</v>
      </c>
      <c r="AJ75" t="s">
        <v>6</v>
      </c>
      <c r="AK75">
        <v>4</v>
      </c>
      <c r="AL75">
        <v>0</v>
      </c>
      <c r="AM75">
        <v>-308.07840000000004</v>
      </c>
      <c r="AN75">
        <v>-45.729600000000005</v>
      </c>
      <c r="AO75">
        <v>0</v>
      </c>
      <c r="AP75">
        <v>0</v>
      </c>
      <c r="AQ75">
        <v>0</v>
      </c>
      <c r="AR75">
        <v>1</v>
      </c>
    </row>
    <row r="76" spans="1:44" x14ac:dyDescent="0.2">
      <c r="A76">
        <f>ROW(Source!A119)</f>
        <v>119</v>
      </c>
      <c r="B76">
        <v>86327346</v>
      </c>
      <c r="C76">
        <v>86327334</v>
      </c>
      <c r="D76">
        <v>27439499</v>
      </c>
      <c r="E76">
        <v>1</v>
      </c>
      <c r="F76">
        <v>1</v>
      </c>
      <c r="G76">
        <v>1</v>
      </c>
      <c r="H76">
        <v>2</v>
      </c>
      <c r="I76" t="s">
        <v>631</v>
      </c>
      <c r="J76" t="s">
        <v>632</v>
      </c>
      <c r="K76" t="s">
        <v>633</v>
      </c>
      <c r="L76">
        <v>1368</v>
      </c>
      <c r="N76">
        <v>1011</v>
      </c>
      <c r="O76" t="s">
        <v>137</v>
      </c>
      <c r="P76" t="s">
        <v>137</v>
      </c>
      <c r="Q76">
        <v>1</v>
      </c>
      <c r="X76">
        <v>0.44</v>
      </c>
      <c r="Y76">
        <v>0</v>
      </c>
      <c r="Z76">
        <v>112.67</v>
      </c>
      <c r="AA76">
        <v>13.61</v>
      </c>
      <c r="AB76">
        <v>0</v>
      </c>
      <c r="AC76">
        <v>0</v>
      </c>
      <c r="AD76">
        <v>1</v>
      </c>
      <c r="AE76">
        <v>0</v>
      </c>
      <c r="AF76" t="s">
        <v>24</v>
      </c>
      <c r="AG76">
        <v>0.49280000000000007</v>
      </c>
      <c r="AH76">
        <v>2</v>
      </c>
      <c r="AI76">
        <v>86327338</v>
      </c>
      <c r="AJ76">
        <v>96</v>
      </c>
      <c r="AK76">
        <v>0</v>
      </c>
      <c r="AL76">
        <v>0</v>
      </c>
      <c r="AM76">
        <v>0</v>
      </c>
      <c r="AN76">
        <v>0</v>
      </c>
      <c r="AO76">
        <v>0</v>
      </c>
      <c r="AP76">
        <v>0</v>
      </c>
      <c r="AQ76">
        <v>0</v>
      </c>
      <c r="AR76">
        <v>0</v>
      </c>
    </row>
    <row r="77" spans="1:44" x14ac:dyDescent="0.2">
      <c r="A77">
        <f>ROW(Source!A119)</f>
        <v>119</v>
      </c>
      <c r="B77">
        <v>86327347</v>
      </c>
      <c r="C77">
        <v>86327334</v>
      </c>
      <c r="D77">
        <v>27439640</v>
      </c>
      <c r="E77">
        <v>1</v>
      </c>
      <c r="F77">
        <v>1</v>
      </c>
      <c r="G77">
        <v>1</v>
      </c>
      <c r="H77">
        <v>2</v>
      </c>
      <c r="I77" t="s">
        <v>634</v>
      </c>
      <c r="J77" t="s">
        <v>635</v>
      </c>
      <c r="K77" t="s">
        <v>636</v>
      </c>
      <c r="L77">
        <v>1368</v>
      </c>
      <c r="N77">
        <v>1011</v>
      </c>
      <c r="O77" t="s">
        <v>137</v>
      </c>
      <c r="P77" t="s">
        <v>137</v>
      </c>
      <c r="Q77">
        <v>1</v>
      </c>
      <c r="X77">
        <v>1.6</v>
      </c>
      <c r="Y77">
        <v>0</v>
      </c>
      <c r="Z77">
        <v>56.1</v>
      </c>
      <c r="AA77">
        <v>13.61</v>
      </c>
      <c r="AB77">
        <v>0</v>
      </c>
      <c r="AC77">
        <v>0</v>
      </c>
      <c r="AD77">
        <v>1</v>
      </c>
      <c r="AE77">
        <v>0</v>
      </c>
      <c r="AF77" t="s">
        <v>24</v>
      </c>
      <c r="AG77">
        <v>1.7920000000000003</v>
      </c>
      <c r="AH77">
        <v>2</v>
      </c>
      <c r="AI77">
        <v>86327339</v>
      </c>
      <c r="AJ77">
        <v>97</v>
      </c>
      <c r="AK77">
        <v>0</v>
      </c>
      <c r="AL77">
        <v>0</v>
      </c>
      <c r="AM77">
        <v>0</v>
      </c>
      <c r="AN77">
        <v>0</v>
      </c>
      <c r="AO77">
        <v>0</v>
      </c>
      <c r="AP77">
        <v>0</v>
      </c>
      <c r="AQ77">
        <v>0</v>
      </c>
      <c r="AR77">
        <v>0</v>
      </c>
    </row>
    <row r="78" spans="1:44" x14ac:dyDescent="0.2">
      <c r="A78">
        <f>ROW(Source!A119)</f>
        <v>119</v>
      </c>
      <c r="B78">
        <v>86327348</v>
      </c>
      <c r="C78">
        <v>86327334</v>
      </c>
      <c r="D78">
        <v>27441327</v>
      </c>
      <c r="E78">
        <v>1</v>
      </c>
      <c r="F78">
        <v>1</v>
      </c>
      <c r="G78">
        <v>1</v>
      </c>
      <c r="H78">
        <v>2</v>
      </c>
      <c r="I78" t="s">
        <v>637</v>
      </c>
      <c r="J78" t="s">
        <v>638</v>
      </c>
      <c r="K78" t="s">
        <v>639</v>
      </c>
      <c r="L78">
        <v>1368</v>
      </c>
      <c r="N78">
        <v>1011</v>
      </c>
      <c r="O78" t="s">
        <v>137</v>
      </c>
      <c r="P78" t="s">
        <v>137</v>
      </c>
      <c r="Q78">
        <v>1</v>
      </c>
      <c r="X78">
        <v>0.55000000000000004</v>
      </c>
      <c r="Y78">
        <v>0</v>
      </c>
      <c r="Z78">
        <v>93.37</v>
      </c>
      <c r="AA78">
        <v>11.69</v>
      </c>
      <c r="AB78">
        <v>0</v>
      </c>
      <c r="AC78">
        <v>0</v>
      </c>
      <c r="AD78">
        <v>1</v>
      </c>
      <c r="AE78">
        <v>0</v>
      </c>
      <c r="AF78" t="s">
        <v>24</v>
      </c>
      <c r="AG78">
        <v>0.6160000000000001</v>
      </c>
      <c r="AH78">
        <v>2</v>
      </c>
      <c r="AI78">
        <v>86327340</v>
      </c>
      <c r="AJ78">
        <v>98</v>
      </c>
      <c r="AK78">
        <v>0</v>
      </c>
      <c r="AL78">
        <v>0</v>
      </c>
      <c r="AM78">
        <v>0</v>
      </c>
      <c r="AN78">
        <v>0</v>
      </c>
      <c r="AO78">
        <v>0</v>
      </c>
      <c r="AP78">
        <v>0</v>
      </c>
      <c r="AQ78">
        <v>0</v>
      </c>
      <c r="AR78">
        <v>0</v>
      </c>
    </row>
    <row r="79" spans="1:44" x14ac:dyDescent="0.2">
      <c r="A79">
        <f>ROW(Source!A119)</f>
        <v>119</v>
      </c>
      <c r="B79">
        <v>86327349</v>
      </c>
      <c r="C79">
        <v>86327334</v>
      </c>
      <c r="D79">
        <v>27378576</v>
      </c>
      <c r="E79">
        <v>1</v>
      </c>
      <c r="F79">
        <v>1</v>
      </c>
      <c r="G79">
        <v>1</v>
      </c>
      <c r="H79">
        <v>3</v>
      </c>
      <c r="I79" t="s">
        <v>703</v>
      </c>
      <c r="J79" t="s">
        <v>704</v>
      </c>
      <c r="K79" t="s">
        <v>32</v>
      </c>
      <c r="L79">
        <v>1348</v>
      </c>
      <c r="N79">
        <v>1009</v>
      </c>
      <c r="O79" t="s">
        <v>33</v>
      </c>
      <c r="P79" t="s">
        <v>33</v>
      </c>
      <c r="Q79">
        <v>1000</v>
      </c>
      <c r="X79">
        <v>6.0000000000000001E-3</v>
      </c>
      <c r="Y79">
        <v>12050</v>
      </c>
      <c r="Z79">
        <v>0</v>
      </c>
      <c r="AA79">
        <v>0</v>
      </c>
      <c r="AB79">
        <v>0</v>
      </c>
      <c r="AC79">
        <v>0</v>
      </c>
      <c r="AD79">
        <v>1</v>
      </c>
      <c r="AE79">
        <v>0</v>
      </c>
      <c r="AF79" t="s">
        <v>6</v>
      </c>
      <c r="AG79">
        <v>6.0000000000000001E-3</v>
      </c>
      <c r="AH79">
        <v>3</v>
      </c>
      <c r="AI79">
        <v>-1</v>
      </c>
      <c r="AJ79" t="s">
        <v>6</v>
      </c>
      <c r="AK79">
        <v>4</v>
      </c>
      <c r="AL79">
        <v>-72.3</v>
      </c>
      <c r="AM79">
        <v>0</v>
      </c>
      <c r="AN79">
        <v>0</v>
      </c>
      <c r="AO79">
        <v>0</v>
      </c>
      <c r="AP79">
        <v>0</v>
      </c>
      <c r="AQ79">
        <v>0</v>
      </c>
      <c r="AR79">
        <v>1</v>
      </c>
    </row>
    <row r="80" spans="1:44" x14ac:dyDescent="0.2">
      <c r="A80">
        <f>ROW(Source!A119)</f>
        <v>119</v>
      </c>
      <c r="B80">
        <v>86327350</v>
      </c>
      <c r="C80">
        <v>86327334</v>
      </c>
      <c r="D80">
        <v>27379786</v>
      </c>
      <c r="E80">
        <v>1</v>
      </c>
      <c r="F80">
        <v>1</v>
      </c>
      <c r="G80">
        <v>1</v>
      </c>
      <c r="H80">
        <v>3</v>
      </c>
      <c r="I80" t="s">
        <v>42</v>
      </c>
      <c r="J80" t="s">
        <v>45</v>
      </c>
      <c r="K80" t="s">
        <v>43</v>
      </c>
      <c r="L80">
        <v>1339</v>
      </c>
      <c r="N80">
        <v>1007</v>
      </c>
      <c r="O80" t="s">
        <v>44</v>
      </c>
      <c r="P80" t="s">
        <v>44</v>
      </c>
      <c r="Q80">
        <v>1</v>
      </c>
      <c r="X80">
        <v>3.7999999999999999E-2</v>
      </c>
      <c r="Y80">
        <v>1100</v>
      </c>
      <c r="Z80">
        <v>0</v>
      </c>
      <c r="AA80">
        <v>0</v>
      </c>
      <c r="AB80">
        <v>0</v>
      </c>
      <c r="AC80">
        <v>0</v>
      </c>
      <c r="AD80">
        <v>1</v>
      </c>
      <c r="AE80">
        <v>0</v>
      </c>
      <c r="AF80" t="s">
        <v>6</v>
      </c>
      <c r="AG80">
        <v>3.7999999999999999E-2</v>
      </c>
      <c r="AH80">
        <v>2</v>
      </c>
      <c r="AI80">
        <v>86327342</v>
      </c>
      <c r="AJ80">
        <v>100</v>
      </c>
      <c r="AK80">
        <v>3</v>
      </c>
      <c r="AL80">
        <v>-41.8</v>
      </c>
      <c r="AM80">
        <v>0</v>
      </c>
      <c r="AN80">
        <v>0</v>
      </c>
      <c r="AO80">
        <v>0</v>
      </c>
      <c r="AP80">
        <v>0</v>
      </c>
      <c r="AQ80">
        <v>0</v>
      </c>
      <c r="AR80">
        <v>1</v>
      </c>
    </row>
    <row r="81" spans="1:44" x14ac:dyDescent="0.2">
      <c r="A81">
        <f>ROW(Source!A120)</f>
        <v>120</v>
      </c>
      <c r="B81">
        <v>86327343</v>
      </c>
      <c r="C81">
        <v>86327334</v>
      </c>
      <c r="D81">
        <v>27493207</v>
      </c>
      <c r="E81">
        <v>1</v>
      </c>
      <c r="F81">
        <v>1</v>
      </c>
      <c r="G81">
        <v>1</v>
      </c>
      <c r="H81">
        <v>1</v>
      </c>
      <c r="I81" t="s">
        <v>623</v>
      </c>
      <c r="J81" t="s">
        <v>6</v>
      </c>
      <c r="K81" t="s">
        <v>624</v>
      </c>
      <c r="L81">
        <v>1369</v>
      </c>
      <c r="N81">
        <v>1013</v>
      </c>
      <c r="O81" t="s">
        <v>625</v>
      </c>
      <c r="P81" t="s">
        <v>625</v>
      </c>
      <c r="Q81">
        <v>1</v>
      </c>
      <c r="X81">
        <v>16.61</v>
      </c>
      <c r="Y81">
        <v>0</v>
      </c>
      <c r="Z81">
        <v>0</v>
      </c>
      <c r="AA81">
        <v>0</v>
      </c>
      <c r="AB81">
        <v>7.87</v>
      </c>
      <c r="AC81">
        <v>0</v>
      </c>
      <c r="AD81">
        <v>1</v>
      </c>
      <c r="AE81">
        <v>1</v>
      </c>
      <c r="AF81" t="s">
        <v>25</v>
      </c>
      <c r="AG81">
        <v>17.4405</v>
      </c>
      <c r="AH81">
        <v>2</v>
      </c>
      <c r="AI81">
        <v>86327335</v>
      </c>
      <c r="AJ81">
        <v>101</v>
      </c>
      <c r="AK81">
        <v>0</v>
      </c>
      <c r="AL81">
        <v>0</v>
      </c>
      <c r="AM81">
        <v>0</v>
      </c>
      <c r="AN81">
        <v>0</v>
      </c>
      <c r="AO81">
        <v>0</v>
      </c>
      <c r="AP81">
        <v>0</v>
      </c>
      <c r="AQ81">
        <v>0</v>
      </c>
      <c r="AR81">
        <v>0</v>
      </c>
    </row>
    <row r="82" spans="1:44" x14ac:dyDescent="0.2">
      <c r="A82">
        <f>ROW(Source!A120)</f>
        <v>120</v>
      </c>
      <c r="B82">
        <v>86327344</v>
      </c>
      <c r="C82">
        <v>86327334</v>
      </c>
      <c r="D82">
        <v>121548</v>
      </c>
      <c r="E82">
        <v>1</v>
      </c>
      <c r="F82">
        <v>1</v>
      </c>
      <c r="G82">
        <v>1</v>
      </c>
      <c r="H82">
        <v>1</v>
      </c>
      <c r="I82" t="s">
        <v>40</v>
      </c>
      <c r="J82" t="s">
        <v>6</v>
      </c>
      <c r="K82" t="s">
        <v>626</v>
      </c>
      <c r="L82">
        <v>608254</v>
      </c>
      <c r="N82">
        <v>1013</v>
      </c>
      <c r="O82" t="s">
        <v>627</v>
      </c>
      <c r="P82" t="s">
        <v>627</v>
      </c>
      <c r="Q82">
        <v>1</v>
      </c>
      <c r="X82">
        <v>5.04</v>
      </c>
      <c r="Y82">
        <v>0</v>
      </c>
      <c r="Z82">
        <v>0</v>
      </c>
      <c r="AA82">
        <v>0</v>
      </c>
      <c r="AB82">
        <v>0</v>
      </c>
      <c r="AC82">
        <v>0</v>
      </c>
      <c r="AD82">
        <v>1</v>
      </c>
      <c r="AE82">
        <v>2</v>
      </c>
      <c r="AF82" t="s">
        <v>24</v>
      </c>
      <c r="AG82">
        <v>5.6448000000000009</v>
      </c>
      <c r="AH82">
        <v>2</v>
      </c>
      <c r="AI82">
        <v>86327336</v>
      </c>
      <c r="AJ82">
        <v>102</v>
      </c>
      <c r="AK82">
        <v>0</v>
      </c>
      <c r="AL82">
        <v>0</v>
      </c>
      <c r="AM82">
        <v>0</v>
      </c>
      <c r="AN82">
        <v>0</v>
      </c>
      <c r="AO82">
        <v>0</v>
      </c>
      <c r="AP82">
        <v>0</v>
      </c>
      <c r="AQ82">
        <v>0</v>
      </c>
      <c r="AR82">
        <v>0</v>
      </c>
    </row>
    <row r="83" spans="1:44" x14ac:dyDescent="0.2">
      <c r="A83">
        <f>ROW(Source!A120)</f>
        <v>120</v>
      </c>
      <c r="B83">
        <v>86327345</v>
      </c>
      <c r="C83">
        <v>86327334</v>
      </c>
      <c r="D83">
        <v>27439418</v>
      </c>
      <c r="E83">
        <v>1</v>
      </c>
      <c r="F83">
        <v>1</v>
      </c>
      <c r="G83">
        <v>1</v>
      </c>
      <c r="H83">
        <v>2</v>
      </c>
      <c r="I83" t="s">
        <v>652</v>
      </c>
      <c r="J83" t="s">
        <v>653</v>
      </c>
      <c r="K83" t="s">
        <v>654</v>
      </c>
      <c r="L83">
        <v>1368</v>
      </c>
      <c r="N83">
        <v>1011</v>
      </c>
      <c r="O83" t="s">
        <v>137</v>
      </c>
      <c r="P83" t="s">
        <v>137</v>
      </c>
      <c r="Q83">
        <v>1</v>
      </c>
      <c r="X83">
        <v>3</v>
      </c>
      <c r="Y83">
        <v>0</v>
      </c>
      <c r="Z83">
        <v>91.69</v>
      </c>
      <c r="AA83">
        <v>13.61</v>
      </c>
      <c r="AB83">
        <v>0</v>
      </c>
      <c r="AC83">
        <v>0</v>
      </c>
      <c r="AD83">
        <v>1</v>
      </c>
      <c r="AE83">
        <v>0</v>
      </c>
      <c r="AF83" t="s">
        <v>24</v>
      </c>
      <c r="AG83">
        <v>3.3600000000000003</v>
      </c>
      <c r="AH83">
        <v>3</v>
      </c>
      <c r="AI83">
        <v>-1</v>
      </c>
      <c r="AJ83" t="s">
        <v>6</v>
      </c>
      <c r="AK83">
        <v>4</v>
      </c>
      <c r="AL83">
        <v>0</v>
      </c>
      <c r="AM83">
        <v>-308.07840000000004</v>
      </c>
      <c r="AN83">
        <v>-45.729600000000005</v>
      </c>
      <c r="AO83">
        <v>0</v>
      </c>
      <c r="AP83">
        <v>0</v>
      </c>
      <c r="AQ83">
        <v>0</v>
      </c>
      <c r="AR83">
        <v>1</v>
      </c>
    </row>
    <row r="84" spans="1:44" x14ac:dyDescent="0.2">
      <c r="A84">
        <f>ROW(Source!A120)</f>
        <v>120</v>
      </c>
      <c r="B84">
        <v>86327346</v>
      </c>
      <c r="C84">
        <v>86327334</v>
      </c>
      <c r="D84">
        <v>27439499</v>
      </c>
      <c r="E84">
        <v>1</v>
      </c>
      <c r="F84">
        <v>1</v>
      </c>
      <c r="G84">
        <v>1</v>
      </c>
      <c r="H84">
        <v>2</v>
      </c>
      <c r="I84" t="s">
        <v>631</v>
      </c>
      <c r="J84" t="s">
        <v>632</v>
      </c>
      <c r="K84" t="s">
        <v>633</v>
      </c>
      <c r="L84">
        <v>1368</v>
      </c>
      <c r="N84">
        <v>1011</v>
      </c>
      <c r="O84" t="s">
        <v>137</v>
      </c>
      <c r="P84" t="s">
        <v>137</v>
      </c>
      <c r="Q84">
        <v>1</v>
      </c>
      <c r="X84">
        <v>0.44</v>
      </c>
      <c r="Y84">
        <v>0</v>
      </c>
      <c r="Z84">
        <v>112.67</v>
      </c>
      <c r="AA84">
        <v>13.61</v>
      </c>
      <c r="AB84">
        <v>0</v>
      </c>
      <c r="AC84">
        <v>0</v>
      </c>
      <c r="AD84">
        <v>1</v>
      </c>
      <c r="AE84">
        <v>0</v>
      </c>
      <c r="AF84" t="s">
        <v>24</v>
      </c>
      <c r="AG84">
        <v>0.49280000000000007</v>
      </c>
      <c r="AH84">
        <v>2</v>
      </c>
      <c r="AI84">
        <v>86327338</v>
      </c>
      <c r="AJ84">
        <v>104</v>
      </c>
      <c r="AK84">
        <v>0</v>
      </c>
      <c r="AL84">
        <v>0</v>
      </c>
      <c r="AM84">
        <v>0</v>
      </c>
      <c r="AN84">
        <v>0</v>
      </c>
      <c r="AO84">
        <v>0</v>
      </c>
      <c r="AP84">
        <v>0</v>
      </c>
      <c r="AQ84">
        <v>0</v>
      </c>
      <c r="AR84">
        <v>0</v>
      </c>
    </row>
    <row r="85" spans="1:44" x14ac:dyDescent="0.2">
      <c r="A85">
        <f>ROW(Source!A120)</f>
        <v>120</v>
      </c>
      <c r="B85">
        <v>86327347</v>
      </c>
      <c r="C85">
        <v>86327334</v>
      </c>
      <c r="D85">
        <v>27439640</v>
      </c>
      <c r="E85">
        <v>1</v>
      </c>
      <c r="F85">
        <v>1</v>
      </c>
      <c r="G85">
        <v>1</v>
      </c>
      <c r="H85">
        <v>2</v>
      </c>
      <c r="I85" t="s">
        <v>634</v>
      </c>
      <c r="J85" t="s">
        <v>635</v>
      </c>
      <c r="K85" t="s">
        <v>636</v>
      </c>
      <c r="L85">
        <v>1368</v>
      </c>
      <c r="N85">
        <v>1011</v>
      </c>
      <c r="O85" t="s">
        <v>137</v>
      </c>
      <c r="P85" t="s">
        <v>137</v>
      </c>
      <c r="Q85">
        <v>1</v>
      </c>
      <c r="X85">
        <v>1.6</v>
      </c>
      <c r="Y85">
        <v>0</v>
      </c>
      <c r="Z85">
        <v>56.1</v>
      </c>
      <c r="AA85">
        <v>13.61</v>
      </c>
      <c r="AB85">
        <v>0</v>
      </c>
      <c r="AC85">
        <v>0</v>
      </c>
      <c r="AD85">
        <v>1</v>
      </c>
      <c r="AE85">
        <v>0</v>
      </c>
      <c r="AF85" t="s">
        <v>24</v>
      </c>
      <c r="AG85">
        <v>1.7920000000000003</v>
      </c>
      <c r="AH85">
        <v>2</v>
      </c>
      <c r="AI85">
        <v>86327339</v>
      </c>
      <c r="AJ85">
        <v>105</v>
      </c>
      <c r="AK85">
        <v>0</v>
      </c>
      <c r="AL85">
        <v>0</v>
      </c>
      <c r="AM85">
        <v>0</v>
      </c>
      <c r="AN85">
        <v>0</v>
      </c>
      <c r="AO85">
        <v>0</v>
      </c>
      <c r="AP85">
        <v>0</v>
      </c>
      <c r="AQ85">
        <v>0</v>
      </c>
      <c r="AR85">
        <v>0</v>
      </c>
    </row>
    <row r="86" spans="1:44" x14ac:dyDescent="0.2">
      <c r="A86">
        <f>ROW(Source!A120)</f>
        <v>120</v>
      </c>
      <c r="B86">
        <v>86327348</v>
      </c>
      <c r="C86">
        <v>86327334</v>
      </c>
      <c r="D86">
        <v>27441327</v>
      </c>
      <c r="E86">
        <v>1</v>
      </c>
      <c r="F86">
        <v>1</v>
      </c>
      <c r="G86">
        <v>1</v>
      </c>
      <c r="H86">
        <v>2</v>
      </c>
      <c r="I86" t="s">
        <v>637</v>
      </c>
      <c r="J86" t="s">
        <v>638</v>
      </c>
      <c r="K86" t="s">
        <v>639</v>
      </c>
      <c r="L86">
        <v>1368</v>
      </c>
      <c r="N86">
        <v>1011</v>
      </c>
      <c r="O86" t="s">
        <v>137</v>
      </c>
      <c r="P86" t="s">
        <v>137</v>
      </c>
      <c r="Q86">
        <v>1</v>
      </c>
      <c r="X86">
        <v>0.55000000000000004</v>
      </c>
      <c r="Y86">
        <v>0</v>
      </c>
      <c r="Z86">
        <v>93.37</v>
      </c>
      <c r="AA86">
        <v>11.69</v>
      </c>
      <c r="AB86">
        <v>0</v>
      </c>
      <c r="AC86">
        <v>0</v>
      </c>
      <c r="AD86">
        <v>1</v>
      </c>
      <c r="AE86">
        <v>0</v>
      </c>
      <c r="AF86" t="s">
        <v>24</v>
      </c>
      <c r="AG86">
        <v>0.6160000000000001</v>
      </c>
      <c r="AH86">
        <v>2</v>
      </c>
      <c r="AI86">
        <v>86327340</v>
      </c>
      <c r="AJ86">
        <v>106</v>
      </c>
      <c r="AK86">
        <v>0</v>
      </c>
      <c r="AL86">
        <v>0</v>
      </c>
      <c r="AM86">
        <v>0</v>
      </c>
      <c r="AN86">
        <v>0</v>
      </c>
      <c r="AO86">
        <v>0</v>
      </c>
      <c r="AP86">
        <v>0</v>
      </c>
      <c r="AQ86">
        <v>0</v>
      </c>
      <c r="AR86">
        <v>0</v>
      </c>
    </row>
    <row r="87" spans="1:44" x14ac:dyDescent="0.2">
      <c r="A87">
        <f>ROW(Source!A120)</f>
        <v>120</v>
      </c>
      <c r="B87">
        <v>86327349</v>
      </c>
      <c r="C87">
        <v>86327334</v>
      </c>
      <c r="D87">
        <v>27378576</v>
      </c>
      <c r="E87">
        <v>1</v>
      </c>
      <c r="F87">
        <v>1</v>
      </c>
      <c r="G87">
        <v>1</v>
      </c>
      <c r="H87">
        <v>3</v>
      </c>
      <c r="I87" t="s">
        <v>703</v>
      </c>
      <c r="J87" t="s">
        <v>704</v>
      </c>
      <c r="K87" t="s">
        <v>32</v>
      </c>
      <c r="L87">
        <v>1348</v>
      </c>
      <c r="N87">
        <v>1009</v>
      </c>
      <c r="O87" t="s">
        <v>33</v>
      </c>
      <c r="P87" t="s">
        <v>33</v>
      </c>
      <c r="Q87">
        <v>1000</v>
      </c>
      <c r="X87">
        <v>6.0000000000000001E-3</v>
      </c>
      <c r="Y87">
        <v>12050</v>
      </c>
      <c r="Z87">
        <v>0</v>
      </c>
      <c r="AA87">
        <v>0</v>
      </c>
      <c r="AB87">
        <v>0</v>
      </c>
      <c r="AC87">
        <v>0</v>
      </c>
      <c r="AD87">
        <v>1</v>
      </c>
      <c r="AE87">
        <v>0</v>
      </c>
      <c r="AF87" t="s">
        <v>6</v>
      </c>
      <c r="AG87">
        <v>6.0000000000000001E-3</v>
      </c>
      <c r="AH87">
        <v>3</v>
      </c>
      <c r="AI87">
        <v>-1</v>
      </c>
      <c r="AJ87" t="s">
        <v>6</v>
      </c>
      <c r="AK87">
        <v>4</v>
      </c>
      <c r="AL87">
        <v>-72.3</v>
      </c>
      <c r="AM87">
        <v>0</v>
      </c>
      <c r="AN87">
        <v>0</v>
      </c>
      <c r="AO87">
        <v>0</v>
      </c>
      <c r="AP87">
        <v>0</v>
      </c>
      <c r="AQ87">
        <v>0</v>
      </c>
      <c r="AR87">
        <v>1</v>
      </c>
    </row>
    <row r="88" spans="1:44" x14ac:dyDescent="0.2">
      <c r="A88">
        <f>ROW(Source!A120)</f>
        <v>120</v>
      </c>
      <c r="B88">
        <v>86327350</v>
      </c>
      <c r="C88">
        <v>86327334</v>
      </c>
      <c r="D88">
        <v>27379786</v>
      </c>
      <c r="E88">
        <v>1</v>
      </c>
      <c r="F88">
        <v>1</v>
      </c>
      <c r="G88">
        <v>1</v>
      </c>
      <c r="H88">
        <v>3</v>
      </c>
      <c r="I88" t="s">
        <v>42</v>
      </c>
      <c r="J88" t="s">
        <v>45</v>
      </c>
      <c r="K88" t="s">
        <v>43</v>
      </c>
      <c r="L88">
        <v>1339</v>
      </c>
      <c r="N88">
        <v>1007</v>
      </c>
      <c r="O88" t="s">
        <v>44</v>
      </c>
      <c r="P88" t="s">
        <v>44</v>
      </c>
      <c r="Q88">
        <v>1</v>
      </c>
      <c r="X88">
        <v>3.7999999999999999E-2</v>
      </c>
      <c r="Y88">
        <v>1100</v>
      </c>
      <c r="Z88">
        <v>0</v>
      </c>
      <c r="AA88">
        <v>0</v>
      </c>
      <c r="AB88">
        <v>0</v>
      </c>
      <c r="AC88">
        <v>0</v>
      </c>
      <c r="AD88">
        <v>1</v>
      </c>
      <c r="AE88">
        <v>0</v>
      </c>
      <c r="AF88" t="s">
        <v>6</v>
      </c>
      <c r="AG88">
        <v>3.7999999999999999E-2</v>
      </c>
      <c r="AH88">
        <v>2</v>
      </c>
      <c r="AI88">
        <v>86327342</v>
      </c>
      <c r="AJ88">
        <v>108</v>
      </c>
      <c r="AK88">
        <v>3</v>
      </c>
      <c r="AL88">
        <v>-41.8</v>
      </c>
      <c r="AM88">
        <v>0</v>
      </c>
      <c r="AN88">
        <v>0</v>
      </c>
      <c r="AO88">
        <v>0</v>
      </c>
      <c r="AP88">
        <v>0</v>
      </c>
      <c r="AQ88">
        <v>0</v>
      </c>
      <c r="AR88">
        <v>1</v>
      </c>
    </row>
    <row r="89" spans="1:44" x14ac:dyDescent="0.2">
      <c r="A89">
        <f>ROW(Source!A125)</f>
        <v>125</v>
      </c>
      <c r="B89">
        <v>86327363</v>
      </c>
      <c r="C89">
        <v>86327353</v>
      </c>
      <c r="D89">
        <v>27493207</v>
      </c>
      <c r="E89">
        <v>1</v>
      </c>
      <c r="F89">
        <v>1</v>
      </c>
      <c r="G89">
        <v>1</v>
      </c>
      <c r="H89">
        <v>1</v>
      </c>
      <c r="I89" t="s">
        <v>623</v>
      </c>
      <c r="J89" t="s">
        <v>6</v>
      </c>
      <c r="K89" t="s">
        <v>624</v>
      </c>
      <c r="L89">
        <v>1369</v>
      </c>
      <c r="N89">
        <v>1013</v>
      </c>
      <c r="O89" t="s">
        <v>625</v>
      </c>
      <c r="P89" t="s">
        <v>625</v>
      </c>
      <c r="Q89">
        <v>1</v>
      </c>
      <c r="X89">
        <v>16.61</v>
      </c>
      <c r="Y89">
        <v>0</v>
      </c>
      <c r="Z89">
        <v>0</v>
      </c>
      <c r="AA89">
        <v>0</v>
      </c>
      <c r="AB89">
        <v>7.87</v>
      </c>
      <c r="AC89">
        <v>0</v>
      </c>
      <c r="AD89">
        <v>1</v>
      </c>
      <c r="AE89">
        <v>1</v>
      </c>
      <c r="AF89" t="s">
        <v>204</v>
      </c>
      <c r="AG89">
        <v>13.080375</v>
      </c>
      <c r="AH89">
        <v>2</v>
      </c>
      <c r="AI89">
        <v>86327354</v>
      </c>
      <c r="AJ89">
        <v>109</v>
      </c>
      <c r="AK89">
        <v>0</v>
      </c>
      <c r="AL89">
        <v>0</v>
      </c>
      <c r="AM89">
        <v>0</v>
      </c>
      <c r="AN89">
        <v>0</v>
      </c>
      <c r="AO89">
        <v>0</v>
      </c>
      <c r="AP89">
        <v>0</v>
      </c>
      <c r="AQ89">
        <v>0</v>
      </c>
      <c r="AR89">
        <v>0</v>
      </c>
    </row>
    <row r="90" spans="1:44" x14ac:dyDescent="0.2">
      <c r="A90">
        <f>ROW(Source!A125)</f>
        <v>125</v>
      </c>
      <c r="B90">
        <v>86327364</v>
      </c>
      <c r="C90">
        <v>86327353</v>
      </c>
      <c r="D90">
        <v>121548</v>
      </c>
      <c r="E90">
        <v>1</v>
      </c>
      <c r="F90">
        <v>1</v>
      </c>
      <c r="G90">
        <v>1</v>
      </c>
      <c r="H90">
        <v>1</v>
      </c>
      <c r="I90" t="s">
        <v>40</v>
      </c>
      <c r="J90" t="s">
        <v>6</v>
      </c>
      <c r="K90" t="s">
        <v>626</v>
      </c>
      <c r="L90">
        <v>608254</v>
      </c>
      <c r="N90">
        <v>1013</v>
      </c>
      <c r="O90" t="s">
        <v>627</v>
      </c>
      <c r="P90" t="s">
        <v>627</v>
      </c>
      <c r="Q90">
        <v>1</v>
      </c>
      <c r="X90">
        <v>5.04</v>
      </c>
      <c r="Y90">
        <v>0</v>
      </c>
      <c r="Z90">
        <v>0</v>
      </c>
      <c r="AA90">
        <v>0</v>
      </c>
      <c r="AB90">
        <v>0</v>
      </c>
      <c r="AC90">
        <v>0</v>
      </c>
      <c r="AD90">
        <v>1</v>
      </c>
      <c r="AE90">
        <v>2</v>
      </c>
      <c r="AF90" t="s">
        <v>203</v>
      </c>
      <c r="AG90">
        <v>4.5158400000000007</v>
      </c>
      <c r="AH90">
        <v>2</v>
      </c>
      <c r="AI90">
        <v>86327355</v>
      </c>
      <c r="AJ90">
        <v>110</v>
      </c>
      <c r="AK90">
        <v>0</v>
      </c>
      <c r="AL90">
        <v>0</v>
      </c>
      <c r="AM90">
        <v>0</v>
      </c>
      <c r="AN90">
        <v>0</v>
      </c>
      <c r="AO90">
        <v>0</v>
      </c>
      <c r="AP90">
        <v>0</v>
      </c>
      <c r="AQ90">
        <v>0</v>
      </c>
      <c r="AR90">
        <v>0</v>
      </c>
    </row>
    <row r="91" spans="1:44" x14ac:dyDescent="0.2">
      <c r="A91">
        <f>ROW(Source!A125)</f>
        <v>125</v>
      </c>
      <c r="B91">
        <v>86327365</v>
      </c>
      <c r="C91">
        <v>86327353</v>
      </c>
      <c r="D91">
        <v>27439418</v>
      </c>
      <c r="E91">
        <v>1</v>
      </c>
      <c r="F91">
        <v>1</v>
      </c>
      <c r="G91">
        <v>1</v>
      </c>
      <c r="H91">
        <v>2</v>
      </c>
      <c r="I91" t="s">
        <v>652</v>
      </c>
      <c r="J91" t="s">
        <v>653</v>
      </c>
      <c r="K91" t="s">
        <v>654</v>
      </c>
      <c r="L91">
        <v>1368</v>
      </c>
      <c r="N91">
        <v>1011</v>
      </c>
      <c r="O91" t="s">
        <v>137</v>
      </c>
      <c r="P91" t="s">
        <v>137</v>
      </c>
      <c r="Q91">
        <v>1</v>
      </c>
      <c r="X91">
        <v>3</v>
      </c>
      <c r="Y91">
        <v>0</v>
      </c>
      <c r="Z91">
        <v>91.69</v>
      </c>
      <c r="AA91">
        <v>13.61</v>
      </c>
      <c r="AB91">
        <v>0</v>
      </c>
      <c r="AC91">
        <v>0</v>
      </c>
      <c r="AD91">
        <v>1</v>
      </c>
      <c r="AE91">
        <v>0</v>
      </c>
      <c r="AF91" t="s">
        <v>203</v>
      </c>
      <c r="AG91">
        <v>2.6880000000000006</v>
      </c>
      <c r="AH91">
        <v>3</v>
      </c>
      <c r="AI91">
        <v>-1</v>
      </c>
      <c r="AJ91" t="s">
        <v>6</v>
      </c>
      <c r="AK91">
        <v>4</v>
      </c>
      <c r="AL91">
        <v>0</v>
      </c>
      <c r="AM91">
        <v>-246.46272000000005</v>
      </c>
      <c r="AN91">
        <v>-36.583680000000008</v>
      </c>
      <c r="AO91">
        <v>0</v>
      </c>
      <c r="AP91">
        <v>0</v>
      </c>
      <c r="AQ91">
        <v>0</v>
      </c>
      <c r="AR91">
        <v>1</v>
      </c>
    </row>
    <row r="92" spans="1:44" x14ac:dyDescent="0.2">
      <c r="A92">
        <f>ROW(Source!A125)</f>
        <v>125</v>
      </c>
      <c r="B92">
        <v>86327366</v>
      </c>
      <c r="C92">
        <v>86327353</v>
      </c>
      <c r="D92">
        <v>27439499</v>
      </c>
      <c r="E92">
        <v>1</v>
      </c>
      <c r="F92">
        <v>1</v>
      </c>
      <c r="G92">
        <v>1</v>
      </c>
      <c r="H92">
        <v>2</v>
      </c>
      <c r="I92" t="s">
        <v>631</v>
      </c>
      <c r="J92" t="s">
        <v>632</v>
      </c>
      <c r="K92" t="s">
        <v>633</v>
      </c>
      <c r="L92">
        <v>1368</v>
      </c>
      <c r="N92">
        <v>1011</v>
      </c>
      <c r="O92" t="s">
        <v>137</v>
      </c>
      <c r="P92" t="s">
        <v>137</v>
      </c>
      <c r="Q92">
        <v>1</v>
      </c>
      <c r="X92">
        <v>0.44</v>
      </c>
      <c r="Y92">
        <v>0</v>
      </c>
      <c r="Z92">
        <v>112.67</v>
      </c>
      <c r="AA92">
        <v>13.61</v>
      </c>
      <c r="AB92">
        <v>0</v>
      </c>
      <c r="AC92">
        <v>0</v>
      </c>
      <c r="AD92">
        <v>1</v>
      </c>
      <c r="AE92">
        <v>0</v>
      </c>
      <c r="AF92" t="s">
        <v>203</v>
      </c>
      <c r="AG92">
        <v>0.39424000000000009</v>
      </c>
      <c r="AH92">
        <v>2</v>
      </c>
      <c r="AI92">
        <v>86327357</v>
      </c>
      <c r="AJ92">
        <v>112</v>
      </c>
      <c r="AK92">
        <v>0</v>
      </c>
      <c r="AL92">
        <v>0</v>
      </c>
      <c r="AM92">
        <v>0</v>
      </c>
      <c r="AN92">
        <v>0</v>
      </c>
      <c r="AO92">
        <v>0</v>
      </c>
      <c r="AP92">
        <v>0</v>
      </c>
      <c r="AQ92">
        <v>0</v>
      </c>
      <c r="AR92">
        <v>0</v>
      </c>
    </row>
    <row r="93" spans="1:44" x14ac:dyDescent="0.2">
      <c r="A93">
        <f>ROW(Source!A125)</f>
        <v>125</v>
      </c>
      <c r="B93">
        <v>86327367</v>
      </c>
      <c r="C93">
        <v>86327353</v>
      </c>
      <c r="D93">
        <v>27439640</v>
      </c>
      <c r="E93">
        <v>1</v>
      </c>
      <c r="F93">
        <v>1</v>
      </c>
      <c r="G93">
        <v>1</v>
      </c>
      <c r="H93">
        <v>2</v>
      </c>
      <c r="I93" t="s">
        <v>634</v>
      </c>
      <c r="J93" t="s">
        <v>635</v>
      </c>
      <c r="K93" t="s">
        <v>636</v>
      </c>
      <c r="L93">
        <v>1368</v>
      </c>
      <c r="N93">
        <v>1011</v>
      </c>
      <c r="O93" t="s">
        <v>137</v>
      </c>
      <c r="P93" t="s">
        <v>137</v>
      </c>
      <c r="Q93">
        <v>1</v>
      </c>
      <c r="X93">
        <v>1.6</v>
      </c>
      <c r="Y93">
        <v>0</v>
      </c>
      <c r="Z93">
        <v>56.1</v>
      </c>
      <c r="AA93">
        <v>13.61</v>
      </c>
      <c r="AB93">
        <v>0</v>
      </c>
      <c r="AC93">
        <v>0</v>
      </c>
      <c r="AD93">
        <v>1</v>
      </c>
      <c r="AE93">
        <v>0</v>
      </c>
      <c r="AF93" t="s">
        <v>203</v>
      </c>
      <c r="AG93">
        <v>1.4336000000000002</v>
      </c>
      <c r="AH93">
        <v>2</v>
      </c>
      <c r="AI93">
        <v>86327358</v>
      </c>
      <c r="AJ93">
        <v>113</v>
      </c>
      <c r="AK93">
        <v>0</v>
      </c>
      <c r="AL93">
        <v>0</v>
      </c>
      <c r="AM93">
        <v>0</v>
      </c>
      <c r="AN93">
        <v>0</v>
      </c>
      <c r="AO93">
        <v>0</v>
      </c>
      <c r="AP93">
        <v>0</v>
      </c>
      <c r="AQ93">
        <v>0</v>
      </c>
      <c r="AR93">
        <v>0</v>
      </c>
    </row>
    <row r="94" spans="1:44" x14ac:dyDescent="0.2">
      <c r="A94">
        <f>ROW(Source!A125)</f>
        <v>125</v>
      </c>
      <c r="B94">
        <v>86327368</v>
      </c>
      <c r="C94">
        <v>86327353</v>
      </c>
      <c r="D94">
        <v>27441327</v>
      </c>
      <c r="E94">
        <v>1</v>
      </c>
      <c r="F94">
        <v>1</v>
      </c>
      <c r="G94">
        <v>1</v>
      </c>
      <c r="H94">
        <v>2</v>
      </c>
      <c r="I94" t="s">
        <v>637</v>
      </c>
      <c r="J94" t="s">
        <v>638</v>
      </c>
      <c r="K94" t="s">
        <v>639</v>
      </c>
      <c r="L94">
        <v>1368</v>
      </c>
      <c r="N94">
        <v>1011</v>
      </c>
      <c r="O94" t="s">
        <v>137</v>
      </c>
      <c r="P94" t="s">
        <v>137</v>
      </c>
      <c r="Q94">
        <v>1</v>
      </c>
      <c r="X94">
        <v>0.55000000000000004</v>
      </c>
      <c r="Y94">
        <v>0</v>
      </c>
      <c r="Z94">
        <v>93.37</v>
      </c>
      <c r="AA94">
        <v>11.69</v>
      </c>
      <c r="AB94">
        <v>0</v>
      </c>
      <c r="AC94">
        <v>0</v>
      </c>
      <c r="AD94">
        <v>1</v>
      </c>
      <c r="AE94">
        <v>0</v>
      </c>
      <c r="AF94" t="s">
        <v>203</v>
      </c>
      <c r="AG94">
        <v>0.49280000000000013</v>
      </c>
      <c r="AH94">
        <v>2</v>
      </c>
      <c r="AI94">
        <v>86327359</v>
      </c>
      <c r="AJ94">
        <v>114</v>
      </c>
      <c r="AK94">
        <v>0</v>
      </c>
      <c r="AL94">
        <v>0</v>
      </c>
      <c r="AM94">
        <v>0</v>
      </c>
      <c r="AN94">
        <v>0</v>
      </c>
      <c r="AO94">
        <v>0</v>
      </c>
      <c r="AP94">
        <v>0</v>
      </c>
      <c r="AQ94">
        <v>0</v>
      </c>
      <c r="AR94">
        <v>0</v>
      </c>
    </row>
    <row r="95" spans="1:44" x14ac:dyDescent="0.2">
      <c r="A95">
        <f>ROW(Source!A125)</f>
        <v>125</v>
      </c>
      <c r="B95">
        <v>86327369</v>
      </c>
      <c r="C95">
        <v>86327353</v>
      </c>
      <c r="D95">
        <v>27378576</v>
      </c>
      <c r="E95">
        <v>1</v>
      </c>
      <c r="F95">
        <v>1</v>
      </c>
      <c r="G95">
        <v>1</v>
      </c>
      <c r="H95">
        <v>3</v>
      </c>
      <c r="I95" t="s">
        <v>703</v>
      </c>
      <c r="J95" t="s">
        <v>704</v>
      </c>
      <c r="K95" t="s">
        <v>32</v>
      </c>
      <c r="L95">
        <v>1348</v>
      </c>
      <c r="N95">
        <v>1009</v>
      </c>
      <c r="O95" t="s">
        <v>33</v>
      </c>
      <c r="P95" t="s">
        <v>33</v>
      </c>
      <c r="Q95">
        <v>1000</v>
      </c>
      <c r="X95">
        <v>6.0000000000000001E-3</v>
      </c>
      <c r="Y95">
        <v>12050</v>
      </c>
      <c r="Z95">
        <v>0</v>
      </c>
      <c r="AA95">
        <v>0</v>
      </c>
      <c r="AB95">
        <v>0</v>
      </c>
      <c r="AC95">
        <v>0</v>
      </c>
      <c r="AD95">
        <v>1</v>
      </c>
      <c r="AE95">
        <v>0</v>
      </c>
      <c r="AF95" t="s">
        <v>6</v>
      </c>
      <c r="AG95">
        <v>6.0000000000000001E-3</v>
      </c>
      <c r="AH95">
        <v>3</v>
      </c>
      <c r="AI95">
        <v>-1</v>
      </c>
      <c r="AJ95" t="s">
        <v>6</v>
      </c>
      <c r="AK95">
        <v>4</v>
      </c>
      <c r="AL95">
        <v>-72.3</v>
      </c>
      <c r="AM95">
        <v>0</v>
      </c>
      <c r="AN95">
        <v>0</v>
      </c>
      <c r="AO95">
        <v>0</v>
      </c>
      <c r="AP95">
        <v>0</v>
      </c>
      <c r="AQ95">
        <v>0</v>
      </c>
      <c r="AR95">
        <v>1</v>
      </c>
    </row>
    <row r="96" spans="1:44" x14ac:dyDescent="0.2">
      <c r="A96">
        <f>ROW(Source!A125)</f>
        <v>125</v>
      </c>
      <c r="B96">
        <v>86327370</v>
      </c>
      <c r="C96">
        <v>86327353</v>
      </c>
      <c r="D96">
        <v>27379786</v>
      </c>
      <c r="E96">
        <v>1</v>
      </c>
      <c r="F96">
        <v>1</v>
      </c>
      <c r="G96">
        <v>1</v>
      </c>
      <c r="H96">
        <v>3</v>
      </c>
      <c r="I96" t="s">
        <v>42</v>
      </c>
      <c r="J96" t="s">
        <v>45</v>
      </c>
      <c r="K96" t="s">
        <v>43</v>
      </c>
      <c r="L96">
        <v>1339</v>
      </c>
      <c r="N96">
        <v>1007</v>
      </c>
      <c r="O96" t="s">
        <v>44</v>
      </c>
      <c r="P96" t="s">
        <v>44</v>
      </c>
      <c r="Q96">
        <v>1</v>
      </c>
      <c r="X96">
        <v>3.7999999999999999E-2</v>
      </c>
      <c r="Y96">
        <v>1100</v>
      </c>
      <c r="Z96">
        <v>0</v>
      </c>
      <c r="AA96">
        <v>0</v>
      </c>
      <c r="AB96">
        <v>0</v>
      </c>
      <c r="AC96">
        <v>0</v>
      </c>
      <c r="AD96">
        <v>1</v>
      </c>
      <c r="AE96">
        <v>0</v>
      </c>
      <c r="AF96" t="s">
        <v>6</v>
      </c>
      <c r="AG96">
        <v>3.7999999999999999E-2</v>
      </c>
      <c r="AH96">
        <v>3</v>
      </c>
      <c r="AI96">
        <v>-1</v>
      </c>
      <c r="AJ96" t="s">
        <v>6</v>
      </c>
      <c r="AK96">
        <v>4</v>
      </c>
      <c r="AL96">
        <v>-41.8</v>
      </c>
      <c r="AM96">
        <v>0</v>
      </c>
      <c r="AN96">
        <v>0</v>
      </c>
      <c r="AO96">
        <v>0</v>
      </c>
      <c r="AP96">
        <v>0</v>
      </c>
      <c r="AQ96">
        <v>0</v>
      </c>
      <c r="AR96">
        <v>1</v>
      </c>
    </row>
    <row r="97" spans="1:44" x14ac:dyDescent="0.2">
      <c r="A97">
        <f>ROW(Source!A126)</f>
        <v>126</v>
      </c>
      <c r="B97">
        <v>86327363</v>
      </c>
      <c r="C97">
        <v>86327353</v>
      </c>
      <c r="D97">
        <v>27493207</v>
      </c>
      <c r="E97">
        <v>1</v>
      </c>
      <c r="F97">
        <v>1</v>
      </c>
      <c r="G97">
        <v>1</v>
      </c>
      <c r="H97">
        <v>1</v>
      </c>
      <c r="I97" t="s">
        <v>623</v>
      </c>
      <c r="J97" t="s">
        <v>6</v>
      </c>
      <c r="K97" t="s">
        <v>624</v>
      </c>
      <c r="L97">
        <v>1369</v>
      </c>
      <c r="N97">
        <v>1013</v>
      </c>
      <c r="O97" t="s">
        <v>625</v>
      </c>
      <c r="P97" t="s">
        <v>625</v>
      </c>
      <c r="Q97">
        <v>1</v>
      </c>
      <c r="X97">
        <v>16.61</v>
      </c>
      <c r="Y97">
        <v>0</v>
      </c>
      <c r="Z97">
        <v>0</v>
      </c>
      <c r="AA97">
        <v>0</v>
      </c>
      <c r="AB97">
        <v>7.87</v>
      </c>
      <c r="AC97">
        <v>0</v>
      </c>
      <c r="AD97">
        <v>1</v>
      </c>
      <c r="AE97">
        <v>1</v>
      </c>
      <c r="AF97" t="s">
        <v>204</v>
      </c>
      <c r="AG97">
        <v>13.080375</v>
      </c>
      <c r="AH97">
        <v>2</v>
      </c>
      <c r="AI97">
        <v>86327354</v>
      </c>
      <c r="AJ97">
        <v>118</v>
      </c>
      <c r="AK97">
        <v>0</v>
      </c>
      <c r="AL97">
        <v>0</v>
      </c>
      <c r="AM97">
        <v>0</v>
      </c>
      <c r="AN97">
        <v>0</v>
      </c>
      <c r="AO97">
        <v>0</v>
      </c>
      <c r="AP97">
        <v>0</v>
      </c>
      <c r="AQ97">
        <v>0</v>
      </c>
      <c r="AR97">
        <v>0</v>
      </c>
    </row>
    <row r="98" spans="1:44" x14ac:dyDescent="0.2">
      <c r="A98">
        <f>ROW(Source!A126)</f>
        <v>126</v>
      </c>
      <c r="B98">
        <v>86327364</v>
      </c>
      <c r="C98">
        <v>86327353</v>
      </c>
      <c r="D98">
        <v>121548</v>
      </c>
      <c r="E98">
        <v>1</v>
      </c>
      <c r="F98">
        <v>1</v>
      </c>
      <c r="G98">
        <v>1</v>
      </c>
      <c r="H98">
        <v>1</v>
      </c>
      <c r="I98" t="s">
        <v>40</v>
      </c>
      <c r="J98" t="s">
        <v>6</v>
      </c>
      <c r="K98" t="s">
        <v>626</v>
      </c>
      <c r="L98">
        <v>608254</v>
      </c>
      <c r="N98">
        <v>1013</v>
      </c>
      <c r="O98" t="s">
        <v>627</v>
      </c>
      <c r="P98" t="s">
        <v>627</v>
      </c>
      <c r="Q98">
        <v>1</v>
      </c>
      <c r="X98">
        <v>5.04</v>
      </c>
      <c r="Y98">
        <v>0</v>
      </c>
      <c r="Z98">
        <v>0</v>
      </c>
      <c r="AA98">
        <v>0</v>
      </c>
      <c r="AB98">
        <v>0</v>
      </c>
      <c r="AC98">
        <v>0</v>
      </c>
      <c r="AD98">
        <v>1</v>
      </c>
      <c r="AE98">
        <v>2</v>
      </c>
      <c r="AF98" t="s">
        <v>203</v>
      </c>
      <c r="AG98">
        <v>4.5158400000000007</v>
      </c>
      <c r="AH98">
        <v>2</v>
      </c>
      <c r="AI98">
        <v>86327355</v>
      </c>
      <c r="AJ98">
        <v>119</v>
      </c>
      <c r="AK98">
        <v>0</v>
      </c>
      <c r="AL98">
        <v>0</v>
      </c>
      <c r="AM98">
        <v>0</v>
      </c>
      <c r="AN98">
        <v>0</v>
      </c>
      <c r="AO98">
        <v>0</v>
      </c>
      <c r="AP98">
        <v>0</v>
      </c>
      <c r="AQ98">
        <v>0</v>
      </c>
      <c r="AR98">
        <v>0</v>
      </c>
    </row>
    <row r="99" spans="1:44" x14ac:dyDescent="0.2">
      <c r="A99">
        <f>ROW(Source!A126)</f>
        <v>126</v>
      </c>
      <c r="B99">
        <v>86327365</v>
      </c>
      <c r="C99">
        <v>86327353</v>
      </c>
      <c r="D99">
        <v>27439418</v>
      </c>
      <c r="E99">
        <v>1</v>
      </c>
      <c r="F99">
        <v>1</v>
      </c>
      <c r="G99">
        <v>1</v>
      </c>
      <c r="H99">
        <v>2</v>
      </c>
      <c r="I99" t="s">
        <v>652</v>
      </c>
      <c r="J99" t="s">
        <v>653</v>
      </c>
      <c r="K99" t="s">
        <v>654</v>
      </c>
      <c r="L99">
        <v>1368</v>
      </c>
      <c r="N99">
        <v>1011</v>
      </c>
      <c r="O99" t="s">
        <v>137</v>
      </c>
      <c r="P99" t="s">
        <v>137</v>
      </c>
      <c r="Q99">
        <v>1</v>
      </c>
      <c r="X99">
        <v>3</v>
      </c>
      <c r="Y99">
        <v>0</v>
      </c>
      <c r="Z99">
        <v>91.69</v>
      </c>
      <c r="AA99">
        <v>13.61</v>
      </c>
      <c r="AB99">
        <v>0</v>
      </c>
      <c r="AC99">
        <v>0</v>
      </c>
      <c r="AD99">
        <v>1</v>
      </c>
      <c r="AE99">
        <v>0</v>
      </c>
      <c r="AF99" t="s">
        <v>203</v>
      </c>
      <c r="AG99">
        <v>2.6880000000000006</v>
      </c>
      <c r="AH99">
        <v>3</v>
      </c>
      <c r="AI99">
        <v>-1</v>
      </c>
      <c r="AJ99" t="s">
        <v>6</v>
      </c>
      <c r="AK99">
        <v>4</v>
      </c>
      <c r="AL99">
        <v>0</v>
      </c>
      <c r="AM99">
        <v>-246.46272000000005</v>
      </c>
      <c r="AN99">
        <v>-36.583680000000008</v>
      </c>
      <c r="AO99">
        <v>0</v>
      </c>
      <c r="AP99">
        <v>0</v>
      </c>
      <c r="AQ99">
        <v>0</v>
      </c>
      <c r="AR99">
        <v>1</v>
      </c>
    </row>
    <row r="100" spans="1:44" x14ac:dyDescent="0.2">
      <c r="A100">
        <f>ROW(Source!A126)</f>
        <v>126</v>
      </c>
      <c r="B100">
        <v>86327366</v>
      </c>
      <c r="C100">
        <v>86327353</v>
      </c>
      <c r="D100">
        <v>27439499</v>
      </c>
      <c r="E100">
        <v>1</v>
      </c>
      <c r="F100">
        <v>1</v>
      </c>
      <c r="G100">
        <v>1</v>
      </c>
      <c r="H100">
        <v>2</v>
      </c>
      <c r="I100" t="s">
        <v>631</v>
      </c>
      <c r="J100" t="s">
        <v>632</v>
      </c>
      <c r="K100" t="s">
        <v>633</v>
      </c>
      <c r="L100">
        <v>1368</v>
      </c>
      <c r="N100">
        <v>1011</v>
      </c>
      <c r="O100" t="s">
        <v>137</v>
      </c>
      <c r="P100" t="s">
        <v>137</v>
      </c>
      <c r="Q100">
        <v>1</v>
      </c>
      <c r="X100">
        <v>0.44</v>
      </c>
      <c r="Y100">
        <v>0</v>
      </c>
      <c r="Z100">
        <v>112.67</v>
      </c>
      <c r="AA100">
        <v>13.61</v>
      </c>
      <c r="AB100">
        <v>0</v>
      </c>
      <c r="AC100">
        <v>0</v>
      </c>
      <c r="AD100">
        <v>1</v>
      </c>
      <c r="AE100">
        <v>0</v>
      </c>
      <c r="AF100" t="s">
        <v>203</v>
      </c>
      <c r="AG100">
        <v>0.39424000000000009</v>
      </c>
      <c r="AH100">
        <v>2</v>
      </c>
      <c r="AI100">
        <v>86327357</v>
      </c>
      <c r="AJ100">
        <v>121</v>
      </c>
      <c r="AK100">
        <v>0</v>
      </c>
      <c r="AL100">
        <v>0</v>
      </c>
      <c r="AM100">
        <v>0</v>
      </c>
      <c r="AN100">
        <v>0</v>
      </c>
      <c r="AO100">
        <v>0</v>
      </c>
      <c r="AP100">
        <v>0</v>
      </c>
      <c r="AQ100">
        <v>0</v>
      </c>
      <c r="AR100">
        <v>0</v>
      </c>
    </row>
    <row r="101" spans="1:44" x14ac:dyDescent="0.2">
      <c r="A101">
        <f>ROW(Source!A126)</f>
        <v>126</v>
      </c>
      <c r="B101">
        <v>86327367</v>
      </c>
      <c r="C101">
        <v>86327353</v>
      </c>
      <c r="D101">
        <v>27439640</v>
      </c>
      <c r="E101">
        <v>1</v>
      </c>
      <c r="F101">
        <v>1</v>
      </c>
      <c r="G101">
        <v>1</v>
      </c>
      <c r="H101">
        <v>2</v>
      </c>
      <c r="I101" t="s">
        <v>634</v>
      </c>
      <c r="J101" t="s">
        <v>635</v>
      </c>
      <c r="K101" t="s">
        <v>636</v>
      </c>
      <c r="L101">
        <v>1368</v>
      </c>
      <c r="N101">
        <v>1011</v>
      </c>
      <c r="O101" t="s">
        <v>137</v>
      </c>
      <c r="P101" t="s">
        <v>137</v>
      </c>
      <c r="Q101">
        <v>1</v>
      </c>
      <c r="X101">
        <v>1.6</v>
      </c>
      <c r="Y101">
        <v>0</v>
      </c>
      <c r="Z101">
        <v>56.1</v>
      </c>
      <c r="AA101">
        <v>13.61</v>
      </c>
      <c r="AB101">
        <v>0</v>
      </c>
      <c r="AC101">
        <v>0</v>
      </c>
      <c r="AD101">
        <v>1</v>
      </c>
      <c r="AE101">
        <v>0</v>
      </c>
      <c r="AF101" t="s">
        <v>203</v>
      </c>
      <c r="AG101">
        <v>1.4336000000000002</v>
      </c>
      <c r="AH101">
        <v>2</v>
      </c>
      <c r="AI101">
        <v>86327358</v>
      </c>
      <c r="AJ101">
        <v>122</v>
      </c>
      <c r="AK101">
        <v>0</v>
      </c>
      <c r="AL101">
        <v>0</v>
      </c>
      <c r="AM101">
        <v>0</v>
      </c>
      <c r="AN101">
        <v>0</v>
      </c>
      <c r="AO101">
        <v>0</v>
      </c>
      <c r="AP101">
        <v>0</v>
      </c>
      <c r="AQ101">
        <v>0</v>
      </c>
      <c r="AR101">
        <v>0</v>
      </c>
    </row>
    <row r="102" spans="1:44" x14ac:dyDescent="0.2">
      <c r="A102">
        <f>ROW(Source!A126)</f>
        <v>126</v>
      </c>
      <c r="B102">
        <v>86327368</v>
      </c>
      <c r="C102">
        <v>86327353</v>
      </c>
      <c r="D102">
        <v>27441327</v>
      </c>
      <c r="E102">
        <v>1</v>
      </c>
      <c r="F102">
        <v>1</v>
      </c>
      <c r="G102">
        <v>1</v>
      </c>
      <c r="H102">
        <v>2</v>
      </c>
      <c r="I102" t="s">
        <v>637</v>
      </c>
      <c r="J102" t="s">
        <v>638</v>
      </c>
      <c r="K102" t="s">
        <v>639</v>
      </c>
      <c r="L102">
        <v>1368</v>
      </c>
      <c r="N102">
        <v>1011</v>
      </c>
      <c r="O102" t="s">
        <v>137</v>
      </c>
      <c r="P102" t="s">
        <v>137</v>
      </c>
      <c r="Q102">
        <v>1</v>
      </c>
      <c r="X102">
        <v>0.55000000000000004</v>
      </c>
      <c r="Y102">
        <v>0</v>
      </c>
      <c r="Z102">
        <v>93.37</v>
      </c>
      <c r="AA102">
        <v>11.69</v>
      </c>
      <c r="AB102">
        <v>0</v>
      </c>
      <c r="AC102">
        <v>0</v>
      </c>
      <c r="AD102">
        <v>1</v>
      </c>
      <c r="AE102">
        <v>0</v>
      </c>
      <c r="AF102" t="s">
        <v>203</v>
      </c>
      <c r="AG102">
        <v>0.49280000000000013</v>
      </c>
      <c r="AH102">
        <v>2</v>
      </c>
      <c r="AI102">
        <v>86327359</v>
      </c>
      <c r="AJ102">
        <v>123</v>
      </c>
      <c r="AK102">
        <v>0</v>
      </c>
      <c r="AL102">
        <v>0</v>
      </c>
      <c r="AM102">
        <v>0</v>
      </c>
      <c r="AN102">
        <v>0</v>
      </c>
      <c r="AO102">
        <v>0</v>
      </c>
      <c r="AP102">
        <v>0</v>
      </c>
      <c r="AQ102">
        <v>0</v>
      </c>
      <c r="AR102">
        <v>0</v>
      </c>
    </row>
    <row r="103" spans="1:44" x14ac:dyDescent="0.2">
      <c r="A103">
        <f>ROW(Source!A126)</f>
        <v>126</v>
      </c>
      <c r="B103">
        <v>86327369</v>
      </c>
      <c r="C103">
        <v>86327353</v>
      </c>
      <c r="D103">
        <v>27378576</v>
      </c>
      <c r="E103">
        <v>1</v>
      </c>
      <c r="F103">
        <v>1</v>
      </c>
      <c r="G103">
        <v>1</v>
      </c>
      <c r="H103">
        <v>3</v>
      </c>
      <c r="I103" t="s">
        <v>703</v>
      </c>
      <c r="J103" t="s">
        <v>704</v>
      </c>
      <c r="K103" t="s">
        <v>32</v>
      </c>
      <c r="L103">
        <v>1348</v>
      </c>
      <c r="N103">
        <v>1009</v>
      </c>
      <c r="O103" t="s">
        <v>33</v>
      </c>
      <c r="P103" t="s">
        <v>33</v>
      </c>
      <c r="Q103">
        <v>1000</v>
      </c>
      <c r="X103">
        <v>6.0000000000000001E-3</v>
      </c>
      <c r="Y103">
        <v>12050</v>
      </c>
      <c r="Z103">
        <v>0</v>
      </c>
      <c r="AA103">
        <v>0</v>
      </c>
      <c r="AB103">
        <v>0</v>
      </c>
      <c r="AC103">
        <v>0</v>
      </c>
      <c r="AD103">
        <v>1</v>
      </c>
      <c r="AE103">
        <v>0</v>
      </c>
      <c r="AF103" t="s">
        <v>6</v>
      </c>
      <c r="AG103">
        <v>6.0000000000000001E-3</v>
      </c>
      <c r="AH103">
        <v>3</v>
      </c>
      <c r="AI103">
        <v>-1</v>
      </c>
      <c r="AJ103" t="s">
        <v>6</v>
      </c>
      <c r="AK103">
        <v>4</v>
      </c>
      <c r="AL103">
        <v>-72.3</v>
      </c>
      <c r="AM103">
        <v>0</v>
      </c>
      <c r="AN103">
        <v>0</v>
      </c>
      <c r="AO103">
        <v>0</v>
      </c>
      <c r="AP103">
        <v>0</v>
      </c>
      <c r="AQ103">
        <v>0</v>
      </c>
      <c r="AR103">
        <v>1</v>
      </c>
    </row>
    <row r="104" spans="1:44" x14ac:dyDescent="0.2">
      <c r="A104">
        <f>ROW(Source!A126)</f>
        <v>126</v>
      </c>
      <c r="B104">
        <v>86327370</v>
      </c>
      <c r="C104">
        <v>86327353</v>
      </c>
      <c r="D104">
        <v>27379786</v>
      </c>
      <c r="E104">
        <v>1</v>
      </c>
      <c r="F104">
        <v>1</v>
      </c>
      <c r="G104">
        <v>1</v>
      </c>
      <c r="H104">
        <v>3</v>
      </c>
      <c r="I104" t="s">
        <v>42</v>
      </c>
      <c r="J104" t="s">
        <v>45</v>
      </c>
      <c r="K104" t="s">
        <v>43</v>
      </c>
      <c r="L104">
        <v>1339</v>
      </c>
      <c r="N104">
        <v>1007</v>
      </c>
      <c r="O104" t="s">
        <v>44</v>
      </c>
      <c r="P104" t="s">
        <v>44</v>
      </c>
      <c r="Q104">
        <v>1</v>
      </c>
      <c r="X104">
        <v>3.7999999999999999E-2</v>
      </c>
      <c r="Y104">
        <v>1100</v>
      </c>
      <c r="Z104">
        <v>0</v>
      </c>
      <c r="AA104">
        <v>0</v>
      </c>
      <c r="AB104">
        <v>0</v>
      </c>
      <c r="AC104">
        <v>0</v>
      </c>
      <c r="AD104">
        <v>1</v>
      </c>
      <c r="AE104">
        <v>0</v>
      </c>
      <c r="AF104" t="s">
        <v>6</v>
      </c>
      <c r="AG104">
        <v>3.7999999999999999E-2</v>
      </c>
      <c r="AH104">
        <v>3</v>
      </c>
      <c r="AI104">
        <v>-1</v>
      </c>
      <c r="AJ104" t="s">
        <v>6</v>
      </c>
      <c r="AK104">
        <v>4</v>
      </c>
      <c r="AL104">
        <v>-41.8</v>
      </c>
      <c r="AM104">
        <v>0</v>
      </c>
      <c r="AN104">
        <v>0</v>
      </c>
      <c r="AO104">
        <v>0</v>
      </c>
      <c r="AP104">
        <v>0</v>
      </c>
      <c r="AQ104">
        <v>0</v>
      </c>
      <c r="AR104">
        <v>1</v>
      </c>
    </row>
    <row r="105" spans="1:44" x14ac:dyDescent="0.2">
      <c r="A105">
        <f>ROW(Source!A133)</f>
        <v>133</v>
      </c>
      <c r="B105">
        <v>86327381</v>
      </c>
      <c r="C105">
        <v>86327374</v>
      </c>
      <c r="D105">
        <v>5511010</v>
      </c>
      <c r="E105">
        <v>1</v>
      </c>
      <c r="F105">
        <v>1</v>
      </c>
      <c r="G105">
        <v>1</v>
      </c>
      <c r="H105">
        <v>1</v>
      </c>
      <c r="I105" t="s">
        <v>640</v>
      </c>
      <c r="J105" t="s">
        <v>6</v>
      </c>
      <c r="K105" t="s">
        <v>641</v>
      </c>
      <c r="L105">
        <v>1369</v>
      </c>
      <c r="N105">
        <v>1013</v>
      </c>
      <c r="O105" t="s">
        <v>625</v>
      </c>
      <c r="P105" t="s">
        <v>625</v>
      </c>
      <c r="Q105">
        <v>1</v>
      </c>
      <c r="X105">
        <v>51.533999999999999</v>
      </c>
      <c r="Y105">
        <v>0</v>
      </c>
      <c r="Z105">
        <v>0</v>
      </c>
      <c r="AA105">
        <v>0</v>
      </c>
      <c r="AB105">
        <v>11.92</v>
      </c>
      <c r="AC105">
        <v>0</v>
      </c>
      <c r="AD105">
        <v>1</v>
      </c>
      <c r="AE105">
        <v>1</v>
      </c>
      <c r="AF105" t="s">
        <v>25</v>
      </c>
      <c r="AG105">
        <v>54.110700000000001</v>
      </c>
      <c r="AH105">
        <v>2</v>
      </c>
      <c r="AI105">
        <v>86327375</v>
      </c>
      <c r="AJ105">
        <v>127</v>
      </c>
      <c r="AK105">
        <v>0</v>
      </c>
      <c r="AL105">
        <v>0</v>
      </c>
      <c r="AM105">
        <v>0</v>
      </c>
      <c r="AN105">
        <v>0</v>
      </c>
      <c r="AO105">
        <v>0</v>
      </c>
      <c r="AP105">
        <v>0</v>
      </c>
      <c r="AQ105">
        <v>0</v>
      </c>
      <c r="AR105">
        <v>0</v>
      </c>
    </row>
    <row r="106" spans="1:44" x14ac:dyDescent="0.2">
      <c r="A106">
        <f>ROW(Source!A133)</f>
        <v>133</v>
      </c>
      <c r="B106">
        <v>86327382</v>
      </c>
      <c r="C106">
        <v>86327374</v>
      </c>
      <c r="D106">
        <v>121548</v>
      </c>
      <c r="E106">
        <v>1</v>
      </c>
      <c r="F106">
        <v>1</v>
      </c>
      <c r="G106">
        <v>1</v>
      </c>
      <c r="H106">
        <v>1</v>
      </c>
      <c r="I106" t="s">
        <v>40</v>
      </c>
      <c r="J106" t="s">
        <v>6</v>
      </c>
      <c r="K106" t="s">
        <v>626</v>
      </c>
      <c r="L106">
        <v>608254</v>
      </c>
      <c r="N106">
        <v>1013</v>
      </c>
      <c r="O106" t="s">
        <v>627</v>
      </c>
      <c r="P106" t="s">
        <v>627</v>
      </c>
      <c r="Q106">
        <v>1</v>
      </c>
      <c r="X106">
        <v>0.46</v>
      </c>
      <c r="Y106">
        <v>0</v>
      </c>
      <c r="Z106">
        <v>0</v>
      </c>
      <c r="AA106">
        <v>0</v>
      </c>
      <c r="AB106">
        <v>0</v>
      </c>
      <c r="AC106">
        <v>0</v>
      </c>
      <c r="AD106">
        <v>1</v>
      </c>
      <c r="AE106">
        <v>2</v>
      </c>
      <c r="AF106" t="s">
        <v>24</v>
      </c>
      <c r="AG106">
        <v>0.5152000000000001</v>
      </c>
      <c r="AH106">
        <v>2</v>
      </c>
      <c r="AI106">
        <v>86327376</v>
      </c>
      <c r="AJ106">
        <v>128</v>
      </c>
      <c r="AK106">
        <v>0</v>
      </c>
      <c r="AL106">
        <v>0</v>
      </c>
      <c r="AM106">
        <v>0</v>
      </c>
      <c r="AN106">
        <v>0</v>
      </c>
      <c r="AO106">
        <v>0</v>
      </c>
      <c r="AP106">
        <v>0</v>
      </c>
      <c r="AQ106">
        <v>0</v>
      </c>
      <c r="AR106">
        <v>0</v>
      </c>
    </row>
    <row r="107" spans="1:44" x14ac:dyDescent="0.2">
      <c r="A107">
        <f>ROW(Source!A133)</f>
        <v>133</v>
      </c>
      <c r="B107">
        <v>86327383</v>
      </c>
      <c r="C107">
        <v>86327374</v>
      </c>
      <c r="D107">
        <v>35950917</v>
      </c>
      <c r="E107">
        <v>1</v>
      </c>
      <c r="F107">
        <v>1</v>
      </c>
      <c r="G107">
        <v>1</v>
      </c>
      <c r="H107">
        <v>2</v>
      </c>
      <c r="I107" t="s">
        <v>628</v>
      </c>
      <c r="J107" t="s">
        <v>642</v>
      </c>
      <c r="K107" t="s">
        <v>643</v>
      </c>
      <c r="L107">
        <v>1368</v>
      </c>
      <c r="N107">
        <v>1011</v>
      </c>
      <c r="O107" t="s">
        <v>137</v>
      </c>
      <c r="P107" t="s">
        <v>137</v>
      </c>
      <c r="Q107">
        <v>1</v>
      </c>
      <c r="X107">
        <v>0.36</v>
      </c>
      <c r="Y107">
        <v>0</v>
      </c>
      <c r="Z107">
        <v>115.64</v>
      </c>
      <c r="AA107">
        <v>11.18</v>
      </c>
      <c r="AB107">
        <v>0</v>
      </c>
      <c r="AC107">
        <v>0</v>
      </c>
      <c r="AD107">
        <v>1</v>
      </c>
      <c r="AE107">
        <v>0</v>
      </c>
      <c r="AF107" t="s">
        <v>24</v>
      </c>
      <c r="AG107">
        <v>0.4032</v>
      </c>
      <c r="AH107">
        <v>2</v>
      </c>
      <c r="AI107">
        <v>86327377</v>
      </c>
      <c r="AJ107">
        <v>129</v>
      </c>
      <c r="AK107">
        <v>0</v>
      </c>
      <c r="AL107">
        <v>0</v>
      </c>
      <c r="AM107">
        <v>0</v>
      </c>
      <c r="AN107">
        <v>0</v>
      </c>
      <c r="AO107">
        <v>0</v>
      </c>
      <c r="AP107">
        <v>0</v>
      </c>
      <c r="AQ107">
        <v>0</v>
      </c>
      <c r="AR107">
        <v>0</v>
      </c>
    </row>
    <row r="108" spans="1:44" x14ac:dyDescent="0.2">
      <c r="A108">
        <f>ROW(Source!A133)</f>
        <v>133</v>
      </c>
      <c r="B108">
        <v>86327384</v>
      </c>
      <c r="C108">
        <v>86327374</v>
      </c>
      <c r="D108">
        <v>35950918</v>
      </c>
      <c r="E108">
        <v>1</v>
      </c>
      <c r="F108">
        <v>1</v>
      </c>
      <c r="G108">
        <v>1</v>
      </c>
      <c r="H108">
        <v>2</v>
      </c>
      <c r="I108" t="s">
        <v>631</v>
      </c>
      <c r="J108" t="s">
        <v>644</v>
      </c>
      <c r="K108" t="s">
        <v>645</v>
      </c>
      <c r="L108">
        <v>1368</v>
      </c>
      <c r="N108">
        <v>1011</v>
      </c>
      <c r="O108" t="s">
        <v>137</v>
      </c>
      <c r="P108" t="s">
        <v>137</v>
      </c>
      <c r="Q108">
        <v>1</v>
      </c>
      <c r="X108">
        <v>0.1</v>
      </c>
      <c r="Y108">
        <v>0</v>
      </c>
      <c r="Z108">
        <v>112.67</v>
      </c>
      <c r="AA108">
        <v>13.02</v>
      </c>
      <c r="AB108">
        <v>0</v>
      </c>
      <c r="AC108">
        <v>0</v>
      </c>
      <c r="AD108">
        <v>1</v>
      </c>
      <c r="AE108">
        <v>0</v>
      </c>
      <c r="AF108" t="s">
        <v>24</v>
      </c>
      <c r="AG108">
        <v>0.11200000000000002</v>
      </c>
      <c r="AH108">
        <v>2</v>
      </c>
      <c r="AI108">
        <v>86327378</v>
      </c>
      <c r="AJ108">
        <v>130</v>
      </c>
      <c r="AK108">
        <v>0</v>
      </c>
      <c r="AL108">
        <v>0</v>
      </c>
      <c r="AM108">
        <v>0</v>
      </c>
      <c r="AN108">
        <v>0</v>
      </c>
      <c r="AO108">
        <v>0</v>
      </c>
      <c r="AP108">
        <v>0</v>
      </c>
      <c r="AQ108">
        <v>0</v>
      </c>
      <c r="AR108">
        <v>0</v>
      </c>
    </row>
    <row r="109" spans="1:44" x14ac:dyDescent="0.2">
      <c r="A109">
        <f>ROW(Source!A133)</f>
        <v>133</v>
      </c>
      <c r="B109">
        <v>86327385</v>
      </c>
      <c r="C109">
        <v>86327374</v>
      </c>
      <c r="D109">
        <v>35950919</v>
      </c>
      <c r="E109">
        <v>1</v>
      </c>
      <c r="F109">
        <v>1</v>
      </c>
      <c r="G109">
        <v>1</v>
      </c>
      <c r="H109">
        <v>2</v>
      </c>
      <c r="I109" t="s">
        <v>637</v>
      </c>
      <c r="J109" t="s">
        <v>646</v>
      </c>
      <c r="K109" t="s">
        <v>639</v>
      </c>
      <c r="L109">
        <v>1368</v>
      </c>
      <c r="N109">
        <v>1011</v>
      </c>
      <c r="O109" t="s">
        <v>137</v>
      </c>
      <c r="P109" t="s">
        <v>137</v>
      </c>
      <c r="Q109">
        <v>1</v>
      </c>
      <c r="X109">
        <v>0.14000000000000001</v>
      </c>
      <c r="Y109">
        <v>0</v>
      </c>
      <c r="Z109">
        <v>93.37</v>
      </c>
      <c r="AA109">
        <v>11.69</v>
      </c>
      <c r="AB109">
        <v>0</v>
      </c>
      <c r="AC109">
        <v>0</v>
      </c>
      <c r="AD109">
        <v>1</v>
      </c>
      <c r="AE109">
        <v>0</v>
      </c>
      <c r="AF109" t="s">
        <v>24</v>
      </c>
      <c r="AG109">
        <v>0.15680000000000002</v>
      </c>
      <c r="AH109">
        <v>2</v>
      </c>
      <c r="AI109">
        <v>86327379</v>
      </c>
      <c r="AJ109">
        <v>131</v>
      </c>
      <c r="AK109">
        <v>0</v>
      </c>
      <c r="AL109">
        <v>0</v>
      </c>
      <c r="AM109">
        <v>0</v>
      </c>
      <c r="AN109">
        <v>0</v>
      </c>
      <c r="AO109">
        <v>0</v>
      </c>
      <c r="AP109">
        <v>0</v>
      </c>
      <c r="AQ109">
        <v>0</v>
      </c>
      <c r="AR109">
        <v>0</v>
      </c>
    </row>
    <row r="110" spans="1:44" x14ac:dyDescent="0.2">
      <c r="A110">
        <f>ROW(Source!A133)</f>
        <v>133</v>
      </c>
      <c r="B110">
        <v>86327386</v>
      </c>
      <c r="C110">
        <v>86327374</v>
      </c>
      <c r="D110">
        <v>10841104</v>
      </c>
      <c r="E110">
        <v>1</v>
      </c>
      <c r="F110">
        <v>1</v>
      </c>
      <c r="G110">
        <v>1</v>
      </c>
      <c r="H110">
        <v>3</v>
      </c>
      <c r="I110" t="s">
        <v>316</v>
      </c>
      <c r="J110" t="s">
        <v>705</v>
      </c>
      <c r="K110" t="s">
        <v>706</v>
      </c>
      <c r="L110">
        <v>1348</v>
      </c>
      <c r="N110">
        <v>1009</v>
      </c>
      <c r="O110" t="s">
        <v>33</v>
      </c>
      <c r="P110" t="s">
        <v>33</v>
      </c>
      <c r="Q110">
        <v>1000</v>
      </c>
      <c r="X110">
        <v>6.0000000000000001E-3</v>
      </c>
      <c r="Y110">
        <v>10559.12</v>
      </c>
      <c r="Z110">
        <v>0</v>
      </c>
      <c r="AA110">
        <v>0</v>
      </c>
      <c r="AB110">
        <v>0</v>
      </c>
      <c r="AC110">
        <v>0</v>
      </c>
      <c r="AD110">
        <v>1</v>
      </c>
      <c r="AE110">
        <v>0</v>
      </c>
      <c r="AF110" t="s">
        <v>6</v>
      </c>
      <c r="AG110">
        <v>6.0000000000000001E-3</v>
      </c>
      <c r="AH110">
        <v>3</v>
      </c>
      <c r="AI110">
        <v>-1</v>
      </c>
      <c r="AJ110" t="s">
        <v>6</v>
      </c>
      <c r="AK110">
        <v>4</v>
      </c>
      <c r="AL110">
        <v>-63.354720000000007</v>
      </c>
      <c r="AM110">
        <v>0</v>
      </c>
      <c r="AN110">
        <v>0</v>
      </c>
      <c r="AO110">
        <v>0</v>
      </c>
      <c r="AP110">
        <v>0</v>
      </c>
      <c r="AQ110">
        <v>0</v>
      </c>
      <c r="AR110">
        <v>1</v>
      </c>
    </row>
    <row r="111" spans="1:44" x14ac:dyDescent="0.2">
      <c r="A111">
        <f>ROW(Source!A133)</f>
        <v>133</v>
      </c>
      <c r="B111">
        <v>86327387</v>
      </c>
      <c r="C111">
        <v>86327374</v>
      </c>
      <c r="D111">
        <v>35950881</v>
      </c>
      <c r="E111">
        <v>1</v>
      </c>
      <c r="F111">
        <v>1</v>
      </c>
      <c r="G111">
        <v>1</v>
      </c>
      <c r="H111">
        <v>3</v>
      </c>
      <c r="I111" t="s">
        <v>721</v>
      </c>
      <c r="J111" t="s">
        <v>722</v>
      </c>
      <c r="K111" t="s">
        <v>723</v>
      </c>
      <c r="L111">
        <v>1348</v>
      </c>
      <c r="N111">
        <v>1009</v>
      </c>
      <c r="O111" t="s">
        <v>33</v>
      </c>
      <c r="P111" t="s">
        <v>33</v>
      </c>
      <c r="Q111">
        <v>1000</v>
      </c>
      <c r="X111">
        <v>1</v>
      </c>
      <c r="Y111">
        <v>4700.26</v>
      </c>
      <c r="Z111">
        <v>0</v>
      </c>
      <c r="AA111">
        <v>0</v>
      </c>
      <c r="AB111">
        <v>0</v>
      </c>
      <c r="AC111">
        <v>0</v>
      </c>
      <c r="AD111">
        <v>1</v>
      </c>
      <c r="AE111">
        <v>0</v>
      </c>
      <c r="AF111" t="s">
        <v>6</v>
      </c>
      <c r="AG111">
        <v>1</v>
      </c>
      <c r="AH111">
        <v>3</v>
      </c>
      <c r="AI111">
        <v>-1</v>
      </c>
      <c r="AJ111" t="s">
        <v>6</v>
      </c>
      <c r="AK111">
        <v>4</v>
      </c>
      <c r="AL111">
        <v>-4700.26</v>
      </c>
      <c r="AM111">
        <v>0</v>
      </c>
      <c r="AN111">
        <v>0</v>
      </c>
      <c r="AO111">
        <v>0</v>
      </c>
      <c r="AP111">
        <v>0</v>
      </c>
      <c r="AQ111">
        <v>0</v>
      </c>
      <c r="AR111">
        <v>1</v>
      </c>
    </row>
    <row r="112" spans="1:44" x14ac:dyDescent="0.2">
      <c r="A112">
        <f>ROW(Source!A134)</f>
        <v>134</v>
      </c>
      <c r="B112">
        <v>86327381</v>
      </c>
      <c r="C112">
        <v>86327374</v>
      </c>
      <c r="D112">
        <v>5511010</v>
      </c>
      <c r="E112">
        <v>1</v>
      </c>
      <c r="F112">
        <v>1</v>
      </c>
      <c r="G112">
        <v>1</v>
      </c>
      <c r="H112">
        <v>1</v>
      </c>
      <c r="I112" t="s">
        <v>640</v>
      </c>
      <c r="J112" t="s">
        <v>6</v>
      </c>
      <c r="K112" t="s">
        <v>641</v>
      </c>
      <c r="L112">
        <v>1369</v>
      </c>
      <c r="N112">
        <v>1013</v>
      </c>
      <c r="O112" t="s">
        <v>625</v>
      </c>
      <c r="P112" t="s">
        <v>625</v>
      </c>
      <c r="Q112">
        <v>1</v>
      </c>
      <c r="X112">
        <v>51.533999999999999</v>
      </c>
      <c r="Y112">
        <v>0</v>
      </c>
      <c r="Z112">
        <v>0</v>
      </c>
      <c r="AA112">
        <v>0</v>
      </c>
      <c r="AB112">
        <v>11.92</v>
      </c>
      <c r="AC112">
        <v>0</v>
      </c>
      <c r="AD112">
        <v>1</v>
      </c>
      <c r="AE112">
        <v>1</v>
      </c>
      <c r="AF112" t="s">
        <v>25</v>
      </c>
      <c r="AG112">
        <v>54.110700000000001</v>
      </c>
      <c r="AH112">
        <v>2</v>
      </c>
      <c r="AI112">
        <v>86327375</v>
      </c>
      <c r="AJ112">
        <v>133</v>
      </c>
      <c r="AK112">
        <v>0</v>
      </c>
      <c r="AL112">
        <v>0</v>
      </c>
      <c r="AM112">
        <v>0</v>
      </c>
      <c r="AN112">
        <v>0</v>
      </c>
      <c r="AO112">
        <v>0</v>
      </c>
      <c r="AP112">
        <v>0</v>
      </c>
      <c r="AQ112">
        <v>0</v>
      </c>
      <c r="AR112">
        <v>0</v>
      </c>
    </row>
    <row r="113" spans="1:44" x14ac:dyDescent="0.2">
      <c r="A113">
        <f>ROW(Source!A134)</f>
        <v>134</v>
      </c>
      <c r="B113">
        <v>86327382</v>
      </c>
      <c r="C113">
        <v>86327374</v>
      </c>
      <c r="D113">
        <v>121548</v>
      </c>
      <c r="E113">
        <v>1</v>
      </c>
      <c r="F113">
        <v>1</v>
      </c>
      <c r="G113">
        <v>1</v>
      </c>
      <c r="H113">
        <v>1</v>
      </c>
      <c r="I113" t="s">
        <v>40</v>
      </c>
      <c r="J113" t="s">
        <v>6</v>
      </c>
      <c r="K113" t="s">
        <v>626</v>
      </c>
      <c r="L113">
        <v>608254</v>
      </c>
      <c r="N113">
        <v>1013</v>
      </c>
      <c r="O113" t="s">
        <v>627</v>
      </c>
      <c r="P113" t="s">
        <v>627</v>
      </c>
      <c r="Q113">
        <v>1</v>
      </c>
      <c r="X113">
        <v>0.46</v>
      </c>
      <c r="Y113">
        <v>0</v>
      </c>
      <c r="Z113">
        <v>0</v>
      </c>
      <c r="AA113">
        <v>0</v>
      </c>
      <c r="AB113">
        <v>0</v>
      </c>
      <c r="AC113">
        <v>0</v>
      </c>
      <c r="AD113">
        <v>1</v>
      </c>
      <c r="AE113">
        <v>2</v>
      </c>
      <c r="AF113" t="s">
        <v>24</v>
      </c>
      <c r="AG113">
        <v>0.5152000000000001</v>
      </c>
      <c r="AH113">
        <v>2</v>
      </c>
      <c r="AI113">
        <v>86327376</v>
      </c>
      <c r="AJ113">
        <v>134</v>
      </c>
      <c r="AK113">
        <v>0</v>
      </c>
      <c r="AL113">
        <v>0</v>
      </c>
      <c r="AM113">
        <v>0</v>
      </c>
      <c r="AN113">
        <v>0</v>
      </c>
      <c r="AO113">
        <v>0</v>
      </c>
      <c r="AP113">
        <v>0</v>
      </c>
      <c r="AQ113">
        <v>0</v>
      </c>
      <c r="AR113">
        <v>0</v>
      </c>
    </row>
    <row r="114" spans="1:44" x14ac:dyDescent="0.2">
      <c r="A114">
        <f>ROW(Source!A134)</f>
        <v>134</v>
      </c>
      <c r="B114">
        <v>86327383</v>
      </c>
      <c r="C114">
        <v>86327374</v>
      </c>
      <c r="D114">
        <v>35950917</v>
      </c>
      <c r="E114">
        <v>1</v>
      </c>
      <c r="F114">
        <v>1</v>
      </c>
      <c r="G114">
        <v>1</v>
      </c>
      <c r="H114">
        <v>2</v>
      </c>
      <c r="I114" t="s">
        <v>628</v>
      </c>
      <c r="J114" t="s">
        <v>642</v>
      </c>
      <c r="K114" t="s">
        <v>643</v>
      </c>
      <c r="L114">
        <v>1368</v>
      </c>
      <c r="N114">
        <v>1011</v>
      </c>
      <c r="O114" t="s">
        <v>137</v>
      </c>
      <c r="P114" t="s">
        <v>137</v>
      </c>
      <c r="Q114">
        <v>1</v>
      </c>
      <c r="X114">
        <v>0.36</v>
      </c>
      <c r="Y114">
        <v>0</v>
      </c>
      <c r="Z114">
        <v>115.64</v>
      </c>
      <c r="AA114">
        <v>11.18</v>
      </c>
      <c r="AB114">
        <v>0</v>
      </c>
      <c r="AC114">
        <v>0</v>
      </c>
      <c r="AD114">
        <v>1</v>
      </c>
      <c r="AE114">
        <v>0</v>
      </c>
      <c r="AF114" t="s">
        <v>24</v>
      </c>
      <c r="AG114">
        <v>0.4032</v>
      </c>
      <c r="AH114">
        <v>2</v>
      </c>
      <c r="AI114">
        <v>86327377</v>
      </c>
      <c r="AJ114">
        <v>135</v>
      </c>
      <c r="AK114">
        <v>0</v>
      </c>
      <c r="AL114">
        <v>0</v>
      </c>
      <c r="AM114">
        <v>0</v>
      </c>
      <c r="AN114">
        <v>0</v>
      </c>
      <c r="AO114">
        <v>0</v>
      </c>
      <c r="AP114">
        <v>0</v>
      </c>
      <c r="AQ114">
        <v>0</v>
      </c>
      <c r="AR114">
        <v>0</v>
      </c>
    </row>
    <row r="115" spans="1:44" x14ac:dyDescent="0.2">
      <c r="A115">
        <f>ROW(Source!A134)</f>
        <v>134</v>
      </c>
      <c r="B115">
        <v>86327384</v>
      </c>
      <c r="C115">
        <v>86327374</v>
      </c>
      <c r="D115">
        <v>35950918</v>
      </c>
      <c r="E115">
        <v>1</v>
      </c>
      <c r="F115">
        <v>1</v>
      </c>
      <c r="G115">
        <v>1</v>
      </c>
      <c r="H115">
        <v>2</v>
      </c>
      <c r="I115" t="s">
        <v>631</v>
      </c>
      <c r="J115" t="s">
        <v>644</v>
      </c>
      <c r="K115" t="s">
        <v>645</v>
      </c>
      <c r="L115">
        <v>1368</v>
      </c>
      <c r="N115">
        <v>1011</v>
      </c>
      <c r="O115" t="s">
        <v>137</v>
      </c>
      <c r="P115" t="s">
        <v>137</v>
      </c>
      <c r="Q115">
        <v>1</v>
      </c>
      <c r="X115">
        <v>0.1</v>
      </c>
      <c r="Y115">
        <v>0</v>
      </c>
      <c r="Z115">
        <v>112.67</v>
      </c>
      <c r="AA115">
        <v>13.02</v>
      </c>
      <c r="AB115">
        <v>0</v>
      </c>
      <c r="AC115">
        <v>0</v>
      </c>
      <c r="AD115">
        <v>1</v>
      </c>
      <c r="AE115">
        <v>0</v>
      </c>
      <c r="AF115" t="s">
        <v>24</v>
      </c>
      <c r="AG115">
        <v>0.11200000000000002</v>
      </c>
      <c r="AH115">
        <v>2</v>
      </c>
      <c r="AI115">
        <v>86327378</v>
      </c>
      <c r="AJ115">
        <v>136</v>
      </c>
      <c r="AK115">
        <v>0</v>
      </c>
      <c r="AL115">
        <v>0</v>
      </c>
      <c r="AM115">
        <v>0</v>
      </c>
      <c r="AN115">
        <v>0</v>
      </c>
      <c r="AO115">
        <v>0</v>
      </c>
      <c r="AP115">
        <v>0</v>
      </c>
      <c r="AQ115">
        <v>0</v>
      </c>
      <c r="AR115">
        <v>0</v>
      </c>
    </row>
    <row r="116" spans="1:44" x14ac:dyDescent="0.2">
      <c r="A116">
        <f>ROW(Source!A134)</f>
        <v>134</v>
      </c>
      <c r="B116">
        <v>86327385</v>
      </c>
      <c r="C116">
        <v>86327374</v>
      </c>
      <c r="D116">
        <v>35950919</v>
      </c>
      <c r="E116">
        <v>1</v>
      </c>
      <c r="F116">
        <v>1</v>
      </c>
      <c r="G116">
        <v>1</v>
      </c>
      <c r="H116">
        <v>2</v>
      </c>
      <c r="I116" t="s">
        <v>637</v>
      </c>
      <c r="J116" t="s">
        <v>646</v>
      </c>
      <c r="K116" t="s">
        <v>639</v>
      </c>
      <c r="L116">
        <v>1368</v>
      </c>
      <c r="N116">
        <v>1011</v>
      </c>
      <c r="O116" t="s">
        <v>137</v>
      </c>
      <c r="P116" t="s">
        <v>137</v>
      </c>
      <c r="Q116">
        <v>1</v>
      </c>
      <c r="X116">
        <v>0.14000000000000001</v>
      </c>
      <c r="Y116">
        <v>0</v>
      </c>
      <c r="Z116">
        <v>93.37</v>
      </c>
      <c r="AA116">
        <v>11.69</v>
      </c>
      <c r="AB116">
        <v>0</v>
      </c>
      <c r="AC116">
        <v>0</v>
      </c>
      <c r="AD116">
        <v>1</v>
      </c>
      <c r="AE116">
        <v>0</v>
      </c>
      <c r="AF116" t="s">
        <v>24</v>
      </c>
      <c r="AG116">
        <v>0.15680000000000002</v>
      </c>
      <c r="AH116">
        <v>2</v>
      </c>
      <c r="AI116">
        <v>86327379</v>
      </c>
      <c r="AJ116">
        <v>137</v>
      </c>
      <c r="AK116">
        <v>0</v>
      </c>
      <c r="AL116">
        <v>0</v>
      </c>
      <c r="AM116">
        <v>0</v>
      </c>
      <c r="AN116">
        <v>0</v>
      </c>
      <c r="AO116">
        <v>0</v>
      </c>
      <c r="AP116">
        <v>0</v>
      </c>
      <c r="AQ116">
        <v>0</v>
      </c>
      <c r="AR116">
        <v>0</v>
      </c>
    </row>
    <row r="117" spans="1:44" x14ac:dyDescent="0.2">
      <c r="A117">
        <f>ROW(Source!A134)</f>
        <v>134</v>
      </c>
      <c r="B117">
        <v>86327386</v>
      </c>
      <c r="C117">
        <v>86327374</v>
      </c>
      <c r="D117">
        <v>10841104</v>
      </c>
      <c r="E117">
        <v>1</v>
      </c>
      <c r="F117">
        <v>1</v>
      </c>
      <c r="G117">
        <v>1</v>
      </c>
      <c r="H117">
        <v>3</v>
      </c>
      <c r="I117" t="s">
        <v>316</v>
      </c>
      <c r="J117" t="s">
        <v>705</v>
      </c>
      <c r="K117" t="s">
        <v>706</v>
      </c>
      <c r="L117">
        <v>1348</v>
      </c>
      <c r="N117">
        <v>1009</v>
      </c>
      <c r="O117" t="s">
        <v>33</v>
      </c>
      <c r="P117" t="s">
        <v>33</v>
      </c>
      <c r="Q117">
        <v>1000</v>
      </c>
      <c r="X117">
        <v>6.0000000000000001E-3</v>
      </c>
      <c r="Y117">
        <v>10559.12</v>
      </c>
      <c r="Z117">
        <v>0</v>
      </c>
      <c r="AA117">
        <v>0</v>
      </c>
      <c r="AB117">
        <v>0</v>
      </c>
      <c r="AC117">
        <v>0</v>
      </c>
      <c r="AD117">
        <v>1</v>
      </c>
      <c r="AE117">
        <v>0</v>
      </c>
      <c r="AF117" t="s">
        <v>6</v>
      </c>
      <c r="AG117">
        <v>6.0000000000000001E-3</v>
      </c>
      <c r="AH117">
        <v>3</v>
      </c>
      <c r="AI117">
        <v>-1</v>
      </c>
      <c r="AJ117" t="s">
        <v>6</v>
      </c>
      <c r="AK117">
        <v>4</v>
      </c>
      <c r="AL117">
        <v>-63.354720000000007</v>
      </c>
      <c r="AM117">
        <v>0</v>
      </c>
      <c r="AN117">
        <v>0</v>
      </c>
      <c r="AO117">
        <v>0</v>
      </c>
      <c r="AP117">
        <v>0</v>
      </c>
      <c r="AQ117">
        <v>0</v>
      </c>
      <c r="AR117">
        <v>1</v>
      </c>
    </row>
    <row r="118" spans="1:44" x14ac:dyDescent="0.2">
      <c r="A118">
        <f>ROW(Source!A134)</f>
        <v>134</v>
      </c>
      <c r="B118">
        <v>86327387</v>
      </c>
      <c r="C118">
        <v>86327374</v>
      </c>
      <c r="D118">
        <v>35950881</v>
      </c>
      <c r="E118">
        <v>1</v>
      </c>
      <c r="F118">
        <v>1</v>
      </c>
      <c r="G118">
        <v>1</v>
      </c>
      <c r="H118">
        <v>3</v>
      </c>
      <c r="I118" t="s">
        <v>721</v>
      </c>
      <c r="J118" t="s">
        <v>722</v>
      </c>
      <c r="K118" t="s">
        <v>723</v>
      </c>
      <c r="L118">
        <v>1348</v>
      </c>
      <c r="N118">
        <v>1009</v>
      </c>
      <c r="O118" t="s">
        <v>33</v>
      </c>
      <c r="P118" t="s">
        <v>33</v>
      </c>
      <c r="Q118">
        <v>1000</v>
      </c>
      <c r="X118">
        <v>1</v>
      </c>
      <c r="Y118">
        <v>4700.26</v>
      </c>
      <c r="Z118">
        <v>0</v>
      </c>
      <c r="AA118">
        <v>0</v>
      </c>
      <c r="AB118">
        <v>0</v>
      </c>
      <c r="AC118">
        <v>0</v>
      </c>
      <c r="AD118">
        <v>1</v>
      </c>
      <c r="AE118">
        <v>0</v>
      </c>
      <c r="AF118" t="s">
        <v>6</v>
      </c>
      <c r="AG118">
        <v>1</v>
      </c>
      <c r="AH118">
        <v>3</v>
      </c>
      <c r="AI118">
        <v>-1</v>
      </c>
      <c r="AJ118" t="s">
        <v>6</v>
      </c>
      <c r="AK118">
        <v>4</v>
      </c>
      <c r="AL118">
        <v>-4700.26</v>
      </c>
      <c r="AM118">
        <v>0</v>
      </c>
      <c r="AN118">
        <v>0</v>
      </c>
      <c r="AO118">
        <v>0</v>
      </c>
      <c r="AP118">
        <v>0</v>
      </c>
      <c r="AQ118">
        <v>0</v>
      </c>
      <c r="AR118">
        <v>1</v>
      </c>
    </row>
    <row r="119" spans="1:44" x14ac:dyDescent="0.2">
      <c r="A119">
        <f>ROW(Source!A137)</f>
        <v>137</v>
      </c>
      <c r="B119">
        <v>86327397</v>
      </c>
      <c r="C119">
        <v>86327389</v>
      </c>
      <c r="D119">
        <v>5511010</v>
      </c>
      <c r="E119">
        <v>1</v>
      </c>
      <c r="F119">
        <v>1</v>
      </c>
      <c r="G119">
        <v>1</v>
      </c>
      <c r="H119">
        <v>1</v>
      </c>
      <c r="I119" t="s">
        <v>640</v>
      </c>
      <c r="J119" t="s">
        <v>6</v>
      </c>
      <c r="K119" t="s">
        <v>641</v>
      </c>
      <c r="L119">
        <v>1369</v>
      </c>
      <c r="N119">
        <v>1013</v>
      </c>
      <c r="O119" t="s">
        <v>625</v>
      </c>
      <c r="P119" t="s">
        <v>625</v>
      </c>
      <c r="Q119">
        <v>1</v>
      </c>
      <c r="X119">
        <v>51.533999999999999</v>
      </c>
      <c r="Y119">
        <v>0</v>
      </c>
      <c r="Z119">
        <v>0</v>
      </c>
      <c r="AA119">
        <v>0</v>
      </c>
      <c r="AB119">
        <v>11.92</v>
      </c>
      <c r="AC119">
        <v>0</v>
      </c>
      <c r="AD119">
        <v>1</v>
      </c>
      <c r="AE119">
        <v>1</v>
      </c>
      <c r="AF119" t="s">
        <v>25</v>
      </c>
      <c r="AG119">
        <v>54.110700000000001</v>
      </c>
      <c r="AH119">
        <v>2</v>
      </c>
      <c r="AI119">
        <v>86327390</v>
      </c>
      <c r="AJ119">
        <v>139</v>
      </c>
      <c r="AK119">
        <v>0</v>
      </c>
      <c r="AL119">
        <v>0</v>
      </c>
      <c r="AM119">
        <v>0</v>
      </c>
      <c r="AN119">
        <v>0</v>
      </c>
      <c r="AO119">
        <v>0</v>
      </c>
      <c r="AP119">
        <v>0</v>
      </c>
      <c r="AQ119">
        <v>0</v>
      </c>
      <c r="AR119">
        <v>0</v>
      </c>
    </row>
    <row r="120" spans="1:44" x14ac:dyDescent="0.2">
      <c r="A120">
        <f>ROW(Source!A137)</f>
        <v>137</v>
      </c>
      <c r="B120">
        <v>86327398</v>
      </c>
      <c r="C120">
        <v>86327389</v>
      </c>
      <c r="D120">
        <v>121548</v>
      </c>
      <c r="E120">
        <v>1</v>
      </c>
      <c r="F120">
        <v>1</v>
      </c>
      <c r="G120">
        <v>1</v>
      </c>
      <c r="H120">
        <v>1</v>
      </c>
      <c r="I120" t="s">
        <v>40</v>
      </c>
      <c r="J120" t="s">
        <v>6</v>
      </c>
      <c r="K120" t="s">
        <v>626</v>
      </c>
      <c r="L120">
        <v>608254</v>
      </c>
      <c r="N120">
        <v>1013</v>
      </c>
      <c r="O120" t="s">
        <v>627</v>
      </c>
      <c r="P120" t="s">
        <v>627</v>
      </c>
      <c r="Q120">
        <v>1</v>
      </c>
      <c r="X120">
        <v>0.45</v>
      </c>
      <c r="Y120">
        <v>0</v>
      </c>
      <c r="Z120">
        <v>0</v>
      </c>
      <c r="AA120">
        <v>0</v>
      </c>
      <c r="AB120">
        <v>0</v>
      </c>
      <c r="AC120">
        <v>0</v>
      </c>
      <c r="AD120">
        <v>1</v>
      </c>
      <c r="AE120">
        <v>2</v>
      </c>
      <c r="AF120" t="s">
        <v>24</v>
      </c>
      <c r="AG120">
        <v>0.50400000000000011</v>
      </c>
      <c r="AH120">
        <v>2</v>
      </c>
      <c r="AI120">
        <v>86327391</v>
      </c>
      <c r="AJ120">
        <v>140</v>
      </c>
      <c r="AK120">
        <v>0</v>
      </c>
      <c r="AL120">
        <v>0</v>
      </c>
      <c r="AM120">
        <v>0</v>
      </c>
      <c r="AN120">
        <v>0</v>
      </c>
      <c r="AO120">
        <v>0</v>
      </c>
      <c r="AP120">
        <v>0</v>
      </c>
      <c r="AQ120">
        <v>0</v>
      </c>
      <c r="AR120">
        <v>0</v>
      </c>
    </row>
    <row r="121" spans="1:44" x14ac:dyDescent="0.2">
      <c r="A121">
        <f>ROW(Source!A137)</f>
        <v>137</v>
      </c>
      <c r="B121">
        <v>86327399</v>
      </c>
      <c r="C121">
        <v>86327389</v>
      </c>
      <c r="D121">
        <v>35950917</v>
      </c>
      <c r="E121">
        <v>1</v>
      </c>
      <c r="F121">
        <v>1</v>
      </c>
      <c r="G121">
        <v>1</v>
      </c>
      <c r="H121">
        <v>2</v>
      </c>
      <c r="I121" t="s">
        <v>628</v>
      </c>
      <c r="J121" t="s">
        <v>642</v>
      </c>
      <c r="K121" t="s">
        <v>643</v>
      </c>
      <c r="L121">
        <v>1368</v>
      </c>
      <c r="N121">
        <v>1011</v>
      </c>
      <c r="O121" t="s">
        <v>137</v>
      </c>
      <c r="P121" t="s">
        <v>137</v>
      </c>
      <c r="Q121">
        <v>1</v>
      </c>
      <c r="X121">
        <v>0.36</v>
      </c>
      <c r="Y121">
        <v>0</v>
      </c>
      <c r="Z121">
        <v>115.64</v>
      </c>
      <c r="AA121">
        <v>11.18</v>
      </c>
      <c r="AB121">
        <v>0</v>
      </c>
      <c r="AC121">
        <v>0</v>
      </c>
      <c r="AD121">
        <v>1</v>
      </c>
      <c r="AE121">
        <v>0</v>
      </c>
      <c r="AF121" t="s">
        <v>24</v>
      </c>
      <c r="AG121">
        <v>0.4032</v>
      </c>
      <c r="AH121">
        <v>2</v>
      </c>
      <c r="AI121">
        <v>86327392</v>
      </c>
      <c r="AJ121">
        <v>141</v>
      </c>
      <c r="AK121">
        <v>0</v>
      </c>
      <c r="AL121">
        <v>0</v>
      </c>
      <c r="AM121">
        <v>0</v>
      </c>
      <c r="AN121">
        <v>0</v>
      </c>
      <c r="AO121">
        <v>0</v>
      </c>
      <c r="AP121">
        <v>0</v>
      </c>
      <c r="AQ121">
        <v>0</v>
      </c>
      <c r="AR121">
        <v>0</v>
      </c>
    </row>
    <row r="122" spans="1:44" x14ac:dyDescent="0.2">
      <c r="A122">
        <f>ROW(Source!A137)</f>
        <v>137</v>
      </c>
      <c r="B122">
        <v>86327400</v>
      </c>
      <c r="C122">
        <v>86327389</v>
      </c>
      <c r="D122">
        <v>35950918</v>
      </c>
      <c r="E122">
        <v>1</v>
      </c>
      <c r="F122">
        <v>1</v>
      </c>
      <c r="G122">
        <v>1</v>
      </c>
      <c r="H122">
        <v>2</v>
      </c>
      <c r="I122" t="s">
        <v>631</v>
      </c>
      <c r="J122" t="s">
        <v>644</v>
      </c>
      <c r="K122" t="s">
        <v>645</v>
      </c>
      <c r="L122">
        <v>1368</v>
      </c>
      <c r="N122">
        <v>1011</v>
      </c>
      <c r="O122" t="s">
        <v>137</v>
      </c>
      <c r="P122" t="s">
        <v>137</v>
      </c>
      <c r="Q122">
        <v>1</v>
      </c>
      <c r="X122">
        <v>0.09</v>
      </c>
      <c r="Y122">
        <v>0</v>
      </c>
      <c r="Z122">
        <v>112.67</v>
      </c>
      <c r="AA122">
        <v>13.02</v>
      </c>
      <c r="AB122">
        <v>0</v>
      </c>
      <c r="AC122">
        <v>0</v>
      </c>
      <c r="AD122">
        <v>1</v>
      </c>
      <c r="AE122">
        <v>0</v>
      </c>
      <c r="AF122" t="s">
        <v>24</v>
      </c>
      <c r="AG122">
        <v>0.1008</v>
      </c>
      <c r="AH122">
        <v>2</v>
      </c>
      <c r="AI122">
        <v>86327393</v>
      </c>
      <c r="AJ122">
        <v>142</v>
      </c>
      <c r="AK122">
        <v>0</v>
      </c>
      <c r="AL122">
        <v>0</v>
      </c>
      <c r="AM122">
        <v>0</v>
      </c>
      <c r="AN122">
        <v>0</v>
      </c>
      <c r="AO122">
        <v>0</v>
      </c>
      <c r="AP122">
        <v>0</v>
      </c>
      <c r="AQ122">
        <v>0</v>
      </c>
      <c r="AR122">
        <v>0</v>
      </c>
    </row>
    <row r="123" spans="1:44" x14ac:dyDescent="0.2">
      <c r="A123">
        <f>ROW(Source!A137)</f>
        <v>137</v>
      </c>
      <c r="B123">
        <v>86327401</v>
      </c>
      <c r="C123">
        <v>86327389</v>
      </c>
      <c r="D123">
        <v>35950919</v>
      </c>
      <c r="E123">
        <v>1</v>
      </c>
      <c r="F123">
        <v>1</v>
      </c>
      <c r="G123">
        <v>1</v>
      </c>
      <c r="H123">
        <v>2</v>
      </c>
      <c r="I123" t="s">
        <v>637</v>
      </c>
      <c r="J123" t="s">
        <v>646</v>
      </c>
      <c r="K123" t="s">
        <v>639</v>
      </c>
      <c r="L123">
        <v>1368</v>
      </c>
      <c r="N123">
        <v>1011</v>
      </c>
      <c r="O123" t="s">
        <v>137</v>
      </c>
      <c r="P123" t="s">
        <v>137</v>
      </c>
      <c r="Q123">
        <v>1</v>
      </c>
      <c r="X123">
        <v>0.13</v>
      </c>
      <c r="Y123">
        <v>0</v>
      </c>
      <c r="Z123">
        <v>93.37</v>
      </c>
      <c r="AA123">
        <v>11.69</v>
      </c>
      <c r="AB123">
        <v>0</v>
      </c>
      <c r="AC123">
        <v>0</v>
      </c>
      <c r="AD123">
        <v>1</v>
      </c>
      <c r="AE123">
        <v>0</v>
      </c>
      <c r="AF123" t="s">
        <v>24</v>
      </c>
      <c r="AG123">
        <v>0.14560000000000001</v>
      </c>
      <c r="AH123">
        <v>2</v>
      </c>
      <c r="AI123">
        <v>86327394</v>
      </c>
      <c r="AJ123">
        <v>143</v>
      </c>
      <c r="AK123">
        <v>0</v>
      </c>
      <c r="AL123">
        <v>0</v>
      </c>
      <c r="AM123">
        <v>0</v>
      </c>
      <c r="AN123">
        <v>0</v>
      </c>
      <c r="AO123">
        <v>0</v>
      </c>
      <c r="AP123">
        <v>0</v>
      </c>
      <c r="AQ123">
        <v>0</v>
      </c>
      <c r="AR123">
        <v>0</v>
      </c>
    </row>
    <row r="124" spans="1:44" x14ac:dyDescent="0.2">
      <c r="A124">
        <f>ROW(Source!A137)</f>
        <v>137</v>
      </c>
      <c r="B124">
        <v>86327402</v>
      </c>
      <c r="C124">
        <v>86327389</v>
      </c>
      <c r="D124">
        <v>10841104</v>
      </c>
      <c r="E124">
        <v>1</v>
      </c>
      <c r="F124">
        <v>1</v>
      </c>
      <c r="G124">
        <v>1</v>
      </c>
      <c r="H124">
        <v>3</v>
      </c>
      <c r="I124" t="s">
        <v>316</v>
      </c>
      <c r="J124" t="s">
        <v>705</v>
      </c>
      <c r="K124" t="s">
        <v>706</v>
      </c>
      <c r="L124">
        <v>1348</v>
      </c>
      <c r="N124">
        <v>1009</v>
      </c>
      <c r="O124" t="s">
        <v>33</v>
      </c>
      <c r="P124" t="s">
        <v>33</v>
      </c>
      <c r="Q124">
        <v>1000</v>
      </c>
      <c r="X124">
        <v>5.0000000000000001E-3</v>
      </c>
      <c r="Y124">
        <v>10559.12</v>
      </c>
      <c r="Z124">
        <v>0</v>
      </c>
      <c r="AA124">
        <v>0</v>
      </c>
      <c r="AB124">
        <v>0</v>
      </c>
      <c r="AC124">
        <v>0</v>
      </c>
      <c r="AD124">
        <v>1</v>
      </c>
      <c r="AE124">
        <v>0</v>
      </c>
      <c r="AF124" t="s">
        <v>6</v>
      </c>
      <c r="AG124">
        <v>5.0000000000000001E-3</v>
      </c>
      <c r="AH124">
        <v>3</v>
      </c>
      <c r="AI124">
        <v>-1</v>
      </c>
      <c r="AJ124" t="s">
        <v>6</v>
      </c>
      <c r="AK124">
        <v>4</v>
      </c>
      <c r="AL124">
        <v>-52.795600000000007</v>
      </c>
      <c r="AM124">
        <v>0</v>
      </c>
      <c r="AN124">
        <v>0</v>
      </c>
      <c r="AO124">
        <v>0</v>
      </c>
      <c r="AP124">
        <v>0</v>
      </c>
      <c r="AQ124">
        <v>0</v>
      </c>
      <c r="AR124">
        <v>1</v>
      </c>
    </row>
    <row r="125" spans="1:44" x14ac:dyDescent="0.2">
      <c r="A125">
        <f>ROW(Source!A137)</f>
        <v>137</v>
      </c>
      <c r="B125">
        <v>86327403</v>
      </c>
      <c r="C125">
        <v>86327389</v>
      </c>
      <c r="D125">
        <v>35950879</v>
      </c>
      <c r="E125">
        <v>1</v>
      </c>
      <c r="F125">
        <v>1</v>
      </c>
      <c r="G125">
        <v>1</v>
      </c>
      <c r="H125">
        <v>3</v>
      </c>
      <c r="I125" t="s">
        <v>724</v>
      </c>
      <c r="J125" t="s">
        <v>725</v>
      </c>
      <c r="K125" t="s">
        <v>726</v>
      </c>
      <c r="L125">
        <v>1348</v>
      </c>
      <c r="N125">
        <v>1009</v>
      </c>
      <c r="O125" t="s">
        <v>33</v>
      </c>
      <c r="P125" t="s">
        <v>33</v>
      </c>
      <c r="Q125">
        <v>1000</v>
      </c>
      <c r="X125">
        <v>1</v>
      </c>
      <c r="Y125">
        <v>4700.26</v>
      </c>
      <c r="Z125">
        <v>0</v>
      </c>
      <c r="AA125">
        <v>0</v>
      </c>
      <c r="AB125">
        <v>0</v>
      </c>
      <c r="AC125">
        <v>0</v>
      </c>
      <c r="AD125">
        <v>1</v>
      </c>
      <c r="AE125">
        <v>0</v>
      </c>
      <c r="AF125" t="s">
        <v>6</v>
      </c>
      <c r="AG125">
        <v>1</v>
      </c>
      <c r="AH125">
        <v>3</v>
      </c>
      <c r="AI125">
        <v>-1</v>
      </c>
      <c r="AJ125" t="s">
        <v>6</v>
      </c>
      <c r="AK125">
        <v>4</v>
      </c>
      <c r="AL125">
        <v>-4700.26</v>
      </c>
      <c r="AM125">
        <v>0</v>
      </c>
      <c r="AN125">
        <v>0</v>
      </c>
      <c r="AO125">
        <v>0</v>
      </c>
      <c r="AP125">
        <v>0</v>
      </c>
      <c r="AQ125">
        <v>0</v>
      </c>
      <c r="AR125">
        <v>1</v>
      </c>
    </row>
    <row r="126" spans="1:44" x14ac:dyDescent="0.2">
      <c r="A126">
        <f>ROW(Source!A138)</f>
        <v>138</v>
      </c>
      <c r="B126">
        <v>86327397</v>
      </c>
      <c r="C126">
        <v>86327389</v>
      </c>
      <c r="D126">
        <v>5511010</v>
      </c>
      <c r="E126">
        <v>1</v>
      </c>
      <c r="F126">
        <v>1</v>
      </c>
      <c r="G126">
        <v>1</v>
      </c>
      <c r="H126">
        <v>1</v>
      </c>
      <c r="I126" t="s">
        <v>640</v>
      </c>
      <c r="J126" t="s">
        <v>6</v>
      </c>
      <c r="K126" t="s">
        <v>641</v>
      </c>
      <c r="L126">
        <v>1369</v>
      </c>
      <c r="N126">
        <v>1013</v>
      </c>
      <c r="O126" t="s">
        <v>625</v>
      </c>
      <c r="P126" t="s">
        <v>625</v>
      </c>
      <c r="Q126">
        <v>1</v>
      </c>
      <c r="X126">
        <v>51.533999999999999</v>
      </c>
      <c r="Y126">
        <v>0</v>
      </c>
      <c r="Z126">
        <v>0</v>
      </c>
      <c r="AA126">
        <v>0</v>
      </c>
      <c r="AB126">
        <v>11.92</v>
      </c>
      <c r="AC126">
        <v>0</v>
      </c>
      <c r="AD126">
        <v>1</v>
      </c>
      <c r="AE126">
        <v>1</v>
      </c>
      <c r="AF126" t="s">
        <v>25</v>
      </c>
      <c r="AG126">
        <v>54.110700000000001</v>
      </c>
      <c r="AH126">
        <v>2</v>
      </c>
      <c r="AI126">
        <v>86327390</v>
      </c>
      <c r="AJ126">
        <v>146</v>
      </c>
      <c r="AK126">
        <v>0</v>
      </c>
      <c r="AL126">
        <v>0</v>
      </c>
      <c r="AM126">
        <v>0</v>
      </c>
      <c r="AN126">
        <v>0</v>
      </c>
      <c r="AO126">
        <v>0</v>
      </c>
      <c r="AP126">
        <v>0</v>
      </c>
      <c r="AQ126">
        <v>0</v>
      </c>
      <c r="AR126">
        <v>0</v>
      </c>
    </row>
    <row r="127" spans="1:44" x14ac:dyDescent="0.2">
      <c r="A127">
        <f>ROW(Source!A138)</f>
        <v>138</v>
      </c>
      <c r="B127">
        <v>86327398</v>
      </c>
      <c r="C127">
        <v>86327389</v>
      </c>
      <c r="D127">
        <v>121548</v>
      </c>
      <c r="E127">
        <v>1</v>
      </c>
      <c r="F127">
        <v>1</v>
      </c>
      <c r="G127">
        <v>1</v>
      </c>
      <c r="H127">
        <v>1</v>
      </c>
      <c r="I127" t="s">
        <v>40</v>
      </c>
      <c r="J127" t="s">
        <v>6</v>
      </c>
      <c r="K127" t="s">
        <v>626</v>
      </c>
      <c r="L127">
        <v>608254</v>
      </c>
      <c r="N127">
        <v>1013</v>
      </c>
      <c r="O127" t="s">
        <v>627</v>
      </c>
      <c r="P127" t="s">
        <v>627</v>
      </c>
      <c r="Q127">
        <v>1</v>
      </c>
      <c r="X127">
        <v>0.45</v>
      </c>
      <c r="Y127">
        <v>0</v>
      </c>
      <c r="Z127">
        <v>0</v>
      </c>
      <c r="AA127">
        <v>0</v>
      </c>
      <c r="AB127">
        <v>0</v>
      </c>
      <c r="AC127">
        <v>0</v>
      </c>
      <c r="AD127">
        <v>1</v>
      </c>
      <c r="AE127">
        <v>2</v>
      </c>
      <c r="AF127" t="s">
        <v>24</v>
      </c>
      <c r="AG127">
        <v>0.50400000000000011</v>
      </c>
      <c r="AH127">
        <v>2</v>
      </c>
      <c r="AI127">
        <v>86327391</v>
      </c>
      <c r="AJ127">
        <v>147</v>
      </c>
      <c r="AK127">
        <v>0</v>
      </c>
      <c r="AL127">
        <v>0</v>
      </c>
      <c r="AM127">
        <v>0</v>
      </c>
      <c r="AN127">
        <v>0</v>
      </c>
      <c r="AO127">
        <v>0</v>
      </c>
      <c r="AP127">
        <v>0</v>
      </c>
      <c r="AQ127">
        <v>0</v>
      </c>
      <c r="AR127">
        <v>0</v>
      </c>
    </row>
    <row r="128" spans="1:44" x14ac:dyDescent="0.2">
      <c r="A128">
        <f>ROW(Source!A138)</f>
        <v>138</v>
      </c>
      <c r="B128">
        <v>86327399</v>
      </c>
      <c r="C128">
        <v>86327389</v>
      </c>
      <c r="D128">
        <v>35950917</v>
      </c>
      <c r="E128">
        <v>1</v>
      </c>
      <c r="F128">
        <v>1</v>
      </c>
      <c r="G128">
        <v>1</v>
      </c>
      <c r="H128">
        <v>2</v>
      </c>
      <c r="I128" t="s">
        <v>628</v>
      </c>
      <c r="J128" t="s">
        <v>642</v>
      </c>
      <c r="K128" t="s">
        <v>643</v>
      </c>
      <c r="L128">
        <v>1368</v>
      </c>
      <c r="N128">
        <v>1011</v>
      </c>
      <c r="O128" t="s">
        <v>137</v>
      </c>
      <c r="P128" t="s">
        <v>137</v>
      </c>
      <c r="Q128">
        <v>1</v>
      </c>
      <c r="X128">
        <v>0.36</v>
      </c>
      <c r="Y128">
        <v>0</v>
      </c>
      <c r="Z128">
        <v>115.64</v>
      </c>
      <c r="AA128">
        <v>11.18</v>
      </c>
      <c r="AB128">
        <v>0</v>
      </c>
      <c r="AC128">
        <v>0</v>
      </c>
      <c r="AD128">
        <v>1</v>
      </c>
      <c r="AE128">
        <v>0</v>
      </c>
      <c r="AF128" t="s">
        <v>24</v>
      </c>
      <c r="AG128">
        <v>0.4032</v>
      </c>
      <c r="AH128">
        <v>2</v>
      </c>
      <c r="AI128">
        <v>86327392</v>
      </c>
      <c r="AJ128">
        <v>148</v>
      </c>
      <c r="AK128">
        <v>0</v>
      </c>
      <c r="AL128">
        <v>0</v>
      </c>
      <c r="AM128">
        <v>0</v>
      </c>
      <c r="AN128">
        <v>0</v>
      </c>
      <c r="AO128">
        <v>0</v>
      </c>
      <c r="AP128">
        <v>0</v>
      </c>
      <c r="AQ128">
        <v>0</v>
      </c>
      <c r="AR128">
        <v>0</v>
      </c>
    </row>
    <row r="129" spans="1:44" x14ac:dyDescent="0.2">
      <c r="A129">
        <f>ROW(Source!A138)</f>
        <v>138</v>
      </c>
      <c r="B129">
        <v>86327400</v>
      </c>
      <c r="C129">
        <v>86327389</v>
      </c>
      <c r="D129">
        <v>35950918</v>
      </c>
      <c r="E129">
        <v>1</v>
      </c>
      <c r="F129">
        <v>1</v>
      </c>
      <c r="G129">
        <v>1</v>
      </c>
      <c r="H129">
        <v>2</v>
      </c>
      <c r="I129" t="s">
        <v>631</v>
      </c>
      <c r="J129" t="s">
        <v>644</v>
      </c>
      <c r="K129" t="s">
        <v>645</v>
      </c>
      <c r="L129">
        <v>1368</v>
      </c>
      <c r="N129">
        <v>1011</v>
      </c>
      <c r="O129" t="s">
        <v>137</v>
      </c>
      <c r="P129" t="s">
        <v>137</v>
      </c>
      <c r="Q129">
        <v>1</v>
      </c>
      <c r="X129">
        <v>0.09</v>
      </c>
      <c r="Y129">
        <v>0</v>
      </c>
      <c r="Z129">
        <v>112.67</v>
      </c>
      <c r="AA129">
        <v>13.02</v>
      </c>
      <c r="AB129">
        <v>0</v>
      </c>
      <c r="AC129">
        <v>0</v>
      </c>
      <c r="AD129">
        <v>1</v>
      </c>
      <c r="AE129">
        <v>0</v>
      </c>
      <c r="AF129" t="s">
        <v>24</v>
      </c>
      <c r="AG129">
        <v>0.1008</v>
      </c>
      <c r="AH129">
        <v>2</v>
      </c>
      <c r="AI129">
        <v>86327393</v>
      </c>
      <c r="AJ129">
        <v>149</v>
      </c>
      <c r="AK129">
        <v>0</v>
      </c>
      <c r="AL129">
        <v>0</v>
      </c>
      <c r="AM129">
        <v>0</v>
      </c>
      <c r="AN129">
        <v>0</v>
      </c>
      <c r="AO129">
        <v>0</v>
      </c>
      <c r="AP129">
        <v>0</v>
      </c>
      <c r="AQ129">
        <v>0</v>
      </c>
      <c r="AR129">
        <v>0</v>
      </c>
    </row>
    <row r="130" spans="1:44" x14ac:dyDescent="0.2">
      <c r="A130">
        <f>ROW(Source!A138)</f>
        <v>138</v>
      </c>
      <c r="B130">
        <v>86327401</v>
      </c>
      <c r="C130">
        <v>86327389</v>
      </c>
      <c r="D130">
        <v>35950919</v>
      </c>
      <c r="E130">
        <v>1</v>
      </c>
      <c r="F130">
        <v>1</v>
      </c>
      <c r="G130">
        <v>1</v>
      </c>
      <c r="H130">
        <v>2</v>
      </c>
      <c r="I130" t="s">
        <v>637</v>
      </c>
      <c r="J130" t="s">
        <v>646</v>
      </c>
      <c r="K130" t="s">
        <v>639</v>
      </c>
      <c r="L130">
        <v>1368</v>
      </c>
      <c r="N130">
        <v>1011</v>
      </c>
      <c r="O130" t="s">
        <v>137</v>
      </c>
      <c r="P130" t="s">
        <v>137</v>
      </c>
      <c r="Q130">
        <v>1</v>
      </c>
      <c r="X130">
        <v>0.13</v>
      </c>
      <c r="Y130">
        <v>0</v>
      </c>
      <c r="Z130">
        <v>93.37</v>
      </c>
      <c r="AA130">
        <v>11.69</v>
      </c>
      <c r="AB130">
        <v>0</v>
      </c>
      <c r="AC130">
        <v>0</v>
      </c>
      <c r="AD130">
        <v>1</v>
      </c>
      <c r="AE130">
        <v>0</v>
      </c>
      <c r="AF130" t="s">
        <v>24</v>
      </c>
      <c r="AG130">
        <v>0.14560000000000001</v>
      </c>
      <c r="AH130">
        <v>2</v>
      </c>
      <c r="AI130">
        <v>86327394</v>
      </c>
      <c r="AJ130">
        <v>150</v>
      </c>
      <c r="AK130">
        <v>0</v>
      </c>
      <c r="AL130">
        <v>0</v>
      </c>
      <c r="AM130">
        <v>0</v>
      </c>
      <c r="AN130">
        <v>0</v>
      </c>
      <c r="AO130">
        <v>0</v>
      </c>
      <c r="AP130">
        <v>0</v>
      </c>
      <c r="AQ130">
        <v>0</v>
      </c>
      <c r="AR130">
        <v>0</v>
      </c>
    </row>
    <row r="131" spans="1:44" x14ac:dyDescent="0.2">
      <c r="A131">
        <f>ROW(Source!A138)</f>
        <v>138</v>
      </c>
      <c r="B131">
        <v>86327402</v>
      </c>
      <c r="C131">
        <v>86327389</v>
      </c>
      <c r="D131">
        <v>10841104</v>
      </c>
      <c r="E131">
        <v>1</v>
      </c>
      <c r="F131">
        <v>1</v>
      </c>
      <c r="G131">
        <v>1</v>
      </c>
      <c r="H131">
        <v>3</v>
      </c>
      <c r="I131" t="s">
        <v>316</v>
      </c>
      <c r="J131" t="s">
        <v>705</v>
      </c>
      <c r="K131" t="s">
        <v>706</v>
      </c>
      <c r="L131">
        <v>1348</v>
      </c>
      <c r="N131">
        <v>1009</v>
      </c>
      <c r="O131" t="s">
        <v>33</v>
      </c>
      <c r="P131" t="s">
        <v>33</v>
      </c>
      <c r="Q131">
        <v>1000</v>
      </c>
      <c r="X131">
        <v>5.0000000000000001E-3</v>
      </c>
      <c r="Y131">
        <v>10559.12</v>
      </c>
      <c r="Z131">
        <v>0</v>
      </c>
      <c r="AA131">
        <v>0</v>
      </c>
      <c r="AB131">
        <v>0</v>
      </c>
      <c r="AC131">
        <v>0</v>
      </c>
      <c r="AD131">
        <v>1</v>
      </c>
      <c r="AE131">
        <v>0</v>
      </c>
      <c r="AF131" t="s">
        <v>6</v>
      </c>
      <c r="AG131">
        <v>5.0000000000000001E-3</v>
      </c>
      <c r="AH131">
        <v>3</v>
      </c>
      <c r="AI131">
        <v>-1</v>
      </c>
      <c r="AJ131" t="s">
        <v>6</v>
      </c>
      <c r="AK131">
        <v>4</v>
      </c>
      <c r="AL131">
        <v>-52.795600000000007</v>
      </c>
      <c r="AM131">
        <v>0</v>
      </c>
      <c r="AN131">
        <v>0</v>
      </c>
      <c r="AO131">
        <v>0</v>
      </c>
      <c r="AP131">
        <v>0</v>
      </c>
      <c r="AQ131">
        <v>0</v>
      </c>
      <c r="AR131">
        <v>1</v>
      </c>
    </row>
    <row r="132" spans="1:44" x14ac:dyDescent="0.2">
      <c r="A132">
        <f>ROW(Source!A138)</f>
        <v>138</v>
      </c>
      <c r="B132">
        <v>86327403</v>
      </c>
      <c r="C132">
        <v>86327389</v>
      </c>
      <c r="D132">
        <v>35950879</v>
      </c>
      <c r="E132">
        <v>1</v>
      </c>
      <c r="F132">
        <v>1</v>
      </c>
      <c r="G132">
        <v>1</v>
      </c>
      <c r="H132">
        <v>3</v>
      </c>
      <c r="I132" t="s">
        <v>724</v>
      </c>
      <c r="J132" t="s">
        <v>725</v>
      </c>
      <c r="K132" t="s">
        <v>726</v>
      </c>
      <c r="L132">
        <v>1348</v>
      </c>
      <c r="N132">
        <v>1009</v>
      </c>
      <c r="O132" t="s">
        <v>33</v>
      </c>
      <c r="P132" t="s">
        <v>33</v>
      </c>
      <c r="Q132">
        <v>1000</v>
      </c>
      <c r="X132">
        <v>1</v>
      </c>
      <c r="Y132">
        <v>4700.26</v>
      </c>
      <c r="Z132">
        <v>0</v>
      </c>
      <c r="AA132">
        <v>0</v>
      </c>
      <c r="AB132">
        <v>0</v>
      </c>
      <c r="AC132">
        <v>0</v>
      </c>
      <c r="AD132">
        <v>1</v>
      </c>
      <c r="AE132">
        <v>0</v>
      </c>
      <c r="AF132" t="s">
        <v>6</v>
      </c>
      <c r="AG132">
        <v>1</v>
      </c>
      <c r="AH132">
        <v>3</v>
      </c>
      <c r="AI132">
        <v>-1</v>
      </c>
      <c r="AJ132" t="s">
        <v>6</v>
      </c>
      <c r="AK132">
        <v>4</v>
      </c>
      <c r="AL132">
        <v>-4700.26</v>
      </c>
      <c r="AM132">
        <v>0</v>
      </c>
      <c r="AN132">
        <v>0</v>
      </c>
      <c r="AO132">
        <v>0</v>
      </c>
      <c r="AP132">
        <v>0</v>
      </c>
      <c r="AQ132">
        <v>0</v>
      </c>
      <c r="AR132">
        <v>1</v>
      </c>
    </row>
    <row r="133" spans="1:44" x14ac:dyDescent="0.2">
      <c r="A133">
        <f>ROW(Source!A143)</f>
        <v>143</v>
      </c>
      <c r="B133">
        <v>86327420</v>
      </c>
      <c r="C133">
        <v>86327406</v>
      </c>
      <c r="D133">
        <v>27497778</v>
      </c>
      <c r="E133">
        <v>1</v>
      </c>
      <c r="F133">
        <v>1</v>
      </c>
      <c r="G133">
        <v>1</v>
      </c>
      <c r="H133">
        <v>1</v>
      </c>
      <c r="I133" t="s">
        <v>647</v>
      </c>
      <c r="J133" t="s">
        <v>6</v>
      </c>
      <c r="K133" t="s">
        <v>648</v>
      </c>
      <c r="L133">
        <v>1369</v>
      </c>
      <c r="N133">
        <v>1013</v>
      </c>
      <c r="O133" t="s">
        <v>625</v>
      </c>
      <c r="P133" t="s">
        <v>625</v>
      </c>
      <c r="Q133">
        <v>1</v>
      </c>
      <c r="X133">
        <v>3.75</v>
      </c>
      <c r="Y133">
        <v>0</v>
      </c>
      <c r="Z133">
        <v>0</v>
      </c>
      <c r="AA133">
        <v>0</v>
      </c>
      <c r="AB133">
        <v>8.7100000000000009</v>
      </c>
      <c r="AC133">
        <v>0</v>
      </c>
      <c r="AD133">
        <v>1</v>
      </c>
      <c r="AE133">
        <v>1</v>
      </c>
      <c r="AF133" t="s">
        <v>25</v>
      </c>
      <c r="AG133">
        <v>3.9375</v>
      </c>
      <c r="AH133">
        <v>2</v>
      </c>
      <c r="AI133">
        <v>86327407</v>
      </c>
      <c r="AJ133">
        <v>153</v>
      </c>
      <c r="AK133">
        <v>0</v>
      </c>
      <c r="AL133">
        <v>0</v>
      </c>
      <c r="AM133">
        <v>0</v>
      </c>
      <c r="AN133">
        <v>0</v>
      </c>
      <c r="AO133">
        <v>0</v>
      </c>
      <c r="AP133">
        <v>0</v>
      </c>
      <c r="AQ133">
        <v>0</v>
      </c>
      <c r="AR133">
        <v>0</v>
      </c>
    </row>
    <row r="134" spans="1:44" x14ac:dyDescent="0.2">
      <c r="A134">
        <f>ROW(Source!A143)</f>
        <v>143</v>
      </c>
      <c r="B134">
        <v>86327421</v>
      </c>
      <c r="C134">
        <v>86327406</v>
      </c>
      <c r="D134">
        <v>121548</v>
      </c>
      <c r="E134">
        <v>1</v>
      </c>
      <c r="F134">
        <v>1</v>
      </c>
      <c r="G134">
        <v>1</v>
      </c>
      <c r="H134">
        <v>1</v>
      </c>
      <c r="I134" t="s">
        <v>40</v>
      </c>
      <c r="J134" t="s">
        <v>6</v>
      </c>
      <c r="K134" t="s">
        <v>626</v>
      </c>
      <c r="L134">
        <v>608254</v>
      </c>
      <c r="N134">
        <v>1013</v>
      </c>
      <c r="O134" t="s">
        <v>627</v>
      </c>
      <c r="P134" t="s">
        <v>627</v>
      </c>
      <c r="Q134">
        <v>1</v>
      </c>
      <c r="X134">
        <v>1.48</v>
      </c>
      <c r="Y134">
        <v>0</v>
      </c>
      <c r="Z134">
        <v>0</v>
      </c>
      <c r="AA134">
        <v>0</v>
      </c>
      <c r="AB134">
        <v>0</v>
      </c>
      <c r="AC134">
        <v>0</v>
      </c>
      <c r="AD134">
        <v>1</v>
      </c>
      <c r="AE134">
        <v>2</v>
      </c>
      <c r="AF134" t="s">
        <v>24</v>
      </c>
      <c r="AG134">
        <v>1.6576000000000002</v>
      </c>
      <c r="AH134">
        <v>2</v>
      </c>
      <c r="AI134">
        <v>86327408</v>
      </c>
      <c r="AJ134">
        <v>154</v>
      </c>
      <c r="AK134">
        <v>0</v>
      </c>
      <c r="AL134">
        <v>0</v>
      </c>
      <c r="AM134">
        <v>0</v>
      </c>
      <c r="AN134">
        <v>0</v>
      </c>
      <c r="AO134">
        <v>0</v>
      </c>
      <c r="AP134">
        <v>0</v>
      </c>
      <c r="AQ134">
        <v>0</v>
      </c>
      <c r="AR134">
        <v>0</v>
      </c>
    </row>
    <row r="135" spans="1:44" x14ac:dyDescent="0.2">
      <c r="A135">
        <f>ROW(Source!A143)</f>
        <v>143</v>
      </c>
      <c r="B135">
        <v>86327422</v>
      </c>
      <c r="C135">
        <v>86327406</v>
      </c>
      <c r="D135">
        <v>27439418</v>
      </c>
      <c r="E135">
        <v>1</v>
      </c>
      <c r="F135">
        <v>1</v>
      </c>
      <c r="G135">
        <v>1</v>
      </c>
      <c r="H135">
        <v>2</v>
      </c>
      <c r="I135" t="s">
        <v>652</v>
      </c>
      <c r="J135" t="s">
        <v>653</v>
      </c>
      <c r="K135" t="s">
        <v>654</v>
      </c>
      <c r="L135">
        <v>1368</v>
      </c>
      <c r="N135">
        <v>1011</v>
      </c>
      <c r="O135" t="s">
        <v>137</v>
      </c>
      <c r="P135" t="s">
        <v>137</v>
      </c>
      <c r="Q135">
        <v>1</v>
      </c>
      <c r="X135">
        <v>1.48</v>
      </c>
      <c r="Y135">
        <v>0</v>
      </c>
      <c r="Z135">
        <v>91.69</v>
      </c>
      <c r="AA135">
        <v>13.61</v>
      </c>
      <c r="AB135">
        <v>0</v>
      </c>
      <c r="AC135">
        <v>0</v>
      </c>
      <c r="AD135">
        <v>1</v>
      </c>
      <c r="AE135">
        <v>0</v>
      </c>
      <c r="AF135" t="s">
        <v>24</v>
      </c>
      <c r="AG135">
        <v>1.6576000000000002</v>
      </c>
      <c r="AH135">
        <v>2</v>
      </c>
      <c r="AI135">
        <v>86327409</v>
      </c>
      <c r="AJ135">
        <v>155</v>
      </c>
      <c r="AK135">
        <v>0</v>
      </c>
      <c r="AL135">
        <v>0</v>
      </c>
      <c r="AM135">
        <v>0</v>
      </c>
      <c r="AN135">
        <v>0</v>
      </c>
      <c r="AO135">
        <v>0</v>
      </c>
      <c r="AP135">
        <v>0</v>
      </c>
      <c r="AQ135">
        <v>0</v>
      </c>
      <c r="AR135">
        <v>0</v>
      </c>
    </row>
    <row r="136" spans="1:44" x14ac:dyDescent="0.2">
      <c r="A136">
        <f>ROW(Source!A143)</f>
        <v>143</v>
      </c>
      <c r="B136">
        <v>86327423</v>
      </c>
      <c r="C136">
        <v>86327406</v>
      </c>
      <c r="D136">
        <v>27440039</v>
      </c>
      <c r="E136">
        <v>1</v>
      </c>
      <c r="F136">
        <v>1</v>
      </c>
      <c r="G136">
        <v>1</v>
      </c>
      <c r="H136">
        <v>2</v>
      </c>
      <c r="I136" t="s">
        <v>649</v>
      </c>
      <c r="J136" t="s">
        <v>650</v>
      </c>
      <c r="K136" t="s">
        <v>651</v>
      </c>
      <c r="L136">
        <v>1368</v>
      </c>
      <c r="N136">
        <v>1011</v>
      </c>
      <c r="O136" t="s">
        <v>137</v>
      </c>
      <c r="P136" t="s">
        <v>137</v>
      </c>
      <c r="Q136">
        <v>1</v>
      </c>
      <c r="X136">
        <v>1.31</v>
      </c>
      <c r="Y136">
        <v>0</v>
      </c>
      <c r="Z136">
        <v>1.83</v>
      </c>
      <c r="AA136">
        <v>0</v>
      </c>
      <c r="AB136">
        <v>0</v>
      </c>
      <c r="AC136">
        <v>0</v>
      </c>
      <c r="AD136">
        <v>1</v>
      </c>
      <c r="AE136">
        <v>0</v>
      </c>
      <c r="AF136" t="s">
        <v>24</v>
      </c>
      <c r="AG136">
        <v>1.4672000000000003</v>
      </c>
      <c r="AH136">
        <v>2</v>
      </c>
      <c r="AI136">
        <v>86327410</v>
      </c>
      <c r="AJ136">
        <v>156</v>
      </c>
      <c r="AK136">
        <v>0</v>
      </c>
      <c r="AL136">
        <v>0</v>
      </c>
      <c r="AM136">
        <v>0</v>
      </c>
      <c r="AN136">
        <v>0</v>
      </c>
      <c r="AO136">
        <v>0</v>
      </c>
      <c r="AP136">
        <v>0</v>
      </c>
      <c r="AQ136">
        <v>0</v>
      </c>
      <c r="AR136">
        <v>0</v>
      </c>
    </row>
    <row r="137" spans="1:44" x14ac:dyDescent="0.2">
      <c r="A137">
        <f>ROW(Source!A143)</f>
        <v>143</v>
      </c>
      <c r="B137">
        <v>86327424</v>
      </c>
      <c r="C137">
        <v>86327406</v>
      </c>
      <c r="D137">
        <v>27371200</v>
      </c>
      <c r="E137">
        <v>1</v>
      </c>
      <c r="F137">
        <v>1</v>
      </c>
      <c r="G137">
        <v>1</v>
      </c>
      <c r="H137">
        <v>3</v>
      </c>
      <c r="I137" t="s">
        <v>71</v>
      </c>
      <c r="J137" t="s">
        <v>73</v>
      </c>
      <c r="K137" t="s">
        <v>72</v>
      </c>
      <c r="L137">
        <v>1348</v>
      </c>
      <c r="N137">
        <v>1009</v>
      </c>
      <c r="O137" t="s">
        <v>33</v>
      </c>
      <c r="P137" t="s">
        <v>33</v>
      </c>
      <c r="Q137">
        <v>1000</v>
      </c>
      <c r="X137">
        <v>4.1999999999999997E-3</v>
      </c>
      <c r="Y137">
        <v>1696.01</v>
      </c>
      <c r="Z137">
        <v>0</v>
      </c>
      <c r="AA137">
        <v>0</v>
      </c>
      <c r="AB137">
        <v>0</v>
      </c>
      <c r="AC137">
        <v>0</v>
      </c>
      <c r="AD137">
        <v>1</v>
      </c>
      <c r="AE137">
        <v>0</v>
      </c>
      <c r="AF137" t="s">
        <v>6</v>
      </c>
      <c r="AG137">
        <v>4.1999999999999997E-3</v>
      </c>
      <c r="AH137">
        <v>2</v>
      </c>
      <c r="AI137">
        <v>86327411</v>
      </c>
      <c r="AJ137">
        <v>157</v>
      </c>
      <c r="AK137">
        <v>3</v>
      </c>
      <c r="AL137">
        <v>-7.1232419999999994</v>
      </c>
      <c r="AM137">
        <v>0</v>
      </c>
      <c r="AN137">
        <v>0</v>
      </c>
      <c r="AO137">
        <v>0</v>
      </c>
      <c r="AP137">
        <v>0</v>
      </c>
      <c r="AQ137">
        <v>0</v>
      </c>
      <c r="AR137">
        <v>1</v>
      </c>
    </row>
    <row r="138" spans="1:44" x14ac:dyDescent="0.2">
      <c r="A138">
        <f>ROW(Source!A143)</f>
        <v>143</v>
      </c>
      <c r="B138">
        <v>86327425</v>
      </c>
      <c r="C138">
        <v>86327406</v>
      </c>
      <c r="D138">
        <v>27379319</v>
      </c>
      <c r="E138">
        <v>1</v>
      </c>
      <c r="F138">
        <v>1</v>
      </c>
      <c r="G138">
        <v>1</v>
      </c>
      <c r="H138">
        <v>3</v>
      </c>
      <c r="I138" t="s">
        <v>714</v>
      </c>
      <c r="J138" t="s">
        <v>727</v>
      </c>
      <c r="K138" t="s">
        <v>716</v>
      </c>
      <c r="L138">
        <v>1035</v>
      </c>
      <c r="N138">
        <v>1013</v>
      </c>
      <c r="O138" t="s">
        <v>717</v>
      </c>
      <c r="P138" t="s">
        <v>717</v>
      </c>
      <c r="Q138">
        <v>1</v>
      </c>
      <c r="X138">
        <v>0</v>
      </c>
      <c r="Y138">
        <v>0</v>
      </c>
      <c r="Z138">
        <v>0</v>
      </c>
      <c r="AA138">
        <v>0</v>
      </c>
      <c r="AB138">
        <v>0</v>
      </c>
      <c r="AC138">
        <v>1</v>
      </c>
      <c r="AD138">
        <v>0</v>
      </c>
      <c r="AE138">
        <v>0</v>
      </c>
      <c r="AF138" t="s">
        <v>6</v>
      </c>
      <c r="AG138">
        <v>0</v>
      </c>
      <c r="AH138">
        <v>3</v>
      </c>
      <c r="AI138">
        <v>-1</v>
      </c>
      <c r="AJ138" t="s">
        <v>6</v>
      </c>
      <c r="AK138">
        <v>0</v>
      </c>
      <c r="AL138">
        <v>0</v>
      </c>
      <c r="AM138">
        <v>0</v>
      </c>
      <c r="AN138">
        <v>0</v>
      </c>
      <c r="AO138">
        <v>0</v>
      </c>
      <c r="AP138">
        <v>0</v>
      </c>
      <c r="AQ138">
        <v>0</v>
      </c>
      <c r="AR138">
        <v>0</v>
      </c>
    </row>
    <row r="139" spans="1:44" x14ac:dyDescent="0.2">
      <c r="A139">
        <f>ROW(Source!A143)</f>
        <v>143</v>
      </c>
      <c r="B139">
        <v>86327426</v>
      </c>
      <c r="C139">
        <v>86327406</v>
      </c>
      <c r="D139">
        <v>27407521</v>
      </c>
      <c r="E139">
        <v>1</v>
      </c>
      <c r="F139">
        <v>1</v>
      </c>
      <c r="G139">
        <v>1</v>
      </c>
      <c r="H139">
        <v>3</v>
      </c>
      <c r="I139" t="s">
        <v>718</v>
      </c>
      <c r="J139" t="s">
        <v>728</v>
      </c>
      <c r="K139" t="s">
        <v>720</v>
      </c>
      <c r="L139">
        <v>1339</v>
      </c>
      <c r="N139">
        <v>1007</v>
      </c>
      <c r="O139" t="s">
        <v>44</v>
      </c>
      <c r="P139" t="s">
        <v>44</v>
      </c>
      <c r="Q139">
        <v>1</v>
      </c>
      <c r="X139">
        <v>0</v>
      </c>
      <c r="Y139">
        <v>0</v>
      </c>
      <c r="Z139">
        <v>0</v>
      </c>
      <c r="AA139">
        <v>0</v>
      </c>
      <c r="AB139">
        <v>0</v>
      </c>
      <c r="AC139">
        <v>1</v>
      </c>
      <c r="AD139">
        <v>0</v>
      </c>
      <c r="AE139">
        <v>0</v>
      </c>
      <c r="AF139" t="s">
        <v>6</v>
      </c>
      <c r="AG139">
        <v>0</v>
      </c>
      <c r="AH139">
        <v>3</v>
      </c>
      <c r="AI139">
        <v>-1</v>
      </c>
      <c r="AJ139" t="s">
        <v>6</v>
      </c>
      <c r="AK139">
        <v>0</v>
      </c>
      <c r="AL139">
        <v>0</v>
      </c>
      <c r="AM139">
        <v>0</v>
      </c>
      <c r="AN139">
        <v>0</v>
      </c>
      <c r="AO139">
        <v>0</v>
      </c>
      <c r="AP139">
        <v>0</v>
      </c>
      <c r="AQ139">
        <v>0</v>
      </c>
      <c r="AR139">
        <v>0</v>
      </c>
    </row>
    <row r="140" spans="1:44" x14ac:dyDescent="0.2">
      <c r="A140">
        <f>ROW(Source!A144)</f>
        <v>144</v>
      </c>
      <c r="B140">
        <v>86327420</v>
      </c>
      <c r="C140">
        <v>86327406</v>
      </c>
      <c r="D140">
        <v>27497778</v>
      </c>
      <c r="E140">
        <v>1</v>
      </c>
      <c r="F140">
        <v>1</v>
      </c>
      <c r="G140">
        <v>1</v>
      </c>
      <c r="H140">
        <v>1</v>
      </c>
      <c r="I140" t="s">
        <v>647</v>
      </c>
      <c r="J140" t="s">
        <v>6</v>
      </c>
      <c r="K140" t="s">
        <v>648</v>
      </c>
      <c r="L140">
        <v>1369</v>
      </c>
      <c r="N140">
        <v>1013</v>
      </c>
      <c r="O140" t="s">
        <v>625</v>
      </c>
      <c r="P140" t="s">
        <v>625</v>
      </c>
      <c r="Q140">
        <v>1</v>
      </c>
      <c r="X140">
        <v>3.75</v>
      </c>
      <c r="Y140">
        <v>0</v>
      </c>
      <c r="Z140">
        <v>0</v>
      </c>
      <c r="AA140">
        <v>0</v>
      </c>
      <c r="AB140">
        <v>8.7100000000000009</v>
      </c>
      <c r="AC140">
        <v>0</v>
      </c>
      <c r="AD140">
        <v>1</v>
      </c>
      <c r="AE140">
        <v>1</v>
      </c>
      <c r="AF140" t="s">
        <v>25</v>
      </c>
      <c r="AG140">
        <v>3.9375</v>
      </c>
      <c r="AH140">
        <v>2</v>
      </c>
      <c r="AI140">
        <v>86327407</v>
      </c>
      <c r="AJ140">
        <v>166</v>
      </c>
      <c r="AK140">
        <v>0</v>
      </c>
      <c r="AL140">
        <v>0</v>
      </c>
      <c r="AM140">
        <v>0</v>
      </c>
      <c r="AN140">
        <v>0</v>
      </c>
      <c r="AO140">
        <v>0</v>
      </c>
      <c r="AP140">
        <v>0</v>
      </c>
      <c r="AQ140">
        <v>0</v>
      </c>
      <c r="AR140">
        <v>0</v>
      </c>
    </row>
    <row r="141" spans="1:44" x14ac:dyDescent="0.2">
      <c r="A141">
        <f>ROW(Source!A144)</f>
        <v>144</v>
      </c>
      <c r="B141">
        <v>86327421</v>
      </c>
      <c r="C141">
        <v>86327406</v>
      </c>
      <c r="D141">
        <v>121548</v>
      </c>
      <c r="E141">
        <v>1</v>
      </c>
      <c r="F141">
        <v>1</v>
      </c>
      <c r="G141">
        <v>1</v>
      </c>
      <c r="H141">
        <v>1</v>
      </c>
      <c r="I141" t="s">
        <v>40</v>
      </c>
      <c r="J141" t="s">
        <v>6</v>
      </c>
      <c r="K141" t="s">
        <v>626</v>
      </c>
      <c r="L141">
        <v>608254</v>
      </c>
      <c r="N141">
        <v>1013</v>
      </c>
      <c r="O141" t="s">
        <v>627</v>
      </c>
      <c r="P141" t="s">
        <v>627</v>
      </c>
      <c r="Q141">
        <v>1</v>
      </c>
      <c r="X141">
        <v>1.48</v>
      </c>
      <c r="Y141">
        <v>0</v>
      </c>
      <c r="Z141">
        <v>0</v>
      </c>
      <c r="AA141">
        <v>0</v>
      </c>
      <c r="AB141">
        <v>0</v>
      </c>
      <c r="AC141">
        <v>0</v>
      </c>
      <c r="AD141">
        <v>1</v>
      </c>
      <c r="AE141">
        <v>2</v>
      </c>
      <c r="AF141" t="s">
        <v>24</v>
      </c>
      <c r="AG141">
        <v>1.6576000000000002</v>
      </c>
      <c r="AH141">
        <v>2</v>
      </c>
      <c r="AI141">
        <v>86327408</v>
      </c>
      <c r="AJ141">
        <v>167</v>
      </c>
      <c r="AK141">
        <v>0</v>
      </c>
      <c r="AL141">
        <v>0</v>
      </c>
      <c r="AM141">
        <v>0</v>
      </c>
      <c r="AN141">
        <v>0</v>
      </c>
      <c r="AO141">
        <v>0</v>
      </c>
      <c r="AP141">
        <v>0</v>
      </c>
      <c r="AQ141">
        <v>0</v>
      </c>
      <c r="AR141">
        <v>0</v>
      </c>
    </row>
    <row r="142" spans="1:44" x14ac:dyDescent="0.2">
      <c r="A142">
        <f>ROW(Source!A144)</f>
        <v>144</v>
      </c>
      <c r="B142">
        <v>86327422</v>
      </c>
      <c r="C142">
        <v>86327406</v>
      </c>
      <c r="D142">
        <v>27439418</v>
      </c>
      <c r="E142">
        <v>1</v>
      </c>
      <c r="F142">
        <v>1</v>
      </c>
      <c r="G142">
        <v>1</v>
      </c>
      <c r="H142">
        <v>2</v>
      </c>
      <c r="I142" t="s">
        <v>652</v>
      </c>
      <c r="J142" t="s">
        <v>653</v>
      </c>
      <c r="K142" t="s">
        <v>654</v>
      </c>
      <c r="L142">
        <v>1368</v>
      </c>
      <c r="N142">
        <v>1011</v>
      </c>
      <c r="O142" t="s">
        <v>137</v>
      </c>
      <c r="P142" t="s">
        <v>137</v>
      </c>
      <c r="Q142">
        <v>1</v>
      </c>
      <c r="X142">
        <v>1.48</v>
      </c>
      <c r="Y142">
        <v>0</v>
      </c>
      <c r="Z142">
        <v>91.69</v>
      </c>
      <c r="AA142">
        <v>13.61</v>
      </c>
      <c r="AB142">
        <v>0</v>
      </c>
      <c r="AC142">
        <v>0</v>
      </c>
      <c r="AD142">
        <v>1</v>
      </c>
      <c r="AE142">
        <v>0</v>
      </c>
      <c r="AF142" t="s">
        <v>24</v>
      </c>
      <c r="AG142">
        <v>1.6576000000000002</v>
      </c>
      <c r="AH142">
        <v>2</v>
      </c>
      <c r="AI142">
        <v>86327409</v>
      </c>
      <c r="AJ142">
        <v>168</v>
      </c>
      <c r="AK142">
        <v>0</v>
      </c>
      <c r="AL142">
        <v>0</v>
      </c>
      <c r="AM142">
        <v>0</v>
      </c>
      <c r="AN142">
        <v>0</v>
      </c>
      <c r="AO142">
        <v>0</v>
      </c>
      <c r="AP142">
        <v>0</v>
      </c>
      <c r="AQ142">
        <v>0</v>
      </c>
      <c r="AR142">
        <v>0</v>
      </c>
    </row>
    <row r="143" spans="1:44" x14ac:dyDescent="0.2">
      <c r="A143">
        <f>ROW(Source!A144)</f>
        <v>144</v>
      </c>
      <c r="B143">
        <v>86327423</v>
      </c>
      <c r="C143">
        <v>86327406</v>
      </c>
      <c r="D143">
        <v>27440039</v>
      </c>
      <c r="E143">
        <v>1</v>
      </c>
      <c r="F143">
        <v>1</v>
      </c>
      <c r="G143">
        <v>1</v>
      </c>
      <c r="H143">
        <v>2</v>
      </c>
      <c r="I143" t="s">
        <v>649</v>
      </c>
      <c r="J143" t="s">
        <v>650</v>
      </c>
      <c r="K143" t="s">
        <v>651</v>
      </c>
      <c r="L143">
        <v>1368</v>
      </c>
      <c r="N143">
        <v>1011</v>
      </c>
      <c r="O143" t="s">
        <v>137</v>
      </c>
      <c r="P143" t="s">
        <v>137</v>
      </c>
      <c r="Q143">
        <v>1</v>
      </c>
      <c r="X143">
        <v>1.31</v>
      </c>
      <c r="Y143">
        <v>0</v>
      </c>
      <c r="Z143">
        <v>1.83</v>
      </c>
      <c r="AA143">
        <v>0</v>
      </c>
      <c r="AB143">
        <v>0</v>
      </c>
      <c r="AC143">
        <v>0</v>
      </c>
      <c r="AD143">
        <v>1</v>
      </c>
      <c r="AE143">
        <v>0</v>
      </c>
      <c r="AF143" t="s">
        <v>24</v>
      </c>
      <c r="AG143">
        <v>1.4672000000000003</v>
      </c>
      <c r="AH143">
        <v>2</v>
      </c>
      <c r="AI143">
        <v>86327410</v>
      </c>
      <c r="AJ143">
        <v>169</v>
      </c>
      <c r="AK143">
        <v>0</v>
      </c>
      <c r="AL143">
        <v>0</v>
      </c>
      <c r="AM143">
        <v>0</v>
      </c>
      <c r="AN143">
        <v>0</v>
      </c>
      <c r="AO143">
        <v>0</v>
      </c>
      <c r="AP143">
        <v>0</v>
      </c>
      <c r="AQ143">
        <v>0</v>
      </c>
      <c r="AR143">
        <v>0</v>
      </c>
    </row>
    <row r="144" spans="1:44" x14ac:dyDescent="0.2">
      <c r="A144">
        <f>ROW(Source!A144)</f>
        <v>144</v>
      </c>
      <c r="B144">
        <v>86327424</v>
      </c>
      <c r="C144">
        <v>86327406</v>
      </c>
      <c r="D144">
        <v>27371200</v>
      </c>
      <c r="E144">
        <v>1</v>
      </c>
      <c r="F144">
        <v>1</v>
      </c>
      <c r="G144">
        <v>1</v>
      </c>
      <c r="H144">
        <v>3</v>
      </c>
      <c r="I144" t="s">
        <v>71</v>
      </c>
      <c r="J144" t="s">
        <v>73</v>
      </c>
      <c r="K144" t="s">
        <v>72</v>
      </c>
      <c r="L144">
        <v>1348</v>
      </c>
      <c r="N144">
        <v>1009</v>
      </c>
      <c r="O144" t="s">
        <v>33</v>
      </c>
      <c r="P144" t="s">
        <v>33</v>
      </c>
      <c r="Q144">
        <v>1000</v>
      </c>
      <c r="X144">
        <v>4.1999999999999997E-3</v>
      </c>
      <c r="Y144">
        <v>1696.01</v>
      </c>
      <c r="Z144">
        <v>0</v>
      </c>
      <c r="AA144">
        <v>0</v>
      </c>
      <c r="AB144">
        <v>0</v>
      </c>
      <c r="AC144">
        <v>0</v>
      </c>
      <c r="AD144">
        <v>1</v>
      </c>
      <c r="AE144">
        <v>0</v>
      </c>
      <c r="AF144" t="s">
        <v>6</v>
      </c>
      <c r="AG144">
        <v>4.1999999999999997E-3</v>
      </c>
      <c r="AH144">
        <v>2</v>
      </c>
      <c r="AI144">
        <v>86327411</v>
      </c>
      <c r="AJ144">
        <v>170</v>
      </c>
      <c r="AK144">
        <v>3</v>
      </c>
      <c r="AL144">
        <v>-7.1232419999999994</v>
      </c>
      <c r="AM144">
        <v>0</v>
      </c>
      <c r="AN144">
        <v>0</v>
      </c>
      <c r="AO144">
        <v>0</v>
      </c>
      <c r="AP144">
        <v>0</v>
      </c>
      <c r="AQ144">
        <v>0</v>
      </c>
      <c r="AR144">
        <v>1</v>
      </c>
    </row>
    <row r="145" spans="1:44" x14ac:dyDescent="0.2">
      <c r="A145">
        <f>ROW(Source!A144)</f>
        <v>144</v>
      </c>
      <c r="B145">
        <v>86327425</v>
      </c>
      <c r="C145">
        <v>86327406</v>
      </c>
      <c r="D145">
        <v>27379319</v>
      </c>
      <c r="E145">
        <v>1</v>
      </c>
      <c r="F145">
        <v>1</v>
      </c>
      <c r="G145">
        <v>1</v>
      </c>
      <c r="H145">
        <v>3</v>
      </c>
      <c r="I145" t="s">
        <v>714</v>
      </c>
      <c r="J145" t="s">
        <v>727</v>
      </c>
      <c r="K145" t="s">
        <v>716</v>
      </c>
      <c r="L145">
        <v>1035</v>
      </c>
      <c r="N145">
        <v>1013</v>
      </c>
      <c r="O145" t="s">
        <v>717</v>
      </c>
      <c r="P145" t="s">
        <v>717</v>
      </c>
      <c r="Q145">
        <v>1</v>
      </c>
      <c r="X145">
        <v>0</v>
      </c>
      <c r="Y145">
        <v>0</v>
      </c>
      <c r="Z145">
        <v>0</v>
      </c>
      <c r="AA145">
        <v>0</v>
      </c>
      <c r="AB145">
        <v>0</v>
      </c>
      <c r="AC145">
        <v>1</v>
      </c>
      <c r="AD145">
        <v>0</v>
      </c>
      <c r="AE145">
        <v>0</v>
      </c>
      <c r="AF145" t="s">
        <v>6</v>
      </c>
      <c r="AG145">
        <v>0</v>
      </c>
      <c r="AH145">
        <v>3</v>
      </c>
      <c r="AI145">
        <v>-1</v>
      </c>
      <c r="AJ145" t="s">
        <v>6</v>
      </c>
      <c r="AK145">
        <v>0</v>
      </c>
      <c r="AL145">
        <v>0</v>
      </c>
      <c r="AM145">
        <v>0</v>
      </c>
      <c r="AN145">
        <v>0</v>
      </c>
      <c r="AO145">
        <v>0</v>
      </c>
      <c r="AP145">
        <v>0</v>
      </c>
      <c r="AQ145">
        <v>0</v>
      </c>
      <c r="AR145">
        <v>0</v>
      </c>
    </row>
    <row r="146" spans="1:44" x14ac:dyDescent="0.2">
      <c r="A146">
        <f>ROW(Source!A144)</f>
        <v>144</v>
      </c>
      <c r="B146">
        <v>86327426</v>
      </c>
      <c r="C146">
        <v>86327406</v>
      </c>
      <c r="D146">
        <v>27407521</v>
      </c>
      <c r="E146">
        <v>1</v>
      </c>
      <c r="F146">
        <v>1</v>
      </c>
      <c r="G146">
        <v>1</v>
      </c>
      <c r="H146">
        <v>3</v>
      </c>
      <c r="I146" t="s">
        <v>718</v>
      </c>
      <c r="J146" t="s">
        <v>728</v>
      </c>
      <c r="K146" t="s">
        <v>720</v>
      </c>
      <c r="L146">
        <v>1339</v>
      </c>
      <c r="N146">
        <v>1007</v>
      </c>
      <c r="O146" t="s">
        <v>44</v>
      </c>
      <c r="P146" t="s">
        <v>44</v>
      </c>
      <c r="Q146">
        <v>1</v>
      </c>
      <c r="X146">
        <v>0</v>
      </c>
      <c r="Y146">
        <v>0</v>
      </c>
      <c r="Z146">
        <v>0</v>
      </c>
      <c r="AA146">
        <v>0</v>
      </c>
      <c r="AB146">
        <v>0</v>
      </c>
      <c r="AC146">
        <v>1</v>
      </c>
      <c r="AD146">
        <v>0</v>
      </c>
      <c r="AE146">
        <v>0</v>
      </c>
      <c r="AF146" t="s">
        <v>6</v>
      </c>
      <c r="AG146">
        <v>0</v>
      </c>
      <c r="AH146">
        <v>3</v>
      </c>
      <c r="AI146">
        <v>-1</v>
      </c>
      <c r="AJ146" t="s">
        <v>6</v>
      </c>
      <c r="AK146">
        <v>0</v>
      </c>
      <c r="AL146">
        <v>0</v>
      </c>
      <c r="AM146">
        <v>0</v>
      </c>
      <c r="AN146">
        <v>0</v>
      </c>
      <c r="AO146">
        <v>0</v>
      </c>
      <c r="AP146">
        <v>0</v>
      </c>
      <c r="AQ146">
        <v>0</v>
      </c>
      <c r="AR146">
        <v>0</v>
      </c>
    </row>
    <row r="147" spans="1:44" x14ac:dyDescent="0.2">
      <c r="A147">
        <f>ROW(Source!A163)</f>
        <v>163</v>
      </c>
      <c r="B147">
        <v>86327450</v>
      </c>
      <c r="C147">
        <v>86327436</v>
      </c>
      <c r="D147">
        <v>27497778</v>
      </c>
      <c r="E147">
        <v>1</v>
      </c>
      <c r="F147">
        <v>1</v>
      </c>
      <c r="G147">
        <v>1</v>
      </c>
      <c r="H147">
        <v>1</v>
      </c>
      <c r="I147" t="s">
        <v>647</v>
      </c>
      <c r="J147" t="s">
        <v>6</v>
      </c>
      <c r="K147" t="s">
        <v>648</v>
      </c>
      <c r="L147">
        <v>1369</v>
      </c>
      <c r="N147">
        <v>1013</v>
      </c>
      <c r="O147" t="s">
        <v>625</v>
      </c>
      <c r="P147" t="s">
        <v>625</v>
      </c>
      <c r="Q147">
        <v>1</v>
      </c>
      <c r="X147">
        <v>4.34</v>
      </c>
      <c r="Y147">
        <v>0</v>
      </c>
      <c r="Z147">
        <v>0</v>
      </c>
      <c r="AA147">
        <v>0</v>
      </c>
      <c r="AB147">
        <v>8.7100000000000009</v>
      </c>
      <c r="AC147">
        <v>0</v>
      </c>
      <c r="AD147">
        <v>1</v>
      </c>
      <c r="AE147">
        <v>1</v>
      </c>
      <c r="AF147" t="s">
        <v>25</v>
      </c>
      <c r="AG147">
        <v>4.5570000000000004</v>
      </c>
      <c r="AH147">
        <v>2</v>
      </c>
      <c r="AI147">
        <v>86327437</v>
      </c>
      <c r="AJ147">
        <v>179</v>
      </c>
      <c r="AK147">
        <v>0</v>
      </c>
      <c r="AL147">
        <v>0</v>
      </c>
      <c r="AM147">
        <v>0</v>
      </c>
      <c r="AN147">
        <v>0</v>
      </c>
      <c r="AO147">
        <v>0</v>
      </c>
      <c r="AP147">
        <v>0</v>
      </c>
      <c r="AQ147">
        <v>0</v>
      </c>
      <c r="AR147">
        <v>0</v>
      </c>
    </row>
    <row r="148" spans="1:44" x14ac:dyDescent="0.2">
      <c r="A148">
        <f>ROW(Source!A163)</f>
        <v>163</v>
      </c>
      <c r="B148">
        <v>86327451</v>
      </c>
      <c r="C148">
        <v>86327436</v>
      </c>
      <c r="D148">
        <v>121548</v>
      </c>
      <c r="E148">
        <v>1</v>
      </c>
      <c r="F148">
        <v>1</v>
      </c>
      <c r="G148">
        <v>1</v>
      </c>
      <c r="H148">
        <v>1</v>
      </c>
      <c r="I148" t="s">
        <v>40</v>
      </c>
      <c r="J148" t="s">
        <v>6</v>
      </c>
      <c r="K148" t="s">
        <v>626</v>
      </c>
      <c r="L148">
        <v>608254</v>
      </c>
      <c r="N148">
        <v>1013</v>
      </c>
      <c r="O148" t="s">
        <v>627</v>
      </c>
      <c r="P148" t="s">
        <v>627</v>
      </c>
      <c r="Q148">
        <v>1</v>
      </c>
      <c r="X148">
        <v>1.71</v>
      </c>
      <c r="Y148">
        <v>0</v>
      </c>
      <c r="Z148">
        <v>0</v>
      </c>
      <c r="AA148">
        <v>0</v>
      </c>
      <c r="AB148">
        <v>0</v>
      </c>
      <c r="AC148">
        <v>0</v>
      </c>
      <c r="AD148">
        <v>1</v>
      </c>
      <c r="AE148">
        <v>2</v>
      </c>
      <c r="AF148" t="s">
        <v>24</v>
      </c>
      <c r="AG148">
        <v>1.9152000000000002</v>
      </c>
      <c r="AH148">
        <v>2</v>
      </c>
      <c r="AI148">
        <v>86327438</v>
      </c>
      <c r="AJ148">
        <v>180</v>
      </c>
      <c r="AK148">
        <v>0</v>
      </c>
      <c r="AL148">
        <v>0</v>
      </c>
      <c r="AM148">
        <v>0</v>
      </c>
      <c r="AN148">
        <v>0</v>
      </c>
      <c r="AO148">
        <v>0</v>
      </c>
      <c r="AP148">
        <v>0</v>
      </c>
      <c r="AQ148">
        <v>0</v>
      </c>
      <c r="AR148">
        <v>0</v>
      </c>
    </row>
    <row r="149" spans="1:44" x14ac:dyDescent="0.2">
      <c r="A149">
        <f>ROW(Source!A163)</f>
        <v>163</v>
      </c>
      <c r="B149">
        <v>86327452</v>
      </c>
      <c r="C149">
        <v>86327436</v>
      </c>
      <c r="D149">
        <v>27439418</v>
      </c>
      <c r="E149">
        <v>1</v>
      </c>
      <c r="F149">
        <v>1</v>
      </c>
      <c r="G149">
        <v>1</v>
      </c>
      <c r="H149">
        <v>2</v>
      </c>
      <c r="I149" t="s">
        <v>652</v>
      </c>
      <c r="J149" t="s">
        <v>653</v>
      </c>
      <c r="K149" t="s">
        <v>654</v>
      </c>
      <c r="L149">
        <v>1368</v>
      </c>
      <c r="N149">
        <v>1011</v>
      </c>
      <c r="O149" t="s">
        <v>137</v>
      </c>
      <c r="P149" t="s">
        <v>137</v>
      </c>
      <c r="Q149">
        <v>1</v>
      </c>
      <c r="X149">
        <v>1.71</v>
      </c>
      <c r="Y149">
        <v>0</v>
      </c>
      <c r="Z149">
        <v>91.69</v>
      </c>
      <c r="AA149">
        <v>13.61</v>
      </c>
      <c r="AB149">
        <v>0</v>
      </c>
      <c r="AC149">
        <v>0</v>
      </c>
      <c r="AD149">
        <v>1</v>
      </c>
      <c r="AE149">
        <v>0</v>
      </c>
      <c r="AF149" t="s">
        <v>24</v>
      </c>
      <c r="AG149">
        <v>1.9152000000000002</v>
      </c>
      <c r="AH149">
        <v>2</v>
      </c>
      <c r="AI149">
        <v>86327439</v>
      </c>
      <c r="AJ149">
        <v>181</v>
      </c>
      <c r="AK149">
        <v>0</v>
      </c>
      <c r="AL149">
        <v>0</v>
      </c>
      <c r="AM149">
        <v>0</v>
      </c>
      <c r="AN149">
        <v>0</v>
      </c>
      <c r="AO149">
        <v>0</v>
      </c>
      <c r="AP149">
        <v>0</v>
      </c>
      <c r="AQ149">
        <v>0</v>
      </c>
      <c r="AR149">
        <v>0</v>
      </c>
    </row>
    <row r="150" spans="1:44" x14ac:dyDescent="0.2">
      <c r="A150">
        <f>ROW(Source!A163)</f>
        <v>163</v>
      </c>
      <c r="B150">
        <v>86327453</v>
      </c>
      <c r="C150">
        <v>86327436</v>
      </c>
      <c r="D150">
        <v>27440039</v>
      </c>
      <c r="E150">
        <v>1</v>
      </c>
      <c r="F150">
        <v>1</v>
      </c>
      <c r="G150">
        <v>1</v>
      </c>
      <c r="H150">
        <v>2</v>
      </c>
      <c r="I150" t="s">
        <v>649</v>
      </c>
      <c r="J150" t="s">
        <v>650</v>
      </c>
      <c r="K150" t="s">
        <v>651</v>
      </c>
      <c r="L150">
        <v>1368</v>
      </c>
      <c r="N150">
        <v>1011</v>
      </c>
      <c r="O150" t="s">
        <v>137</v>
      </c>
      <c r="P150" t="s">
        <v>137</v>
      </c>
      <c r="Q150">
        <v>1</v>
      </c>
      <c r="X150">
        <v>2.02</v>
      </c>
      <c r="Y150">
        <v>0</v>
      </c>
      <c r="Z150">
        <v>1.83</v>
      </c>
      <c r="AA150">
        <v>0</v>
      </c>
      <c r="AB150">
        <v>0</v>
      </c>
      <c r="AC150">
        <v>0</v>
      </c>
      <c r="AD150">
        <v>1</v>
      </c>
      <c r="AE150">
        <v>0</v>
      </c>
      <c r="AF150" t="s">
        <v>24</v>
      </c>
      <c r="AG150">
        <v>2.2624000000000004</v>
      </c>
      <c r="AH150">
        <v>2</v>
      </c>
      <c r="AI150">
        <v>86327440</v>
      </c>
      <c r="AJ150">
        <v>182</v>
      </c>
      <c r="AK150">
        <v>0</v>
      </c>
      <c r="AL150">
        <v>0</v>
      </c>
      <c r="AM150">
        <v>0</v>
      </c>
      <c r="AN150">
        <v>0</v>
      </c>
      <c r="AO150">
        <v>0</v>
      </c>
      <c r="AP150">
        <v>0</v>
      </c>
      <c r="AQ150">
        <v>0</v>
      </c>
      <c r="AR150">
        <v>0</v>
      </c>
    </row>
    <row r="151" spans="1:44" x14ac:dyDescent="0.2">
      <c r="A151">
        <f>ROW(Source!A163)</f>
        <v>163</v>
      </c>
      <c r="B151">
        <v>86327454</v>
      </c>
      <c r="C151">
        <v>86327436</v>
      </c>
      <c r="D151">
        <v>27371200</v>
      </c>
      <c r="E151">
        <v>1</v>
      </c>
      <c r="F151">
        <v>1</v>
      </c>
      <c r="G151">
        <v>1</v>
      </c>
      <c r="H151">
        <v>3</v>
      </c>
      <c r="I151" t="s">
        <v>71</v>
      </c>
      <c r="J151" t="s">
        <v>73</v>
      </c>
      <c r="K151" t="s">
        <v>72</v>
      </c>
      <c r="L151">
        <v>1348</v>
      </c>
      <c r="N151">
        <v>1009</v>
      </c>
      <c r="O151" t="s">
        <v>33</v>
      </c>
      <c r="P151" t="s">
        <v>33</v>
      </c>
      <c r="Q151">
        <v>1000</v>
      </c>
      <c r="X151">
        <v>4.1999999999999997E-3</v>
      </c>
      <c r="Y151">
        <v>1696.01</v>
      </c>
      <c r="Z151">
        <v>0</v>
      </c>
      <c r="AA151">
        <v>0</v>
      </c>
      <c r="AB151">
        <v>0</v>
      </c>
      <c r="AC151">
        <v>0</v>
      </c>
      <c r="AD151">
        <v>1</v>
      </c>
      <c r="AE151">
        <v>0</v>
      </c>
      <c r="AF151" t="s">
        <v>6</v>
      </c>
      <c r="AG151">
        <v>4.1999999999999997E-3</v>
      </c>
      <c r="AH151">
        <v>2</v>
      </c>
      <c r="AI151">
        <v>86327441</v>
      </c>
      <c r="AJ151">
        <v>183</v>
      </c>
      <c r="AK151">
        <v>3</v>
      </c>
      <c r="AL151">
        <v>-7.1232419999999994</v>
      </c>
      <c r="AM151">
        <v>0</v>
      </c>
      <c r="AN151">
        <v>0</v>
      </c>
      <c r="AO151">
        <v>0</v>
      </c>
      <c r="AP151">
        <v>0</v>
      </c>
      <c r="AQ151">
        <v>0</v>
      </c>
      <c r="AR151">
        <v>1</v>
      </c>
    </row>
    <row r="152" spans="1:44" x14ac:dyDescent="0.2">
      <c r="A152">
        <f>ROW(Source!A163)</f>
        <v>163</v>
      </c>
      <c r="B152">
        <v>86327455</v>
      </c>
      <c r="C152">
        <v>86327436</v>
      </c>
      <c r="D152">
        <v>27379319</v>
      </c>
      <c r="E152">
        <v>1</v>
      </c>
      <c r="F152">
        <v>1</v>
      </c>
      <c r="G152">
        <v>1</v>
      </c>
      <c r="H152">
        <v>3</v>
      </c>
      <c r="I152" t="s">
        <v>714</v>
      </c>
      <c r="J152" t="s">
        <v>727</v>
      </c>
      <c r="K152" t="s">
        <v>716</v>
      </c>
      <c r="L152">
        <v>1035</v>
      </c>
      <c r="N152">
        <v>1013</v>
      </c>
      <c r="O152" t="s">
        <v>717</v>
      </c>
      <c r="P152" t="s">
        <v>717</v>
      </c>
      <c r="Q152">
        <v>1</v>
      </c>
      <c r="X152">
        <v>0</v>
      </c>
      <c r="Y152">
        <v>0</v>
      </c>
      <c r="Z152">
        <v>0</v>
      </c>
      <c r="AA152">
        <v>0</v>
      </c>
      <c r="AB152">
        <v>0</v>
      </c>
      <c r="AC152">
        <v>1</v>
      </c>
      <c r="AD152">
        <v>0</v>
      </c>
      <c r="AE152">
        <v>0</v>
      </c>
      <c r="AF152" t="s">
        <v>6</v>
      </c>
      <c r="AG152">
        <v>0</v>
      </c>
      <c r="AH152">
        <v>3</v>
      </c>
      <c r="AI152">
        <v>-1</v>
      </c>
      <c r="AJ152" t="s">
        <v>6</v>
      </c>
      <c r="AK152">
        <v>0</v>
      </c>
      <c r="AL152">
        <v>0</v>
      </c>
      <c r="AM152">
        <v>0</v>
      </c>
      <c r="AN152">
        <v>0</v>
      </c>
      <c r="AO152">
        <v>0</v>
      </c>
      <c r="AP152">
        <v>0</v>
      </c>
      <c r="AQ152">
        <v>0</v>
      </c>
      <c r="AR152">
        <v>0</v>
      </c>
    </row>
    <row r="153" spans="1:44" x14ac:dyDescent="0.2">
      <c r="A153">
        <f>ROW(Source!A163)</f>
        <v>163</v>
      </c>
      <c r="B153">
        <v>86327456</v>
      </c>
      <c r="C153">
        <v>86327436</v>
      </c>
      <c r="D153">
        <v>27407521</v>
      </c>
      <c r="E153">
        <v>1</v>
      </c>
      <c r="F153">
        <v>1</v>
      </c>
      <c r="G153">
        <v>1</v>
      </c>
      <c r="H153">
        <v>3</v>
      </c>
      <c r="I153" t="s">
        <v>718</v>
      </c>
      <c r="J153" t="s">
        <v>728</v>
      </c>
      <c r="K153" t="s">
        <v>720</v>
      </c>
      <c r="L153">
        <v>1339</v>
      </c>
      <c r="N153">
        <v>1007</v>
      </c>
      <c r="O153" t="s">
        <v>44</v>
      </c>
      <c r="P153" t="s">
        <v>44</v>
      </c>
      <c r="Q153">
        <v>1</v>
      </c>
      <c r="X153">
        <v>0</v>
      </c>
      <c r="Y153">
        <v>0</v>
      </c>
      <c r="Z153">
        <v>0</v>
      </c>
      <c r="AA153">
        <v>0</v>
      </c>
      <c r="AB153">
        <v>0</v>
      </c>
      <c r="AC153">
        <v>1</v>
      </c>
      <c r="AD153">
        <v>0</v>
      </c>
      <c r="AE153">
        <v>0</v>
      </c>
      <c r="AF153" t="s">
        <v>6</v>
      </c>
      <c r="AG153">
        <v>0</v>
      </c>
      <c r="AH153">
        <v>3</v>
      </c>
      <c r="AI153">
        <v>-1</v>
      </c>
      <c r="AJ153" t="s">
        <v>6</v>
      </c>
      <c r="AK153">
        <v>0</v>
      </c>
      <c r="AL153">
        <v>0</v>
      </c>
      <c r="AM153">
        <v>0</v>
      </c>
      <c r="AN153">
        <v>0</v>
      </c>
      <c r="AO153">
        <v>0</v>
      </c>
      <c r="AP153">
        <v>0</v>
      </c>
      <c r="AQ153">
        <v>0</v>
      </c>
      <c r="AR153">
        <v>0</v>
      </c>
    </row>
    <row r="154" spans="1:44" x14ac:dyDescent="0.2">
      <c r="A154">
        <f>ROW(Source!A164)</f>
        <v>164</v>
      </c>
      <c r="B154">
        <v>86327450</v>
      </c>
      <c r="C154">
        <v>86327436</v>
      </c>
      <c r="D154">
        <v>27497778</v>
      </c>
      <c r="E154">
        <v>1</v>
      </c>
      <c r="F154">
        <v>1</v>
      </c>
      <c r="G154">
        <v>1</v>
      </c>
      <c r="H154">
        <v>1</v>
      </c>
      <c r="I154" t="s">
        <v>647</v>
      </c>
      <c r="J154" t="s">
        <v>6</v>
      </c>
      <c r="K154" t="s">
        <v>648</v>
      </c>
      <c r="L154">
        <v>1369</v>
      </c>
      <c r="N154">
        <v>1013</v>
      </c>
      <c r="O154" t="s">
        <v>625</v>
      </c>
      <c r="P154" t="s">
        <v>625</v>
      </c>
      <c r="Q154">
        <v>1</v>
      </c>
      <c r="X154">
        <v>4.34</v>
      </c>
      <c r="Y154">
        <v>0</v>
      </c>
      <c r="Z154">
        <v>0</v>
      </c>
      <c r="AA154">
        <v>0</v>
      </c>
      <c r="AB154">
        <v>8.7100000000000009</v>
      </c>
      <c r="AC154">
        <v>0</v>
      </c>
      <c r="AD154">
        <v>1</v>
      </c>
      <c r="AE154">
        <v>1</v>
      </c>
      <c r="AF154" t="s">
        <v>25</v>
      </c>
      <c r="AG154">
        <v>4.5570000000000004</v>
      </c>
      <c r="AH154">
        <v>2</v>
      </c>
      <c r="AI154">
        <v>86327437</v>
      </c>
      <c r="AJ154">
        <v>192</v>
      </c>
      <c r="AK154">
        <v>0</v>
      </c>
      <c r="AL154">
        <v>0</v>
      </c>
      <c r="AM154">
        <v>0</v>
      </c>
      <c r="AN154">
        <v>0</v>
      </c>
      <c r="AO154">
        <v>0</v>
      </c>
      <c r="AP154">
        <v>0</v>
      </c>
      <c r="AQ154">
        <v>0</v>
      </c>
      <c r="AR154">
        <v>0</v>
      </c>
    </row>
    <row r="155" spans="1:44" x14ac:dyDescent="0.2">
      <c r="A155">
        <f>ROW(Source!A164)</f>
        <v>164</v>
      </c>
      <c r="B155">
        <v>86327451</v>
      </c>
      <c r="C155">
        <v>86327436</v>
      </c>
      <c r="D155">
        <v>121548</v>
      </c>
      <c r="E155">
        <v>1</v>
      </c>
      <c r="F155">
        <v>1</v>
      </c>
      <c r="G155">
        <v>1</v>
      </c>
      <c r="H155">
        <v>1</v>
      </c>
      <c r="I155" t="s">
        <v>40</v>
      </c>
      <c r="J155" t="s">
        <v>6</v>
      </c>
      <c r="K155" t="s">
        <v>626</v>
      </c>
      <c r="L155">
        <v>608254</v>
      </c>
      <c r="N155">
        <v>1013</v>
      </c>
      <c r="O155" t="s">
        <v>627</v>
      </c>
      <c r="P155" t="s">
        <v>627</v>
      </c>
      <c r="Q155">
        <v>1</v>
      </c>
      <c r="X155">
        <v>1.71</v>
      </c>
      <c r="Y155">
        <v>0</v>
      </c>
      <c r="Z155">
        <v>0</v>
      </c>
      <c r="AA155">
        <v>0</v>
      </c>
      <c r="AB155">
        <v>0</v>
      </c>
      <c r="AC155">
        <v>0</v>
      </c>
      <c r="AD155">
        <v>1</v>
      </c>
      <c r="AE155">
        <v>2</v>
      </c>
      <c r="AF155" t="s">
        <v>24</v>
      </c>
      <c r="AG155">
        <v>1.9152000000000002</v>
      </c>
      <c r="AH155">
        <v>2</v>
      </c>
      <c r="AI155">
        <v>86327438</v>
      </c>
      <c r="AJ155">
        <v>193</v>
      </c>
      <c r="AK155">
        <v>0</v>
      </c>
      <c r="AL155">
        <v>0</v>
      </c>
      <c r="AM155">
        <v>0</v>
      </c>
      <c r="AN155">
        <v>0</v>
      </c>
      <c r="AO155">
        <v>0</v>
      </c>
      <c r="AP155">
        <v>0</v>
      </c>
      <c r="AQ155">
        <v>0</v>
      </c>
      <c r="AR155">
        <v>0</v>
      </c>
    </row>
    <row r="156" spans="1:44" x14ac:dyDescent="0.2">
      <c r="A156">
        <f>ROW(Source!A164)</f>
        <v>164</v>
      </c>
      <c r="B156">
        <v>86327452</v>
      </c>
      <c r="C156">
        <v>86327436</v>
      </c>
      <c r="D156">
        <v>27439418</v>
      </c>
      <c r="E156">
        <v>1</v>
      </c>
      <c r="F156">
        <v>1</v>
      </c>
      <c r="G156">
        <v>1</v>
      </c>
      <c r="H156">
        <v>2</v>
      </c>
      <c r="I156" t="s">
        <v>652</v>
      </c>
      <c r="J156" t="s">
        <v>653</v>
      </c>
      <c r="K156" t="s">
        <v>654</v>
      </c>
      <c r="L156">
        <v>1368</v>
      </c>
      <c r="N156">
        <v>1011</v>
      </c>
      <c r="O156" t="s">
        <v>137</v>
      </c>
      <c r="P156" t="s">
        <v>137</v>
      </c>
      <c r="Q156">
        <v>1</v>
      </c>
      <c r="X156">
        <v>1.71</v>
      </c>
      <c r="Y156">
        <v>0</v>
      </c>
      <c r="Z156">
        <v>91.69</v>
      </c>
      <c r="AA156">
        <v>13.61</v>
      </c>
      <c r="AB156">
        <v>0</v>
      </c>
      <c r="AC156">
        <v>0</v>
      </c>
      <c r="AD156">
        <v>1</v>
      </c>
      <c r="AE156">
        <v>0</v>
      </c>
      <c r="AF156" t="s">
        <v>24</v>
      </c>
      <c r="AG156">
        <v>1.9152000000000002</v>
      </c>
      <c r="AH156">
        <v>2</v>
      </c>
      <c r="AI156">
        <v>86327439</v>
      </c>
      <c r="AJ156">
        <v>194</v>
      </c>
      <c r="AK156">
        <v>0</v>
      </c>
      <c r="AL156">
        <v>0</v>
      </c>
      <c r="AM156">
        <v>0</v>
      </c>
      <c r="AN156">
        <v>0</v>
      </c>
      <c r="AO156">
        <v>0</v>
      </c>
      <c r="AP156">
        <v>0</v>
      </c>
      <c r="AQ156">
        <v>0</v>
      </c>
      <c r="AR156">
        <v>0</v>
      </c>
    </row>
    <row r="157" spans="1:44" x14ac:dyDescent="0.2">
      <c r="A157">
        <f>ROW(Source!A164)</f>
        <v>164</v>
      </c>
      <c r="B157">
        <v>86327453</v>
      </c>
      <c r="C157">
        <v>86327436</v>
      </c>
      <c r="D157">
        <v>27440039</v>
      </c>
      <c r="E157">
        <v>1</v>
      </c>
      <c r="F157">
        <v>1</v>
      </c>
      <c r="G157">
        <v>1</v>
      </c>
      <c r="H157">
        <v>2</v>
      </c>
      <c r="I157" t="s">
        <v>649</v>
      </c>
      <c r="J157" t="s">
        <v>650</v>
      </c>
      <c r="K157" t="s">
        <v>651</v>
      </c>
      <c r="L157">
        <v>1368</v>
      </c>
      <c r="N157">
        <v>1011</v>
      </c>
      <c r="O157" t="s">
        <v>137</v>
      </c>
      <c r="P157" t="s">
        <v>137</v>
      </c>
      <c r="Q157">
        <v>1</v>
      </c>
      <c r="X157">
        <v>2.02</v>
      </c>
      <c r="Y157">
        <v>0</v>
      </c>
      <c r="Z157">
        <v>1.83</v>
      </c>
      <c r="AA157">
        <v>0</v>
      </c>
      <c r="AB157">
        <v>0</v>
      </c>
      <c r="AC157">
        <v>0</v>
      </c>
      <c r="AD157">
        <v>1</v>
      </c>
      <c r="AE157">
        <v>0</v>
      </c>
      <c r="AF157" t="s">
        <v>24</v>
      </c>
      <c r="AG157">
        <v>2.2624000000000004</v>
      </c>
      <c r="AH157">
        <v>2</v>
      </c>
      <c r="AI157">
        <v>86327440</v>
      </c>
      <c r="AJ157">
        <v>195</v>
      </c>
      <c r="AK157">
        <v>0</v>
      </c>
      <c r="AL157">
        <v>0</v>
      </c>
      <c r="AM157">
        <v>0</v>
      </c>
      <c r="AN157">
        <v>0</v>
      </c>
      <c r="AO157">
        <v>0</v>
      </c>
      <c r="AP157">
        <v>0</v>
      </c>
      <c r="AQ157">
        <v>0</v>
      </c>
      <c r="AR157">
        <v>0</v>
      </c>
    </row>
    <row r="158" spans="1:44" x14ac:dyDescent="0.2">
      <c r="A158">
        <f>ROW(Source!A164)</f>
        <v>164</v>
      </c>
      <c r="B158">
        <v>86327454</v>
      </c>
      <c r="C158">
        <v>86327436</v>
      </c>
      <c r="D158">
        <v>27371200</v>
      </c>
      <c r="E158">
        <v>1</v>
      </c>
      <c r="F158">
        <v>1</v>
      </c>
      <c r="G158">
        <v>1</v>
      </c>
      <c r="H158">
        <v>3</v>
      </c>
      <c r="I158" t="s">
        <v>71</v>
      </c>
      <c r="J158" t="s">
        <v>73</v>
      </c>
      <c r="K158" t="s">
        <v>72</v>
      </c>
      <c r="L158">
        <v>1348</v>
      </c>
      <c r="N158">
        <v>1009</v>
      </c>
      <c r="O158" t="s">
        <v>33</v>
      </c>
      <c r="P158" t="s">
        <v>33</v>
      </c>
      <c r="Q158">
        <v>1000</v>
      </c>
      <c r="X158">
        <v>4.1999999999999997E-3</v>
      </c>
      <c r="Y158">
        <v>1696.01</v>
      </c>
      <c r="Z158">
        <v>0</v>
      </c>
      <c r="AA158">
        <v>0</v>
      </c>
      <c r="AB158">
        <v>0</v>
      </c>
      <c r="AC158">
        <v>0</v>
      </c>
      <c r="AD158">
        <v>1</v>
      </c>
      <c r="AE158">
        <v>0</v>
      </c>
      <c r="AF158" t="s">
        <v>6</v>
      </c>
      <c r="AG158">
        <v>4.1999999999999997E-3</v>
      </c>
      <c r="AH158">
        <v>2</v>
      </c>
      <c r="AI158">
        <v>86327441</v>
      </c>
      <c r="AJ158">
        <v>196</v>
      </c>
      <c r="AK158">
        <v>3</v>
      </c>
      <c r="AL158">
        <v>-7.1232419999999994</v>
      </c>
      <c r="AM158">
        <v>0</v>
      </c>
      <c r="AN158">
        <v>0</v>
      </c>
      <c r="AO158">
        <v>0</v>
      </c>
      <c r="AP158">
        <v>0</v>
      </c>
      <c r="AQ158">
        <v>0</v>
      </c>
      <c r="AR158">
        <v>1</v>
      </c>
    </row>
    <row r="159" spans="1:44" x14ac:dyDescent="0.2">
      <c r="A159">
        <f>ROW(Source!A164)</f>
        <v>164</v>
      </c>
      <c r="B159">
        <v>86327455</v>
      </c>
      <c r="C159">
        <v>86327436</v>
      </c>
      <c r="D159">
        <v>27379319</v>
      </c>
      <c r="E159">
        <v>1</v>
      </c>
      <c r="F159">
        <v>1</v>
      </c>
      <c r="G159">
        <v>1</v>
      </c>
      <c r="H159">
        <v>3</v>
      </c>
      <c r="I159" t="s">
        <v>714</v>
      </c>
      <c r="J159" t="s">
        <v>727</v>
      </c>
      <c r="K159" t="s">
        <v>716</v>
      </c>
      <c r="L159">
        <v>1035</v>
      </c>
      <c r="N159">
        <v>1013</v>
      </c>
      <c r="O159" t="s">
        <v>717</v>
      </c>
      <c r="P159" t="s">
        <v>717</v>
      </c>
      <c r="Q159">
        <v>1</v>
      </c>
      <c r="X159">
        <v>0</v>
      </c>
      <c r="Y159">
        <v>0</v>
      </c>
      <c r="Z159">
        <v>0</v>
      </c>
      <c r="AA159">
        <v>0</v>
      </c>
      <c r="AB159">
        <v>0</v>
      </c>
      <c r="AC159">
        <v>1</v>
      </c>
      <c r="AD159">
        <v>0</v>
      </c>
      <c r="AE159">
        <v>0</v>
      </c>
      <c r="AF159" t="s">
        <v>6</v>
      </c>
      <c r="AG159">
        <v>0</v>
      </c>
      <c r="AH159">
        <v>3</v>
      </c>
      <c r="AI159">
        <v>-1</v>
      </c>
      <c r="AJ159" t="s">
        <v>6</v>
      </c>
      <c r="AK159">
        <v>0</v>
      </c>
      <c r="AL159">
        <v>0</v>
      </c>
      <c r="AM159">
        <v>0</v>
      </c>
      <c r="AN159">
        <v>0</v>
      </c>
      <c r="AO159">
        <v>0</v>
      </c>
      <c r="AP159">
        <v>0</v>
      </c>
      <c r="AQ159">
        <v>0</v>
      </c>
      <c r="AR159">
        <v>0</v>
      </c>
    </row>
    <row r="160" spans="1:44" x14ac:dyDescent="0.2">
      <c r="A160">
        <f>ROW(Source!A164)</f>
        <v>164</v>
      </c>
      <c r="B160">
        <v>86327456</v>
      </c>
      <c r="C160">
        <v>86327436</v>
      </c>
      <c r="D160">
        <v>27407521</v>
      </c>
      <c r="E160">
        <v>1</v>
      </c>
      <c r="F160">
        <v>1</v>
      </c>
      <c r="G160">
        <v>1</v>
      </c>
      <c r="H160">
        <v>3</v>
      </c>
      <c r="I160" t="s">
        <v>718</v>
      </c>
      <c r="J160" t="s">
        <v>728</v>
      </c>
      <c r="K160" t="s">
        <v>720</v>
      </c>
      <c r="L160">
        <v>1339</v>
      </c>
      <c r="N160">
        <v>1007</v>
      </c>
      <c r="O160" t="s">
        <v>44</v>
      </c>
      <c r="P160" t="s">
        <v>44</v>
      </c>
      <c r="Q160">
        <v>1</v>
      </c>
      <c r="X160">
        <v>0</v>
      </c>
      <c r="Y160">
        <v>0</v>
      </c>
      <c r="Z160">
        <v>0</v>
      </c>
      <c r="AA160">
        <v>0</v>
      </c>
      <c r="AB160">
        <v>0</v>
      </c>
      <c r="AC160">
        <v>1</v>
      </c>
      <c r="AD160">
        <v>0</v>
      </c>
      <c r="AE160">
        <v>0</v>
      </c>
      <c r="AF160" t="s">
        <v>6</v>
      </c>
      <c r="AG160">
        <v>0</v>
      </c>
      <c r="AH160">
        <v>3</v>
      </c>
      <c r="AI160">
        <v>-1</v>
      </c>
      <c r="AJ160" t="s">
        <v>6</v>
      </c>
      <c r="AK160">
        <v>0</v>
      </c>
      <c r="AL160">
        <v>0</v>
      </c>
      <c r="AM160">
        <v>0</v>
      </c>
      <c r="AN160">
        <v>0</v>
      </c>
      <c r="AO160">
        <v>0</v>
      </c>
      <c r="AP160">
        <v>0</v>
      </c>
      <c r="AQ160">
        <v>0</v>
      </c>
      <c r="AR160">
        <v>0</v>
      </c>
    </row>
    <row r="161" spans="1:44" x14ac:dyDescent="0.2">
      <c r="A161">
        <f>ROW(Source!A183)</f>
        <v>183</v>
      </c>
      <c r="B161">
        <v>86327480</v>
      </c>
      <c r="C161">
        <v>86327466</v>
      </c>
      <c r="D161">
        <v>27497778</v>
      </c>
      <c r="E161">
        <v>1</v>
      </c>
      <c r="F161">
        <v>1</v>
      </c>
      <c r="G161">
        <v>1</v>
      </c>
      <c r="H161">
        <v>1</v>
      </c>
      <c r="I161" t="s">
        <v>647</v>
      </c>
      <c r="J161" t="s">
        <v>6</v>
      </c>
      <c r="K161" t="s">
        <v>648</v>
      </c>
      <c r="L161">
        <v>1369</v>
      </c>
      <c r="N161">
        <v>1013</v>
      </c>
      <c r="O161" t="s">
        <v>625</v>
      </c>
      <c r="P161" t="s">
        <v>625</v>
      </c>
      <c r="Q161">
        <v>1</v>
      </c>
      <c r="X161">
        <v>4.4400000000000004</v>
      </c>
      <c r="Y161">
        <v>0</v>
      </c>
      <c r="Z161">
        <v>0</v>
      </c>
      <c r="AA161">
        <v>0</v>
      </c>
      <c r="AB161">
        <v>8.7100000000000009</v>
      </c>
      <c r="AC161">
        <v>0</v>
      </c>
      <c r="AD161">
        <v>1</v>
      </c>
      <c r="AE161">
        <v>1</v>
      </c>
      <c r="AF161" t="s">
        <v>25</v>
      </c>
      <c r="AG161">
        <v>4.6620000000000008</v>
      </c>
      <c r="AH161">
        <v>2</v>
      </c>
      <c r="AI161">
        <v>86327467</v>
      </c>
      <c r="AJ161">
        <v>205</v>
      </c>
      <c r="AK161">
        <v>0</v>
      </c>
      <c r="AL161">
        <v>0</v>
      </c>
      <c r="AM161">
        <v>0</v>
      </c>
      <c r="AN161">
        <v>0</v>
      </c>
      <c r="AO161">
        <v>0</v>
      </c>
      <c r="AP161">
        <v>0</v>
      </c>
      <c r="AQ161">
        <v>0</v>
      </c>
      <c r="AR161">
        <v>0</v>
      </c>
    </row>
    <row r="162" spans="1:44" x14ac:dyDescent="0.2">
      <c r="A162">
        <f>ROW(Source!A183)</f>
        <v>183</v>
      </c>
      <c r="B162">
        <v>86327481</v>
      </c>
      <c r="C162">
        <v>86327466</v>
      </c>
      <c r="D162">
        <v>121548</v>
      </c>
      <c r="E162">
        <v>1</v>
      </c>
      <c r="F162">
        <v>1</v>
      </c>
      <c r="G162">
        <v>1</v>
      </c>
      <c r="H162">
        <v>1</v>
      </c>
      <c r="I162" t="s">
        <v>40</v>
      </c>
      <c r="J162" t="s">
        <v>6</v>
      </c>
      <c r="K162" t="s">
        <v>626</v>
      </c>
      <c r="L162">
        <v>608254</v>
      </c>
      <c r="N162">
        <v>1013</v>
      </c>
      <c r="O162" t="s">
        <v>627</v>
      </c>
      <c r="P162" t="s">
        <v>627</v>
      </c>
      <c r="Q162">
        <v>1</v>
      </c>
      <c r="X162">
        <v>1.73</v>
      </c>
      <c r="Y162">
        <v>0</v>
      </c>
      <c r="Z162">
        <v>0</v>
      </c>
      <c r="AA162">
        <v>0</v>
      </c>
      <c r="AB162">
        <v>0</v>
      </c>
      <c r="AC162">
        <v>0</v>
      </c>
      <c r="AD162">
        <v>1</v>
      </c>
      <c r="AE162">
        <v>2</v>
      </c>
      <c r="AF162" t="s">
        <v>24</v>
      </c>
      <c r="AG162">
        <v>1.9376000000000002</v>
      </c>
      <c r="AH162">
        <v>2</v>
      </c>
      <c r="AI162">
        <v>86327468</v>
      </c>
      <c r="AJ162">
        <v>206</v>
      </c>
      <c r="AK162">
        <v>0</v>
      </c>
      <c r="AL162">
        <v>0</v>
      </c>
      <c r="AM162">
        <v>0</v>
      </c>
      <c r="AN162">
        <v>0</v>
      </c>
      <c r="AO162">
        <v>0</v>
      </c>
      <c r="AP162">
        <v>0</v>
      </c>
      <c r="AQ162">
        <v>0</v>
      </c>
      <c r="AR162">
        <v>0</v>
      </c>
    </row>
    <row r="163" spans="1:44" x14ac:dyDescent="0.2">
      <c r="A163">
        <f>ROW(Source!A183)</f>
        <v>183</v>
      </c>
      <c r="B163">
        <v>86327482</v>
      </c>
      <c r="C163">
        <v>86327466</v>
      </c>
      <c r="D163">
        <v>27439418</v>
      </c>
      <c r="E163">
        <v>1</v>
      </c>
      <c r="F163">
        <v>1</v>
      </c>
      <c r="G163">
        <v>1</v>
      </c>
      <c r="H163">
        <v>2</v>
      </c>
      <c r="I163" t="s">
        <v>652</v>
      </c>
      <c r="J163" t="s">
        <v>653</v>
      </c>
      <c r="K163" t="s">
        <v>654</v>
      </c>
      <c r="L163">
        <v>1368</v>
      </c>
      <c r="N163">
        <v>1011</v>
      </c>
      <c r="O163" t="s">
        <v>137</v>
      </c>
      <c r="P163" t="s">
        <v>137</v>
      </c>
      <c r="Q163">
        <v>1</v>
      </c>
      <c r="X163">
        <v>1.73</v>
      </c>
      <c r="Y163">
        <v>0</v>
      </c>
      <c r="Z163">
        <v>91.69</v>
      </c>
      <c r="AA163">
        <v>13.61</v>
      </c>
      <c r="AB163">
        <v>0</v>
      </c>
      <c r="AC163">
        <v>0</v>
      </c>
      <c r="AD163">
        <v>1</v>
      </c>
      <c r="AE163">
        <v>0</v>
      </c>
      <c r="AF163" t="s">
        <v>24</v>
      </c>
      <c r="AG163">
        <v>1.9376000000000002</v>
      </c>
      <c r="AH163">
        <v>3</v>
      </c>
      <c r="AI163">
        <v>-1</v>
      </c>
      <c r="AJ163" t="s">
        <v>6</v>
      </c>
      <c r="AK163">
        <v>4</v>
      </c>
      <c r="AL163">
        <v>0</v>
      </c>
      <c r="AM163">
        <v>-177.65854400000001</v>
      </c>
      <c r="AN163">
        <v>-26.370736000000001</v>
      </c>
      <c r="AO163">
        <v>0</v>
      </c>
      <c r="AP163">
        <v>0</v>
      </c>
      <c r="AQ163">
        <v>0</v>
      </c>
      <c r="AR163">
        <v>1</v>
      </c>
    </row>
    <row r="164" spans="1:44" x14ac:dyDescent="0.2">
      <c r="A164">
        <f>ROW(Source!A183)</f>
        <v>183</v>
      </c>
      <c r="B164">
        <v>86327483</v>
      </c>
      <c r="C164">
        <v>86327466</v>
      </c>
      <c r="D164">
        <v>27440039</v>
      </c>
      <c r="E164">
        <v>1</v>
      </c>
      <c r="F164">
        <v>1</v>
      </c>
      <c r="G164">
        <v>1</v>
      </c>
      <c r="H164">
        <v>2</v>
      </c>
      <c r="I164" t="s">
        <v>649</v>
      </c>
      <c r="J164" t="s">
        <v>650</v>
      </c>
      <c r="K164" t="s">
        <v>651</v>
      </c>
      <c r="L164">
        <v>1368</v>
      </c>
      <c r="N164">
        <v>1011</v>
      </c>
      <c r="O164" t="s">
        <v>137</v>
      </c>
      <c r="P164" t="s">
        <v>137</v>
      </c>
      <c r="Q164">
        <v>1</v>
      </c>
      <c r="X164">
        <v>1.2</v>
      </c>
      <c r="Y164">
        <v>0</v>
      </c>
      <c r="Z164">
        <v>1.83</v>
      </c>
      <c r="AA164">
        <v>0</v>
      </c>
      <c r="AB164">
        <v>0</v>
      </c>
      <c r="AC164">
        <v>0</v>
      </c>
      <c r="AD164">
        <v>1</v>
      </c>
      <c r="AE164">
        <v>0</v>
      </c>
      <c r="AF164" t="s">
        <v>24</v>
      </c>
      <c r="AG164">
        <v>1.3440000000000001</v>
      </c>
      <c r="AH164">
        <v>2</v>
      </c>
      <c r="AI164">
        <v>86327470</v>
      </c>
      <c r="AJ164">
        <v>208</v>
      </c>
      <c r="AK164">
        <v>0</v>
      </c>
      <c r="AL164">
        <v>0</v>
      </c>
      <c r="AM164">
        <v>0</v>
      </c>
      <c r="AN164">
        <v>0</v>
      </c>
      <c r="AO164">
        <v>0</v>
      </c>
      <c r="AP164">
        <v>0</v>
      </c>
      <c r="AQ164">
        <v>0</v>
      </c>
      <c r="AR164">
        <v>0</v>
      </c>
    </row>
    <row r="165" spans="1:44" x14ac:dyDescent="0.2">
      <c r="A165">
        <f>ROW(Source!A183)</f>
        <v>183</v>
      </c>
      <c r="B165">
        <v>86327484</v>
      </c>
      <c r="C165">
        <v>86327466</v>
      </c>
      <c r="D165">
        <v>27371200</v>
      </c>
      <c r="E165">
        <v>1</v>
      </c>
      <c r="F165">
        <v>1</v>
      </c>
      <c r="G165">
        <v>1</v>
      </c>
      <c r="H165">
        <v>3</v>
      </c>
      <c r="I165" t="s">
        <v>71</v>
      </c>
      <c r="J165" t="s">
        <v>713</v>
      </c>
      <c r="K165" t="s">
        <v>72</v>
      </c>
      <c r="L165">
        <v>1348</v>
      </c>
      <c r="N165">
        <v>1009</v>
      </c>
      <c r="O165" t="s">
        <v>33</v>
      </c>
      <c r="P165" t="s">
        <v>33</v>
      </c>
      <c r="Q165">
        <v>1000</v>
      </c>
      <c r="X165">
        <v>4.1999999999999997E-3</v>
      </c>
      <c r="Y165">
        <v>1696.01</v>
      </c>
      <c r="Z165">
        <v>0</v>
      </c>
      <c r="AA165">
        <v>0</v>
      </c>
      <c r="AB165">
        <v>0</v>
      </c>
      <c r="AC165">
        <v>0</v>
      </c>
      <c r="AD165">
        <v>1</v>
      </c>
      <c r="AE165">
        <v>0</v>
      </c>
      <c r="AF165" t="s">
        <v>6</v>
      </c>
      <c r="AG165">
        <v>4.1999999999999997E-3</v>
      </c>
      <c r="AH165">
        <v>2</v>
      </c>
      <c r="AI165">
        <v>86327471</v>
      </c>
      <c r="AJ165">
        <v>209</v>
      </c>
      <c r="AK165">
        <v>3</v>
      </c>
      <c r="AL165">
        <v>-7.1232419999999994</v>
      </c>
      <c r="AM165">
        <v>0</v>
      </c>
      <c r="AN165">
        <v>0</v>
      </c>
      <c r="AO165">
        <v>0</v>
      </c>
      <c r="AP165">
        <v>0</v>
      </c>
      <c r="AQ165">
        <v>0</v>
      </c>
      <c r="AR165">
        <v>1</v>
      </c>
    </row>
    <row r="166" spans="1:44" x14ac:dyDescent="0.2">
      <c r="A166">
        <f>ROW(Source!A183)</f>
        <v>183</v>
      </c>
      <c r="B166">
        <v>86327485</v>
      </c>
      <c r="C166">
        <v>86327466</v>
      </c>
      <c r="D166">
        <v>27379319</v>
      </c>
      <c r="E166">
        <v>1</v>
      </c>
      <c r="F166">
        <v>1</v>
      </c>
      <c r="G166">
        <v>1</v>
      </c>
      <c r="H166">
        <v>3</v>
      </c>
      <c r="I166" t="s">
        <v>714</v>
      </c>
      <c r="J166" t="s">
        <v>715</v>
      </c>
      <c r="K166" t="s">
        <v>716</v>
      </c>
      <c r="L166">
        <v>1035</v>
      </c>
      <c r="N166">
        <v>1013</v>
      </c>
      <c r="O166" t="s">
        <v>717</v>
      </c>
      <c r="P166" t="s">
        <v>717</v>
      </c>
      <c r="Q166">
        <v>1</v>
      </c>
      <c r="X166">
        <v>0</v>
      </c>
      <c r="Y166">
        <v>0</v>
      </c>
      <c r="Z166">
        <v>0</v>
      </c>
      <c r="AA166">
        <v>0</v>
      </c>
      <c r="AB166">
        <v>0</v>
      </c>
      <c r="AC166">
        <v>1</v>
      </c>
      <c r="AD166">
        <v>0</v>
      </c>
      <c r="AE166">
        <v>0</v>
      </c>
      <c r="AF166" t="s">
        <v>6</v>
      </c>
      <c r="AG166">
        <v>0</v>
      </c>
      <c r="AH166">
        <v>3</v>
      </c>
      <c r="AI166">
        <v>-1</v>
      </c>
      <c r="AJ166" t="s">
        <v>6</v>
      </c>
      <c r="AK166">
        <v>0</v>
      </c>
      <c r="AL166">
        <v>0</v>
      </c>
      <c r="AM166">
        <v>0</v>
      </c>
      <c r="AN166">
        <v>0</v>
      </c>
      <c r="AO166">
        <v>0</v>
      </c>
      <c r="AP166">
        <v>0</v>
      </c>
      <c r="AQ166">
        <v>0</v>
      </c>
      <c r="AR166">
        <v>0</v>
      </c>
    </row>
    <row r="167" spans="1:44" x14ac:dyDescent="0.2">
      <c r="A167">
        <f>ROW(Source!A183)</f>
        <v>183</v>
      </c>
      <c r="B167">
        <v>86327486</v>
      </c>
      <c r="C167">
        <v>86327466</v>
      </c>
      <c r="D167">
        <v>27407521</v>
      </c>
      <c r="E167">
        <v>1</v>
      </c>
      <c r="F167">
        <v>1</v>
      </c>
      <c r="G167">
        <v>1</v>
      </c>
      <c r="H167">
        <v>3</v>
      </c>
      <c r="I167" t="s">
        <v>718</v>
      </c>
      <c r="J167" t="s">
        <v>719</v>
      </c>
      <c r="K167" t="s">
        <v>720</v>
      </c>
      <c r="L167">
        <v>1339</v>
      </c>
      <c r="N167">
        <v>1007</v>
      </c>
      <c r="O167" t="s">
        <v>44</v>
      </c>
      <c r="P167" t="s">
        <v>44</v>
      </c>
      <c r="Q167">
        <v>1</v>
      </c>
      <c r="X167">
        <v>0</v>
      </c>
      <c r="Y167">
        <v>0</v>
      </c>
      <c r="Z167">
        <v>0</v>
      </c>
      <c r="AA167">
        <v>0</v>
      </c>
      <c r="AB167">
        <v>0</v>
      </c>
      <c r="AC167">
        <v>1</v>
      </c>
      <c r="AD167">
        <v>0</v>
      </c>
      <c r="AE167">
        <v>0</v>
      </c>
      <c r="AF167" t="s">
        <v>6</v>
      </c>
      <c r="AG167">
        <v>0</v>
      </c>
      <c r="AH167">
        <v>3</v>
      </c>
      <c r="AI167">
        <v>-1</v>
      </c>
      <c r="AJ167" t="s">
        <v>6</v>
      </c>
      <c r="AK167">
        <v>0</v>
      </c>
      <c r="AL167">
        <v>0</v>
      </c>
      <c r="AM167">
        <v>0</v>
      </c>
      <c r="AN167">
        <v>0</v>
      </c>
      <c r="AO167">
        <v>0</v>
      </c>
      <c r="AP167">
        <v>0</v>
      </c>
      <c r="AQ167">
        <v>0</v>
      </c>
      <c r="AR167">
        <v>0</v>
      </c>
    </row>
    <row r="168" spans="1:44" x14ac:dyDescent="0.2">
      <c r="A168">
        <f>ROW(Source!A184)</f>
        <v>184</v>
      </c>
      <c r="B168">
        <v>86327480</v>
      </c>
      <c r="C168">
        <v>86327466</v>
      </c>
      <c r="D168">
        <v>27497778</v>
      </c>
      <c r="E168">
        <v>1</v>
      </c>
      <c r="F168">
        <v>1</v>
      </c>
      <c r="G168">
        <v>1</v>
      </c>
      <c r="H168">
        <v>1</v>
      </c>
      <c r="I168" t="s">
        <v>647</v>
      </c>
      <c r="J168" t="s">
        <v>6</v>
      </c>
      <c r="K168" t="s">
        <v>648</v>
      </c>
      <c r="L168">
        <v>1369</v>
      </c>
      <c r="N168">
        <v>1013</v>
      </c>
      <c r="O168" t="s">
        <v>625</v>
      </c>
      <c r="P168" t="s">
        <v>625</v>
      </c>
      <c r="Q168">
        <v>1</v>
      </c>
      <c r="X168">
        <v>4.4400000000000004</v>
      </c>
      <c r="Y168">
        <v>0</v>
      </c>
      <c r="Z168">
        <v>0</v>
      </c>
      <c r="AA168">
        <v>0</v>
      </c>
      <c r="AB168">
        <v>8.7100000000000009</v>
      </c>
      <c r="AC168">
        <v>0</v>
      </c>
      <c r="AD168">
        <v>1</v>
      </c>
      <c r="AE168">
        <v>1</v>
      </c>
      <c r="AF168" t="s">
        <v>25</v>
      </c>
      <c r="AG168">
        <v>4.6620000000000008</v>
      </c>
      <c r="AH168">
        <v>2</v>
      </c>
      <c r="AI168">
        <v>86327467</v>
      </c>
      <c r="AJ168">
        <v>218</v>
      </c>
      <c r="AK168">
        <v>0</v>
      </c>
      <c r="AL168">
        <v>0</v>
      </c>
      <c r="AM168">
        <v>0</v>
      </c>
      <c r="AN168">
        <v>0</v>
      </c>
      <c r="AO168">
        <v>0</v>
      </c>
      <c r="AP168">
        <v>0</v>
      </c>
      <c r="AQ168">
        <v>0</v>
      </c>
      <c r="AR168">
        <v>0</v>
      </c>
    </row>
    <row r="169" spans="1:44" x14ac:dyDescent="0.2">
      <c r="A169">
        <f>ROW(Source!A184)</f>
        <v>184</v>
      </c>
      <c r="B169">
        <v>86327481</v>
      </c>
      <c r="C169">
        <v>86327466</v>
      </c>
      <c r="D169">
        <v>121548</v>
      </c>
      <c r="E169">
        <v>1</v>
      </c>
      <c r="F169">
        <v>1</v>
      </c>
      <c r="G169">
        <v>1</v>
      </c>
      <c r="H169">
        <v>1</v>
      </c>
      <c r="I169" t="s">
        <v>40</v>
      </c>
      <c r="J169" t="s">
        <v>6</v>
      </c>
      <c r="K169" t="s">
        <v>626</v>
      </c>
      <c r="L169">
        <v>608254</v>
      </c>
      <c r="N169">
        <v>1013</v>
      </c>
      <c r="O169" t="s">
        <v>627</v>
      </c>
      <c r="P169" t="s">
        <v>627</v>
      </c>
      <c r="Q169">
        <v>1</v>
      </c>
      <c r="X169">
        <v>1.73</v>
      </c>
      <c r="Y169">
        <v>0</v>
      </c>
      <c r="Z169">
        <v>0</v>
      </c>
      <c r="AA169">
        <v>0</v>
      </c>
      <c r="AB169">
        <v>0</v>
      </c>
      <c r="AC169">
        <v>0</v>
      </c>
      <c r="AD169">
        <v>1</v>
      </c>
      <c r="AE169">
        <v>2</v>
      </c>
      <c r="AF169" t="s">
        <v>24</v>
      </c>
      <c r="AG169">
        <v>1.9376000000000002</v>
      </c>
      <c r="AH169">
        <v>2</v>
      </c>
      <c r="AI169">
        <v>86327468</v>
      </c>
      <c r="AJ169">
        <v>219</v>
      </c>
      <c r="AK169">
        <v>0</v>
      </c>
      <c r="AL169">
        <v>0</v>
      </c>
      <c r="AM169">
        <v>0</v>
      </c>
      <c r="AN169">
        <v>0</v>
      </c>
      <c r="AO169">
        <v>0</v>
      </c>
      <c r="AP169">
        <v>0</v>
      </c>
      <c r="AQ169">
        <v>0</v>
      </c>
      <c r="AR169">
        <v>0</v>
      </c>
    </row>
    <row r="170" spans="1:44" x14ac:dyDescent="0.2">
      <c r="A170">
        <f>ROW(Source!A184)</f>
        <v>184</v>
      </c>
      <c r="B170">
        <v>86327482</v>
      </c>
      <c r="C170">
        <v>86327466</v>
      </c>
      <c r="D170">
        <v>27439418</v>
      </c>
      <c r="E170">
        <v>1</v>
      </c>
      <c r="F170">
        <v>1</v>
      </c>
      <c r="G170">
        <v>1</v>
      </c>
      <c r="H170">
        <v>2</v>
      </c>
      <c r="I170" t="s">
        <v>652</v>
      </c>
      <c r="J170" t="s">
        <v>653</v>
      </c>
      <c r="K170" t="s">
        <v>654</v>
      </c>
      <c r="L170">
        <v>1368</v>
      </c>
      <c r="N170">
        <v>1011</v>
      </c>
      <c r="O170" t="s">
        <v>137</v>
      </c>
      <c r="P170" t="s">
        <v>137</v>
      </c>
      <c r="Q170">
        <v>1</v>
      </c>
      <c r="X170">
        <v>1.73</v>
      </c>
      <c r="Y170">
        <v>0</v>
      </c>
      <c r="Z170">
        <v>91.69</v>
      </c>
      <c r="AA170">
        <v>13.61</v>
      </c>
      <c r="AB170">
        <v>0</v>
      </c>
      <c r="AC170">
        <v>0</v>
      </c>
      <c r="AD170">
        <v>1</v>
      </c>
      <c r="AE170">
        <v>0</v>
      </c>
      <c r="AF170" t="s">
        <v>24</v>
      </c>
      <c r="AG170">
        <v>1.9376000000000002</v>
      </c>
      <c r="AH170">
        <v>3</v>
      </c>
      <c r="AI170">
        <v>-1</v>
      </c>
      <c r="AJ170" t="s">
        <v>6</v>
      </c>
      <c r="AK170">
        <v>4</v>
      </c>
      <c r="AL170">
        <v>0</v>
      </c>
      <c r="AM170">
        <v>-177.65854400000001</v>
      </c>
      <c r="AN170">
        <v>-26.370736000000001</v>
      </c>
      <c r="AO170">
        <v>0</v>
      </c>
      <c r="AP170">
        <v>0</v>
      </c>
      <c r="AQ170">
        <v>0</v>
      </c>
      <c r="AR170">
        <v>1</v>
      </c>
    </row>
    <row r="171" spans="1:44" x14ac:dyDescent="0.2">
      <c r="A171">
        <f>ROW(Source!A184)</f>
        <v>184</v>
      </c>
      <c r="B171">
        <v>86327483</v>
      </c>
      <c r="C171">
        <v>86327466</v>
      </c>
      <c r="D171">
        <v>27440039</v>
      </c>
      <c r="E171">
        <v>1</v>
      </c>
      <c r="F171">
        <v>1</v>
      </c>
      <c r="G171">
        <v>1</v>
      </c>
      <c r="H171">
        <v>2</v>
      </c>
      <c r="I171" t="s">
        <v>649</v>
      </c>
      <c r="J171" t="s">
        <v>650</v>
      </c>
      <c r="K171" t="s">
        <v>651</v>
      </c>
      <c r="L171">
        <v>1368</v>
      </c>
      <c r="N171">
        <v>1011</v>
      </c>
      <c r="O171" t="s">
        <v>137</v>
      </c>
      <c r="P171" t="s">
        <v>137</v>
      </c>
      <c r="Q171">
        <v>1</v>
      </c>
      <c r="X171">
        <v>1.2</v>
      </c>
      <c r="Y171">
        <v>0</v>
      </c>
      <c r="Z171">
        <v>1.83</v>
      </c>
      <c r="AA171">
        <v>0</v>
      </c>
      <c r="AB171">
        <v>0</v>
      </c>
      <c r="AC171">
        <v>0</v>
      </c>
      <c r="AD171">
        <v>1</v>
      </c>
      <c r="AE171">
        <v>0</v>
      </c>
      <c r="AF171" t="s">
        <v>24</v>
      </c>
      <c r="AG171">
        <v>1.3440000000000001</v>
      </c>
      <c r="AH171">
        <v>2</v>
      </c>
      <c r="AI171">
        <v>86327470</v>
      </c>
      <c r="AJ171">
        <v>221</v>
      </c>
      <c r="AK171">
        <v>0</v>
      </c>
      <c r="AL171">
        <v>0</v>
      </c>
      <c r="AM171">
        <v>0</v>
      </c>
      <c r="AN171">
        <v>0</v>
      </c>
      <c r="AO171">
        <v>0</v>
      </c>
      <c r="AP171">
        <v>0</v>
      </c>
      <c r="AQ171">
        <v>0</v>
      </c>
      <c r="AR171">
        <v>0</v>
      </c>
    </row>
    <row r="172" spans="1:44" x14ac:dyDescent="0.2">
      <c r="A172">
        <f>ROW(Source!A184)</f>
        <v>184</v>
      </c>
      <c r="B172">
        <v>86327484</v>
      </c>
      <c r="C172">
        <v>86327466</v>
      </c>
      <c r="D172">
        <v>27371200</v>
      </c>
      <c r="E172">
        <v>1</v>
      </c>
      <c r="F172">
        <v>1</v>
      </c>
      <c r="G172">
        <v>1</v>
      </c>
      <c r="H172">
        <v>3</v>
      </c>
      <c r="I172" t="s">
        <v>71</v>
      </c>
      <c r="J172" t="s">
        <v>713</v>
      </c>
      <c r="K172" t="s">
        <v>72</v>
      </c>
      <c r="L172">
        <v>1348</v>
      </c>
      <c r="N172">
        <v>1009</v>
      </c>
      <c r="O172" t="s">
        <v>33</v>
      </c>
      <c r="P172" t="s">
        <v>33</v>
      </c>
      <c r="Q172">
        <v>1000</v>
      </c>
      <c r="X172">
        <v>4.1999999999999997E-3</v>
      </c>
      <c r="Y172">
        <v>1696.01</v>
      </c>
      <c r="Z172">
        <v>0</v>
      </c>
      <c r="AA172">
        <v>0</v>
      </c>
      <c r="AB172">
        <v>0</v>
      </c>
      <c r="AC172">
        <v>0</v>
      </c>
      <c r="AD172">
        <v>1</v>
      </c>
      <c r="AE172">
        <v>0</v>
      </c>
      <c r="AF172" t="s">
        <v>6</v>
      </c>
      <c r="AG172">
        <v>4.1999999999999997E-3</v>
      </c>
      <c r="AH172">
        <v>2</v>
      </c>
      <c r="AI172">
        <v>86327471</v>
      </c>
      <c r="AJ172">
        <v>222</v>
      </c>
      <c r="AK172">
        <v>3</v>
      </c>
      <c r="AL172">
        <v>-7.1232419999999994</v>
      </c>
      <c r="AM172">
        <v>0</v>
      </c>
      <c r="AN172">
        <v>0</v>
      </c>
      <c r="AO172">
        <v>0</v>
      </c>
      <c r="AP172">
        <v>0</v>
      </c>
      <c r="AQ172">
        <v>0</v>
      </c>
      <c r="AR172">
        <v>1</v>
      </c>
    </row>
    <row r="173" spans="1:44" x14ac:dyDescent="0.2">
      <c r="A173">
        <f>ROW(Source!A184)</f>
        <v>184</v>
      </c>
      <c r="B173">
        <v>86327485</v>
      </c>
      <c r="C173">
        <v>86327466</v>
      </c>
      <c r="D173">
        <v>27379319</v>
      </c>
      <c r="E173">
        <v>1</v>
      </c>
      <c r="F173">
        <v>1</v>
      </c>
      <c r="G173">
        <v>1</v>
      </c>
      <c r="H173">
        <v>3</v>
      </c>
      <c r="I173" t="s">
        <v>714</v>
      </c>
      <c r="J173" t="s">
        <v>715</v>
      </c>
      <c r="K173" t="s">
        <v>716</v>
      </c>
      <c r="L173">
        <v>1035</v>
      </c>
      <c r="N173">
        <v>1013</v>
      </c>
      <c r="O173" t="s">
        <v>717</v>
      </c>
      <c r="P173" t="s">
        <v>717</v>
      </c>
      <c r="Q173">
        <v>1</v>
      </c>
      <c r="X173">
        <v>0</v>
      </c>
      <c r="Y173">
        <v>0</v>
      </c>
      <c r="Z173">
        <v>0</v>
      </c>
      <c r="AA173">
        <v>0</v>
      </c>
      <c r="AB173">
        <v>0</v>
      </c>
      <c r="AC173">
        <v>1</v>
      </c>
      <c r="AD173">
        <v>0</v>
      </c>
      <c r="AE173">
        <v>0</v>
      </c>
      <c r="AF173" t="s">
        <v>6</v>
      </c>
      <c r="AG173">
        <v>0</v>
      </c>
      <c r="AH173">
        <v>3</v>
      </c>
      <c r="AI173">
        <v>-1</v>
      </c>
      <c r="AJ173" t="s">
        <v>6</v>
      </c>
      <c r="AK173">
        <v>0</v>
      </c>
      <c r="AL173">
        <v>0</v>
      </c>
      <c r="AM173">
        <v>0</v>
      </c>
      <c r="AN173">
        <v>0</v>
      </c>
      <c r="AO173">
        <v>0</v>
      </c>
      <c r="AP173">
        <v>0</v>
      </c>
      <c r="AQ173">
        <v>0</v>
      </c>
      <c r="AR173">
        <v>0</v>
      </c>
    </row>
    <row r="174" spans="1:44" x14ac:dyDescent="0.2">
      <c r="A174">
        <f>ROW(Source!A184)</f>
        <v>184</v>
      </c>
      <c r="B174">
        <v>86327486</v>
      </c>
      <c r="C174">
        <v>86327466</v>
      </c>
      <c r="D174">
        <v>27407521</v>
      </c>
      <c r="E174">
        <v>1</v>
      </c>
      <c r="F174">
        <v>1</v>
      </c>
      <c r="G174">
        <v>1</v>
      </c>
      <c r="H174">
        <v>3</v>
      </c>
      <c r="I174" t="s">
        <v>718</v>
      </c>
      <c r="J174" t="s">
        <v>719</v>
      </c>
      <c r="K174" t="s">
        <v>720</v>
      </c>
      <c r="L174">
        <v>1339</v>
      </c>
      <c r="N174">
        <v>1007</v>
      </c>
      <c r="O174" t="s">
        <v>44</v>
      </c>
      <c r="P174" t="s">
        <v>44</v>
      </c>
      <c r="Q174">
        <v>1</v>
      </c>
      <c r="X174">
        <v>0</v>
      </c>
      <c r="Y174">
        <v>0</v>
      </c>
      <c r="Z174">
        <v>0</v>
      </c>
      <c r="AA174">
        <v>0</v>
      </c>
      <c r="AB174">
        <v>0</v>
      </c>
      <c r="AC174">
        <v>1</v>
      </c>
      <c r="AD174">
        <v>0</v>
      </c>
      <c r="AE174">
        <v>0</v>
      </c>
      <c r="AF174" t="s">
        <v>6</v>
      </c>
      <c r="AG174">
        <v>0</v>
      </c>
      <c r="AH174">
        <v>3</v>
      </c>
      <c r="AI174">
        <v>-1</v>
      </c>
      <c r="AJ174" t="s">
        <v>6</v>
      </c>
      <c r="AK174">
        <v>0</v>
      </c>
      <c r="AL174">
        <v>0</v>
      </c>
      <c r="AM174">
        <v>0</v>
      </c>
      <c r="AN174">
        <v>0</v>
      </c>
      <c r="AO174">
        <v>0</v>
      </c>
      <c r="AP174">
        <v>0</v>
      </c>
      <c r="AQ174">
        <v>0</v>
      </c>
      <c r="AR174">
        <v>0</v>
      </c>
    </row>
    <row r="175" spans="1:44" x14ac:dyDescent="0.2">
      <c r="A175">
        <f>ROW(Source!A203)</f>
        <v>203</v>
      </c>
      <c r="B175">
        <v>86327510</v>
      </c>
      <c r="C175">
        <v>86327496</v>
      </c>
      <c r="D175">
        <v>27497778</v>
      </c>
      <c r="E175">
        <v>1</v>
      </c>
      <c r="F175">
        <v>1</v>
      </c>
      <c r="G175">
        <v>1</v>
      </c>
      <c r="H175">
        <v>1</v>
      </c>
      <c r="I175" t="s">
        <v>647</v>
      </c>
      <c r="J175" t="s">
        <v>6</v>
      </c>
      <c r="K175" t="s">
        <v>648</v>
      </c>
      <c r="L175">
        <v>1369</v>
      </c>
      <c r="N175">
        <v>1013</v>
      </c>
      <c r="O175" t="s">
        <v>625</v>
      </c>
      <c r="P175" t="s">
        <v>625</v>
      </c>
      <c r="Q175">
        <v>1</v>
      </c>
      <c r="X175">
        <v>4.21</v>
      </c>
      <c r="Y175">
        <v>0</v>
      </c>
      <c r="Z175">
        <v>0</v>
      </c>
      <c r="AA175">
        <v>0</v>
      </c>
      <c r="AB175">
        <v>8.7100000000000009</v>
      </c>
      <c r="AC175">
        <v>0</v>
      </c>
      <c r="AD175">
        <v>1</v>
      </c>
      <c r="AE175">
        <v>1</v>
      </c>
      <c r="AF175" t="s">
        <v>25</v>
      </c>
      <c r="AG175">
        <v>4.4205000000000005</v>
      </c>
      <c r="AH175">
        <v>2</v>
      </c>
      <c r="AI175">
        <v>86327497</v>
      </c>
      <c r="AJ175">
        <v>231</v>
      </c>
      <c r="AK175">
        <v>0</v>
      </c>
      <c r="AL175">
        <v>0</v>
      </c>
      <c r="AM175">
        <v>0</v>
      </c>
      <c r="AN175">
        <v>0</v>
      </c>
      <c r="AO175">
        <v>0</v>
      </c>
      <c r="AP175">
        <v>0</v>
      </c>
      <c r="AQ175">
        <v>0</v>
      </c>
      <c r="AR175">
        <v>0</v>
      </c>
    </row>
    <row r="176" spans="1:44" x14ac:dyDescent="0.2">
      <c r="A176">
        <f>ROW(Source!A203)</f>
        <v>203</v>
      </c>
      <c r="B176">
        <v>86327511</v>
      </c>
      <c r="C176">
        <v>86327496</v>
      </c>
      <c r="D176">
        <v>121548</v>
      </c>
      <c r="E176">
        <v>1</v>
      </c>
      <c r="F176">
        <v>1</v>
      </c>
      <c r="G176">
        <v>1</v>
      </c>
      <c r="H176">
        <v>1</v>
      </c>
      <c r="I176" t="s">
        <v>40</v>
      </c>
      <c r="J176" t="s">
        <v>6</v>
      </c>
      <c r="K176" t="s">
        <v>626</v>
      </c>
      <c r="L176">
        <v>608254</v>
      </c>
      <c r="N176">
        <v>1013</v>
      </c>
      <c r="O176" t="s">
        <v>627</v>
      </c>
      <c r="P176" t="s">
        <v>627</v>
      </c>
      <c r="Q176">
        <v>1</v>
      </c>
      <c r="X176">
        <v>1.65</v>
      </c>
      <c r="Y176">
        <v>0</v>
      </c>
      <c r="Z176">
        <v>0</v>
      </c>
      <c r="AA176">
        <v>0</v>
      </c>
      <c r="AB176">
        <v>0</v>
      </c>
      <c r="AC176">
        <v>0</v>
      </c>
      <c r="AD176">
        <v>1</v>
      </c>
      <c r="AE176">
        <v>2</v>
      </c>
      <c r="AF176" t="s">
        <v>24</v>
      </c>
      <c r="AG176">
        <v>1.8480000000000001</v>
      </c>
      <c r="AH176">
        <v>2</v>
      </c>
      <c r="AI176">
        <v>86327498</v>
      </c>
      <c r="AJ176">
        <v>232</v>
      </c>
      <c r="AK176">
        <v>0</v>
      </c>
      <c r="AL176">
        <v>0</v>
      </c>
      <c r="AM176">
        <v>0</v>
      </c>
      <c r="AN176">
        <v>0</v>
      </c>
      <c r="AO176">
        <v>0</v>
      </c>
      <c r="AP176">
        <v>0</v>
      </c>
      <c r="AQ176">
        <v>0</v>
      </c>
      <c r="AR176">
        <v>0</v>
      </c>
    </row>
    <row r="177" spans="1:44" x14ac:dyDescent="0.2">
      <c r="A177">
        <f>ROW(Source!A203)</f>
        <v>203</v>
      </c>
      <c r="B177">
        <v>86327512</v>
      </c>
      <c r="C177">
        <v>86327496</v>
      </c>
      <c r="D177">
        <v>27439418</v>
      </c>
      <c r="E177">
        <v>1</v>
      </c>
      <c r="F177">
        <v>1</v>
      </c>
      <c r="G177">
        <v>1</v>
      </c>
      <c r="H177">
        <v>2</v>
      </c>
      <c r="I177" t="s">
        <v>652</v>
      </c>
      <c r="J177" t="s">
        <v>653</v>
      </c>
      <c r="K177" t="s">
        <v>654</v>
      </c>
      <c r="L177">
        <v>1368</v>
      </c>
      <c r="N177">
        <v>1011</v>
      </c>
      <c r="O177" t="s">
        <v>137</v>
      </c>
      <c r="P177" t="s">
        <v>137</v>
      </c>
      <c r="Q177">
        <v>1</v>
      </c>
      <c r="X177">
        <v>1.65</v>
      </c>
      <c r="Y177">
        <v>0</v>
      </c>
      <c r="Z177">
        <v>91.69</v>
      </c>
      <c r="AA177">
        <v>13.61</v>
      </c>
      <c r="AB177">
        <v>0</v>
      </c>
      <c r="AC177">
        <v>0</v>
      </c>
      <c r="AD177">
        <v>1</v>
      </c>
      <c r="AE177">
        <v>0</v>
      </c>
      <c r="AF177" t="s">
        <v>24</v>
      </c>
      <c r="AG177">
        <v>1.8480000000000001</v>
      </c>
      <c r="AH177">
        <v>2</v>
      </c>
      <c r="AI177">
        <v>86327499</v>
      </c>
      <c r="AJ177">
        <v>233</v>
      </c>
      <c r="AK177">
        <v>0</v>
      </c>
      <c r="AL177">
        <v>0</v>
      </c>
      <c r="AM177">
        <v>0</v>
      </c>
      <c r="AN177">
        <v>0</v>
      </c>
      <c r="AO177">
        <v>0</v>
      </c>
      <c r="AP177">
        <v>0</v>
      </c>
      <c r="AQ177">
        <v>0</v>
      </c>
      <c r="AR177">
        <v>0</v>
      </c>
    </row>
    <row r="178" spans="1:44" x14ac:dyDescent="0.2">
      <c r="A178">
        <f>ROW(Source!A203)</f>
        <v>203</v>
      </c>
      <c r="B178">
        <v>86327513</v>
      </c>
      <c r="C178">
        <v>86327496</v>
      </c>
      <c r="D178">
        <v>27440039</v>
      </c>
      <c r="E178">
        <v>1</v>
      </c>
      <c r="F178">
        <v>1</v>
      </c>
      <c r="G178">
        <v>1</v>
      </c>
      <c r="H178">
        <v>2</v>
      </c>
      <c r="I178" t="s">
        <v>649</v>
      </c>
      <c r="J178" t="s">
        <v>650</v>
      </c>
      <c r="K178" t="s">
        <v>651</v>
      </c>
      <c r="L178">
        <v>1368</v>
      </c>
      <c r="N178">
        <v>1011</v>
      </c>
      <c r="O178" t="s">
        <v>137</v>
      </c>
      <c r="P178" t="s">
        <v>137</v>
      </c>
      <c r="Q178">
        <v>1</v>
      </c>
      <c r="X178">
        <v>1.55</v>
      </c>
      <c r="Y178">
        <v>0</v>
      </c>
      <c r="Z178">
        <v>1.83</v>
      </c>
      <c r="AA178">
        <v>0</v>
      </c>
      <c r="AB178">
        <v>0</v>
      </c>
      <c r="AC178">
        <v>0</v>
      </c>
      <c r="AD178">
        <v>1</v>
      </c>
      <c r="AE178">
        <v>0</v>
      </c>
      <c r="AF178" t="s">
        <v>24</v>
      </c>
      <c r="AG178">
        <v>1.7360000000000002</v>
      </c>
      <c r="AH178">
        <v>2</v>
      </c>
      <c r="AI178">
        <v>86327500</v>
      </c>
      <c r="AJ178">
        <v>234</v>
      </c>
      <c r="AK178">
        <v>0</v>
      </c>
      <c r="AL178">
        <v>0</v>
      </c>
      <c r="AM178">
        <v>0</v>
      </c>
      <c r="AN178">
        <v>0</v>
      </c>
      <c r="AO178">
        <v>0</v>
      </c>
      <c r="AP178">
        <v>0</v>
      </c>
      <c r="AQ178">
        <v>0</v>
      </c>
      <c r="AR178">
        <v>0</v>
      </c>
    </row>
    <row r="179" spans="1:44" x14ac:dyDescent="0.2">
      <c r="A179">
        <f>ROW(Source!A203)</f>
        <v>203</v>
      </c>
      <c r="B179">
        <v>86327514</v>
      </c>
      <c r="C179">
        <v>86327496</v>
      </c>
      <c r="D179">
        <v>27371200</v>
      </c>
      <c r="E179">
        <v>1</v>
      </c>
      <c r="F179">
        <v>1</v>
      </c>
      <c r="G179">
        <v>1</v>
      </c>
      <c r="H179">
        <v>3</v>
      </c>
      <c r="I179" t="s">
        <v>71</v>
      </c>
      <c r="J179" t="s">
        <v>713</v>
      </c>
      <c r="K179" t="s">
        <v>72</v>
      </c>
      <c r="L179">
        <v>1348</v>
      </c>
      <c r="N179">
        <v>1009</v>
      </c>
      <c r="O179" t="s">
        <v>33</v>
      </c>
      <c r="P179" t="s">
        <v>33</v>
      </c>
      <c r="Q179">
        <v>1000</v>
      </c>
      <c r="X179">
        <v>4.1999999999999997E-3</v>
      </c>
      <c r="Y179">
        <v>1696.01</v>
      </c>
      <c r="Z179">
        <v>0</v>
      </c>
      <c r="AA179">
        <v>0</v>
      </c>
      <c r="AB179">
        <v>0</v>
      </c>
      <c r="AC179">
        <v>0</v>
      </c>
      <c r="AD179">
        <v>1</v>
      </c>
      <c r="AE179">
        <v>0</v>
      </c>
      <c r="AF179" t="s">
        <v>6</v>
      </c>
      <c r="AG179">
        <v>4.1999999999999997E-3</v>
      </c>
      <c r="AH179">
        <v>2</v>
      </c>
      <c r="AI179">
        <v>86327501</v>
      </c>
      <c r="AJ179">
        <v>235</v>
      </c>
      <c r="AK179">
        <v>3</v>
      </c>
      <c r="AL179">
        <v>-7.1232419999999994</v>
      </c>
      <c r="AM179">
        <v>0</v>
      </c>
      <c r="AN179">
        <v>0</v>
      </c>
      <c r="AO179">
        <v>0</v>
      </c>
      <c r="AP179">
        <v>0</v>
      </c>
      <c r="AQ179">
        <v>0</v>
      </c>
      <c r="AR179">
        <v>1</v>
      </c>
    </row>
    <row r="180" spans="1:44" x14ac:dyDescent="0.2">
      <c r="A180">
        <f>ROW(Source!A203)</f>
        <v>203</v>
      </c>
      <c r="B180">
        <v>86327515</v>
      </c>
      <c r="C180">
        <v>86327496</v>
      </c>
      <c r="D180">
        <v>27379319</v>
      </c>
      <c r="E180">
        <v>1</v>
      </c>
      <c r="F180">
        <v>1</v>
      </c>
      <c r="G180">
        <v>1</v>
      </c>
      <c r="H180">
        <v>3</v>
      </c>
      <c r="I180" t="s">
        <v>714</v>
      </c>
      <c r="J180" t="s">
        <v>715</v>
      </c>
      <c r="K180" t="s">
        <v>716</v>
      </c>
      <c r="L180">
        <v>1035</v>
      </c>
      <c r="N180">
        <v>1013</v>
      </c>
      <c r="O180" t="s">
        <v>717</v>
      </c>
      <c r="P180" t="s">
        <v>717</v>
      </c>
      <c r="Q180">
        <v>1</v>
      </c>
      <c r="X180">
        <v>0</v>
      </c>
      <c r="Y180">
        <v>0</v>
      </c>
      <c r="Z180">
        <v>0</v>
      </c>
      <c r="AA180">
        <v>0</v>
      </c>
      <c r="AB180">
        <v>0</v>
      </c>
      <c r="AC180">
        <v>1</v>
      </c>
      <c r="AD180">
        <v>0</v>
      </c>
      <c r="AE180">
        <v>0</v>
      </c>
      <c r="AF180" t="s">
        <v>6</v>
      </c>
      <c r="AG180">
        <v>0</v>
      </c>
      <c r="AH180">
        <v>3</v>
      </c>
      <c r="AI180">
        <v>-1</v>
      </c>
      <c r="AJ180" t="s">
        <v>6</v>
      </c>
      <c r="AK180">
        <v>0</v>
      </c>
      <c r="AL180">
        <v>0</v>
      </c>
      <c r="AM180">
        <v>0</v>
      </c>
      <c r="AN180">
        <v>0</v>
      </c>
      <c r="AO180">
        <v>0</v>
      </c>
      <c r="AP180">
        <v>0</v>
      </c>
      <c r="AQ180">
        <v>0</v>
      </c>
      <c r="AR180">
        <v>0</v>
      </c>
    </row>
    <row r="181" spans="1:44" x14ac:dyDescent="0.2">
      <c r="A181">
        <f>ROW(Source!A203)</f>
        <v>203</v>
      </c>
      <c r="B181">
        <v>86327516</v>
      </c>
      <c r="C181">
        <v>86327496</v>
      </c>
      <c r="D181">
        <v>27407521</v>
      </c>
      <c r="E181">
        <v>1</v>
      </c>
      <c r="F181">
        <v>1</v>
      </c>
      <c r="G181">
        <v>1</v>
      </c>
      <c r="H181">
        <v>3</v>
      </c>
      <c r="I181" t="s">
        <v>718</v>
      </c>
      <c r="J181" t="s">
        <v>719</v>
      </c>
      <c r="K181" t="s">
        <v>720</v>
      </c>
      <c r="L181">
        <v>1339</v>
      </c>
      <c r="N181">
        <v>1007</v>
      </c>
      <c r="O181" t="s">
        <v>44</v>
      </c>
      <c r="P181" t="s">
        <v>44</v>
      </c>
      <c r="Q181">
        <v>1</v>
      </c>
      <c r="X181">
        <v>0</v>
      </c>
      <c r="Y181">
        <v>0</v>
      </c>
      <c r="Z181">
        <v>0</v>
      </c>
      <c r="AA181">
        <v>0</v>
      </c>
      <c r="AB181">
        <v>0</v>
      </c>
      <c r="AC181">
        <v>1</v>
      </c>
      <c r="AD181">
        <v>0</v>
      </c>
      <c r="AE181">
        <v>0</v>
      </c>
      <c r="AF181" t="s">
        <v>6</v>
      </c>
      <c r="AG181">
        <v>0</v>
      </c>
      <c r="AH181">
        <v>3</v>
      </c>
      <c r="AI181">
        <v>-1</v>
      </c>
      <c r="AJ181" t="s">
        <v>6</v>
      </c>
      <c r="AK181">
        <v>0</v>
      </c>
      <c r="AL181">
        <v>0</v>
      </c>
      <c r="AM181">
        <v>0</v>
      </c>
      <c r="AN181">
        <v>0</v>
      </c>
      <c r="AO181">
        <v>0</v>
      </c>
      <c r="AP181">
        <v>0</v>
      </c>
      <c r="AQ181">
        <v>0</v>
      </c>
      <c r="AR181">
        <v>0</v>
      </c>
    </row>
    <row r="182" spans="1:44" x14ac:dyDescent="0.2">
      <c r="A182">
        <f>ROW(Source!A204)</f>
        <v>204</v>
      </c>
      <c r="B182">
        <v>86327510</v>
      </c>
      <c r="C182">
        <v>86327496</v>
      </c>
      <c r="D182">
        <v>27497778</v>
      </c>
      <c r="E182">
        <v>1</v>
      </c>
      <c r="F182">
        <v>1</v>
      </c>
      <c r="G182">
        <v>1</v>
      </c>
      <c r="H182">
        <v>1</v>
      </c>
      <c r="I182" t="s">
        <v>647</v>
      </c>
      <c r="J182" t="s">
        <v>6</v>
      </c>
      <c r="K182" t="s">
        <v>648</v>
      </c>
      <c r="L182">
        <v>1369</v>
      </c>
      <c r="N182">
        <v>1013</v>
      </c>
      <c r="O182" t="s">
        <v>625</v>
      </c>
      <c r="P182" t="s">
        <v>625</v>
      </c>
      <c r="Q182">
        <v>1</v>
      </c>
      <c r="X182">
        <v>4.21</v>
      </c>
      <c r="Y182">
        <v>0</v>
      </c>
      <c r="Z182">
        <v>0</v>
      </c>
      <c r="AA182">
        <v>0</v>
      </c>
      <c r="AB182">
        <v>8.7100000000000009</v>
      </c>
      <c r="AC182">
        <v>0</v>
      </c>
      <c r="AD182">
        <v>1</v>
      </c>
      <c r="AE182">
        <v>1</v>
      </c>
      <c r="AF182" t="s">
        <v>25</v>
      </c>
      <c r="AG182">
        <v>4.4205000000000005</v>
      </c>
      <c r="AH182">
        <v>2</v>
      </c>
      <c r="AI182">
        <v>86327497</v>
      </c>
      <c r="AJ182">
        <v>244</v>
      </c>
      <c r="AK182">
        <v>0</v>
      </c>
      <c r="AL182">
        <v>0</v>
      </c>
      <c r="AM182">
        <v>0</v>
      </c>
      <c r="AN182">
        <v>0</v>
      </c>
      <c r="AO182">
        <v>0</v>
      </c>
      <c r="AP182">
        <v>0</v>
      </c>
      <c r="AQ182">
        <v>0</v>
      </c>
      <c r="AR182">
        <v>0</v>
      </c>
    </row>
    <row r="183" spans="1:44" x14ac:dyDescent="0.2">
      <c r="A183">
        <f>ROW(Source!A204)</f>
        <v>204</v>
      </c>
      <c r="B183">
        <v>86327511</v>
      </c>
      <c r="C183">
        <v>86327496</v>
      </c>
      <c r="D183">
        <v>121548</v>
      </c>
      <c r="E183">
        <v>1</v>
      </c>
      <c r="F183">
        <v>1</v>
      </c>
      <c r="G183">
        <v>1</v>
      </c>
      <c r="H183">
        <v>1</v>
      </c>
      <c r="I183" t="s">
        <v>40</v>
      </c>
      <c r="J183" t="s">
        <v>6</v>
      </c>
      <c r="K183" t="s">
        <v>626</v>
      </c>
      <c r="L183">
        <v>608254</v>
      </c>
      <c r="N183">
        <v>1013</v>
      </c>
      <c r="O183" t="s">
        <v>627</v>
      </c>
      <c r="P183" t="s">
        <v>627</v>
      </c>
      <c r="Q183">
        <v>1</v>
      </c>
      <c r="X183">
        <v>1.65</v>
      </c>
      <c r="Y183">
        <v>0</v>
      </c>
      <c r="Z183">
        <v>0</v>
      </c>
      <c r="AA183">
        <v>0</v>
      </c>
      <c r="AB183">
        <v>0</v>
      </c>
      <c r="AC183">
        <v>0</v>
      </c>
      <c r="AD183">
        <v>1</v>
      </c>
      <c r="AE183">
        <v>2</v>
      </c>
      <c r="AF183" t="s">
        <v>24</v>
      </c>
      <c r="AG183">
        <v>1.8480000000000001</v>
      </c>
      <c r="AH183">
        <v>2</v>
      </c>
      <c r="AI183">
        <v>86327498</v>
      </c>
      <c r="AJ183">
        <v>245</v>
      </c>
      <c r="AK183">
        <v>0</v>
      </c>
      <c r="AL183">
        <v>0</v>
      </c>
      <c r="AM183">
        <v>0</v>
      </c>
      <c r="AN183">
        <v>0</v>
      </c>
      <c r="AO183">
        <v>0</v>
      </c>
      <c r="AP183">
        <v>0</v>
      </c>
      <c r="AQ183">
        <v>0</v>
      </c>
      <c r="AR183">
        <v>0</v>
      </c>
    </row>
    <row r="184" spans="1:44" x14ac:dyDescent="0.2">
      <c r="A184">
        <f>ROW(Source!A204)</f>
        <v>204</v>
      </c>
      <c r="B184">
        <v>86327512</v>
      </c>
      <c r="C184">
        <v>86327496</v>
      </c>
      <c r="D184">
        <v>27439418</v>
      </c>
      <c r="E184">
        <v>1</v>
      </c>
      <c r="F184">
        <v>1</v>
      </c>
      <c r="G184">
        <v>1</v>
      </c>
      <c r="H184">
        <v>2</v>
      </c>
      <c r="I184" t="s">
        <v>652</v>
      </c>
      <c r="J184" t="s">
        <v>653</v>
      </c>
      <c r="K184" t="s">
        <v>654</v>
      </c>
      <c r="L184">
        <v>1368</v>
      </c>
      <c r="N184">
        <v>1011</v>
      </c>
      <c r="O184" t="s">
        <v>137</v>
      </c>
      <c r="P184" t="s">
        <v>137</v>
      </c>
      <c r="Q184">
        <v>1</v>
      </c>
      <c r="X184">
        <v>1.65</v>
      </c>
      <c r="Y184">
        <v>0</v>
      </c>
      <c r="Z184">
        <v>91.69</v>
      </c>
      <c r="AA184">
        <v>13.61</v>
      </c>
      <c r="AB184">
        <v>0</v>
      </c>
      <c r="AC184">
        <v>0</v>
      </c>
      <c r="AD184">
        <v>1</v>
      </c>
      <c r="AE184">
        <v>0</v>
      </c>
      <c r="AF184" t="s">
        <v>24</v>
      </c>
      <c r="AG184">
        <v>1.8480000000000001</v>
      </c>
      <c r="AH184">
        <v>2</v>
      </c>
      <c r="AI184">
        <v>86327499</v>
      </c>
      <c r="AJ184">
        <v>246</v>
      </c>
      <c r="AK184">
        <v>0</v>
      </c>
      <c r="AL184">
        <v>0</v>
      </c>
      <c r="AM184">
        <v>0</v>
      </c>
      <c r="AN184">
        <v>0</v>
      </c>
      <c r="AO184">
        <v>0</v>
      </c>
      <c r="AP184">
        <v>0</v>
      </c>
      <c r="AQ184">
        <v>0</v>
      </c>
      <c r="AR184">
        <v>0</v>
      </c>
    </row>
    <row r="185" spans="1:44" x14ac:dyDescent="0.2">
      <c r="A185">
        <f>ROW(Source!A204)</f>
        <v>204</v>
      </c>
      <c r="B185">
        <v>86327513</v>
      </c>
      <c r="C185">
        <v>86327496</v>
      </c>
      <c r="D185">
        <v>27440039</v>
      </c>
      <c r="E185">
        <v>1</v>
      </c>
      <c r="F185">
        <v>1</v>
      </c>
      <c r="G185">
        <v>1</v>
      </c>
      <c r="H185">
        <v>2</v>
      </c>
      <c r="I185" t="s">
        <v>649</v>
      </c>
      <c r="J185" t="s">
        <v>650</v>
      </c>
      <c r="K185" t="s">
        <v>651</v>
      </c>
      <c r="L185">
        <v>1368</v>
      </c>
      <c r="N185">
        <v>1011</v>
      </c>
      <c r="O185" t="s">
        <v>137</v>
      </c>
      <c r="P185" t="s">
        <v>137</v>
      </c>
      <c r="Q185">
        <v>1</v>
      </c>
      <c r="X185">
        <v>1.55</v>
      </c>
      <c r="Y185">
        <v>0</v>
      </c>
      <c r="Z185">
        <v>1.83</v>
      </c>
      <c r="AA185">
        <v>0</v>
      </c>
      <c r="AB185">
        <v>0</v>
      </c>
      <c r="AC185">
        <v>0</v>
      </c>
      <c r="AD185">
        <v>1</v>
      </c>
      <c r="AE185">
        <v>0</v>
      </c>
      <c r="AF185" t="s">
        <v>24</v>
      </c>
      <c r="AG185">
        <v>1.7360000000000002</v>
      </c>
      <c r="AH185">
        <v>2</v>
      </c>
      <c r="AI185">
        <v>86327500</v>
      </c>
      <c r="AJ185">
        <v>247</v>
      </c>
      <c r="AK185">
        <v>0</v>
      </c>
      <c r="AL185">
        <v>0</v>
      </c>
      <c r="AM185">
        <v>0</v>
      </c>
      <c r="AN185">
        <v>0</v>
      </c>
      <c r="AO185">
        <v>0</v>
      </c>
      <c r="AP185">
        <v>0</v>
      </c>
      <c r="AQ185">
        <v>0</v>
      </c>
      <c r="AR185">
        <v>0</v>
      </c>
    </row>
    <row r="186" spans="1:44" x14ac:dyDescent="0.2">
      <c r="A186">
        <f>ROW(Source!A204)</f>
        <v>204</v>
      </c>
      <c r="B186">
        <v>86327514</v>
      </c>
      <c r="C186">
        <v>86327496</v>
      </c>
      <c r="D186">
        <v>27371200</v>
      </c>
      <c r="E186">
        <v>1</v>
      </c>
      <c r="F186">
        <v>1</v>
      </c>
      <c r="G186">
        <v>1</v>
      </c>
      <c r="H186">
        <v>3</v>
      </c>
      <c r="I186" t="s">
        <v>71</v>
      </c>
      <c r="J186" t="s">
        <v>713</v>
      </c>
      <c r="K186" t="s">
        <v>72</v>
      </c>
      <c r="L186">
        <v>1348</v>
      </c>
      <c r="N186">
        <v>1009</v>
      </c>
      <c r="O186" t="s">
        <v>33</v>
      </c>
      <c r="P186" t="s">
        <v>33</v>
      </c>
      <c r="Q186">
        <v>1000</v>
      </c>
      <c r="X186">
        <v>4.1999999999999997E-3</v>
      </c>
      <c r="Y186">
        <v>1696.01</v>
      </c>
      <c r="Z186">
        <v>0</v>
      </c>
      <c r="AA186">
        <v>0</v>
      </c>
      <c r="AB186">
        <v>0</v>
      </c>
      <c r="AC186">
        <v>0</v>
      </c>
      <c r="AD186">
        <v>1</v>
      </c>
      <c r="AE186">
        <v>0</v>
      </c>
      <c r="AF186" t="s">
        <v>6</v>
      </c>
      <c r="AG186">
        <v>4.1999999999999997E-3</v>
      </c>
      <c r="AH186">
        <v>2</v>
      </c>
      <c r="AI186">
        <v>86327501</v>
      </c>
      <c r="AJ186">
        <v>248</v>
      </c>
      <c r="AK186">
        <v>3</v>
      </c>
      <c r="AL186">
        <v>-7.1232419999999994</v>
      </c>
      <c r="AM186">
        <v>0</v>
      </c>
      <c r="AN186">
        <v>0</v>
      </c>
      <c r="AO186">
        <v>0</v>
      </c>
      <c r="AP186">
        <v>0</v>
      </c>
      <c r="AQ186">
        <v>0</v>
      </c>
      <c r="AR186">
        <v>1</v>
      </c>
    </row>
    <row r="187" spans="1:44" x14ac:dyDescent="0.2">
      <c r="A187">
        <f>ROW(Source!A204)</f>
        <v>204</v>
      </c>
      <c r="B187">
        <v>86327515</v>
      </c>
      <c r="C187">
        <v>86327496</v>
      </c>
      <c r="D187">
        <v>27379319</v>
      </c>
      <c r="E187">
        <v>1</v>
      </c>
      <c r="F187">
        <v>1</v>
      </c>
      <c r="G187">
        <v>1</v>
      </c>
      <c r="H187">
        <v>3</v>
      </c>
      <c r="I187" t="s">
        <v>714</v>
      </c>
      <c r="J187" t="s">
        <v>715</v>
      </c>
      <c r="K187" t="s">
        <v>716</v>
      </c>
      <c r="L187">
        <v>1035</v>
      </c>
      <c r="N187">
        <v>1013</v>
      </c>
      <c r="O187" t="s">
        <v>717</v>
      </c>
      <c r="P187" t="s">
        <v>717</v>
      </c>
      <c r="Q187">
        <v>1</v>
      </c>
      <c r="X187">
        <v>0</v>
      </c>
      <c r="Y187">
        <v>0</v>
      </c>
      <c r="Z187">
        <v>0</v>
      </c>
      <c r="AA187">
        <v>0</v>
      </c>
      <c r="AB187">
        <v>0</v>
      </c>
      <c r="AC187">
        <v>1</v>
      </c>
      <c r="AD187">
        <v>0</v>
      </c>
      <c r="AE187">
        <v>0</v>
      </c>
      <c r="AF187" t="s">
        <v>6</v>
      </c>
      <c r="AG187">
        <v>0</v>
      </c>
      <c r="AH187">
        <v>3</v>
      </c>
      <c r="AI187">
        <v>-1</v>
      </c>
      <c r="AJ187" t="s">
        <v>6</v>
      </c>
      <c r="AK187">
        <v>0</v>
      </c>
      <c r="AL187">
        <v>0</v>
      </c>
      <c r="AM187">
        <v>0</v>
      </c>
      <c r="AN187">
        <v>0</v>
      </c>
      <c r="AO187">
        <v>0</v>
      </c>
      <c r="AP187">
        <v>0</v>
      </c>
      <c r="AQ187">
        <v>0</v>
      </c>
      <c r="AR187">
        <v>0</v>
      </c>
    </row>
    <row r="188" spans="1:44" x14ac:dyDescent="0.2">
      <c r="A188">
        <f>ROW(Source!A204)</f>
        <v>204</v>
      </c>
      <c r="B188">
        <v>86327516</v>
      </c>
      <c r="C188">
        <v>86327496</v>
      </c>
      <c r="D188">
        <v>27407521</v>
      </c>
      <c r="E188">
        <v>1</v>
      </c>
      <c r="F188">
        <v>1</v>
      </c>
      <c r="G188">
        <v>1</v>
      </c>
      <c r="H188">
        <v>3</v>
      </c>
      <c r="I188" t="s">
        <v>718</v>
      </c>
      <c r="J188" t="s">
        <v>719</v>
      </c>
      <c r="K188" t="s">
        <v>720</v>
      </c>
      <c r="L188">
        <v>1339</v>
      </c>
      <c r="N188">
        <v>1007</v>
      </c>
      <c r="O188" t="s">
        <v>44</v>
      </c>
      <c r="P188" t="s">
        <v>44</v>
      </c>
      <c r="Q188">
        <v>1</v>
      </c>
      <c r="X188">
        <v>0</v>
      </c>
      <c r="Y188">
        <v>0</v>
      </c>
      <c r="Z188">
        <v>0</v>
      </c>
      <c r="AA188">
        <v>0</v>
      </c>
      <c r="AB188">
        <v>0</v>
      </c>
      <c r="AC188">
        <v>1</v>
      </c>
      <c r="AD188">
        <v>0</v>
      </c>
      <c r="AE188">
        <v>0</v>
      </c>
      <c r="AF188" t="s">
        <v>6</v>
      </c>
      <c r="AG188">
        <v>0</v>
      </c>
      <c r="AH188">
        <v>3</v>
      </c>
      <c r="AI188">
        <v>-1</v>
      </c>
      <c r="AJ188" t="s">
        <v>6</v>
      </c>
      <c r="AK188">
        <v>0</v>
      </c>
      <c r="AL188">
        <v>0</v>
      </c>
      <c r="AM188">
        <v>0</v>
      </c>
      <c r="AN188">
        <v>0</v>
      </c>
      <c r="AO188">
        <v>0</v>
      </c>
      <c r="AP188">
        <v>0</v>
      </c>
      <c r="AQ188">
        <v>0</v>
      </c>
      <c r="AR188">
        <v>0</v>
      </c>
    </row>
    <row r="189" spans="1:44" x14ac:dyDescent="0.2">
      <c r="A189">
        <f>ROW(Source!A223)</f>
        <v>223</v>
      </c>
      <c r="B189">
        <v>86327531</v>
      </c>
      <c r="C189">
        <v>86327526</v>
      </c>
      <c r="D189">
        <v>5510985</v>
      </c>
      <c r="E189">
        <v>1</v>
      </c>
      <c r="F189">
        <v>1</v>
      </c>
      <c r="G189">
        <v>1</v>
      </c>
      <c r="H189">
        <v>1</v>
      </c>
      <c r="I189" t="s">
        <v>655</v>
      </c>
      <c r="J189" t="s">
        <v>6</v>
      </c>
      <c r="K189" t="s">
        <v>656</v>
      </c>
      <c r="L189">
        <v>1369</v>
      </c>
      <c r="N189">
        <v>1013</v>
      </c>
      <c r="O189" t="s">
        <v>625</v>
      </c>
      <c r="P189" t="s">
        <v>625</v>
      </c>
      <c r="Q189">
        <v>1</v>
      </c>
      <c r="X189">
        <v>9.86</v>
      </c>
      <c r="Y189">
        <v>0</v>
      </c>
      <c r="Z189">
        <v>0</v>
      </c>
      <c r="AA189">
        <v>0</v>
      </c>
      <c r="AB189">
        <v>9.6</v>
      </c>
      <c r="AC189">
        <v>0</v>
      </c>
      <c r="AD189">
        <v>1</v>
      </c>
      <c r="AE189">
        <v>1</v>
      </c>
      <c r="AF189" t="s">
        <v>6</v>
      </c>
      <c r="AG189">
        <v>9.86</v>
      </c>
      <c r="AH189">
        <v>2</v>
      </c>
      <c r="AI189">
        <v>86327527</v>
      </c>
      <c r="AJ189">
        <v>257</v>
      </c>
      <c r="AK189">
        <v>0</v>
      </c>
      <c r="AL189">
        <v>0</v>
      </c>
      <c r="AM189">
        <v>0</v>
      </c>
      <c r="AN189">
        <v>0</v>
      </c>
      <c r="AO189">
        <v>0</v>
      </c>
      <c r="AP189">
        <v>0</v>
      </c>
      <c r="AQ189">
        <v>0</v>
      </c>
      <c r="AR189">
        <v>0</v>
      </c>
    </row>
    <row r="190" spans="1:44" x14ac:dyDescent="0.2">
      <c r="A190">
        <f>ROW(Source!A223)</f>
        <v>223</v>
      </c>
      <c r="B190">
        <v>86327532</v>
      </c>
      <c r="C190">
        <v>86327526</v>
      </c>
      <c r="D190">
        <v>10844892</v>
      </c>
      <c r="E190">
        <v>1</v>
      </c>
      <c r="F190">
        <v>1</v>
      </c>
      <c r="G190">
        <v>1</v>
      </c>
      <c r="H190">
        <v>2</v>
      </c>
      <c r="I190" t="s">
        <v>657</v>
      </c>
      <c r="J190" t="s">
        <v>658</v>
      </c>
      <c r="K190" t="s">
        <v>659</v>
      </c>
      <c r="L190">
        <v>1480</v>
      </c>
      <c r="N190">
        <v>1013</v>
      </c>
      <c r="O190" t="s">
        <v>660</v>
      </c>
      <c r="P190" t="s">
        <v>661</v>
      </c>
      <c r="Q190">
        <v>1</v>
      </c>
      <c r="X190">
        <v>3.56</v>
      </c>
      <c r="Y190">
        <v>0</v>
      </c>
      <c r="Z190">
        <v>52.5</v>
      </c>
      <c r="AA190">
        <v>0</v>
      </c>
      <c r="AB190">
        <v>0</v>
      </c>
      <c r="AC190">
        <v>0</v>
      </c>
      <c r="AD190">
        <v>1</v>
      </c>
      <c r="AE190">
        <v>0</v>
      </c>
      <c r="AF190" t="s">
        <v>6</v>
      </c>
      <c r="AG190">
        <v>3.56</v>
      </c>
      <c r="AH190">
        <v>2</v>
      </c>
      <c r="AI190">
        <v>86327528</v>
      </c>
      <c r="AJ190">
        <v>258</v>
      </c>
      <c r="AK190">
        <v>0</v>
      </c>
      <c r="AL190">
        <v>0</v>
      </c>
      <c r="AM190">
        <v>0</v>
      </c>
      <c r="AN190">
        <v>0</v>
      </c>
      <c r="AO190">
        <v>0</v>
      </c>
      <c r="AP190">
        <v>0</v>
      </c>
      <c r="AQ190">
        <v>0</v>
      </c>
      <c r="AR190">
        <v>0</v>
      </c>
    </row>
    <row r="191" spans="1:44" x14ac:dyDescent="0.2">
      <c r="A191">
        <f>ROW(Source!A223)</f>
        <v>223</v>
      </c>
      <c r="B191">
        <v>86327533</v>
      </c>
      <c r="C191">
        <v>86327526</v>
      </c>
      <c r="D191">
        <v>10843192</v>
      </c>
      <c r="E191">
        <v>1</v>
      </c>
      <c r="F191">
        <v>1</v>
      </c>
      <c r="G191">
        <v>1</v>
      </c>
      <c r="H191">
        <v>2</v>
      </c>
      <c r="I191" t="s">
        <v>637</v>
      </c>
      <c r="J191" t="s">
        <v>662</v>
      </c>
      <c r="K191" t="s">
        <v>663</v>
      </c>
      <c r="L191">
        <v>1480</v>
      </c>
      <c r="N191">
        <v>1013</v>
      </c>
      <c r="O191" t="s">
        <v>660</v>
      </c>
      <c r="P191" t="s">
        <v>661</v>
      </c>
      <c r="Q191">
        <v>1</v>
      </c>
      <c r="X191">
        <v>0.1</v>
      </c>
      <c r="Y191">
        <v>0</v>
      </c>
      <c r="Z191">
        <v>85.94</v>
      </c>
      <c r="AA191">
        <v>0</v>
      </c>
      <c r="AB191">
        <v>0</v>
      </c>
      <c r="AC191">
        <v>0</v>
      </c>
      <c r="AD191">
        <v>1</v>
      </c>
      <c r="AE191">
        <v>0</v>
      </c>
      <c r="AF191" t="s">
        <v>6</v>
      </c>
      <c r="AG191">
        <v>0.1</v>
      </c>
      <c r="AH191">
        <v>2</v>
      </c>
      <c r="AI191">
        <v>86327529</v>
      </c>
      <c r="AJ191">
        <v>259</v>
      </c>
      <c r="AK191">
        <v>0</v>
      </c>
      <c r="AL191">
        <v>0</v>
      </c>
      <c r="AM191">
        <v>0</v>
      </c>
      <c r="AN191">
        <v>0</v>
      </c>
      <c r="AO191">
        <v>0</v>
      </c>
      <c r="AP191">
        <v>0</v>
      </c>
      <c r="AQ191">
        <v>0</v>
      </c>
      <c r="AR191">
        <v>0</v>
      </c>
    </row>
    <row r="192" spans="1:44" x14ac:dyDescent="0.2">
      <c r="A192">
        <f>ROW(Source!A223)</f>
        <v>223</v>
      </c>
      <c r="B192">
        <v>86327534</v>
      </c>
      <c r="C192">
        <v>86327526</v>
      </c>
      <c r="D192">
        <v>35898580</v>
      </c>
      <c r="E192">
        <v>1</v>
      </c>
      <c r="F192">
        <v>1</v>
      </c>
      <c r="G192">
        <v>1</v>
      </c>
      <c r="H192">
        <v>3</v>
      </c>
      <c r="I192" t="s">
        <v>729</v>
      </c>
      <c r="J192" t="s">
        <v>730</v>
      </c>
      <c r="K192" t="s">
        <v>731</v>
      </c>
      <c r="L192">
        <v>1346</v>
      </c>
      <c r="N192">
        <v>1009</v>
      </c>
      <c r="O192" t="s">
        <v>305</v>
      </c>
      <c r="P192" t="s">
        <v>305</v>
      </c>
      <c r="Q192">
        <v>1</v>
      </c>
      <c r="X192">
        <v>28.37</v>
      </c>
      <c r="Y192">
        <v>18.73</v>
      </c>
      <c r="Z192">
        <v>0</v>
      </c>
      <c r="AA192">
        <v>0</v>
      </c>
      <c r="AB192">
        <v>0</v>
      </c>
      <c r="AC192">
        <v>0</v>
      </c>
      <c r="AD192">
        <v>1</v>
      </c>
      <c r="AE192">
        <v>0</v>
      </c>
      <c r="AF192" t="s">
        <v>6</v>
      </c>
      <c r="AG192">
        <v>28.37</v>
      </c>
      <c r="AH192">
        <v>3</v>
      </c>
      <c r="AI192">
        <v>-1</v>
      </c>
      <c r="AJ192" t="s">
        <v>6</v>
      </c>
      <c r="AK192">
        <v>4</v>
      </c>
      <c r="AL192">
        <v>-531.37009999999998</v>
      </c>
      <c r="AM192">
        <v>0</v>
      </c>
      <c r="AN192">
        <v>0</v>
      </c>
      <c r="AO192">
        <v>0</v>
      </c>
      <c r="AP192">
        <v>0</v>
      </c>
      <c r="AQ192">
        <v>0</v>
      </c>
      <c r="AR192">
        <v>1</v>
      </c>
    </row>
    <row r="193" spans="1:44" x14ac:dyDescent="0.2">
      <c r="A193">
        <f>ROW(Source!A224)</f>
        <v>224</v>
      </c>
      <c r="B193">
        <v>86327531</v>
      </c>
      <c r="C193">
        <v>86327526</v>
      </c>
      <c r="D193">
        <v>5510985</v>
      </c>
      <c r="E193">
        <v>1</v>
      </c>
      <c r="F193">
        <v>1</v>
      </c>
      <c r="G193">
        <v>1</v>
      </c>
      <c r="H193">
        <v>1</v>
      </c>
      <c r="I193" t="s">
        <v>655</v>
      </c>
      <c r="J193" t="s">
        <v>6</v>
      </c>
      <c r="K193" t="s">
        <v>656</v>
      </c>
      <c r="L193">
        <v>1369</v>
      </c>
      <c r="N193">
        <v>1013</v>
      </c>
      <c r="O193" t="s">
        <v>625</v>
      </c>
      <c r="P193" t="s">
        <v>625</v>
      </c>
      <c r="Q193">
        <v>1</v>
      </c>
      <c r="X193">
        <v>9.86</v>
      </c>
      <c r="Y193">
        <v>0</v>
      </c>
      <c r="Z193">
        <v>0</v>
      </c>
      <c r="AA193">
        <v>0</v>
      </c>
      <c r="AB193">
        <v>9.6</v>
      </c>
      <c r="AC193">
        <v>0</v>
      </c>
      <c r="AD193">
        <v>1</v>
      </c>
      <c r="AE193">
        <v>1</v>
      </c>
      <c r="AF193" t="s">
        <v>6</v>
      </c>
      <c r="AG193">
        <v>9.86</v>
      </c>
      <c r="AH193">
        <v>2</v>
      </c>
      <c r="AI193">
        <v>86327527</v>
      </c>
      <c r="AJ193">
        <v>261</v>
      </c>
      <c r="AK193">
        <v>0</v>
      </c>
      <c r="AL193">
        <v>0</v>
      </c>
      <c r="AM193">
        <v>0</v>
      </c>
      <c r="AN193">
        <v>0</v>
      </c>
      <c r="AO193">
        <v>0</v>
      </c>
      <c r="AP193">
        <v>0</v>
      </c>
      <c r="AQ193">
        <v>0</v>
      </c>
      <c r="AR193">
        <v>0</v>
      </c>
    </row>
    <row r="194" spans="1:44" x14ac:dyDescent="0.2">
      <c r="A194">
        <f>ROW(Source!A224)</f>
        <v>224</v>
      </c>
      <c r="B194">
        <v>86327532</v>
      </c>
      <c r="C194">
        <v>86327526</v>
      </c>
      <c r="D194">
        <v>10844892</v>
      </c>
      <c r="E194">
        <v>1</v>
      </c>
      <c r="F194">
        <v>1</v>
      </c>
      <c r="G194">
        <v>1</v>
      </c>
      <c r="H194">
        <v>2</v>
      </c>
      <c r="I194" t="s">
        <v>657</v>
      </c>
      <c r="J194" t="s">
        <v>658</v>
      </c>
      <c r="K194" t="s">
        <v>659</v>
      </c>
      <c r="L194">
        <v>1480</v>
      </c>
      <c r="N194">
        <v>1013</v>
      </c>
      <c r="O194" t="s">
        <v>660</v>
      </c>
      <c r="P194" t="s">
        <v>661</v>
      </c>
      <c r="Q194">
        <v>1</v>
      </c>
      <c r="X194">
        <v>3.56</v>
      </c>
      <c r="Y194">
        <v>0</v>
      </c>
      <c r="Z194">
        <v>52.5</v>
      </c>
      <c r="AA194">
        <v>0</v>
      </c>
      <c r="AB194">
        <v>0</v>
      </c>
      <c r="AC194">
        <v>0</v>
      </c>
      <c r="AD194">
        <v>1</v>
      </c>
      <c r="AE194">
        <v>0</v>
      </c>
      <c r="AF194" t="s">
        <v>6</v>
      </c>
      <c r="AG194">
        <v>3.56</v>
      </c>
      <c r="AH194">
        <v>2</v>
      </c>
      <c r="AI194">
        <v>86327528</v>
      </c>
      <c r="AJ194">
        <v>262</v>
      </c>
      <c r="AK194">
        <v>0</v>
      </c>
      <c r="AL194">
        <v>0</v>
      </c>
      <c r="AM194">
        <v>0</v>
      </c>
      <c r="AN194">
        <v>0</v>
      </c>
      <c r="AO194">
        <v>0</v>
      </c>
      <c r="AP194">
        <v>0</v>
      </c>
      <c r="AQ194">
        <v>0</v>
      </c>
      <c r="AR194">
        <v>0</v>
      </c>
    </row>
    <row r="195" spans="1:44" x14ac:dyDescent="0.2">
      <c r="A195">
        <f>ROW(Source!A224)</f>
        <v>224</v>
      </c>
      <c r="B195">
        <v>86327533</v>
      </c>
      <c r="C195">
        <v>86327526</v>
      </c>
      <c r="D195">
        <v>10843192</v>
      </c>
      <c r="E195">
        <v>1</v>
      </c>
      <c r="F195">
        <v>1</v>
      </c>
      <c r="G195">
        <v>1</v>
      </c>
      <c r="H195">
        <v>2</v>
      </c>
      <c r="I195" t="s">
        <v>637</v>
      </c>
      <c r="J195" t="s">
        <v>662</v>
      </c>
      <c r="K195" t="s">
        <v>663</v>
      </c>
      <c r="L195">
        <v>1480</v>
      </c>
      <c r="N195">
        <v>1013</v>
      </c>
      <c r="O195" t="s">
        <v>660</v>
      </c>
      <c r="P195" t="s">
        <v>661</v>
      </c>
      <c r="Q195">
        <v>1</v>
      </c>
      <c r="X195">
        <v>0.1</v>
      </c>
      <c r="Y195">
        <v>0</v>
      </c>
      <c r="Z195">
        <v>85.94</v>
      </c>
      <c r="AA195">
        <v>0</v>
      </c>
      <c r="AB195">
        <v>0</v>
      </c>
      <c r="AC195">
        <v>0</v>
      </c>
      <c r="AD195">
        <v>1</v>
      </c>
      <c r="AE195">
        <v>0</v>
      </c>
      <c r="AF195" t="s">
        <v>6</v>
      </c>
      <c r="AG195">
        <v>0.1</v>
      </c>
      <c r="AH195">
        <v>2</v>
      </c>
      <c r="AI195">
        <v>86327529</v>
      </c>
      <c r="AJ195">
        <v>263</v>
      </c>
      <c r="AK195">
        <v>0</v>
      </c>
      <c r="AL195">
        <v>0</v>
      </c>
      <c r="AM195">
        <v>0</v>
      </c>
      <c r="AN195">
        <v>0</v>
      </c>
      <c r="AO195">
        <v>0</v>
      </c>
      <c r="AP195">
        <v>0</v>
      </c>
      <c r="AQ195">
        <v>0</v>
      </c>
      <c r="AR195">
        <v>0</v>
      </c>
    </row>
    <row r="196" spans="1:44" x14ac:dyDescent="0.2">
      <c r="A196">
        <f>ROW(Source!A224)</f>
        <v>224</v>
      </c>
      <c r="B196">
        <v>86327534</v>
      </c>
      <c r="C196">
        <v>86327526</v>
      </c>
      <c r="D196">
        <v>35898580</v>
      </c>
      <c r="E196">
        <v>1</v>
      </c>
      <c r="F196">
        <v>1</v>
      </c>
      <c r="G196">
        <v>1</v>
      </c>
      <c r="H196">
        <v>3</v>
      </c>
      <c r="I196" t="s">
        <v>729</v>
      </c>
      <c r="J196" t="s">
        <v>730</v>
      </c>
      <c r="K196" t="s">
        <v>731</v>
      </c>
      <c r="L196">
        <v>1346</v>
      </c>
      <c r="N196">
        <v>1009</v>
      </c>
      <c r="O196" t="s">
        <v>305</v>
      </c>
      <c r="P196" t="s">
        <v>305</v>
      </c>
      <c r="Q196">
        <v>1</v>
      </c>
      <c r="X196">
        <v>28.37</v>
      </c>
      <c r="Y196">
        <v>18.73</v>
      </c>
      <c r="Z196">
        <v>0</v>
      </c>
      <c r="AA196">
        <v>0</v>
      </c>
      <c r="AB196">
        <v>0</v>
      </c>
      <c r="AC196">
        <v>0</v>
      </c>
      <c r="AD196">
        <v>1</v>
      </c>
      <c r="AE196">
        <v>0</v>
      </c>
      <c r="AF196" t="s">
        <v>6</v>
      </c>
      <c r="AG196">
        <v>28.37</v>
      </c>
      <c r="AH196">
        <v>3</v>
      </c>
      <c r="AI196">
        <v>-1</v>
      </c>
      <c r="AJ196" t="s">
        <v>6</v>
      </c>
      <c r="AK196">
        <v>4</v>
      </c>
      <c r="AL196">
        <v>-531.37009999999998</v>
      </c>
      <c r="AM196">
        <v>0</v>
      </c>
      <c r="AN196">
        <v>0</v>
      </c>
      <c r="AO196">
        <v>0</v>
      </c>
      <c r="AP196">
        <v>0</v>
      </c>
      <c r="AQ196">
        <v>0</v>
      </c>
      <c r="AR196">
        <v>1</v>
      </c>
    </row>
    <row r="197" spans="1:44" x14ac:dyDescent="0.2">
      <c r="A197">
        <f>ROW(Source!A227)</f>
        <v>227</v>
      </c>
      <c r="B197">
        <v>86327547</v>
      </c>
      <c r="C197">
        <v>86327536</v>
      </c>
      <c r="D197">
        <v>27683434</v>
      </c>
      <c r="E197">
        <v>1</v>
      </c>
      <c r="F197">
        <v>1</v>
      </c>
      <c r="G197">
        <v>1</v>
      </c>
      <c r="H197">
        <v>1</v>
      </c>
      <c r="I197" t="s">
        <v>664</v>
      </c>
      <c r="J197" t="s">
        <v>6</v>
      </c>
      <c r="K197" t="s">
        <v>665</v>
      </c>
      <c r="L197">
        <v>1369</v>
      </c>
      <c r="N197">
        <v>1013</v>
      </c>
      <c r="O197" t="s">
        <v>625</v>
      </c>
      <c r="P197" t="s">
        <v>625</v>
      </c>
      <c r="Q197">
        <v>1</v>
      </c>
      <c r="X197">
        <v>15.28</v>
      </c>
      <c r="Y197">
        <v>0</v>
      </c>
      <c r="Z197">
        <v>0</v>
      </c>
      <c r="AA197">
        <v>0</v>
      </c>
      <c r="AB197">
        <v>9.48</v>
      </c>
      <c r="AC197">
        <v>0</v>
      </c>
      <c r="AD197">
        <v>1</v>
      </c>
      <c r="AE197">
        <v>1</v>
      </c>
      <c r="AF197" t="s">
        <v>6</v>
      </c>
      <c r="AG197">
        <v>15.28</v>
      </c>
      <c r="AH197">
        <v>2</v>
      </c>
      <c r="AI197">
        <v>86327537</v>
      </c>
      <c r="AJ197">
        <v>265</v>
      </c>
      <c r="AK197">
        <v>0</v>
      </c>
      <c r="AL197">
        <v>0</v>
      </c>
      <c r="AM197">
        <v>0</v>
      </c>
      <c r="AN197">
        <v>0</v>
      </c>
      <c r="AO197">
        <v>0</v>
      </c>
      <c r="AP197">
        <v>0</v>
      </c>
      <c r="AQ197">
        <v>0</v>
      </c>
      <c r="AR197">
        <v>0</v>
      </c>
    </row>
    <row r="198" spans="1:44" x14ac:dyDescent="0.2">
      <c r="A198">
        <f>ROW(Source!A227)</f>
        <v>227</v>
      </c>
      <c r="B198">
        <v>86327548</v>
      </c>
      <c r="C198">
        <v>86327536</v>
      </c>
      <c r="D198">
        <v>121548</v>
      </c>
      <c r="E198">
        <v>1</v>
      </c>
      <c r="F198">
        <v>1</v>
      </c>
      <c r="G198">
        <v>1</v>
      </c>
      <c r="H198">
        <v>1</v>
      </c>
      <c r="I198" t="s">
        <v>40</v>
      </c>
      <c r="J198" t="s">
        <v>6</v>
      </c>
      <c r="K198" t="s">
        <v>626</v>
      </c>
      <c r="L198">
        <v>608254</v>
      </c>
      <c r="N198">
        <v>1013</v>
      </c>
      <c r="O198" t="s">
        <v>627</v>
      </c>
      <c r="P198" t="s">
        <v>627</v>
      </c>
      <c r="Q198">
        <v>1</v>
      </c>
      <c r="X198">
        <v>0.09</v>
      </c>
      <c r="Y198">
        <v>0</v>
      </c>
      <c r="Z198">
        <v>0</v>
      </c>
      <c r="AA198">
        <v>0</v>
      </c>
      <c r="AB198">
        <v>0</v>
      </c>
      <c r="AC198">
        <v>0</v>
      </c>
      <c r="AD198">
        <v>1</v>
      </c>
      <c r="AE198">
        <v>2</v>
      </c>
      <c r="AF198" t="s">
        <v>6</v>
      </c>
      <c r="AG198">
        <v>0.09</v>
      </c>
      <c r="AH198">
        <v>2</v>
      </c>
      <c r="AI198">
        <v>86327538</v>
      </c>
      <c r="AJ198">
        <v>266</v>
      </c>
      <c r="AK198">
        <v>0</v>
      </c>
      <c r="AL198">
        <v>0</v>
      </c>
      <c r="AM198">
        <v>0</v>
      </c>
      <c r="AN198">
        <v>0</v>
      </c>
      <c r="AO198">
        <v>0</v>
      </c>
      <c r="AP198">
        <v>0</v>
      </c>
      <c r="AQ198">
        <v>0</v>
      </c>
      <c r="AR198">
        <v>0</v>
      </c>
    </row>
    <row r="199" spans="1:44" x14ac:dyDescent="0.2">
      <c r="A199">
        <f>ROW(Source!A227)</f>
        <v>227</v>
      </c>
      <c r="B199">
        <v>86327549</v>
      </c>
      <c r="C199">
        <v>86327536</v>
      </c>
      <c r="D199">
        <v>27439488</v>
      </c>
      <c r="E199">
        <v>1</v>
      </c>
      <c r="F199">
        <v>1</v>
      </c>
      <c r="G199">
        <v>1</v>
      </c>
      <c r="H199">
        <v>2</v>
      </c>
      <c r="I199" t="s">
        <v>666</v>
      </c>
      <c r="J199" t="s">
        <v>667</v>
      </c>
      <c r="K199" t="s">
        <v>668</v>
      </c>
      <c r="L199">
        <v>1368</v>
      </c>
      <c r="N199">
        <v>1011</v>
      </c>
      <c r="O199" t="s">
        <v>137</v>
      </c>
      <c r="P199" t="s">
        <v>137</v>
      </c>
      <c r="Q199">
        <v>1</v>
      </c>
      <c r="X199">
        <v>0.09</v>
      </c>
      <c r="Y199">
        <v>0</v>
      </c>
      <c r="Z199">
        <v>113.81</v>
      </c>
      <c r="AA199">
        <v>13.61</v>
      </c>
      <c r="AB199">
        <v>0</v>
      </c>
      <c r="AC199">
        <v>0</v>
      </c>
      <c r="AD199">
        <v>1</v>
      </c>
      <c r="AE199">
        <v>0</v>
      </c>
      <c r="AF199" t="s">
        <v>6</v>
      </c>
      <c r="AG199">
        <v>0.09</v>
      </c>
      <c r="AH199">
        <v>2</v>
      </c>
      <c r="AI199">
        <v>86327539</v>
      </c>
      <c r="AJ199">
        <v>267</v>
      </c>
      <c r="AK199">
        <v>0</v>
      </c>
      <c r="AL199">
        <v>0</v>
      </c>
      <c r="AM199">
        <v>0</v>
      </c>
      <c r="AN199">
        <v>0</v>
      </c>
      <c r="AO199">
        <v>0</v>
      </c>
      <c r="AP199">
        <v>0</v>
      </c>
      <c r="AQ199">
        <v>0</v>
      </c>
      <c r="AR199">
        <v>0</v>
      </c>
    </row>
    <row r="200" spans="1:44" x14ac:dyDescent="0.2">
      <c r="A200">
        <f>ROW(Source!A227)</f>
        <v>227</v>
      </c>
      <c r="B200">
        <v>86327550</v>
      </c>
      <c r="C200">
        <v>86327536</v>
      </c>
      <c r="D200">
        <v>27441078</v>
      </c>
      <c r="E200">
        <v>1</v>
      </c>
      <c r="F200">
        <v>1</v>
      </c>
      <c r="G200">
        <v>1</v>
      </c>
      <c r="H200">
        <v>2</v>
      </c>
      <c r="I200" t="s">
        <v>669</v>
      </c>
      <c r="J200" t="s">
        <v>670</v>
      </c>
      <c r="K200" t="s">
        <v>671</v>
      </c>
      <c r="L200">
        <v>1368</v>
      </c>
      <c r="N200">
        <v>1011</v>
      </c>
      <c r="O200" t="s">
        <v>137</v>
      </c>
      <c r="P200" t="s">
        <v>137</v>
      </c>
      <c r="Q200">
        <v>1</v>
      </c>
      <c r="X200">
        <v>2.35</v>
      </c>
      <c r="Y200">
        <v>0</v>
      </c>
      <c r="Z200">
        <v>2.0699999999999998</v>
      </c>
      <c r="AA200">
        <v>0</v>
      </c>
      <c r="AB200">
        <v>0</v>
      </c>
      <c r="AC200">
        <v>0</v>
      </c>
      <c r="AD200">
        <v>1</v>
      </c>
      <c r="AE200">
        <v>0</v>
      </c>
      <c r="AF200" t="s">
        <v>6</v>
      </c>
      <c r="AG200">
        <v>2.35</v>
      </c>
      <c r="AH200">
        <v>2</v>
      </c>
      <c r="AI200">
        <v>86327540</v>
      </c>
      <c r="AJ200">
        <v>268</v>
      </c>
      <c r="AK200">
        <v>0</v>
      </c>
      <c r="AL200">
        <v>0</v>
      </c>
      <c r="AM200">
        <v>0</v>
      </c>
      <c r="AN200">
        <v>0</v>
      </c>
      <c r="AO200">
        <v>0</v>
      </c>
      <c r="AP200">
        <v>0</v>
      </c>
      <c r="AQ200">
        <v>0</v>
      </c>
      <c r="AR200">
        <v>0</v>
      </c>
    </row>
    <row r="201" spans="1:44" x14ac:dyDescent="0.2">
      <c r="A201">
        <f>ROW(Source!A227)</f>
        <v>227</v>
      </c>
      <c r="B201">
        <v>86327551</v>
      </c>
      <c r="C201">
        <v>86327536</v>
      </c>
      <c r="D201">
        <v>27441327</v>
      </c>
      <c r="E201">
        <v>1</v>
      </c>
      <c r="F201">
        <v>1</v>
      </c>
      <c r="G201">
        <v>1</v>
      </c>
      <c r="H201">
        <v>2</v>
      </c>
      <c r="I201" t="s">
        <v>637</v>
      </c>
      <c r="J201" t="s">
        <v>638</v>
      </c>
      <c r="K201" t="s">
        <v>639</v>
      </c>
      <c r="L201">
        <v>1368</v>
      </c>
      <c r="N201">
        <v>1011</v>
      </c>
      <c r="O201" t="s">
        <v>137</v>
      </c>
      <c r="P201" t="s">
        <v>137</v>
      </c>
      <c r="Q201">
        <v>1</v>
      </c>
      <c r="X201">
        <v>0.09</v>
      </c>
      <c r="Y201">
        <v>0</v>
      </c>
      <c r="Z201">
        <v>93.37</v>
      </c>
      <c r="AA201">
        <v>11.69</v>
      </c>
      <c r="AB201">
        <v>0</v>
      </c>
      <c r="AC201">
        <v>0</v>
      </c>
      <c r="AD201">
        <v>1</v>
      </c>
      <c r="AE201">
        <v>0</v>
      </c>
      <c r="AF201" t="s">
        <v>6</v>
      </c>
      <c r="AG201">
        <v>0.09</v>
      </c>
      <c r="AH201">
        <v>2</v>
      </c>
      <c r="AI201">
        <v>86327541</v>
      </c>
      <c r="AJ201">
        <v>269</v>
      </c>
      <c r="AK201">
        <v>0</v>
      </c>
      <c r="AL201">
        <v>0</v>
      </c>
      <c r="AM201">
        <v>0</v>
      </c>
      <c r="AN201">
        <v>0</v>
      </c>
      <c r="AO201">
        <v>0</v>
      </c>
      <c r="AP201">
        <v>0</v>
      </c>
      <c r="AQ201">
        <v>0</v>
      </c>
      <c r="AR201">
        <v>0</v>
      </c>
    </row>
    <row r="202" spans="1:44" x14ac:dyDescent="0.2">
      <c r="A202">
        <f>ROW(Source!A227)</f>
        <v>227</v>
      </c>
      <c r="B202">
        <v>86327552</v>
      </c>
      <c r="C202">
        <v>86327536</v>
      </c>
      <c r="D202">
        <v>27386613</v>
      </c>
      <c r="E202">
        <v>1</v>
      </c>
      <c r="F202">
        <v>1</v>
      </c>
      <c r="G202">
        <v>1</v>
      </c>
      <c r="H202">
        <v>3</v>
      </c>
      <c r="I202" t="s">
        <v>732</v>
      </c>
      <c r="J202" t="s">
        <v>733</v>
      </c>
      <c r="K202" t="s">
        <v>734</v>
      </c>
      <c r="L202">
        <v>1346</v>
      </c>
      <c r="N202">
        <v>1009</v>
      </c>
      <c r="O202" t="s">
        <v>305</v>
      </c>
      <c r="P202" t="s">
        <v>305</v>
      </c>
      <c r="Q202">
        <v>1</v>
      </c>
      <c r="X202">
        <v>0.2</v>
      </c>
      <c r="Y202">
        <v>25.8</v>
      </c>
      <c r="Z202">
        <v>0</v>
      </c>
      <c r="AA202">
        <v>0</v>
      </c>
      <c r="AB202">
        <v>0</v>
      </c>
      <c r="AC202">
        <v>0</v>
      </c>
      <c r="AD202">
        <v>1</v>
      </c>
      <c r="AE202">
        <v>0</v>
      </c>
      <c r="AF202" t="s">
        <v>6</v>
      </c>
      <c r="AG202">
        <v>0.2</v>
      </c>
      <c r="AH202">
        <v>3</v>
      </c>
      <c r="AI202">
        <v>-1</v>
      </c>
      <c r="AJ202" t="s">
        <v>6</v>
      </c>
      <c r="AK202">
        <v>4</v>
      </c>
      <c r="AL202">
        <v>-5.16</v>
      </c>
      <c r="AM202">
        <v>0</v>
      </c>
      <c r="AN202">
        <v>0</v>
      </c>
      <c r="AO202">
        <v>0</v>
      </c>
      <c r="AP202">
        <v>0</v>
      </c>
      <c r="AQ202">
        <v>0</v>
      </c>
      <c r="AR202">
        <v>1</v>
      </c>
    </row>
    <row r="203" spans="1:44" x14ac:dyDescent="0.2">
      <c r="A203">
        <f>ROW(Source!A227)</f>
        <v>227</v>
      </c>
      <c r="B203">
        <v>86327553</v>
      </c>
      <c r="C203">
        <v>86327536</v>
      </c>
      <c r="D203">
        <v>27407706</v>
      </c>
      <c r="E203">
        <v>1</v>
      </c>
      <c r="F203">
        <v>1</v>
      </c>
      <c r="G203">
        <v>1</v>
      </c>
      <c r="H203">
        <v>3</v>
      </c>
      <c r="I203" t="s">
        <v>735</v>
      </c>
      <c r="J203" t="s">
        <v>736</v>
      </c>
      <c r="K203" t="s">
        <v>737</v>
      </c>
      <c r="L203">
        <v>1339</v>
      </c>
      <c r="N203">
        <v>1007</v>
      </c>
      <c r="O203" t="s">
        <v>44</v>
      </c>
      <c r="P203" t="s">
        <v>44</v>
      </c>
      <c r="Q203">
        <v>1</v>
      </c>
      <c r="X203">
        <v>2.1000000000000001E-2</v>
      </c>
      <c r="Y203">
        <v>528.35</v>
      </c>
      <c r="Z203">
        <v>0</v>
      </c>
      <c r="AA203">
        <v>0</v>
      </c>
      <c r="AB203">
        <v>0</v>
      </c>
      <c r="AC203">
        <v>0</v>
      </c>
      <c r="AD203">
        <v>1</v>
      </c>
      <c r="AE203">
        <v>0</v>
      </c>
      <c r="AF203" t="s">
        <v>6</v>
      </c>
      <c r="AG203">
        <v>2.1000000000000001E-2</v>
      </c>
      <c r="AH203">
        <v>3</v>
      </c>
      <c r="AI203">
        <v>-1</v>
      </c>
      <c r="AJ203" t="s">
        <v>6</v>
      </c>
      <c r="AK203">
        <v>4</v>
      </c>
      <c r="AL203">
        <v>-11.095350000000002</v>
      </c>
      <c r="AM203">
        <v>0</v>
      </c>
      <c r="AN203">
        <v>0</v>
      </c>
      <c r="AO203">
        <v>0</v>
      </c>
      <c r="AP203">
        <v>0</v>
      </c>
      <c r="AQ203">
        <v>0</v>
      </c>
      <c r="AR203">
        <v>1</v>
      </c>
    </row>
    <row r="204" spans="1:44" x14ac:dyDescent="0.2">
      <c r="A204">
        <f>ROW(Source!A227)</f>
        <v>227</v>
      </c>
      <c r="B204">
        <v>86327554</v>
      </c>
      <c r="C204">
        <v>86327536</v>
      </c>
      <c r="D204">
        <v>27438980</v>
      </c>
      <c r="E204">
        <v>1</v>
      </c>
      <c r="F204">
        <v>1</v>
      </c>
      <c r="G204">
        <v>1</v>
      </c>
      <c r="H204">
        <v>3</v>
      </c>
      <c r="I204" t="s">
        <v>738</v>
      </c>
      <c r="J204" t="s">
        <v>739</v>
      </c>
      <c r="K204" t="s">
        <v>740</v>
      </c>
      <c r="L204">
        <v>1374</v>
      </c>
      <c r="N204">
        <v>1013</v>
      </c>
      <c r="O204" t="s">
        <v>741</v>
      </c>
      <c r="P204" t="s">
        <v>741</v>
      </c>
      <c r="Q204">
        <v>1</v>
      </c>
      <c r="X204">
        <v>2.9</v>
      </c>
      <c r="Y204">
        <v>1</v>
      </c>
      <c r="Z204">
        <v>0</v>
      </c>
      <c r="AA204">
        <v>0</v>
      </c>
      <c r="AB204">
        <v>0</v>
      </c>
      <c r="AC204">
        <v>0</v>
      </c>
      <c r="AD204">
        <v>1</v>
      </c>
      <c r="AE204">
        <v>0</v>
      </c>
      <c r="AF204" t="s">
        <v>6</v>
      </c>
      <c r="AG204">
        <v>2.9</v>
      </c>
      <c r="AH204">
        <v>3</v>
      </c>
      <c r="AI204">
        <v>-1</v>
      </c>
      <c r="AJ204" t="s">
        <v>6</v>
      </c>
      <c r="AK204">
        <v>4</v>
      </c>
      <c r="AL204">
        <v>-2.9</v>
      </c>
      <c r="AM204">
        <v>0</v>
      </c>
      <c r="AN204">
        <v>0</v>
      </c>
      <c r="AO204">
        <v>0</v>
      </c>
      <c r="AP204">
        <v>0</v>
      </c>
      <c r="AQ204">
        <v>0</v>
      </c>
      <c r="AR204">
        <v>1</v>
      </c>
    </row>
    <row r="205" spans="1:44" x14ac:dyDescent="0.2">
      <c r="A205">
        <f>ROW(Source!A228)</f>
        <v>228</v>
      </c>
      <c r="B205">
        <v>86327547</v>
      </c>
      <c r="C205">
        <v>86327536</v>
      </c>
      <c r="D205">
        <v>27683434</v>
      </c>
      <c r="E205">
        <v>1</v>
      </c>
      <c r="F205">
        <v>1</v>
      </c>
      <c r="G205">
        <v>1</v>
      </c>
      <c r="H205">
        <v>1</v>
      </c>
      <c r="I205" t="s">
        <v>664</v>
      </c>
      <c r="J205" t="s">
        <v>6</v>
      </c>
      <c r="K205" t="s">
        <v>665</v>
      </c>
      <c r="L205">
        <v>1369</v>
      </c>
      <c r="N205">
        <v>1013</v>
      </c>
      <c r="O205" t="s">
        <v>625</v>
      </c>
      <c r="P205" t="s">
        <v>625</v>
      </c>
      <c r="Q205">
        <v>1</v>
      </c>
      <c r="X205">
        <v>15.28</v>
      </c>
      <c r="Y205">
        <v>0</v>
      </c>
      <c r="Z205">
        <v>0</v>
      </c>
      <c r="AA205">
        <v>0</v>
      </c>
      <c r="AB205">
        <v>9.48</v>
      </c>
      <c r="AC205">
        <v>0</v>
      </c>
      <c r="AD205">
        <v>1</v>
      </c>
      <c r="AE205">
        <v>1</v>
      </c>
      <c r="AF205" t="s">
        <v>6</v>
      </c>
      <c r="AG205">
        <v>15.28</v>
      </c>
      <c r="AH205">
        <v>2</v>
      </c>
      <c r="AI205">
        <v>86327537</v>
      </c>
      <c r="AJ205">
        <v>275</v>
      </c>
      <c r="AK205">
        <v>0</v>
      </c>
      <c r="AL205">
        <v>0</v>
      </c>
      <c r="AM205">
        <v>0</v>
      </c>
      <c r="AN205">
        <v>0</v>
      </c>
      <c r="AO205">
        <v>0</v>
      </c>
      <c r="AP205">
        <v>0</v>
      </c>
      <c r="AQ205">
        <v>0</v>
      </c>
      <c r="AR205">
        <v>0</v>
      </c>
    </row>
    <row r="206" spans="1:44" x14ac:dyDescent="0.2">
      <c r="A206">
        <f>ROW(Source!A228)</f>
        <v>228</v>
      </c>
      <c r="B206">
        <v>86327548</v>
      </c>
      <c r="C206">
        <v>86327536</v>
      </c>
      <c r="D206">
        <v>121548</v>
      </c>
      <c r="E206">
        <v>1</v>
      </c>
      <c r="F206">
        <v>1</v>
      </c>
      <c r="G206">
        <v>1</v>
      </c>
      <c r="H206">
        <v>1</v>
      </c>
      <c r="I206" t="s">
        <v>40</v>
      </c>
      <c r="J206" t="s">
        <v>6</v>
      </c>
      <c r="K206" t="s">
        <v>626</v>
      </c>
      <c r="L206">
        <v>608254</v>
      </c>
      <c r="N206">
        <v>1013</v>
      </c>
      <c r="O206" t="s">
        <v>627</v>
      </c>
      <c r="P206" t="s">
        <v>627</v>
      </c>
      <c r="Q206">
        <v>1</v>
      </c>
      <c r="X206">
        <v>0.09</v>
      </c>
      <c r="Y206">
        <v>0</v>
      </c>
      <c r="Z206">
        <v>0</v>
      </c>
      <c r="AA206">
        <v>0</v>
      </c>
      <c r="AB206">
        <v>0</v>
      </c>
      <c r="AC206">
        <v>0</v>
      </c>
      <c r="AD206">
        <v>1</v>
      </c>
      <c r="AE206">
        <v>2</v>
      </c>
      <c r="AF206" t="s">
        <v>6</v>
      </c>
      <c r="AG206">
        <v>0.09</v>
      </c>
      <c r="AH206">
        <v>2</v>
      </c>
      <c r="AI206">
        <v>86327538</v>
      </c>
      <c r="AJ206">
        <v>276</v>
      </c>
      <c r="AK206">
        <v>0</v>
      </c>
      <c r="AL206">
        <v>0</v>
      </c>
      <c r="AM206">
        <v>0</v>
      </c>
      <c r="AN206">
        <v>0</v>
      </c>
      <c r="AO206">
        <v>0</v>
      </c>
      <c r="AP206">
        <v>0</v>
      </c>
      <c r="AQ206">
        <v>0</v>
      </c>
      <c r="AR206">
        <v>0</v>
      </c>
    </row>
    <row r="207" spans="1:44" x14ac:dyDescent="0.2">
      <c r="A207">
        <f>ROW(Source!A228)</f>
        <v>228</v>
      </c>
      <c r="B207">
        <v>86327549</v>
      </c>
      <c r="C207">
        <v>86327536</v>
      </c>
      <c r="D207">
        <v>27439488</v>
      </c>
      <c r="E207">
        <v>1</v>
      </c>
      <c r="F207">
        <v>1</v>
      </c>
      <c r="G207">
        <v>1</v>
      </c>
      <c r="H207">
        <v>2</v>
      </c>
      <c r="I207" t="s">
        <v>666</v>
      </c>
      <c r="J207" t="s">
        <v>667</v>
      </c>
      <c r="K207" t="s">
        <v>668</v>
      </c>
      <c r="L207">
        <v>1368</v>
      </c>
      <c r="N207">
        <v>1011</v>
      </c>
      <c r="O207" t="s">
        <v>137</v>
      </c>
      <c r="P207" t="s">
        <v>137</v>
      </c>
      <c r="Q207">
        <v>1</v>
      </c>
      <c r="X207">
        <v>0.09</v>
      </c>
      <c r="Y207">
        <v>0</v>
      </c>
      <c r="Z207">
        <v>113.81</v>
      </c>
      <c r="AA207">
        <v>13.61</v>
      </c>
      <c r="AB207">
        <v>0</v>
      </c>
      <c r="AC207">
        <v>0</v>
      </c>
      <c r="AD207">
        <v>1</v>
      </c>
      <c r="AE207">
        <v>0</v>
      </c>
      <c r="AF207" t="s">
        <v>6</v>
      </c>
      <c r="AG207">
        <v>0.09</v>
      </c>
      <c r="AH207">
        <v>2</v>
      </c>
      <c r="AI207">
        <v>86327539</v>
      </c>
      <c r="AJ207">
        <v>277</v>
      </c>
      <c r="AK207">
        <v>0</v>
      </c>
      <c r="AL207">
        <v>0</v>
      </c>
      <c r="AM207">
        <v>0</v>
      </c>
      <c r="AN207">
        <v>0</v>
      </c>
      <c r="AO207">
        <v>0</v>
      </c>
      <c r="AP207">
        <v>0</v>
      </c>
      <c r="AQ207">
        <v>0</v>
      </c>
      <c r="AR207">
        <v>0</v>
      </c>
    </row>
    <row r="208" spans="1:44" x14ac:dyDescent="0.2">
      <c r="A208">
        <f>ROW(Source!A228)</f>
        <v>228</v>
      </c>
      <c r="B208">
        <v>86327550</v>
      </c>
      <c r="C208">
        <v>86327536</v>
      </c>
      <c r="D208">
        <v>27441078</v>
      </c>
      <c r="E208">
        <v>1</v>
      </c>
      <c r="F208">
        <v>1</v>
      </c>
      <c r="G208">
        <v>1</v>
      </c>
      <c r="H208">
        <v>2</v>
      </c>
      <c r="I208" t="s">
        <v>669</v>
      </c>
      <c r="J208" t="s">
        <v>670</v>
      </c>
      <c r="K208" t="s">
        <v>671</v>
      </c>
      <c r="L208">
        <v>1368</v>
      </c>
      <c r="N208">
        <v>1011</v>
      </c>
      <c r="O208" t="s">
        <v>137</v>
      </c>
      <c r="P208" t="s">
        <v>137</v>
      </c>
      <c r="Q208">
        <v>1</v>
      </c>
      <c r="X208">
        <v>2.35</v>
      </c>
      <c r="Y208">
        <v>0</v>
      </c>
      <c r="Z208">
        <v>2.0699999999999998</v>
      </c>
      <c r="AA208">
        <v>0</v>
      </c>
      <c r="AB208">
        <v>0</v>
      </c>
      <c r="AC208">
        <v>0</v>
      </c>
      <c r="AD208">
        <v>1</v>
      </c>
      <c r="AE208">
        <v>0</v>
      </c>
      <c r="AF208" t="s">
        <v>6</v>
      </c>
      <c r="AG208">
        <v>2.35</v>
      </c>
      <c r="AH208">
        <v>2</v>
      </c>
      <c r="AI208">
        <v>86327540</v>
      </c>
      <c r="AJ208">
        <v>278</v>
      </c>
      <c r="AK208">
        <v>0</v>
      </c>
      <c r="AL208">
        <v>0</v>
      </c>
      <c r="AM208">
        <v>0</v>
      </c>
      <c r="AN208">
        <v>0</v>
      </c>
      <c r="AO208">
        <v>0</v>
      </c>
      <c r="AP208">
        <v>0</v>
      </c>
      <c r="AQ208">
        <v>0</v>
      </c>
      <c r="AR208">
        <v>0</v>
      </c>
    </row>
    <row r="209" spans="1:44" x14ac:dyDescent="0.2">
      <c r="A209">
        <f>ROW(Source!A228)</f>
        <v>228</v>
      </c>
      <c r="B209">
        <v>86327551</v>
      </c>
      <c r="C209">
        <v>86327536</v>
      </c>
      <c r="D209">
        <v>27441327</v>
      </c>
      <c r="E209">
        <v>1</v>
      </c>
      <c r="F209">
        <v>1</v>
      </c>
      <c r="G209">
        <v>1</v>
      </c>
      <c r="H209">
        <v>2</v>
      </c>
      <c r="I209" t="s">
        <v>637</v>
      </c>
      <c r="J209" t="s">
        <v>638</v>
      </c>
      <c r="K209" t="s">
        <v>639</v>
      </c>
      <c r="L209">
        <v>1368</v>
      </c>
      <c r="N209">
        <v>1011</v>
      </c>
      <c r="O209" t="s">
        <v>137</v>
      </c>
      <c r="P209" t="s">
        <v>137</v>
      </c>
      <c r="Q209">
        <v>1</v>
      </c>
      <c r="X209">
        <v>0.09</v>
      </c>
      <c r="Y209">
        <v>0</v>
      </c>
      <c r="Z209">
        <v>93.37</v>
      </c>
      <c r="AA209">
        <v>11.69</v>
      </c>
      <c r="AB209">
        <v>0</v>
      </c>
      <c r="AC209">
        <v>0</v>
      </c>
      <c r="AD209">
        <v>1</v>
      </c>
      <c r="AE209">
        <v>0</v>
      </c>
      <c r="AF209" t="s">
        <v>6</v>
      </c>
      <c r="AG209">
        <v>0.09</v>
      </c>
      <c r="AH209">
        <v>2</v>
      </c>
      <c r="AI209">
        <v>86327541</v>
      </c>
      <c r="AJ209">
        <v>279</v>
      </c>
      <c r="AK209">
        <v>0</v>
      </c>
      <c r="AL209">
        <v>0</v>
      </c>
      <c r="AM209">
        <v>0</v>
      </c>
      <c r="AN209">
        <v>0</v>
      </c>
      <c r="AO209">
        <v>0</v>
      </c>
      <c r="AP209">
        <v>0</v>
      </c>
      <c r="AQ209">
        <v>0</v>
      </c>
      <c r="AR209">
        <v>0</v>
      </c>
    </row>
    <row r="210" spans="1:44" x14ac:dyDescent="0.2">
      <c r="A210">
        <f>ROW(Source!A228)</f>
        <v>228</v>
      </c>
      <c r="B210">
        <v>86327552</v>
      </c>
      <c r="C210">
        <v>86327536</v>
      </c>
      <c r="D210">
        <v>27386613</v>
      </c>
      <c r="E210">
        <v>1</v>
      </c>
      <c r="F210">
        <v>1</v>
      </c>
      <c r="G210">
        <v>1</v>
      </c>
      <c r="H210">
        <v>3</v>
      </c>
      <c r="I210" t="s">
        <v>732</v>
      </c>
      <c r="J210" t="s">
        <v>733</v>
      </c>
      <c r="K210" t="s">
        <v>734</v>
      </c>
      <c r="L210">
        <v>1346</v>
      </c>
      <c r="N210">
        <v>1009</v>
      </c>
      <c r="O210" t="s">
        <v>305</v>
      </c>
      <c r="P210" t="s">
        <v>305</v>
      </c>
      <c r="Q210">
        <v>1</v>
      </c>
      <c r="X210">
        <v>0.2</v>
      </c>
      <c r="Y210">
        <v>25.8</v>
      </c>
      <c r="Z210">
        <v>0</v>
      </c>
      <c r="AA210">
        <v>0</v>
      </c>
      <c r="AB210">
        <v>0</v>
      </c>
      <c r="AC210">
        <v>0</v>
      </c>
      <c r="AD210">
        <v>1</v>
      </c>
      <c r="AE210">
        <v>0</v>
      </c>
      <c r="AF210" t="s">
        <v>6</v>
      </c>
      <c r="AG210">
        <v>0.2</v>
      </c>
      <c r="AH210">
        <v>3</v>
      </c>
      <c r="AI210">
        <v>-1</v>
      </c>
      <c r="AJ210" t="s">
        <v>6</v>
      </c>
      <c r="AK210">
        <v>4</v>
      </c>
      <c r="AL210">
        <v>-5.16</v>
      </c>
      <c r="AM210">
        <v>0</v>
      </c>
      <c r="AN210">
        <v>0</v>
      </c>
      <c r="AO210">
        <v>0</v>
      </c>
      <c r="AP210">
        <v>0</v>
      </c>
      <c r="AQ210">
        <v>0</v>
      </c>
      <c r="AR210">
        <v>1</v>
      </c>
    </row>
    <row r="211" spans="1:44" x14ac:dyDescent="0.2">
      <c r="A211">
        <f>ROW(Source!A228)</f>
        <v>228</v>
      </c>
      <c r="B211">
        <v>86327553</v>
      </c>
      <c r="C211">
        <v>86327536</v>
      </c>
      <c r="D211">
        <v>27407706</v>
      </c>
      <c r="E211">
        <v>1</v>
      </c>
      <c r="F211">
        <v>1</v>
      </c>
      <c r="G211">
        <v>1</v>
      </c>
      <c r="H211">
        <v>3</v>
      </c>
      <c r="I211" t="s">
        <v>735</v>
      </c>
      <c r="J211" t="s">
        <v>736</v>
      </c>
      <c r="K211" t="s">
        <v>737</v>
      </c>
      <c r="L211">
        <v>1339</v>
      </c>
      <c r="N211">
        <v>1007</v>
      </c>
      <c r="O211" t="s">
        <v>44</v>
      </c>
      <c r="P211" t="s">
        <v>44</v>
      </c>
      <c r="Q211">
        <v>1</v>
      </c>
      <c r="X211">
        <v>2.1000000000000001E-2</v>
      </c>
      <c r="Y211">
        <v>528.35</v>
      </c>
      <c r="Z211">
        <v>0</v>
      </c>
      <c r="AA211">
        <v>0</v>
      </c>
      <c r="AB211">
        <v>0</v>
      </c>
      <c r="AC211">
        <v>0</v>
      </c>
      <c r="AD211">
        <v>1</v>
      </c>
      <c r="AE211">
        <v>0</v>
      </c>
      <c r="AF211" t="s">
        <v>6</v>
      </c>
      <c r="AG211">
        <v>2.1000000000000001E-2</v>
      </c>
      <c r="AH211">
        <v>3</v>
      </c>
      <c r="AI211">
        <v>-1</v>
      </c>
      <c r="AJ211" t="s">
        <v>6</v>
      </c>
      <c r="AK211">
        <v>4</v>
      </c>
      <c r="AL211">
        <v>-11.095350000000002</v>
      </c>
      <c r="AM211">
        <v>0</v>
      </c>
      <c r="AN211">
        <v>0</v>
      </c>
      <c r="AO211">
        <v>0</v>
      </c>
      <c r="AP211">
        <v>0</v>
      </c>
      <c r="AQ211">
        <v>0</v>
      </c>
      <c r="AR211">
        <v>1</v>
      </c>
    </row>
    <row r="212" spans="1:44" x14ac:dyDescent="0.2">
      <c r="A212">
        <f>ROW(Source!A228)</f>
        <v>228</v>
      </c>
      <c r="B212">
        <v>86327554</v>
      </c>
      <c r="C212">
        <v>86327536</v>
      </c>
      <c r="D212">
        <v>27438980</v>
      </c>
      <c r="E212">
        <v>1</v>
      </c>
      <c r="F212">
        <v>1</v>
      </c>
      <c r="G212">
        <v>1</v>
      </c>
      <c r="H212">
        <v>3</v>
      </c>
      <c r="I212" t="s">
        <v>738</v>
      </c>
      <c r="J212" t="s">
        <v>739</v>
      </c>
      <c r="K212" t="s">
        <v>740</v>
      </c>
      <c r="L212">
        <v>1374</v>
      </c>
      <c r="N212">
        <v>1013</v>
      </c>
      <c r="O212" t="s">
        <v>741</v>
      </c>
      <c r="P212" t="s">
        <v>741</v>
      </c>
      <c r="Q212">
        <v>1</v>
      </c>
      <c r="X212">
        <v>2.9</v>
      </c>
      <c r="Y212">
        <v>1</v>
      </c>
      <c r="Z212">
        <v>0</v>
      </c>
      <c r="AA212">
        <v>0</v>
      </c>
      <c r="AB212">
        <v>0</v>
      </c>
      <c r="AC212">
        <v>0</v>
      </c>
      <c r="AD212">
        <v>1</v>
      </c>
      <c r="AE212">
        <v>0</v>
      </c>
      <c r="AF212" t="s">
        <v>6</v>
      </c>
      <c r="AG212">
        <v>2.9</v>
      </c>
      <c r="AH212">
        <v>3</v>
      </c>
      <c r="AI212">
        <v>-1</v>
      </c>
      <c r="AJ212" t="s">
        <v>6</v>
      </c>
      <c r="AK212">
        <v>4</v>
      </c>
      <c r="AL212">
        <v>-2.9</v>
      </c>
      <c r="AM212">
        <v>0</v>
      </c>
      <c r="AN212">
        <v>0</v>
      </c>
      <c r="AO212">
        <v>0</v>
      </c>
      <c r="AP212">
        <v>0</v>
      </c>
      <c r="AQ212">
        <v>0</v>
      </c>
      <c r="AR212">
        <v>1</v>
      </c>
    </row>
    <row r="213" spans="1:44" x14ac:dyDescent="0.2">
      <c r="A213">
        <f>ROW(Source!A239)</f>
        <v>239</v>
      </c>
      <c r="B213">
        <v>86327571</v>
      </c>
      <c r="C213">
        <v>86327560</v>
      </c>
      <c r="D213">
        <v>27683434</v>
      </c>
      <c r="E213">
        <v>1</v>
      </c>
      <c r="F213">
        <v>1</v>
      </c>
      <c r="G213">
        <v>1</v>
      </c>
      <c r="H213">
        <v>1</v>
      </c>
      <c r="I213" t="s">
        <v>664</v>
      </c>
      <c r="J213" t="s">
        <v>6</v>
      </c>
      <c r="K213" t="s">
        <v>665</v>
      </c>
      <c r="L213">
        <v>1369</v>
      </c>
      <c r="N213">
        <v>1013</v>
      </c>
      <c r="O213" t="s">
        <v>625</v>
      </c>
      <c r="P213" t="s">
        <v>625</v>
      </c>
      <c r="Q213">
        <v>1</v>
      </c>
      <c r="X213">
        <v>17.12</v>
      </c>
      <c r="Y213">
        <v>0</v>
      </c>
      <c r="Z213">
        <v>0</v>
      </c>
      <c r="AA213">
        <v>0</v>
      </c>
      <c r="AB213">
        <v>9.48</v>
      </c>
      <c r="AC213">
        <v>0</v>
      </c>
      <c r="AD213">
        <v>1</v>
      </c>
      <c r="AE213">
        <v>1</v>
      </c>
      <c r="AF213" t="s">
        <v>6</v>
      </c>
      <c r="AG213">
        <v>17.12</v>
      </c>
      <c r="AH213">
        <v>2</v>
      </c>
      <c r="AI213">
        <v>86327561</v>
      </c>
      <c r="AJ213">
        <v>285</v>
      </c>
      <c r="AK213">
        <v>0</v>
      </c>
      <c r="AL213">
        <v>0</v>
      </c>
      <c r="AM213">
        <v>0</v>
      </c>
      <c r="AN213">
        <v>0</v>
      </c>
      <c r="AO213">
        <v>0</v>
      </c>
      <c r="AP213">
        <v>0</v>
      </c>
      <c r="AQ213">
        <v>0</v>
      </c>
      <c r="AR213">
        <v>0</v>
      </c>
    </row>
    <row r="214" spans="1:44" x14ac:dyDescent="0.2">
      <c r="A214">
        <f>ROW(Source!A239)</f>
        <v>239</v>
      </c>
      <c r="B214">
        <v>86327572</v>
      </c>
      <c r="C214">
        <v>86327560</v>
      </c>
      <c r="D214">
        <v>121548</v>
      </c>
      <c r="E214">
        <v>1</v>
      </c>
      <c r="F214">
        <v>1</v>
      </c>
      <c r="G214">
        <v>1</v>
      </c>
      <c r="H214">
        <v>1</v>
      </c>
      <c r="I214" t="s">
        <v>40</v>
      </c>
      <c r="J214" t="s">
        <v>6</v>
      </c>
      <c r="K214" t="s">
        <v>626</v>
      </c>
      <c r="L214">
        <v>608254</v>
      </c>
      <c r="N214">
        <v>1013</v>
      </c>
      <c r="O214" t="s">
        <v>627</v>
      </c>
      <c r="P214" t="s">
        <v>627</v>
      </c>
      <c r="Q214">
        <v>1</v>
      </c>
      <c r="X214">
        <v>0.26</v>
      </c>
      <c r="Y214">
        <v>0</v>
      </c>
      <c r="Z214">
        <v>0</v>
      </c>
      <c r="AA214">
        <v>0</v>
      </c>
      <c r="AB214">
        <v>0</v>
      </c>
      <c r="AC214">
        <v>0</v>
      </c>
      <c r="AD214">
        <v>1</v>
      </c>
      <c r="AE214">
        <v>2</v>
      </c>
      <c r="AF214" t="s">
        <v>6</v>
      </c>
      <c r="AG214">
        <v>0.26</v>
      </c>
      <c r="AH214">
        <v>2</v>
      </c>
      <c r="AI214">
        <v>86327562</v>
      </c>
      <c r="AJ214">
        <v>286</v>
      </c>
      <c r="AK214">
        <v>0</v>
      </c>
      <c r="AL214">
        <v>0</v>
      </c>
      <c r="AM214">
        <v>0</v>
      </c>
      <c r="AN214">
        <v>0</v>
      </c>
      <c r="AO214">
        <v>0</v>
      </c>
      <c r="AP214">
        <v>0</v>
      </c>
      <c r="AQ214">
        <v>0</v>
      </c>
      <c r="AR214">
        <v>0</v>
      </c>
    </row>
    <row r="215" spans="1:44" x14ac:dyDescent="0.2">
      <c r="A215">
        <f>ROW(Source!A239)</f>
        <v>239</v>
      </c>
      <c r="B215">
        <v>86327573</v>
      </c>
      <c r="C215">
        <v>86327560</v>
      </c>
      <c r="D215">
        <v>27439488</v>
      </c>
      <c r="E215">
        <v>1</v>
      </c>
      <c r="F215">
        <v>1</v>
      </c>
      <c r="G215">
        <v>1</v>
      </c>
      <c r="H215">
        <v>2</v>
      </c>
      <c r="I215" t="s">
        <v>666</v>
      </c>
      <c r="J215" t="s">
        <v>667</v>
      </c>
      <c r="K215" t="s">
        <v>668</v>
      </c>
      <c r="L215">
        <v>1368</v>
      </c>
      <c r="N215">
        <v>1011</v>
      </c>
      <c r="O215" t="s">
        <v>137</v>
      </c>
      <c r="P215" t="s">
        <v>137</v>
      </c>
      <c r="Q215">
        <v>1</v>
      </c>
      <c r="X215">
        <v>0.26</v>
      </c>
      <c r="Y215">
        <v>0</v>
      </c>
      <c r="Z215">
        <v>113.81</v>
      </c>
      <c r="AA215">
        <v>13.61</v>
      </c>
      <c r="AB215">
        <v>0</v>
      </c>
      <c r="AC215">
        <v>0</v>
      </c>
      <c r="AD215">
        <v>1</v>
      </c>
      <c r="AE215">
        <v>0</v>
      </c>
      <c r="AF215" t="s">
        <v>6</v>
      </c>
      <c r="AG215">
        <v>0.26</v>
      </c>
      <c r="AH215">
        <v>2</v>
      </c>
      <c r="AI215">
        <v>86327563</v>
      </c>
      <c r="AJ215">
        <v>287</v>
      </c>
      <c r="AK215">
        <v>0</v>
      </c>
      <c r="AL215">
        <v>0</v>
      </c>
      <c r="AM215">
        <v>0</v>
      </c>
      <c r="AN215">
        <v>0</v>
      </c>
      <c r="AO215">
        <v>0</v>
      </c>
      <c r="AP215">
        <v>0</v>
      </c>
      <c r="AQ215">
        <v>0</v>
      </c>
      <c r="AR215">
        <v>0</v>
      </c>
    </row>
    <row r="216" spans="1:44" x14ac:dyDescent="0.2">
      <c r="A216">
        <f>ROW(Source!A239)</f>
        <v>239</v>
      </c>
      <c r="B216">
        <v>86327574</v>
      </c>
      <c r="C216">
        <v>86327560</v>
      </c>
      <c r="D216">
        <v>27441078</v>
      </c>
      <c r="E216">
        <v>1</v>
      </c>
      <c r="F216">
        <v>1</v>
      </c>
      <c r="G216">
        <v>1</v>
      </c>
      <c r="H216">
        <v>2</v>
      </c>
      <c r="I216" t="s">
        <v>669</v>
      </c>
      <c r="J216" t="s">
        <v>670</v>
      </c>
      <c r="K216" t="s">
        <v>671</v>
      </c>
      <c r="L216">
        <v>1368</v>
      </c>
      <c r="N216">
        <v>1011</v>
      </c>
      <c r="O216" t="s">
        <v>137</v>
      </c>
      <c r="P216" t="s">
        <v>137</v>
      </c>
      <c r="Q216">
        <v>1</v>
      </c>
      <c r="X216">
        <v>2.88</v>
      </c>
      <c r="Y216">
        <v>0</v>
      </c>
      <c r="Z216">
        <v>2.0699999999999998</v>
      </c>
      <c r="AA216">
        <v>0</v>
      </c>
      <c r="AB216">
        <v>0</v>
      </c>
      <c r="AC216">
        <v>0</v>
      </c>
      <c r="AD216">
        <v>1</v>
      </c>
      <c r="AE216">
        <v>0</v>
      </c>
      <c r="AF216" t="s">
        <v>6</v>
      </c>
      <c r="AG216">
        <v>2.88</v>
      </c>
      <c r="AH216">
        <v>2</v>
      </c>
      <c r="AI216">
        <v>86327564</v>
      </c>
      <c r="AJ216">
        <v>288</v>
      </c>
      <c r="AK216">
        <v>0</v>
      </c>
      <c r="AL216">
        <v>0</v>
      </c>
      <c r="AM216">
        <v>0</v>
      </c>
      <c r="AN216">
        <v>0</v>
      </c>
      <c r="AO216">
        <v>0</v>
      </c>
      <c r="AP216">
        <v>0</v>
      </c>
      <c r="AQ216">
        <v>0</v>
      </c>
      <c r="AR216">
        <v>0</v>
      </c>
    </row>
    <row r="217" spans="1:44" x14ac:dyDescent="0.2">
      <c r="A217">
        <f>ROW(Source!A239)</f>
        <v>239</v>
      </c>
      <c r="B217">
        <v>86327575</v>
      </c>
      <c r="C217">
        <v>86327560</v>
      </c>
      <c r="D217">
        <v>27441327</v>
      </c>
      <c r="E217">
        <v>1</v>
      </c>
      <c r="F217">
        <v>1</v>
      </c>
      <c r="G217">
        <v>1</v>
      </c>
      <c r="H217">
        <v>2</v>
      </c>
      <c r="I217" t="s">
        <v>637</v>
      </c>
      <c r="J217" t="s">
        <v>638</v>
      </c>
      <c r="K217" t="s">
        <v>639</v>
      </c>
      <c r="L217">
        <v>1368</v>
      </c>
      <c r="N217">
        <v>1011</v>
      </c>
      <c r="O217" t="s">
        <v>137</v>
      </c>
      <c r="P217" t="s">
        <v>137</v>
      </c>
      <c r="Q217">
        <v>1</v>
      </c>
      <c r="X217">
        <v>0.26</v>
      </c>
      <c r="Y217">
        <v>0</v>
      </c>
      <c r="Z217">
        <v>93.37</v>
      </c>
      <c r="AA217">
        <v>11.69</v>
      </c>
      <c r="AB217">
        <v>0</v>
      </c>
      <c r="AC217">
        <v>0</v>
      </c>
      <c r="AD217">
        <v>1</v>
      </c>
      <c r="AE217">
        <v>0</v>
      </c>
      <c r="AF217" t="s">
        <v>6</v>
      </c>
      <c r="AG217">
        <v>0.26</v>
      </c>
      <c r="AH217">
        <v>2</v>
      </c>
      <c r="AI217">
        <v>86327565</v>
      </c>
      <c r="AJ217">
        <v>289</v>
      </c>
      <c r="AK217">
        <v>0</v>
      </c>
      <c r="AL217">
        <v>0</v>
      </c>
      <c r="AM217">
        <v>0</v>
      </c>
      <c r="AN217">
        <v>0</v>
      </c>
      <c r="AO217">
        <v>0</v>
      </c>
      <c r="AP217">
        <v>0</v>
      </c>
      <c r="AQ217">
        <v>0</v>
      </c>
      <c r="AR217">
        <v>0</v>
      </c>
    </row>
    <row r="218" spans="1:44" x14ac:dyDescent="0.2">
      <c r="A218">
        <f>ROW(Source!A239)</f>
        <v>239</v>
      </c>
      <c r="B218">
        <v>86327576</v>
      </c>
      <c r="C218">
        <v>86327560</v>
      </c>
      <c r="D218">
        <v>27386613</v>
      </c>
      <c r="E218">
        <v>1</v>
      </c>
      <c r="F218">
        <v>1</v>
      </c>
      <c r="G218">
        <v>1</v>
      </c>
      <c r="H218">
        <v>3</v>
      </c>
      <c r="I218" t="s">
        <v>732</v>
      </c>
      <c r="J218" t="s">
        <v>733</v>
      </c>
      <c r="K218" t="s">
        <v>734</v>
      </c>
      <c r="L218">
        <v>1346</v>
      </c>
      <c r="N218">
        <v>1009</v>
      </c>
      <c r="O218" t="s">
        <v>305</v>
      </c>
      <c r="P218" t="s">
        <v>305</v>
      </c>
      <c r="Q218">
        <v>1</v>
      </c>
      <c r="X218">
        <v>0.4</v>
      </c>
      <c r="Y218">
        <v>25.8</v>
      </c>
      <c r="Z218">
        <v>0</v>
      </c>
      <c r="AA218">
        <v>0</v>
      </c>
      <c r="AB218">
        <v>0</v>
      </c>
      <c r="AC218">
        <v>0</v>
      </c>
      <c r="AD218">
        <v>1</v>
      </c>
      <c r="AE218">
        <v>0</v>
      </c>
      <c r="AF218" t="s">
        <v>6</v>
      </c>
      <c r="AG218">
        <v>0.4</v>
      </c>
      <c r="AH218">
        <v>3</v>
      </c>
      <c r="AI218">
        <v>-1</v>
      </c>
      <c r="AJ218" t="s">
        <v>6</v>
      </c>
      <c r="AK218">
        <v>4</v>
      </c>
      <c r="AL218">
        <v>-10.32</v>
      </c>
      <c r="AM218">
        <v>0</v>
      </c>
      <c r="AN218">
        <v>0</v>
      </c>
      <c r="AO218">
        <v>0</v>
      </c>
      <c r="AP218">
        <v>0</v>
      </c>
      <c r="AQ218">
        <v>0</v>
      </c>
      <c r="AR218">
        <v>1</v>
      </c>
    </row>
    <row r="219" spans="1:44" x14ac:dyDescent="0.2">
      <c r="A219">
        <f>ROW(Source!A239)</f>
        <v>239</v>
      </c>
      <c r="B219">
        <v>86327577</v>
      </c>
      <c r="C219">
        <v>86327560</v>
      </c>
      <c r="D219">
        <v>27407706</v>
      </c>
      <c r="E219">
        <v>1</v>
      </c>
      <c r="F219">
        <v>1</v>
      </c>
      <c r="G219">
        <v>1</v>
      </c>
      <c r="H219">
        <v>3</v>
      </c>
      <c r="I219" t="s">
        <v>735</v>
      </c>
      <c r="J219" t="s">
        <v>736</v>
      </c>
      <c r="K219" t="s">
        <v>737</v>
      </c>
      <c r="L219">
        <v>1339</v>
      </c>
      <c r="N219">
        <v>1007</v>
      </c>
      <c r="O219" t="s">
        <v>44</v>
      </c>
      <c r="P219" t="s">
        <v>44</v>
      </c>
      <c r="Q219">
        <v>1</v>
      </c>
      <c r="X219">
        <v>2.1000000000000001E-2</v>
      </c>
      <c r="Y219">
        <v>528.35</v>
      </c>
      <c r="Z219">
        <v>0</v>
      </c>
      <c r="AA219">
        <v>0</v>
      </c>
      <c r="AB219">
        <v>0</v>
      </c>
      <c r="AC219">
        <v>0</v>
      </c>
      <c r="AD219">
        <v>1</v>
      </c>
      <c r="AE219">
        <v>0</v>
      </c>
      <c r="AF219" t="s">
        <v>6</v>
      </c>
      <c r="AG219">
        <v>2.1000000000000001E-2</v>
      </c>
      <c r="AH219">
        <v>3</v>
      </c>
      <c r="AI219">
        <v>-1</v>
      </c>
      <c r="AJ219" t="s">
        <v>6</v>
      </c>
      <c r="AK219">
        <v>4</v>
      </c>
      <c r="AL219">
        <v>-11.095350000000002</v>
      </c>
      <c r="AM219">
        <v>0</v>
      </c>
      <c r="AN219">
        <v>0</v>
      </c>
      <c r="AO219">
        <v>0</v>
      </c>
      <c r="AP219">
        <v>0</v>
      </c>
      <c r="AQ219">
        <v>0</v>
      </c>
      <c r="AR219">
        <v>1</v>
      </c>
    </row>
    <row r="220" spans="1:44" x14ac:dyDescent="0.2">
      <c r="A220">
        <f>ROW(Source!A239)</f>
        <v>239</v>
      </c>
      <c r="B220">
        <v>86327578</v>
      </c>
      <c r="C220">
        <v>86327560</v>
      </c>
      <c r="D220">
        <v>27438980</v>
      </c>
      <c r="E220">
        <v>1</v>
      </c>
      <c r="F220">
        <v>1</v>
      </c>
      <c r="G220">
        <v>1</v>
      </c>
      <c r="H220">
        <v>3</v>
      </c>
      <c r="I220" t="s">
        <v>738</v>
      </c>
      <c r="J220" t="s">
        <v>739</v>
      </c>
      <c r="K220" t="s">
        <v>740</v>
      </c>
      <c r="L220">
        <v>1374</v>
      </c>
      <c r="N220">
        <v>1013</v>
      </c>
      <c r="O220" t="s">
        <v>741</v>
      </c>
      <c r="P220" t="s">
        <v>741</v>
      </c>
      <c r="Q220">
        <v>1</v>
      </c>
      <c r="X220">
        <v>3.25</v>
      </c>
      <c r="Y220">
        <v>1</v>
      </c>
      <c r="Z220">
        <v>0</v>
      </c>
      <c r="AA220">
        <v>0</v>
      </c>
      <c r="AB220">
        <v>0</v>
      </c>
      <c r="AC220">
        <v>0</v>
      </c>
      <c r="AD220">
        <v>1</v>
      </c>
      <c r="AE220">
        <v>0</v>
      </c>
      <c r="AF220" t="s">
        <v>6</v>
      </c>
      <c r="AG220">
        <v>3.25</v>
      </c>
      <c r="AH220">
        <v>3</v>
      </c>
      <c r="AI220">
        <v>-1</v>
      </c>
      <c r="AJ220" t="s">
        <v>6</v>
      </c>
      <c r="AK220">
        <v>4</v>
      </c>
      <c r="AL220">
        <v>-3.25</v>
      </c>
      <c r="AM220">
        <v>0</v>
      </c>
      <c r="AN220">
        <v>0</v>
      </c>
      <c r="AO220">
        <v>0</v>
      </c>
      <c r="AP220">
        <v>0</v>
      </c>
      <c r="AQ220">
        <v>0</v>
      </c>
      <c r="AR220">
        <v>1</v>
      </c>
    </row>
    <row r="221" spans="1:44" x14ac:dyDescent="0.2">
      <c r="A221">
        <f>ROW(Source!A240)</f>
        <v>240</v>
      </c>
      <c r="B221">
        <v>86327571</v>
      </c>
      <c r="C221">
        <v>86327560</v>
      </c>
      <c r="D221">
        <v>27683434</v>
      </c>
      <c r="E221">
        <v>1</v>
      </c>
      <c r="F221">
        <v>1</v>
      </c>
      <c r="G221">
        <v>1</v>
      </c>
      <c r="H221">
        <v>1</v>
      </c>
      <c r="I221" t="s">
        <v>664</v>
      </c>
      <c r="J221" t="s">
        <v>6</v>
      </c>
      <c r="K221" t="s">
        <v>665</v>
      </c>
      <c r="L221">
        <v>1369</v>
      </c>
      <c r="N221">
        <v>1013</v>
      </c>
      <c r="O221" t="s">
        <v>625</v>
      </c>
      <c r="P221" t="s">
        <v>625</v>
      </c>
      <c r="Q221">
        <v>1</v>
      </c>
      <c r="X221">
        <v>17.12</v>
      </c>
      <c r="Y221">
        <v>0</v>
      </c>
      <c r="Z221">
        <v>0</v>
      </c>
      <c r="AA221">
        <v>0</v>
      </c>
      <c r="AB221">
        <v>9.48</v>
      </c>
      <c r="AC221">
        <v>0</v>
      </c>
      <c r="AD221">
        <v>1</v>
      </c>
      <c r="AE221">
        <v>1</v>
      </c>
      <c r="AF221" t="s">
        <v>6</v>
      </c>
      <c r="AG221">
        <v>17.12</v>
      </c>
      <c r="AH221">
        <v>2</v>
      </c>
      <c r="AI221">
        <v>86327561</v>
      </c>
      <c r="AJ221">
        <v>295</v>
      </c>
      <c r="AK221">
        <v>0</v>
      </c>
      <c r="AL221">
        <v>0</v>
      </c>
      <c r="AM221">
        <v>0</v>
      </c>
      <c r="AN221">
        <v>0</v>
      </c>
      <c r="AO221">
        <v>0</v>
      </c>
      <c r="AP221">
        <v>0</v>
      </c>
      <c r="AQ221">
        <v>0</v>
      </c>
      <c r="AR221">
        <v>0</v>
      </c>
    </row>
    <row r="222" spans="1:44" x14ac:dyDescent="0.2">
      <c r="A222">
        <f>ROW(Source!A240)</f>
        <v>240</v>
      </c>
      <c r="B222">
        <v>86327572</v>
      </c>
      <c r="C222">
        <v>86327560</v>
      </c>
      <c r="D222">
        <v>121548</v>
      </c>
      <c r="E222">
        <v>1</v>
      </c>
      <c r="F222">
        <v>1</v>
      </c>
      <c r="G222">
        <v>1</v>
      </c>
      <c r="H222">
        <v>1</v>
      </c>
      <c r="I222" t="s">
        <v>40</v>
      </c>
      <c r="J222" t="s">
        <v>6</v>
      </c>
      <c r="K222" t="s">
        <v>626</v>
      </c>
      <c r="L222">
        <v>608254</v>
      </c>
      <c r="N222">
        <v>1013</v>
      </c>
      <c r="O222" t="s">
        <v>627</v>
      </c>
      <c r="P222" t="s">
        <v>627</v>
      </c>
      <c r="Q222">
        <v>1</v>
      </c>
      <c r="X222">
        <v>0.26</v>
      </c>
      <c r="Y222">
        <v>0</v>
      </c>
      <c r="Z222">
        <v>0</v>
      </c>
      <c r="AA222">
        <v>0</v>
      </c>
      <c r="AB222">
        <v>0</v>
      </c>
      <c r="AC222">
        <v>0</v>
      </c>
      <c r="AD222">
        <v>1</v>
      </c>
      <c r="AE222">
        <v>2</v>
      </c>
      <c r="AF222" t="s">
        <v>6</v>
      </c>
      <c r="AG222">
        <v>0.26</v>
      </c>
      <c r="AH222">
        <v>2</v>
      </c>
      <c r="AI222">
        <v>86327562</v>
      </c>
      <c r="AJ222">
        <v>296</v>
      </c>
      <c r="AK222">
        <v>0</v>
      </c>
      <c r="AL222">
        <v>0</v>
      </c>
      <c r="AM222">
        <v>0</v>
      </c>
      <c r="AN222">
        <v>0</v>
      </c>
      <c r="AO222">
        <v>0</v>
      </c>
      <c r="AP222">
        <v>0</v>
      </c>
      <c r="AQ222">
        <v>0</v>
      </c>
      <c r="AR222">
        <v>0</v>
      </c>
    </row>
    <row r="223" spans="1:44" x14ac:dyDescent="0.2">
      <c r="A223">
        <f>ROW(Source!A240)</f>
        <v>240</v>
      </c>
      <c r="B223">
        <v>86327573</v>
      </c>
      <c r="C223">
        <v>86327560</v>
      </c>
      <c r="D223">
        <v>27439488</v>
      </c>
      <c r="E223">
        <v>1</v>
      </c>
      <c r="F223">
        <v>1</v>
      </c>
      <c r="G223">
        <v>1</v>
      </c>
      <c r="H223">
        <v>2</v>
      </c>
      <c r="I223" t="s">
        <v>666</v>
      </c>
      <c r="J223" t="s">
        <v>667</v>
      </c>
      <c r="K223" t="s">
        <v>668</v>
      </c>
      <c r="L223">
        <v>1368</v>
      </c>
      <c r="N223">
        <v>1011</v>
      </c>
      <c r="O223" t="s">
        <v>137</v>
      </c>
      <c r="P223" t="s">
        <v>137</v>
      </c>
      <c r="Q223">
        <v>1</v>
      </c>
      <c r="X223">
        <v>0.26</v>
      </c>
      <c r="Y223">
        <v>0</v>
      </c>
      <c r="Z223">
        <v>113.81</v>
      </c>
      <c r="AA223">
        <v>13.61</v>
      </c>
      <c r="AB223">
        <v>0</v>
      </c>
      <c r="AC223">
        <v>0</v>
      </c>
      <c r="AD223">
        <v>1</v>
      </c>
      <c r="AE223">
        <v>0</v>
      </c>
      <c r="AF223" t="s">
        <v>6</v>
      </c>
      <c r="AG223">
        <v>0.26</v>
      </c>
      <c r="AH223">
        <v>2</v>
      </c>
      <c r="AI223">
        <v>86327563</v>
      </c>
      <c r="AJ223">
        <v>297</v>
      </c>
      <c r="AK223">
        <v>0</v>
      </c>
      <c r="AL223">
        <v>0</v>
      </c>
      <c r="AM223">
        <v>0</v>
      </c>
      <c r="AN223">
        <v>0</v>
      </c>
      <c r="AO223">
        <v>0</v>
      </c>
      <c r="AP223">
        <v>0</v>
      </c>
      <c r="AQ223">
        <v>0</v>
      </c>
      <c r="AR223">
        <v>0</v>
      </c>
    </row>
    <row r="224" spans="1:44" x14ac:dyDescent="0.2">
      <c r="A224">
        <f>ROW(Source!A240)</f>
        <v>240</v>
      </c>
      <c r="B224">
        <v>86327574</v>
      </c>
      <c r="C224">
        <v>86327560</v>
      </c>
      <c r="D224">
        <v>27441078</v>
      </c>
      <c r="E224">
        <v>1</v>
      </c>
      <c r="F224">
        <v>1</v>
      </c>
      <c r="G224">
        <v>1</v>
      </c>
      <c r="H224">
        <v>2</v>
      </c>
      <c r="I224" t="s">
        <v>669</v>
      </c>
      <c r="J224" t="s">
        <v>670</v>
      </c>
      <c r="K224" t="s">
        <v>671</v>
      </c>
      <c r="L224">
        <v>1368</v>
      </c>
      <c r="N224">
        <v>1011</v>
      </c>
      <c r="O224" t="s">
        <v>137</v>
      </c>
      <c r="P224" t="s">
        <v>137</v>
      </c>
      <c r="Q224">
        <v>1</v>
      </c>
      <c r="X224">
        <v>2.88</v>
      </c>
      <c r="Y224">
        <v>0</v>
      </c>
      <c r="Z224">
        <v>2.0699999999999998</v>
      </c>
      <c r="AA224">
        <v>0</v>
      </c>
      <c r="AB224">
        <v>0</v>
      </c>
      <c r="AC224">
        <v>0</v>
      </c>
      <c r="AD224">
        <v>1</v>
      </c>
      <c r="AE224">
        <v>0</v>
      </c>
      <c r="AF224" t="s">
        <v>6</v>
      </c>
      <c r="AG224">
        <v>2.88</v>
      </c>
      <c r="AH224">
        <v>2</v>
      </c>
      <c r="AI224">
        <v>86327564</v>
      </c>
      <c r="AJ224">
        <v>298</v>
      </c>
      <c r="AK224">
        <v>0</v>
      </c>
      <c r="AL224">
        <v>0</v>
      </c>
      <c r="AM224">
        <v>0</v>
      </c>
      <c r="AN224">
        <v>0</v>
      </c>
      <c r="AO224">
        <v>0</v>
      </c>
      <c r="AP224">
        <v>0</v>
      </c>
      <c r="AQ224">
        <v>0</v>
      </c>
      <c r="AR224">
        <v>0</v>
      </c>
    </row>
    <row r="225" spans="1:44" x14ac:dyDescent="0.2">
      <c r="A225">
        <f>ROW(Source!A240)</f>
        <v>240</v>
      </c>
      <c r="B225">
        <v>86327575</v>
      </c>
      <c r="C225">
        <v>86327560</v>
      </c>
      <c r="D225">
        <v>27441327</v>
      </c>
      <c r="E225">
        <v>1</v>
      </c>
      <c r="F225">
        <v>1</v>
      </c>
      <c r="G225">
        <v>1</v>
      </c>
      <c r="H225">
        <v>2</v>
      </c>
      <c r="I225" t="s">
        <v>637</v>
      </c>
      <c r="J225" t="s">
        <v>638</v>
      </c>
      <c r="K225" t="s">
        <v>639</v>
      </c>
      <c r="L225">
        <v>1368</v>
      </c>
      <c r="N225">
        <v>1011</v>
      </c>
      <c r="O225" t="s">
        <v>137</v>
      </c>
      <c r="P225" t="s">
        <v>137</v>
      </c>
      <c r="Q225">
        <v>1</v>
      </c>
      <c r="X225">
        <v>0.26</v>
      </c>
      <c r="Y225">
        <v>0</v>
      </c>
      <c r="Z225">
        <v>93.37</v>
      </c>
      <c r="AA225">
        <v>11.69</v>
      </c>
      <c r="AB225">
        <v>0</v>
      </c>
      <c r="AC225">
        <v>0</v>
      </c>
      <c r="AD225">
        <v>1</v>
      </c>
      <c r="AE225">
        <v>0</v>
      </c>
      <c r="AF225" t="s">
        <v>6</v>
      </c>
      <c r="AG225">
        <v>0.26</v>
      </c>
      <c r="AH225">
        <v>2</v>
      </c>
      <c r="AI225">
        <v>86327565</v>
      </c>
      <c r="AJ225">
        <v>299</v>
      </c>
      <c r="AK225">
        <v>0</v>
      </c>
      <c r="AL225">
        <v>0</v>
      </c>
      <c r="AM225">
        <v>0</v>
      </c>
      <c r="AN225">
        <v>0</v>
      </c>
      <c r="AO225">
        <v>0</v>
      </c>
      <c r="AP225">
        <v>0</v>
      </c>
      <c r="AQ225">
        <v>0</v>
      </c>
      <c r="AR225">
        <v>0</v>
      </c>
    </row>
    <row r="226" spans="1:44" x14ac:dyDescent="0.2">
      <c r="A226">
        <f>ROW(Source!A240)</f>
        <v>240</v>
      </c>
      <c r="B226">
        <v>86327576</v>
      </c>
      <c r="C226">
        <v>86327560</v>
      </c>
      <c r="D226">
        <v>27386613</v>
      </c>
      <c r="E226">
        <v>1</v>
      </c>
      <c r="F226">
        <v>1</v>
      </c>
      <c r="G226">
        <v>1</v>
      </c>
      <c r="H226">
        <v>3</v>
      </c>
      <c r="I226" t="s">
        <v>732</v>
      </c>
      <c r="J226" t="s">
        <v>733</v>
      </c>
      <c r="K226" t="s">
        <v>734</v>
      </c>
      <c r="L226">
        <v>1346</v>
      </c>
      <c r="N226">
        <v>1009</v>
      </c>
      <c r="O226" t="s">
        <v>305</v>
      </c>
      <c r="P226" t="s">
        <v>305</v>
      </c>
      <c r="Q226">
        <v>1</v>
      </c>
      <c r="X226">
        <v>0.4</v>
      </c>
      <c r="Y226">
        <v>25.8</v>
      </c>
      <c r="Z226">
        <v>0</v>
      </c>
      <c r="AA226">
        <v>0</v>
      </c>
      <c r="AB226">
        <v>0</v>
      </c>
      <c r="AC226">
        <v>0</v>
      </c>
      <c r="AD226">
        <v>1</v>
      </c>
      <c r="AE226">
        <v>0</v>
      </c>
      <c r="AF226" t="s">
        <v>6</v>
      </c>
      <c r="AG226">
        <v>0.4</v>
      </c>
      <c r="AH226">
        <v>3</v>
      </c>
      <c r="AI226">
        <v>-1</v>
      </c>
      <c r="AJ226" t="s">
        <v>6</v>
      </c>
      <c r="AK226">
        <v>4</v>
      </c>
      <c r="AL226">
        <v>-10.32</v>
      </c>
      <c r="AM226">
        <v>0</v>
      </c>
      <c r="AN226">
        <v>0</v>
      </c>
      <c r="AO226">
        <v>0</v>
      </c>
      <c r="AP226">
        <v>0</v>
      </c>
      <c r="AQ226">
        <v>0</v>
      </c>
      <c r="AR226">
        <v>1</v>
      </c>
    </row>
    <row r="227" spans="1:44" x14ac:dyDescent="0.2">
      <c r="A227">
        <f>ROW(Source!A240)</f>
        <v>240</v>
      </c>
      <c r="B227">
        <v>86327577</v>
      </c>
      <c r="C227">
        <v>86327560</v>
      </c>
      <c r="D227">
        <v>27407706</v>
      </c>
      <c r="E227">
        <v>1</v>
      </c>
      <c r="F227">
        <v>1</v>
      </c>
      <c r="G227">
        <v>1</v>
      </c>
      <c r="H227">
        <v>3</v>
      </c>
      <c r="I227" t="s">
        <v>735</v>
      </c>
      <c r="J227" t="s">
        <v>736</v>
      </c>
      <c r="K227" t="s">
        <v>737</v>
      </c>
      <c r="L227">
        <v>1339</v>
      </c>
      <c r="N227">
        <v>1007</v>
      </c>
      <c r="O227" t="s">
        <v>44</v>
      </c>
      <c r="P227" t="s">
        <v>44</v>
      </c>
      <c r="Q227">
        <v>1</v>
      </c>
      <c r="X227">
        <v>2.1000000000000001E-2</v>
      </c>
      <c r="Y227">
        <v>528.35</v>
      </c>
      <c r="Z227">
        <v>0</v>
      </c>
      <c r="AA227">
        <v>0</v>
      </c>
      <c r="AB227">
        <v>0</v>
      </c>
      <c r="AC227">
        <v>0</v>
      </c>
      <c r="AD227">
        <v>1</v>
      </c>
      <c r="AE227">
        <v>0</v>
      </c>
      <c r="AF227" t="s">
        <v>6</v>
      </c>
      <c r="AG227">
        <v>2.1000000000000001E-2</v>
      </c>
      <c r="AH227">
        <v>3</v>
      </c>
      <c r="AI227">
        <v>-1</v>
      </c>
      <c r="AJ227" t="s">
        <v>6</v>
      </c>
      <c r="AK227">
        <v>4</v>
      </c>
      <c r="AL227">
        <v>-11.095350000000002</v>
      </c>
      <c r="AM227">
        <v>0</v>
      </c>
      <c r="AN227">
        <v>0</v>
      </c>
      <c r="AO227">
        <v>0</v>
      </c>
      <c r="AP227">
        <v>0</v>
      </c>
      <c r="AQ227">
        <v>0</v>
      </c>
      <c r="AR227">
        <v>1</v>
      </c>
    </row>
    <row r="228" spans="1:44" x14ac:dyDescent="0.2">
      <c r="A228">
        <f>ROW(Source!A240)</f>
        <v>240</v>
      </c>
      <c r="B228">
        <v>86327578</v>
      </c>
      <c r="C228">
        <v>86327560</v>
      </c>
      <c r="D228">
        <v>27438980</v>
      </c>
      <c r="E228">
        <v>1</v>
      </c>
      <c r="F228">
        <v>1</v>
      </c>
      <c r="G228">
        <v>1</v>
      </c>
      <c r="H228">
        <v>3</v>
      </c>
      <c r="I228" t="s">
        <v>738</v>
      </c>
      <c r="J228" t="s">
        <v>739</v>
      </c>
      <c r="K228" t="s">
        <v>740</v>
      </c>
      <c r="L228">
        <v>1374</v>
      </c>
      <c r="N228">
        <v>1013</v>
      </c>
      <c r="O228" t="s">
        <v>741</v>
      </c>
      <c r="P228" t="s">
        <v>741</v>
      </c>
      <c r="Q228">
        <v>1</v>
      </c>
      <c r="X228">
        <v>3.25</v>
      </c>
      <c r="Y228">
        <v>1</v>
      </c>
      <c r="Z228">
        <v>0</v>
      </c>
      <c r="AA228">
        <v>0</v>
      </c>
      <c r="AB228">
        <v>0</v>
      </c>
      <c r="AC228">
        <v>0</v>
      </c>
      <c r="AD228">
        <v>1</v>
      </c>
      <c r="AE228">
        <v>0</v>
      </c>
      <c r="AF228" t="s">
        <v>6</v>
      </c>
      <c r="AG228">
        <v>3.25</v>
      </c>
      <c r="AH228">
        <v>3</v>
      </c>
      <c r="AI228">
        <v>-1</v>
      </c>
      <c r="AJ228" t="s">
        <v>6</v>
      </c>
      <c r="AK228">
        <v>4</v>
      </c>
      <c r="AL228">
        <v>-3.25</v>
      </c>
      <c r="AM228">
        <v>0</v>
      </c>
      <c r="AN228">
        <v>0</v>
      </c>
      <c r="AO228">
        <v>0</v>
      </c>
      <c r="AP228">
        <v>0</v>
      </c>
      <c r="AQ228">
        <v>0</v>
      </c>
      <c r="AR228">
        <v>1</v>
      </c>
    </row>
    <row r="229" spans="1:44" x14ac:dyDescent="0.2">
      <c r="A229">
        <f>ROW(Source!A251)</f>
        <v>251</v>
      </c>
      <c r="B229">
        <v>86327593</v>
      </c>
      <c r="C229">
        <v>86327584</v>
      </c>
      <c r="D229">
        <v>27496319</v>
      </c>
      <c r="E229">
        <v>1</v>
      </c>
      <c r="F229">
        <v>1</v>
      </c>
      <c r="G229">
        <v>1</v>
      </c>
      <c r="H229">
        <v>1</v>
      </c>
      <c r="I229" t="s">
        <v>672</v>
      </c>
      <c r="J229" t="s">
        <v>6</v>
      </c>
      <c r="K229" t="s">
        <v>673</v>
      </c>
      <c r="L229">
        <v>1369</v>
      </c>
      <c r="N229">
        <v>1013</v>
      </c>
      <c r="O229" t="s">
        <v>625</v>
      </c>
      <c r="P229" t="s">
        <v>625</v>
      </c>
      <c r="Q229">
        <v>1</v>
      </c>
      <c r="X229">
        <v>90.61</v>
      </c>
      <c r="Y229">
        <v>0</v>
      </c>
      <c r="Z229">
        <v>0</v>
      </c>
      <c r="AA229">
        <v>0</v>
      </c>
      <c r="AB229">
        <v>8.01</v>
      </c>
      <c r="AC229">
        <v>0</v>
      </c>
      <c r="AD229">
        <v>1</v>
      </c>
      <c r="AE229">
        <v>1</v>
      </c>
      <c r="AF229" t="s">
        <v>25</v>
      </c>
      <c r="AG229">
        <v>95.140500000000003</v>
      </c>
      <c r="AH229">
        <v>2</v>
      </c>
      <c r="AI229">
        <v>86327585</v>
      </c>
      <c r="AJ229">
        <v>305</v>
      </c>
      <c r="AK229">
        <v>0</v>
      </c>
      <c r="AL229">
        <v>0</v>
      </c>
      <c r="AM229">
        <v>0</v>
      </c>
      <c r="AN229">
        <v>0</v>
      </c>
      <c r="AO229">
        <v>0</v>
      </c>
      <c r="AP229">
        <v>0</v>
      </c>
      <c r="AQ229">
        <v>0</v>
      </c>
      <c r="AR229">
        <v>0</v>
      </c>
    </row>
    <row r="230" spans="1:44" x14ac:dyDescent="0.2">
      <c r="A230">
        <f>ROW(Source!A251)</f>
        <v>251</v>
      </c>
      <c r="B230">
        <v>86327594</v>
      </c>
      <c r="C230">
        <v>86327584</v>
      </c>
      <c r="D230">
        <v>121548</v>
      </c>
      <c r="E230">
        <v>1</v>
      </c>
      <c r="F230">
        <v>1</v>
      </c>
      <c r="G230">
        <v>1</v>
      </c>
      <c r="H230">
        <v>1</v>
      </c>
      <c r="I230" t="s">
        <v>40</v>
      </c>
      <c r="J230" t="s">
        <v>6</v>
      </c>
      <c r="K230" t="s">
        <v>626</v>
      </c>
      <c r="L230">
        <v>608254</v>
      </c>
      <c r="N230">
        <v>1013</v>
      </c>
      <c r="O230" t="s">
        <v>627</v>
      </c>
      <c r="P230" t="s">
        <v>627</v>
      </c>
      <c r="Q230">
        <v>1</v>
      </c>
      <c r="X230">
        <v>0.68</v>
      </c>
      <c r="Y230">
        <v>0</v>
      </c>
      <c r="Z230">
        <v>0</v>
      </c>
      <c r="AA230">
        <v>0</v>
      </c>
      <c r="AB230">
        <v>0</v>
      </c>
      <c r="AC230">
        <v>0</v>
      </c>
      <c r="AD230">
        <v>1</v>
      </c>
      <c r="AE230">
        <v>2</v>
      </c>
      <c r="AF230" t="s">
        <v>24</v>
      </c>
      <c r="AG230">
        <v>0.76160000000000017</v>
      </c>
      <c r="AH230">
        <v>2</v>
      </c>
      <c r="AI230">
        <v>86327586</v>
      </c>
      <c r="AJ230">
        <v>306</v>
      </c>
      <c r="AK230">
        <v>0</v>
      </c>
      <c r="AL230">
        <v>0</v>
      </c>
      <c r="AM230">
        <v>0</v>
      </c>
      <c r="AN230">
        <v>0</v>
      </c>
      <c r="AO230">
        <v>0</v>
      </c>
      <c r="AP230">
        <v>0</v>
      </c>
      <c r="AQ230">
        <v>0</v>
      </c>
      <c r="AR230">
        <v>0</v>
      </c>
    </row>
    <row r="231" spans="1:44" x14ac:dyDescent="0.2">
      <c r="A231">
        <f>ROW(Source!A251)</f>
        <v>251</v>
      </c>
      <c r="B231">
        <v>86327595</v>
      </c>
      <c r="C231">
        <v>86327584</v>
      </c>
      <c r="D231">
        <v>27439418</v>
      </c>
      <c r="E231">
        <v>1</v>
      </c>
      <c r="F231">
        <v>1</v>
      </c>
      <c r="G231">
        <v>1</v>
      </c>
      <c r="H231">
        <v>2</v>
      </c>
      <c r="I231" t="s">
        <v>652</v>
      </c>
      <c r="J231" t="s">
        <v>653</v>
      </c>
      <c r="K231" t="s">
        <v>654</v>
      </c>
      <c r="L231">
        <v>1368</v>
      </c>
      <c r="N231">
        <v>1011</v>
      </c>
      <c r="O231" t="s">
        <v>137</v>
      </c>
      <c r="P231" t="s">
        <v>137</v>
      </c>
      <c r="Q231">
        <v>1</v>
      </c>
      <c r="X231">
        <v>0.57999999999999996</v>
      </c>
      <c r="Y231">
        <v>0</v>
      </c>
      <c r="Z231">
        <v>91.69</v>
      </c>
      <c r="AA231">
        <v>13.61</v>
      </c>
      <c r="AB231">
        <v>0</v>
      </c>
      <c r="AC231">
        <v>0</v>
      </c>
      <c r="AD231">
        <v>1</v>
      </c>
      <c r="AE231">
        <v>0</v>
      </c>
      <c r="AF231" t="s">
        <v>24</v>
      </c>
      <c r="AG231">
        <v>0.64960000000000007</v>
      </c>
      <c r="AH231">
        <v>3</v>
      </c>
      <c r="AI231">
        <v>-1</v>
      </c>
      <c r="AJ231" t="s">
        <v>6</v>
      </c>
      <c r="AK231">
        <v>4</v>
      </c>
      <c r="AL231">
        <v>0</v>
      </c>
      <c r="AM231">
        <v>-59.561824000000001</v>
      </c>
      <c r="AN231">
        <v>-8.841056</v>
      </c>
      <c r="AO231">
        <v>0</v>
      </c>
      <c r="AP231">
        <v>0</v>
      </c>
      <c r="AQ231">
        <v>0</v>
      </c>
      <c r="AR231">
        <v>1</v>
      </c>
    </row>
    <row r="232" spans="1:44" x14ac:dyDescent="0.2">
      <c r="A232">
        <f>ROW(Source!A251)</f>
        <v>251</v>
      </c>
      <c r="B232">
        <v>86327596</v>
      </c>
      <c r="C232">
        <v>86327584</v>
      </c>
      <c r="D232">
        <v>27439499</v>
      </c>
      <c r="E232">
        <v>1</v>
      </c>
      <c r="F232">
        <v>1</v>
      </c>
      <c r="G232">
        <v>1</v>
      </c>
      <c r="H232">
        <v>2</v>
      </c>
      <c r="I232" t="s">
        <v>631</v>
      </c>
      <c r="J232" t="s">
        <v>632</v>
      </c>
      <c r="K232" t="s">
        <v>633</v>
      </c>
      <c r="L232">
        <v>1368</v>
      </c>
      <c r="N232">
        <v>1011</v>
      </c>
      <c r="O232" t="s">
        <v>137</v>
      </c>
      <c r="P232" t="s">
        <v>137</v>
      </c>
      <c r="Q232">
        <v>1</v>
      </c>
      <c r="X232">
        <v>0.1</v>
      </c>
      <c r="Y232">
        <v>0</v>
      </c>
      <c r="Z232">
        <v>112.67</v>
      </c>
      <c r="AA232">
        <v>13.61</v>
      </c>
      <c r="AB232">
        <v>0</v>
      </c>
      <c r="AC232">
        <v>0</v>
      </c>
      <c r="AD232">
        <v>1</v>
      </c>
      <c r="AE232">
        <v>0</v>
      </c>
      <c r="AF232" t="s">
        <v>24</v>
      </c>
      <c r="AG232">
        <v>0.11200000000000002</v>
      </c>
      <c r="AH232">
        <v>2</v>
      </c>
      <c r="AI232">
        <v>86327588</v>
      </c>
      <c r="AJ232">
        <v>308</v>
      </c>
      <c r="AK232">
        <v>0</v>
      </c>
      <c r="AL232">
        <v>0</v>
      </c>
      <c r="AM232">
        <v>0</v>
      </c>
      <c r="AN232">
        <v>0</v>
      </c>
      <c r="AO232">
        <v>0</v>
      </c>
      <c r="AP232">
        <v>0</v>
      </c>
      <c r="AQ232">
        <v>0</v>
      </c>
      <c r="AR232">
        <v>0</v>
      </c>
    </row>
    <row r="233" spans="1:44" x14ac:dyDescent="0.2">
      <c r="A233">
        <f>ROW(Source!A251)</f>
        <v>251</v>
      </c>
      <c r="B233">
        <v>86327597</v>
      </c>
      <c r="C233">
        <v>86327584</v>
      </c>
      <c r="D233">
        <v>27441327</v>
      </c>
      <c r="E233">
        <v>1</v>
      </c>
      <c r="F233">
        <v>1</v>
      </c>
      <c r="G233">
        <v>1</v>
      </c>
      <c r="H233">
        <v>2</v>
      </c>
      <c r="I233" t="s">
        <v>637</v>
      </c>
      <c r="J233" t="s">
        <v>638</v>
      </c>
      <c r="K233" t="s">
        <v>639</v>
      </c>
      <c r="L233">
        <v>1368</v>
      </c>
      <c r="N233">
        <v>1011</v>
      </c>
      <c r="O233" t="s">
        <v>137</v>
      </c>
      <c r="P233" t="s">
        <v>137</v>
      </c>
      <c r="Q233">
        <v>1</v>
      </c>
      <c r="X233">
        <v>0.14000000000000001</v>
      </c>
      <c r="Y233">
        <v>0</v>
      </c>
      <c r="Z233">
        <v>93.37</v>
      </c>
      <c r="AA233">
        <v>11.69</v>
      </c>
      <c r="AB233">
        <v>0</v>
      </c>
      <c r="AC233">
        <v>0</v>
      </c>
      <c r="AD233">
        <v>1</v>
      </c>
      <c r="AE233">
        <v>0</v>
      </c>
      <c r="AF233" t="s">
        <v>24</v>
      </c>
      <c r="AG233">
        <v>0.15680000000000002</v>
      </c>
      <c r="AH233">
        <v>2</v>
      </c>
      <c r="AI233">
        <v>86327589</v>
      </c>
      <c r="AJ233">
        <v>309</v>
      </c>
      <c r="AK233">
        <v>0</v>
      </c>
      <c r="AL233">
        <v>0</v>
      </c>
      <c r="AM233">
        <v>0</v>
      </c>
      <c r="AN233">
        <v>0</v>
      </c>
      <c r="AO233">
        <v>0</v>
      </c>
      <c r="AP233">
        <v>0</v>
      </c>
      <c r="AQ233">
        <v>0</v>
      </c>
      <c r="AR233">
        <v>0</v>
      </c>
    </row>
    <row r="234" spans="1:44" x14ac:dyDescent="0.2">
      <c r="A234">
        <f>ROW(Source!A251)</f>
        <v>251</v>
      </c>
      <c r="B234">
        <v>86327598</v>
      </c>
      <c r="C234">
        <v>86327584</v>
      </c>
      <c r="D234">
        <v>27377917</v>
      </c>
      <c r="E234">
        <v>1</v>
      </c>
      <c r="F234">
        <v>1</v>
      </c>
      <c r="G234">
        <v>1</v>
      </c>
      <c r="H234">
        <v>3</v>
      </c>
      <c r="I234" t="s">
        <v>316</v>
      </c>
      <c r="J234" t="s">
        <v>318</v>
      </c>
      <c r="K234" t="s">
        <v>317</v>
      </c>
      <c r="L234">
        <v>1348</v>
      </c>
      <c r="N234">
        <v>1009</v>
      </c>
      <c r="O234" t="s">
        <v>33</v>
      </c>
      <c r="P234" t="s">
        <v>33</v>
      </c>
      <c r="Q234">
        <v>1000</v>
      </c>
      <c r="X234">
        <v>6.0000000000000001E-3</v>
      </c>
      <c r="Y234">
        <v>10559.12</v>
      </c>
      <c r="Z234">
        <v>0</v>
      </c>
      <c r="AA234">
        <v>0</v>
      </c>
      <c r="AB234">
        <v>0</v>
      </c>
      <c r="AC234">
        <v>0</v>
      </c>
      <c r="AD234">
        <v>1</v>
      </c>
      <c r="AE234">
        <v>0</v>
      </c>
      <c r="AF234" t="s">
        <v>6</v>
      </c>
      <c r="AG234">
        <v>6.0000000000000001E-3</v>
      </c>
      <c r="AH234">
        <v>2</v>
      </c>
      <c r="AI234">
        <v>86327590</v>
      </c>
      <c r="AJ234">
        <v>310</v>
      </c>
      <c r="AK234">
        <v>3</v>
      </c>
      <c r="AL234">
        <v>-63.354720000000007</v>
      </c>
      <c r="AM234">
        <v>0</v>
      </c>
      <c r="AN234">
        <v>0</v>
      </c>
      <c r="AO234">
        <v>0</v>
      </c>
      <c r="AP234">
        <v>0</v>
      </c>
      <c r="AQ234">
        <v>0</v>
      </c>
      <c r="AR234">
        <v>1</v>
      </c>
    </row>
    <row r="235" spans="1:44" x14ac:dyDescent="0.2">
      <c r="A235">
        <f>ROW(Source!A251)</f>
        <v>251</v>
      </c>
      <c r="B235">
        <v>86327599</v>
      </c>
      <c r="C235">
        <v>86327584</v>
      </c>
      <c r="D235">
        <v>27393976</v>
      </c>
      <c r="E235">
        <v>1</v>
      </c>
      <c r="F235">
        <v>1</v>
      </c>
      <c r="G235">
        <v>1</v>
      </c>
      <c r="H235">
        <v>3</v>
      </c>
      <c r="I235" t="s">
        <v>742</v>
      </c>
      <c r="J235" t="s">
        <v>743</v>
      </c>
      <c r="K235" t="s">
        <v>744</v>
      </c>
      <c r="L235">
        <v>1348</v>
      </c>
      <c r="N235">
        <v>1009</v>
      </c>
      <c r="O235" t="s">
        <v>33</v>
      </c>
      <c r="P235" t="s">
        <v>33</v>
      </c>
      <c r="Q235">
        <v>1000</v>
      </c>
      <c r="X235">
        <v>1</v>
      </c>
      <c r="Y235">
        <v>6000</v>
      </c>
      <c r="Z235">
        <v>0</v>
      </c>
      <c r="AA235">
        <v>0</v>
      </c>
      <c r="AB235">
        <v>0</v>
      </c>
      <c r="AC235">
        <v>0</v>
      </c>
      <c r="AD235">
        <v>1</v>
      </c>
      <c r="AE235">
        <v>0</v>
      </c>
      <c r="AF235" t="s">
        <v>6</v>
      </c>
      <c r="AG235">
        <v>1</v>
      </c>
      <c r="AH235">
        <v>3</v>
      </c>
      <c r="AI235">
        <v>-1</v>
      </c>
      <c r="AJ235" t="s">
        <v>6</v>
      </c>
      <c r="AK235">
        <v>4</v>
      </c>
      <c r="AL235">
        <v>-6000</v>
      </c>
      <c r="AM235">
        <v>0</v>
      </c>
      <c r="AN235">
        <v>0</v>
      </c>
      <c r="AO235">
        <v>0</v>
      </c>
      <c r="AP235">
        <v>0</v>
      </c>
      <c r="AQ235">
        <v>0</v>
      </c>
      <c r="AR235">
        <v>1</v>
      </c>
    </row>
    <row r="236" spans="1:44" x14ac:dyDescent="0.2">
      <c r="A236">
        <f>ROW(Source!A252)</f>
        <v>252</v>
      </c>
      <c r="B236">
        <v>86327593</v>
      </c>
      <c r="C236">
        <v>86327584</v>
      </c>
      <c r="D236">
        <v>27496319</v>
      </c>
      <c r="E236">
        <v>1</v>
      </c>
      <c r="F236">
        <v>1</v>
      </c>
      <c r="G236">
        <v>1</v>
      </c>
      <c r="H236">
        <v>1</v>
      </c>
      <c r="I236" t="s">
        <v>672</v>
      </c>
      <c r="J236" t="s">
        <v>6</v>
      </c>
      <c r="K236" t="s">
        <v>673</v>
      </c>
      <c r="L236">
        <v>1369</v>
      </c>
      <c r="N236">
        <v>1013</v>
      </c>
      <c r="O236" t="s">
        <v>625</v>
      </c>
      <c r="P236" t="s">
        <v>625</v>
      </c>
      <c r="Q236">
        <v>1</v>
      </c>
      <c r="X236">
        <v>90.61</v>
      </c>
      <c r="Y236">
        <v>0</v>
      </c>
      <c r="Z236">
        <v>0</v>
      </c>
      <c r="AA236">
        <v>0</v>
      </c>
      <c r="AB236">
        <v>8.01</v>
      </c>
      <c r="AC236">
        <v>0</v>
      </c>
      <c r="AD236">
        <v>1</v>
      </c>
      <c r="AE236">
        <v>1</v>
      </c>
      <c r="AF236" t="s">
        <v>25</v>
      </c>
      <c r="AG236">
        <v>95.140500000000003</v>
      </c>
      <c r="AH236">
        <v>2</v>
      </c>
      <c r="AI236">
        <v>86327585</v>
      </c>
      <c r="AJ236">
        <v>313</v>
      </c>
      <c r="AK236">
        <v>0</v>
      </c>
      <c r="AL236">
        <v>0</v>
      </c>
      <c r="AM236">
        <v>0</v>
      </c>
      <c r="AN236">
        <v>0</v>
      </c>
      <c r="AO236">
        <v>0</v>
      </c>
      <c r="AP236">
        <v>0</v>
      </c>
      <c r="AQ236">
        <v>0</v>
      </c>
      <c r="AR236">
        <v>0</v>
      </c>
    </row>
    <row r="237" spans="1:44" x14ac:dyDescent="0.2">
      <c r="A237">
        <f>ROW(Source!A252)</f>
        <v>252</v>
      </c>
      <c r="B237">
        <v>86327594</v>
      </c>
      <c r="C237">
        <v>86327584</v>
      </c>
      <c r="D237">
        <v>121548</v>
      </c>
      <c r="E237">
        <v>1</v>
      </c>
      <c r="F237">
        <v>1</v>
      </c>
      <c r="G237">
        <v>1</v>
      </c>
      <c r="H237">
        <v>1</v>
      </c>
      <c r="I237" t="s">
        <v>40</v>
      </c>
      <c r="J237" t="s">
        <v>6</v>
      </c>
      <c r="K237" t="s">
        <v>626</v>
      </c>
      <c r="L237">
        <v>608254</v>
      </c>
      <c r="N237">
        <v>1013</v>
      </c>
      <c r="O237" t="s">
        <v>627</v>
      </c>
      <c r="P237" t="s">
        <v>627</v>
      </c>
      <c r="Q237">
        <v>1</v>
      </c>
      <c r="X237">
        <v>0.68</v>
      </c>
      <c r="Y237">
        <v>0</v>
      </c>
      <c r="Z237">
        <v>0</v>
      </c>
      <c r="AA237">
        <v>0</v>
      </c>
      <c r="AB237">
        <v>0</v>
      </c>
      <c r="AC237">
        <v>0</v>
      </c>
      <c r="AD237">
        <v>1</v>
      </c>
      <c r="AE237">
        <v>2</v>
      </c>
      <c r="AF237" t="s">
        <v>24</v>
      </c>
      <c r="AG237">
        <v>0.76160000000000017</v>
      </c>
      <c r="AH237">
        <v>2</v>
      </c>
      <c r="AI237">
        <v>86327586</v>
      </c>
      <c r="AJ237">
        <v>314</v>
      </c>
      <c r="AK237">
        <v>0</v>
      </c>
      <c r="AL237">
        <v>0</v>
      </c>
      <c r="AM237">
        <v>0</v>
      </c>
      <c r="AN237">
        <v>0</v>
      </c>
      <c r="AO237">
        <v>0</v>
      </c>
      <c r="AP237">
        <v>0</v>
      </c>
      <c r="AQ237">
        <v>0</v>
      </c>
      <c r="AR237">
        <v>0</v>
      </c>
    </row>
    <row r="238" spans="1:44" x14ac:dyDescent="0.2">
      <c r="A238">
        <f>ROW(Source!A252)</f>
        <v>252</v>
      </c>
      <c r="B238">
        <v>86327595</v>
      </c>
      <c r="C238">
        <v>86327584</v>
      </c>
      <c r="D238">
        <v>27439418</v>
      </c>
      <c r="E238">
        <v>1</v>
      </c>
      <c r="F238">
        <v>1</v>
      </c>
      <c r="G238">
        <v>1</v>
      </c>
      <c r="H238">
        <v>2</v>
      </c>
      <c r="I238" t="s">
        <v>652</v>
      </c>
      <c r="J238" t="s">
        <v>653</v>
      </c>
      <c r="K238" t="s">
        <v>654</v>
      </c>
      <c r="L238">
        <v>1368</v>
      </c>
      <c r="N238">
        <v>1011</v>
      </c>
      <c r="O238" t="s">
        <v>137</v>
      </c>
      <c r="P238" t="s">
        <v>137</v>
      </c>
      <c r="Q238">
        <v>1</v>
      </c>
      <c r="X238">
        <v>0.57999999999999996</v>
      </c>
      <c r="Y238">
        <v>0</v>
      </c>
      <c r="Z238">
        <v>91.69</v>
      </c>
      <c r="AA238">
        <v>13.61</v>
      </c>
      <c r="AB238">
        <v>0</v>
      </c>
      <c r="AC238">
        <v>0</v>
      </c>
      <c r="AD238">
        <v>1</v>
      </c>
      <c r="AE238">
        <v>0</v>
      </c>
      <c r="AF238" t="s">
        <v>24</v>
      </c>
      <c r="AG238">
        <v>0.64960000000000007</v>
      </c>
      <c r="AH238">
        <v>3</v>
      </c>
      <c r="AI238">
        <v>-1</v>
      </c>
      <c r="AJ238" t="s">
        <v>6</v>
      </c>
      <c r="AK238">
        <v>4</v>
      </c>
      <c r="AL238">
        <v>0</v>
      </c>
      <c r="AM238">
        <v>-59.561824000000001</v>
      </c>
      <c r="AN238">
        <v>-8.841056</v>
      </c>
      <c r="AO238">
        <v>0</v>
      </c>
      <c r="AP238">
        <v>0</v>
      </c>
      <c r="AQ238">
        <v>0</v>
      </c>
      <c r="AR238">
        <v>1</v>
      </c>
    </row>
    <row r="239" spans="1:44" x14ac:dyDescent="0.2">
      <c r="A239">
        <f>ROW(Source!A252)</f>
        <v>252</v>
      </c>
      <c r="B239">
        <v>86327596</v>
      </c>
      <c r="C239">
        <v>86327584</v>
      </c>
      <c r="D239">
        <v>27439499</v>
      </c>
      <c r="E239">
        <v>1</v>
      </c>
      <c r="F239">
        <v>1</v>
      </c>
      <c r="G239">
        <v>1</v>
      </c>
      <c r="H239">
        <v>2</v>
      </c>
      <c r="I239" t="s">
        <v>631</v>
      </c>
      <c r="J239" t="s">
        <v>632</v>
      </c>
      <c r="K239" t="s">
        <v>633</v>
      </c>
      <c r="L239">
        <v>1368</v>
      </c>
      <c r="N239">
        <v>1011</v>
      </c>
      <c r="O239" t="s">
        <v>137</v>
      </c>
      <c r="P239" t="s">
        <v>137</v>
      </c>
      <c r="Q239">
        <v>1</v>
      </c>
      <c r="X239">
        <v>0.1</v>
      </c>
      <c r="Y239">
        <v>0</v>
      </c>
      <c r="Z239">
        <v>112.67</v>
      </c>
      <c r="AA239">
        <v>13.61</v>
      </c>
      <c r="AB239">
        <v>0</v>
      </c>
      <c r="AC239">
        <v>0</v>
      </c>
      <c r="AD239">
        <v>1</v>
      </c>
      <c r="AE239">
        <v>0</v>
      </c>
      <c r="AF239" t="s">
        <v>24</v>
      </c>
      <c r="AG239">
        <v>0.11200000000000002</v>
      </c>
      <c r="AH239">
        <v>2</v>
      </c>
      <c r="AI239">
        <v>86327588</v>
      </c>
      <c r="AJ239">
        <v>316</v>
      </c>
      <c r="AK239">
        <v>0</v>
      </c>
      <c r="AL239">
        <v>0</v>
      </c>
      <c r="AM239">
        <v>0</v>
      </c>
      <c r="AN239">
        <v>0</v>
      </c>
      <c r="AO239">
        <v>0</v>
      </c>
      <c r="AP239">
        <v>0</v>
      </c>
      <c r="AQ239">
        <v>0</v>
      </c>
      <c r="AR239">
        <v>0</v>
      </c>
    </row>
    <row r="240" spans="1:44" x14ac:dyDescent="0.2">
      <c r="A240">
        <f>ROW(Source!A252)</f>
        <v>252</v>
      </c>
      <c r="B240">
        <v>86327597</v>
      </c>
      <c r="C240">
        <v>86327584</v>
      </c>
      <c r="D240">
        <v>27441327</v>
      </c>
      <c r="E240">
        <v>1</v>
      </c>
      <c r="F240">
        <v>1</v>
      </c>
      <c r="G240">
        <v>1</v>
      </c>
      <c r="H240">
        <v>2</v>
      </c>
      <c r="I240" t="s">
        <v>637</v>
      </c>
      <c r="J240" t="s">
        <v>638</v>
      </c>
      <c r="K240" t="s">
        <v>639</v>
      </c>
      <c r="L240">
        <v>1368</v>
      </c>
      <c r="N240">
        <v>1011</v>
      </c>
      <c r="O240" t="s">
        <v>137</v>
      </c>
      <c r="P240" t="s">
        <v>137</v>
      </c>
      <c r="Q240">
        <v>1</v>
      </c>
      <c r="X240">
        <v>0.14000000000000001</v>
      </c>
      <c r="Y240">
        <v>0</v>
      </c>
      <c r="Z240">
        <v>93.37</v>
      </c>
      <c r="AA240">
        <v>11.69</v>
      </c>
      <c r="AB240">
        <v>0</v>
      </c>
      <c r="AC240">
        <v>0</v>
      </c>
      <c r="AD240">
        <v>1</v>
      </c>
      <c r="AE240">
        <v>0</v>
      </c>
      <c r="AF240" t="s">
        <v>24</v>
      </c>
      <c r="AG240">
        <v>0.15680000000000002</v>
      </c>
      <c r="AH240">
        <v>2</v>
      </c>
      <c r="AI240">
        <v>86327589</v>
      </c>
      <c r="AJ240">
        <v>317</v>
      </c>
      <c r="AK240">
        <v>0</v>
      </c>
      <c r="AL240">
        <v>0</v>
      </c>
      <c r="AM240">
        <v>0</v>
      </c>
      <c r="AN240">
        <v>0</v>
      </c>
      <c r="AO240">
        <v>0</v>
      </c>
      <c r="AP240">
        <v>0</v>
      </c>
      <c r="AQ240">
        <v>0</v>
      </c>
      <c r="AR240">
        <v>0</v>
      </c>
    </row>
    <row r="241" spans="1:44" x14ac:dyDescent="0.2">
      <c r="A241">
        <f>ROW(Source!A252)</f>
        <v>252</v>
      </c>
      <c r="B241">
        <v>86327598</v>
      </c>
      <c r="C241">
        <v>86327584</v>
      </c>
      <c r="D241">
        <v>27377917</v>
      </c>
      <c r="E241">
        <v>1</v>
      </c>
      <c r="F241">
        <v>1</v>
      </c>
      <c r="G241">
        <v>1</v>
      </c>
      <c r="H241">
        <v>3</v>
      </c>
      <c r="I241" t="s">
        <v>316</v>
      </c>
      <c r="J241" t="s">
        <v>318</v>
      </c>
      <c r="K241" t="s">
        <v>317</v>
      </c>
      <c r="L241">
        <v>1348</v>
      </c>
      <c r="N241">
        <v>1009</v>
      </c>
      <c r="O241" t="s">
        <v>33</v>
      </c>
      <c r="P241" t="s">
        <v>33</v>
      </c>
      <c r="Q241">
        <v>1000</v>
      </c>
      <c r="X241">
        <v>6.0000000000000001E-3</v>
      </c>
      <c r="Y241">
        <v>10559.12</v>
      </c>
      <c r="Z241">
        <v>0</v>
      </c>
      <c r="AA241">
        <v>0</v>
      </c>
      <c r="AB241">
        <v>0</v>
      </c>
      <c r="AC241">
        <v>0</v>
      </c>
      <c r="AD241">
        <v>1</v>
      </c>
      <c r="AE241">
        <v>0</v>
      </c>
      <c r="AF241" t="s">
        <v>6</v>
      </c>
      <c r="AG241">
        <v>6.0000000000000001E-3</v>
      </c>
      <c r="AH241">
        <v>2</v>
      </c>
      <c r="AI241">
        <v>86327590</v>
      </c>
      <c r="AJ241">
        <v>318</v>
      </c>
      <c r="AK241">
        <v>3</v>
      </c>
      <c r="AL241">
        <v>-63.354720000000007</v>
      </c>
      <c r="AM241">
        <v>0</v>
      </c>
      <c r="AN241">
        <v>0</v>
      </c>
      <c r="AO241">
        <v>0</v>
      </c>
      <c r="AP241">
        <v>0</v>
      </c>
      <c r="AQ241">
        <v>0</v>
      </c>
      <c r="AR241">
        <v>1</v>
      </c>
    </row>
    <row r="242" spans="1:44" x14ac:dyDescent="0.2">
      <c r="A242">
        <f>ROW(Source!A252)</f>
        <v>252</v>
      </c>
      <c r="B242">
        <v>86327599</v>
      </c>
      <c r="C242">
        <v>86327584</v>
      </c>
      <c r="D242">
        <v>27393976</v>
      </c>
      <c r="E242">
        <v>1</v>
      </c>
      <c r="F242">
        <v>1</v>
      </c>
      <c r="G242">
        <v>1</v>
      </c>
      <c r="H242">
        <v>3</v>
      </c>
      <c r="I242" t="s">
        <v>742</v>
      </c>
      <c r="J242" t="s">
        <v>743</v>
      </c>
      <c r="K242" t="s">
        <v>744</v>
      </c>
      <c r="L242">
        <v>1348</v>
      </c>
      <c r="N242">
        <v>1009</v>
      </c>
      <c r="O242" t="s">
        <v>33</v>
      </c>
      <c r="P242" t="s">
        <v>33</v>
      </c>
      <c r="Q242">
        <v>1000</v>
      </c>
      <c r="X242">
        <v>1</v>
      </c>
      <c r="Y242">
        <v>6000</v>
      </c>
      <c r="Z242">
        <v>0</v>
      </c>
      <c r="AA242">
        <v>0</v>
      </c>
      <c r="AB242">
        <v>0</v>
      </c>
      <c r="AC242">
        <v>0</v>
      </c>
      <c r="AD242">
        <v>1</v>
      </c>
      <c r="AE242">
        <v>0</v>
      </c>
      <c r="AF242" t="s">
        <v>6</v>
      </c>
      <c r="AG242">
        <v>1</v>
      </c>
      <c r="AH242">
        <v>3</v>
      </c>
      <c r="AI242">
        <v>-1</v>
      </c>
      <c r="AJ242" t="s">
        <v>6</v>
      </c>
      <c r="AK242">
        <v>4</v>
      </c>
      <c r="AL242">
        <v>-6000</v>
      </c>
      <c r="AM242">
        <v>0</v>
      </c>
      <c r="AN242">
        <v>0</v>
      </c>
      <c r="AO242">
        <v>0</v>
      </c>
      <c r="AP242">
        <v>0</v>
      </c>
      <c r="AQ242">
        <v>0</v>
      </c>
      <c r="AR242">
        <v>1</v>
      </c>
    </row>
    <row r="243" spans="1:44" x14ac:dyDescent="0.2">
      <c r="A243">
        <f>ROW(Source!A259)</f>
        <v>259</v>
      </c>
      <c r="B243">
        <v>86327611</v>
      </c>
      <c r="C243">
        <v>86327603</v>
      </c>
      <c r="D243">
        <v>27496319</v>
      </c>
      <c r="E243">
        <v>1</v>
      </c>
      <c r="F243">
        <v>1</v>
      </c>
      <c r="G243">
        <v>1</v>
      </c>
      <c r="H243">
        <v>1</v>
      </c>
      <c r="I243" t="s">
        <v>672</v>
      </c>
      <c r="J243" t="s">
        <v>6</v>
      </c>
      <c r="K243" t="s">
        <v>673</v>
      </c>
      <c r="L243">
        <v>1369</v>
      </c>
      <c r="N243">
        <v>1013</v>
      </c>
      <c r="O243" t="s">
        <v>625</v>
      </c>
      <c r="P243" t="s">
        <v>625</v>
      </c>
      <c r="Q243">
        <v>1</v>
      </c>
      <c r="X243">
        <v>27.28</v>
      </c>
      <c r="Y243">
        <v>0</v>
      </c>
      <c r="Z243">
        <v>0</v>
      </c>
      <c r="AA243">
        <v>0</v>
      </c>
      <c r="AB243">
        <v>8.01</v>
      </c>
      <c r="AC243">
        <v>0</v>
      </c>
      <c r="AD243">
        <v>1</v>
      </c>
      <c r="AE243">
        <v>1</v>
      </c>
      <c r="AF243" t="s">
        <v>25</v>
      </c>
      <c r="AG243">
        <v>28.644000000000002</v>
      </c>
      <c r="AH243">
        <v>2</v>
      </c>
      <c r="AI243">
        <v>86327604</v>
      </c>
      <c r="AJ243">
        <v>321</v>
      </c>
      <c r="AK243">
        <v>0</v>
      </c>
      <c r="AL243">
        <v>0</v>
      </c>
      <c r="AM243">
        <v>0</v>
      </c>
      <c r="AN243">
        <v>0</v>
      </c>
      <c r="AO243">
        <v>0</v>
      </c>
      <c r="AP243">
        <v>0</v>
      </c>
      <c r="AQ243">
        <v>0</v>
      </c>
      <c r="AR243">
        <v>0</v>
      </c>
    </row>
    <row r="244" spans="1:44" x14ac:dyDescent="0.2">
      <c r="A244">
        <f>ROW(Source!A259)</f>
        <v>259</v>
      </c>
      <c r="B244">
        <v>86327612</v>
      </c>
      <c r="C244">
        <v>86327603</v>
      </c>
      <c r="D244">
        <v>121548</v>
      </c>
      <c r="E244">
        <v>1</v>
      </c>
      <c r="F244">
        <v>1</v>
      </c>
      <c r="G244">
        <v>1</v>
      </c>
      <c r="H244">
        <v>1</v>
      </c>
      <c r="I244" t="s">
        <v>40</v>
      </c>
      <c r="J244" t="s">
        <v>6</v>
      </c>
      <c r="K244" t="s">
        <v>626</v>
      </c>
      <c r="L244">
        <v>608254</v>
      </c>
      <c r="N244">
        <v>1013</v>
      </c>
      <c r="O244" t="s">
        <v>627</v>
      </c>
      <c r="P244" t="s">
        <v>627</v>
      </c>
      <c r="Q244">
        <v>1</v>
      </c>
      <c r="X244">
        <v>0.56000000000000005</v>
      </c>
      <c r="Y244">
        <v>0</v>
      </c>
      <c r="Z244">
        <v>0</v>
      </c>
      <c r="AA244">
        <v>0</v>
      </c>
      <c r="AB244">
        <v>0</v>
      </c>
      <c r="AC244">
        <v>0</v>
      </c>
      <c r="AD244">
        <v>1</v>
      </c>
      <c r="AE244">
        <v>2</v>
      </c>
      <c r="AF244" t="s">
        <v>24</v>
      </c>
      <c r="AG244">
        <v>0.62720000000000009</v>
      </c>
      <c r="AH244">
        <v>2</v>
      </c>
      <c r="AI244">
        <v>86327605</v>
      </c>
      <c r="AJ244">
        <v>322</v>
      </c>
      <c r="AK244">
        <v>0</v>
      </c>
      <c r="AL244">
        <v>0</v>
      </c>
      <c r="AM244">
        <v>0</v>
      </c>
      <c r="AN244">
        <v>0</v>
      </c>
      <c r="AO244">
        <v>0</v>
      </c>
      <c r="AP244">
        <v>0</v>
      </c>
      <c r="AQ244">
        <v>0</v>
      </c>
      <c r="AR244">
        <v>0</v>
      </c>
    </row>
    <row r="245" spans="1:44" x14ac:dyDescent="0.2">
      <c r="A245">
        <f>ROW(Source!A259)</f>
        <v>259</v>
      </c>
      <c r="B245">
        <v>86327613</v>
      </c>
      <c r="C245">
        <v>86327603</v>
      </c>
      <c r="D245">
        <v>27439418</v>
      </c>
      <c r="E245">
        <v>1</v>
      </c>
      <c r="F245">
        <v>1</v>
      </c>
      <c r="G245">
        <v>1</v>
      </c>
      <c r="H245">
        <v>2</v>
      </c>
      <c r="I245" t="s">
        <v>652</v>
      </c>
      <c r="J245" t="s">
        <v>653</v>
      </c>
      <c r="K245" t="s">
        <v>654</v>
      </c>
      <c r="L245">
        <v>1368</v>
      </c>
      <c r="N245">
        <v>1011</v>
      </c>
      <c r="O245" t="s">
        <v>137</v>
      </c>
      <c r="P245" t="s">
        <v>137</v>
      </c>
      <c r="Q245">
        <v>1</v>
      </c>
      <c r="X245">
        <v>0.46</v>
      </c>
      <c r="Y245">
        <v>0</v>
      </c>
      <c r="Z245">
        <v>91.69</v>
      </c>
      <c r="AA245">
        <v>13.61</v>
      </c>
      <c r="AB245">
        <v>0</v>
      </c>
      <c r="AC245">
        <v>0</v>
      </c>
      <c r="AD245">
        <v>1</v>
      </c>
      <c r="AE245">
        <v>0</v>
      </c>
      <c r="AF245" t="s">
        <v>24</v>
      </c>
      <c r="AG245">
        <v>0.5152000000000001</v>
      </c>
      <c r="AH245">
        <v>3</v>
      </c>
      <c r="AI245">
        <v>-1</v>
      </c>
      <c r="AJ245" t="s">
        <v>6</v>
      </c>
      <c r="AK245">
        <v>4</v>
      </c>
      <c r="AL245">
        <v>0</v>
      </c>
      <c r="AM245">
        <v>-47.23868800000001</v>
      </c>
      <c r="AN245">
        <v>-7.0118720000000012</v>
      </c>
      <c r="AO245">
        <v>0</v>
      </c>
      <c r="AP245">
        <v>0</v>
      </c>
      <c r="AQ245">
        <v>0</v>
      </c>
      <c r="AR245">
        <v>1</v>
      </c>
    </row>
    <row r="246" spans="1:44" x14ac:dyDescent="0.2">
      <c r="A246">
        <f>ROW(Source!A259)</f>
        <v>259</v>
      </c>
      <c r="B246">
        <v>86327614</v>
      </c>
      <c r="C246">
        <v>86327603</v>
      </c>
      <c r="D246">
        <v>27439499</v>
      </c>
      <c r="E246">
        <v>1</v>
      </c>
      <c r="F246">
        <v>1</v>
      </c>
      <c r="G246">
        <v>1</v>
      </c>
      <c r="H246">
        <v>2</v>
      </c>
      <c r="I246" t="s">
        <v>631</v>
      </c>
      <c r="J246" t="s">
        <v>632</v>
      </c>
      <c r="K246" t="s">
        <v>633</v>
      </c>
      <c r="L246">
        <v>1368</v>
      </c>
      <c r="N246">
        <v>1011</v>
      </c>
      <c r="O246" t="s">
        <v>137</v>
      </c>
      <c r="P246" t="s">
        <v>137</v>
      </c>
      <c r="Q246">
        <v>1</v>
      </c>
      <c r="X246">
        <v>0.1</v>
      </c>
      <c r="Y246">
        <v>0</v>
      </c>
      <c r="Z246">
        <v>112.67</v>
      </c>
      <c r="AA246">
        <v>13.61</v>
      </c>
      <c r="AB246">
        <v>0</v>
      </c>
      <c r="AC246">
        <v>0</v>
      </c>
      <c r="AD246">
        <v>1</v>
      </c>
      <c r="AE246">
        <v>0</v>
      </c>
      <c r="AF246" t="s">
        <v>24</v>
      </c>
      <c r="AG246">
        <v>0.11200000000000002</v>
      </c>
      <c r="AH246">
        <v>2</v>
      </c>
      <c r="AI246">
        <v>86327607</v>
      </c>
      <c r="AJ246">
        <v>324</v>
      </c>
      <c r="AK246">
        <v>0</v>
      </c>
      <c r="AL246">
        <v>0</v>
      </c>
      <c r="AM246">
        <v>0</v>
      </c>
      <c r="AN246">
        <v>0</v>
      </c>
      <c r="AO246">
        <v>0</v>
      </c>
      <c r="AP246">
        <v>0</v>
      </c>
      <c r="AQ246">
        <v>0</v>
      </c>
      <c r="AR246">
        <v>0</v>
      </c>
    </row>
    <row r="247" spans="1:44" x14ac:dyDescent="0.2">
      <c r="A247">
        <f>ROW(Source!A259)</f>
        <v>259</v>
      </c>
      <c r="B247">
        <v>86327615</v>
      </c>
      <c r="C247">
        <v>86327603</v>
      </c>
      <c r="D247">
        <v>27441327</v>
      </c>
      <c r="E247">
        <v>1</v>
      </c>
      <c r="F247">
        <v>1</v>
      </c>
      <c r="G247">
        <v>1</v>
      </c>
      <c r="H247">
        <v>2</v>
      </c>
      <c r="I247" t="s">
        <v>637</v>
      </c>
      <c r="J247" t="s">
        <v>638</v>
      </c>
      <c r="K247" t="s">
        <v>639</v>
      </c>
      <c r="L247">
        <v>1368</v>
      </c>
      <c r="N247">
        <v>1011</v>
      </c>
      <c r="O247" t="s">
        <v>137</v>
      </c>
      <c r="P247" t="s">
        <v>137</v>
      </c>
      <c r="Q247">
        <v>1</v>
      </c>
      <c r="X247">
        <v>0.14000000000000001</v>
      </c>
      <c r="Y247">
        <v>0</v>
      </c>
      <c r="Z247">
        <v>93.37</v>
      </c>
      <c r="AA247">
        <v>11.69</v>
      </c>
      <c r="AB247">
        <v>0</v>
      </c>
      <c r="AC247">
        <v>0</v>
      </c>
      <c r="AD247">
        <v>1</v>
      </c>
      <c r="AE247">
        <v>0</v>
      </c>
      <c r="AF247" t="s">
        <v>24</v>
      </c>
      <c r="AG247">
        <v>0.15680000000000002</v>
      </c>
      <c r="AH247">
        <v>2</v>
      </c>
      <c r="AI247">
        <v>86327608</v>
      </c>
      <c r="AJ247">
        <v>325</v>
      </c>
      <c r="AK247">
        <v>0</v>
      </c>
      <c r="AL247">
        <v>0</v>
      </c>
      <c r="AM247">
        <v>0</v>
      </c>
      <c r="AN247">
        <v>0</v>
      </c>
      <c r="AO247">
        <v>0</v>
      </c>
      <c r="AP247">
        <v>0</v>
      </c>
      <c r="AQ247">
        <v>0</v>
      </c>
      <c r="AR247">
        <v>0</v>
      </c>
    </row>
    <row r="248" spans="1:44" x14ac:dyDescent="0.2">
      <c r="A248">
        <f>ROW(Source!A259)</f>
        <v>259</v>
      </c>
      <c r="B248">
        <v>86327616</v>
      </c>
      <c r="C248">
        <v>86327603</v>
      </c>
      <c r="D248">
        <v>27377917</v>
      </c>
      <c r="E248">
        <v>1</v>
      </c>
      <c r="F248">
        <v>1</v>
      </c>
      <c r="G248">
        <v>1</v>
      </c>
      <c r="H248">
        <v>3</v>
      </c>
      <c r="I248" t="s">
        <v>316</v>
      </c>
      <c r="J248" t="s">
        <v>318</v>
      </c>
      <c r="K248" t="s">
        <v>317</v>
      </c>
      <c r="L248">
        <v>1348</v>
      </c>
      <c r="N248">
        <v>1009</v>
      </c>
      <c r="O248" t="s">
        <v>33</v>
      </c>
      <c r="P248" t="s">
        <v>33</v>
      </c>
      <c r="Q248">
        <v>1000</v>
      </c>
      <c r="X248">
        <v>6.0000000000000001E-3</v>
      </c>
      <c r="Y248">
        <v>10559.12</v>
      </c>
      <c r="Z248">
        <v>0</v>
      </c>
      <c r="AA248">
        <v>0</v>
      </c>
      <c r="AB248">
        <v>0</v>
      </c>
      <c r="AC248">
        <v>0</v>
      </c>
      <c r="AD248">
        <v>1</v>
      </c>
      <c r="AE248">
        <v>0</v>
      </c>
      <c r="AF248" t="s">
        <v>6</v>
      </c>
      <c r="AG248">
        <v>6.0000000000000001E-3</v>
      </c>
      <c r="AH248">
        <v>2</v>
      </c>
      <c r="AI248">
        <v>86327609</v>
      </c>
      <c r="AJ248">
        <v>326</v>
      </c>
      <c r="AK248">
        <v>3</v>
      </c>
      <c r="AL248">
        <v>-63.354720000000007</v>
      </c>
      <c r="AM248">
        <v>0</v>
      </c>
      <c r="AN248">
        <v>0</v>
      </c>
      <c r="AO248">
        <v>0</v>
      </c>
      <c r="AP248">
        <v>0</v>
      </c>
      <c r="AQ248">
        <v>0</v>
      </c>
      <c r="AR248">
        <v>1</v>
      </c>
    </row>
    <row r="249" spans="1:44" x14ac:dyDescent="0.2">
      <c r="A249">
        <f>ROW(Source!A259)</f>
        <v>259</v>
      </c>
      <c r="B249">
        <v>86327617</v>
      </c>
      <c r="C249">
        <v>86327603</v>
      </c>
      <c r="D249">
        <v>27393976</v>
      </c>
      <c r="E249">
        <v>1</v>
      </c>
      <c r="F249">
        <v>1</v>
      </c>
      <c r="G249">
        <v>1</v>
      </c>
      <c r="H249">
        <v>3</v>
      </c>
      <c r="I249" t="s">
        <v>742</v>
      </c>
      <c r="J249" t="s">
        <v>743</v>
      </c>
      <c r="K249" t="s">
        <v>744</v>
      </c>
      <c r="L249">
        <v>1348</v>
      </c>
      <c r="N249">
        <v>1009</v>
      </c>
      <c r="O249" t="s">
        <v>33</v>
      </c>
      <c r="P249" t="s">
        <v>33</v>
      </c>
      <c r="Q249">
        <v>1000</v>
      </c>
      <c r="X249">
        <v>1</v>
      </c>
      <c r="Y249">
        <v>6000</v>
      </c>
      <c r="Z249">
        <v>0</v>
      </c>
      <c r="AA249">
        <v>0</v>
      </c>
      <c r="AB249">
        <v>0</v>
      </c>
      <c r="AC249">
        <v>0</v>
      </c>
      <c r="AD249">
        <v>1</v>
      </c>
      <c r="AE249">
        <v>0</v>
      </c>
      <c r="AF249" t="s">
        <v>6</v>
      </c>
      <c r="AG249">
        <v>1</v>
      </c>
      <c r="AH249">
        <v>3</v>
      </c>
      <c r="AI249">
        <v>-1</v>
      </c>
      <c r="AJ249" t="s">
        <v>6</v>
      </c>
      <c r="AK249">
        <v>4</v>
      </c>
      <c r="AL249">
        <v>-6000</v>
      </c>
      <c r="AM249">
        <v>0</v>
      </c>
      <c r="AN249">
        <v>0</v>
      </c>
      <c r="AO249">
        <v>0</v>
      </c>
      <c r="AP249">
        <v>0</v>
      </c>
      <c r="AQ249">
        <v>0</v>
      </c>
      <c r="AR249">
        <v>1</v>
      </c>
    </row>
    <row r="250" spans="1:44" x14ac:dyDescent="0.2">
      <c r="A250">
        <f>ROW(Source!A260)</f>
        <v>260</v>
      </c>
      <c r="B250">
        <v>86327611</v>
      </c>
      <c r="C250">
        <v>86327603</v>
      </c>
      <c r="D250">
        <v>27496319</v>
      </c>
      <c r="E250">
        <v>1</v>
      </c>
      <c r="F250">
        <v>1</v>
      </c>
      <c r="G250">
        <v>1</v>
      </c>
      <c r="H250">
        <v>1</v>
      </c>
      <c r="I250" t="s">
        <v>672</v>
      </c>
      <c r="J250" t="s">
        <v>6</v>
      </c>
      <c r="K250" t="s">
        <v>673</v>
      </c>
      <c r="L250">
        <v>1369</v>
      </c>
      <c r="N250">
        <v>1013</v>
      </c>
      <c r="O250" t="s">
        <v>625</v>
      </c>
      <c r="P250" t="s">
        <v>625</v>
      </c>
      <c r="Q250">
        <v>1</v>
      </c>
      <c r="X250">
        <v>27.28</v>
      </c>
      <c r="Y250">
        <v>0</v>
      </c>
      <c r="Z250">
        <v>0</v>
      </c>
      <c r="AA250">
        <v>0</v>
      </c>
      <c r="AB250">
        <v>8.01</v>
      </c>
      <c r="AC250">
        <v>0</v>
      </c>
      <c r="AD250">
        <v>1</v>
      </c>
      <c r="AE250">
        <v>1</v>
      </c>
      <c r="AF250" t="s">
        <v>25</v>
      </c>
      <c r="AG250">
        <v>28.644000000000002</v>
      </c>
      <c r="AH250">
        <v>2</v>
      </c>
      <c r="AI250">
        <v>86327604</v>
      </c>
      <c r="AJ250">
        <v>328</v>
      </c>
      <c r="AK250">
        <v>0</v>
      </c>
      <c r="AL250">
        <v>0</v>
      </c>
      <c r="AM250">
        <v>0</v>
      </c>
      <c r="AN250">
        <v>0</v>
      </c>
      <c r="AO250">
        <v>0</v>
      </c>
      <c r="AP250">
        <v>0</v>
      </c>
      <c r="AQ250">
        <v>0</v>
      </c>
      <c r="AR250">
        <v>0</v>
      </c>
    </row>
    <row r="251" spans="1:44" x14ac:dyDescent="0.2">
      <c r="A251">
        <f>ROW(Source!A260)</f>
        <v>260</v>
      </c>
      <c r="B251">
        <v>86327612</v>
      </c>
      <c r="C251">
        <v>86327603</v>
      </c>
      <c r="D251">
        <v>121548</v>
      </c>
      <c r="E251">
        <v>1</v>
      </c>
      <c r="F251">
        <v>1</v>
      </c>
      <c r="G251">
        <v>1</v>
      </c>
      <c r="H251">
        <v>1</v>
      </c>
      <c r="I251" t="s">
        <v>40</v>
      </c>
      <c r="J251" t="s">
        <v>6</v>
      </c>
      <c r="K251" t="s">
        <v>626</v>
      </c>
      <c r="L251">
        <v>608254</v>
      </c>
      <c r="N251">
        <v>1013</v>
      </c>
      <c r="O251" t="s">
        <v>627</v>
      </c>
      <c r="P251" t="s">
        <v>627</v>
      </c>
      <c r="Q251">
        <v>1</v>
      </c>
      <c r="X251">
        <v>0.56000000000000005</v>
      </c>
      <c r="Y251">
        <v>0</v>
      </c>
      <c r="Z251">
        <v>0</v>
      </c>
      <c r="AA251">
        <v>0</v>
      </c>
      <c r="AB251">
        <v>0</v>
      </c>
      <c r="AC251">
        <v>0</v>
      </c>
      <c r="AD251">
        <v>1</v>
      </c>
      <c r="AE251">
        <v>2</v>
      </c>
      <c r="AF251" t="s">
        <v>24</v>
      </c>
      <c r="AG251">
        <v>0.62720000000000009</v>
      </c>
      <c r="AH251">
        <v>2</v>
      </c>
      <c r="AI251">
        <v>86327605</v>
      </c>
      <c r="AJ251">
        <v>329</v>
      </c>
      <c r="AK251">
        <v>0</v>
      </c>
      <c r="AL251">
        <v>0</v>
      </c>
      <c r="AM251">
        <v>0</v>
      </c>
      <c r="AN251">
        <v>0</v>
      </c>
      <c r="AO251">
        <v>0</v>
      </c>
      <c r="AP251">
        <v>0</v>
      </c>
      <c r="AQ251">
        <v>0</v>
      </c>
      <c r="AR251">
        <v>0</v>
      </c>
    </row>
    <row r="252" spans="1:44" x14ac:dyDescent="0.2">
      <c r="A252">
        <f>ROW(Source!A260)</f>
        <v>260</v>
      </c>
      <c r="B252">
        <v>86327613</v>
      </c>
      <c r="C252">
        <v>86327603</v>
      </c>
      <c r="D252">
        <v>27439418</v>
      </c>
      <c r="E252">
        <v>1</v>
      </c>
      <c r="F252">
        <v>1</v>
      </c>
      <c r="G252">
        <v>1</v>
      </c>
      <c r="H252">
        <v>2</v>
      </c>
      <c r="I252" t="s">
        <v>652</v>
      </c>
      <c r="J252" t="s">
        <v>653</v>
      </c>
      <c r="K252" t="s">
        <v>654</v>
      </c>
      <c r="L252">
        <v>1368</v>
      </c>
      <c r="N252">
        <v>1011</v>
      </c>
      <c r="O252" t="s">
        <v>137</v>
      </c>
      <c r="P252" t="s">
        <v>137</v>
      </c>
      <c r="Q252">
        <v>1</v>
      </c>
      <c r="X252">
        <v>0.46</v>
      </c>
      <c r="Y252">
        <v>0</v>
      </c>
      <c r="Z252">
        <v>91.69</v>
      </c>
      <c r="AA252">
        <v>13.61</v>
      </c>
      <c r="AB252">
        <v>0</v>
      </c>
      <c r="AC252">
        <v>0</v>
      </c>
      <c r="AD252">
        <v>1</v>
      </c>
      <c r="AE252">
        <v>0</v>
      </c>
      <c r="AF252" t="s">
        <v>24</v>
      </c>
      <c r="AG252">
        <v>0.5152000000000001</v>
      </c>
      <c r="AH252">
        <v>3</v>
      </c>
      <c r="AI252">
        <v>-1</v>
      </c>
      <c r="AJ252" t="s">
        <v>6</v>
      </c>
      <c r="AK252">
        <v>4</v>
      </c>
      <c r="AL252">
        <v>0</v>
      </c>
      <c r="AM252">
        <v>-47.23868800000001</v>
      </c>
      <c r="AN252">
        <v>-7.0118720000000012</v>
      </c>
      <c r="AO252">
        <v>0</v>
      </c>
      <c r="AP252">
        <v>0</v>
      </c>
      <c r="AQ252">
        <v>0</v>
      </c>
      <c r="AR252">
        <v>1</v>
      </c>
    </row>
    <row r="253" spans="1:44" x14ac:dyDescent="0.2">
      <c r="A253">
        <f>ROW(Source!A260)</f>
        <v>260</v>
      </c>
      <c r="B253">
        <v>86327614</v>
      </c>
      <c r="C253">
        <v>86327603</v>
      </c>
      <c r="D253">
        <v>27439499</v>
      </c>
      <c r="E253">
        <v>1</v>
      </c>
      <c r="F253">
        <v>1</v>
      </c>
      <c r="G253">
        <v>1</v>
      </c>
      <c r="H253">
        <v>2</v>
      </c>
      <c r="I253" t="s">
        <v>631</v>
      </c>
      <c r="J253" t="s">
        <v>632</v>
      </c>
      <c r="K253" t="s">
        <v>633</v>
      </c>
      <c r="L253">
        <v>1368</v>
      </c>
      <c r="N253">
        <v>1011</v>
      </c>
      <c r="O253" t="s">
        <v>137</v>
      </c>
      <c r="P253" t="s">
        <v>137</v>
      </c>
      <c r="Q253">
        <v>1</v>
      </c>
      <c r="X253">
        <v>0.1</v>
      </c>
      <c r="Y253">
        <v>0</v>
      </c>
      <c r="Z253">
        <v>112.67</v>
      </c>
      <c r="AA253">
        <v>13.61</v>
      </c>
      <c r="AB253">
        <v>0</v>
      </c>
      <c r="AC253">
        <v>0</v>
      </c>
      <c r="AD253">
        <v>1</v>
      </c>
      <c r="AE253">
        <v>0</v>
      </c>
      <c r="AF253" t="s">
        <v>24</v>
      </c>
      <c r="AG253">
        <v>0.11200000000000002</v>
      </c>
      <c r="AH253">
        <v>2</v>
      </c>
      <c r="AI253">
        <v>86327607</v>
      </c>
      <c r="AJ253">
        <v>331</v>
      </c>
      <c r="AK253">
        <v>0</v>
      </c>
      <c r="AL253">
        <v>0</v>
      </c>
      <c r="AM253">
        <v>0</v>
      </c>
      <c r="AN253">
        <v>0</v>
      </c>
      <c r="AO253">
        <v>0</v>
      </c>
      <c r="AP253">
        <v>0</v>
      </c>
      <c r="AQ253">
        <v>0</v>
      </c>
      <c r="AR253">
        <v>0</v>
      </c>
    </row>
    <row r="254" spans="1:44" x14ac:dyDescent="0.2">
      <c r="A254">
        <f>ROW(Source!A260)</f>
        <v>260</v>
      </c>
      <c r="B254">
        <v>86327615</v>
      </c>
      <c r="C254">
        <v>86327603</v>
      </c>
      <c r="D254">
        <v>27441327</v>
      </c>
      <c r="E254">
        <v>1</v>
      </c>
      <c r="F254">
        <v>1</v>
      </c>
      <c r="G254">
        <v>1</v>
      </c>
      <c r="H254">
        <v>2</v>
      </c>
      <c r="I254" t="s">
        <v>637</v>
      </c>
      <c r="J254" t="s">
        <v>638</v>
      </c>
      <c r="K254" t="s">
        <v>639</v>
      </c>
      <c r="L254">
        <v>1368</v>
      </c>
      <c r="N254">
        <v>1011</v>
      </c>
      <c r="O254" t="s">
        <v>137</v>
      </c>
      <c r="P254" t="s">
        <v>137</v>
      </c>
      <c r="Q254">
        <v>1</v>
      </c>
      <c r="X254">
        <v>0.14000000000000001</v>
      </c>
      <c r="Y254">
        <v>0</v>
      </c>
      <c r="Z254">
        <v>93.37</v>
      </c>
      <c r="AA254">
        <v>11.69</v>
      </c>
      <c r="AB254">
        <v>0</v>
      </c>
      <c r="AC254">
        <v>0</v>
      </c>
      <c r="AD254">
        <v>1</v>
      </c>
      <c r="AE254">
        <v>0</v>
      </c>
      <c r="AF254" t="s">
        <v>24</v>
      </c>
      <c r="AG254">
        <v>0.15680000000000002</v>
      </c>
      <c r="AH254">
        <v>2</v>
      </c>
      <c r="AI254">
        <v>86327608</v>
      </c>
      <c r="AJ254">
        <v>332</v>
      </c>
      <c r="AK254">
        <v>0</v>
      </c>
      <c r="AL254">
        <v>0</v>
      </c>
      <c r="AM254">
        <v>0</v>
      </c>
      <c r="AN254">
        <v>0</v>
      </c>
      <c r="AO254">
        <v>0</v>
      </c>
      <c r="AP254">
        <v>0</v>
      </c>
      <c r="AQ254">
        <v>0</v>
      </c>
      <c r="AR254">
        <v>0</v>
      </c>
    </row>
    <row r="255" spans="1:44" x14ac:dyDescent="0.2">
      <c r="A255">
        <f>ROW(Source!A260)</f>
        <v>260</v>
      </c>
      <c r="B255">
        <v>86327616</v>
      </c>
      <c r="C255">
        <v>86327603</v>
      </c>
      <c r="D255">
        <v>27377917</v>
      </c>
      <c r="E255">
        <v>1</v>
      </c>
      <c r="F255">
        <v>1</v>
      </c>
      <c r="G255">
        <v>1</v>
      </c>
      <c r="H255">
        <v>3</v>
      </c>
      <c r="I255" t="s">
        <v>316</v>
      </c>
      <c r="J255" t="s">
        <v>318</v>
      </c>
      <c r="K255" t="s">
        <v>317</v>
      </c>
      <c r="L255">
        <v>1348</v>
      </c>
      <c r="N255">
        <v>1009</v>
      </c>
      <c r="O255" t="s">
        <v>33</v>
      </c>
      <c r="P255" t="s">
        <v>33</v>
      </c>
      <c r="Q255">
        <v>1000</v>
      </c>
      <c r="X255">
        <v>6.0000000000000001E-3</v>
      </c>
      <c r="Y255">
        <v>10559.12</v>
      </c>
      <c r="Z255">
        <v>0</v>
      </c>
      <c r="AA255">
        <v>0</v>
      </c>
      <c r="AB255">
        <v>0</v>
      </c>
      <c r="AC255">
        <v>0</v>
      </c>
      <c r="AD255">
        <v>1</v>
      </c>
      <c r="AE255">
        <v>0</v>
      </c>
      <c r="AF255" t="s">
        <v>6</v>
      </c>
      <c r="AG255">
        <v>6.0000000000000001E-3</v>
      </c>
      <c r="AH255">
        <v>2</v>
      </c>
      <c r="AI255">
        <v>86327609</v>
      </c>
      <c r="AJ255">
        <v>333</v>
      </c>
      <c r="AK255">
        <v>3</v>
      </c>
      <c r="AL255">
        <v>-63.354720000000007</v>
      </c>
      <c r="AM255">
        <v>0</v>
      </c>
      <c r="AN255">
        <v>0</v>
      </c>
      <c r="AO255">
        <v>0</v>
      </c>
      <c r="AP255">
        <v>0</v>
      </c>
      <c r="AQ255">
        <v>0</v>
      </c>
      <c r="AR255">
        <v>1</v>
      </c>
    </row>
    <row r="256" spans="1:44" x14ac:dyDescent="0.2">
      <c r="A256">
        <f>ROW(Source!A260)</f>
        <v>260</v>
      </c>
      <c r="B256">
        <v>86327617</v>
      </c>
      <c r="C256">
        <v>86327603</v>
      </c>
      <c r="D256">
        <v>27393976</v>
      </c>
      <c r="E256">
        <v>1</v>
      </c>
      <c r="F256">
        <v>1</v>
      </c>
      <c r="G256">
        <v>1</v>
      </c>
      <c r="H256">
        <v>3</v>
      </c>
      <c r="I256" t="s">
        <v>742</v>
      </c>
      <c r="J256" t="s">
        <v>743</v>
      </c>
      <c r="K256" t="s">
        <v>744</v>
      </c>
      <c r="L256">
        <v>1348</v>
      </c>
      <c r="N256">
        <v>1009</v>
      </c>
      <c r="O256" t="s">
        <v>33</v>
      </c>
      <c r="P256" t="s">
        <v>33</v>
      </c>
      <c r="Q256">
        <v>1000</v>
      </c>
      <c r="X256">
        <v>1</v>
      </c>
      <c r="Y256">
        <v>6000</v>
      </c>
      <c r="Z256">
        <v>0</v>
      </c>
      <c r="AA256">
        <v>0</v>
      </c>
      <c r="AB256">
        <v>0</v>
      </c>
      <c r="AC256">
        <v>0</v>
      </c>
      <c r="AD256">
        <v>1</v>
      </c>
      <c r="AE256">
        <v>0</v>
      </c>
      <c r="AF256" t="s">
        <v>6</v>
      </c>
      <c r="AG256">
        <v>1</v>
      </c>
      <c r="AH256">
        <v>3</v>
      </c>
      <c r="AI256">
        <v>-1</v>
      </c>
      <c r="AJ256" t="s">
        <v>6</v>
      </c>
      <c r="AK256">
        <v>4</v>
      </c>
      <c r="AL256">
        <v>-6000</v>
      </c>
      <c r="AM256">
        <v>0</v>
      </c>
      <c r="AN256">
        <v>0</v>
      </c>
      <c r="AO256">
        <v>0</v>
      </c>
      <c r="AP256">
        <v>0</v>
      </c>
      <c r="AQ256">
        <v>0</v>
      </c>
      <c r="AR256">
        <v>1</v>
      </c>
    </row>
    <row r="257" spans="1:44" x14ac:dyDescent="0.2">
      <c r="A257">
        <f>ROW(Source!A265)</f>
        <v>265</v>
      </c>
      <c r="B257">
        <v>86327629</v>
      </c>
      <c r="C257">
        <v>86327620</v>
      </c>
      <c r="D257">
        <v>27493137</v>
      </c>
      <c r="E257">
        <v>1</v>
      </c>
      <c r="F257">
        <v>1</v>
      </c>
      <c r="G257">
        <v>1</v>
      </c>
      <c r="H257">
        <v>1</v>
      </c>
      <c r="I257" t="s">
        <v>674</v>
      </c>
      <c r="J257" t="s">
        <v>6</v>
      </c>
      <c r="K257" t="s">
        <v>675</v>
      </c>
      <c r="L257">
        <v>1369</v>
      </c>
      <c r="N257">
        <v>1013</v>
      </c>
      <c r="O257" t="s">
        <v>625</v>
      </c>
      <c r="P257" t="s">
        <v>625</v>
      </c>
      <c r="Q257">
        <v>1</v>
      </c>
      <c r="X257">
        <v>3.83</v>
      </c>
      <c r="Y257">
        <v>0</v>
      </c>
      <c r="Z257">
        <v>0</v>
      </c>
      <c r="AA257">
        <v>0</v>
      </c>
      <c r="AB257">
        <v>9.15</v>
      </c>
      <c r="AC257">
        <v>0</v>
      </c>
      <c r="AD257">
        <v>1</v>
      </c>
      <c r="AE257">
        <v>1</v>
      </c>
      <c r="AF257" t="s">
        <v>379</v>
      </c>
      <c r="AG257">
        <v>7.66</v>
      </c>
      <c r="AH257">
        <v>2</v>
      </c>
      <c r="AI257">
        <v>86327621</v>
      </c>
      <c r="AJ257">
        <v>335</v>
      </c>
      <c r="AK257">
        <v>0</v>
      </c>
      <c r="AL257">
        <v>0</v>
      </c>
      <c r="AM257">
        <v>0</v>
      </c>
      <c r="AN257">
        <v>0</v>
      </c>
      <c r="AO257">
        <v>0</v>
      </c>
      <c r="AP257">
        <v>0</v>
      </c>
      <c r="AQ257">
        <v>0</v>
      </c>
      <c r="AR257">
        <v>0</v>
      </c>
    </row>
    <row r="258" spans="1:44" x14ac:dyDescent="0.2">
      <c r="A258">
        <f>ROW(Source!A265)</f>
        <v>265</v>
      </c>
      <c r="B258">
        <v>86327630</v>
      </c>
      <c r="C258">
        <v>86327620</v>
      </c>
      <c r="D258">
        <v>121548</v>
      </c>
      <c r="E258">
        <v>1</v>
      </c>
      <c r="F258">
        <v>1</v>
      </c>
      <c r="G258">
        <v>1</v>
      </c>
      <c r="H258">
        <v>1</v>
      </c>
      <c r="I258" t="s">
        <v>40</v>
      </c>
      <c r="J258" t="s">
        <v>6</v>
      </c>
      <c r="K258" t="s">
        <v>626</v>
      </c>
      <c r="L258">
        <v>608254</v>
      </c>
      <c r="N258">
        <v>1013</v>
      </c>
      <c r="O258" t="s">
        <v>627</v>
      </c>
      <c r="P258" t="s">
        <v>627</v>
      </c>
      <c r="Q258">
        <v>1</v>
      </c>
      <c r="X258">
        <v>0.01</v>
      </c>
      <c r="Y258">
        <v>0</v>
      </c>
      <c r="Z258">
        <v>0</v>
      </c>
      <c r="AA258">
        <v>0</v>
      </c>
      <c r="AB258">
        <v>0</v>
      </c>
      <c r="AC258">
        <v>0</v>
      </c>
      <c r="AD258">
        <v>1</v>
      </c>
      <c r="AE258">
        <v>2</v>
      </c>
      <c r="AF258" t="s">
        <v>379</v>
      </c>
      <c r="AG258">
        <v>0.02</v>
      </c>
      <c r="AH258">
        <v>2</v>
      </c>
      <c r="AI258">
        <v>86327622</v>
      </c>
      <c r="AJ258">
        <v>336</v>
      </c>
      <c r="AK258">
        <v>0</v>
      </c>
      <c r="AL258">
        <v>0</v>
      </c>
      <c r="AM258">
        <v>0</v>
      </c>
      <c r="AN258">
        <v>0</v>
      </c>
      <c r="AO258">
        <v>0</v>
      </c>
      <c r="AP258">
        <v>0</v>
      </c>
      <c r="AQ258">
        <v>0</v>
      </c>
      <c r="AR258">
        <v>0</v>
      </c>
    </row>
    <row r="259" spans="1:44" x14ac:dyDescent="0.2">
      <c r="A259">
        <f>ROW(Source!A265)</f>
        <v>265</v>
      </c>
      <c r="B259">
        <v>86327631</v>
      </c>
      <c r="C259">
        <v>86327620</v>
      </c>
      <c r="D259">
        <v>27439571</v>
      </c>
      <c r="E259">
        <v>1</v>
      </c>
      <c r="F259">
        <v>1</v>
      </c>
      <c r="G259">
        <v>1</v>
      </c>
      <c r="H259">
        <v>2</v>
      </c>
      <c r="I259" t="s">
        <v>676</v>
      </c>
      <c r="J259" t="s">
        <v>677</v>
      </c>
      <c r="K259" t="s">
        <v>678</v>
      </c>
      <c r="L259">
        <v>1368</v>
      </c>
      <c r="N259">
        <v>1011</v>
      </c>
      <c r="O259" t="s">
        <v>137</v>
      </c>
      <c r="P259" t="s">
        <v>137</v>
      </c>
      <c r="Q259">
        <v>1</v>
      </c>
      <c r="X259">
        <v>0.01</v>
      </c>
      <c r="Y259">
        <v>0</v>
      </c>
      <c r="Z259">
        <v>88.42</v>
      </c>
      <c r="AA259">
        <v>10.14</v>
      </c>
      <c r="AB259">
        <v>0</v>
      </c>
      <c r="AC259">
        <v>0</v>
      </c>
      <c r="AD259">
        <v>1</v>
      </c>
      <c r="AE259">
        <v>0</v>
      </c>
      <c r="AF259" t="s">
        <v>379</v>
      </c>
      <c r="AG259">
        <v>0.02</v>
      </c>
      <c r="AH259">
        <v>2</v>
      </c>
      <c r="AI259">
        <v>86327623</v>
      </c>
      <c r="AJ259">
        <v>337</v>
      </c>
      <c r="AK259">
        <v>0</v>
      </c>
      <c r="AL259">
        <v>0</v>
      </c>
      <c r="AM259">
        <v>0</v>
      </c>
      <c r="AN259">
        <v>0</v>
      </c>
      <c r="AO259">
        <v>0</v>
      </c>
      <c r="AP259">
        <v>0</v>
      </c>
      <c r="AQ259">
        <v>0</v>
      </c>
      <c r="AR259">
        <v>0</v>
      </c>
    </row>
    <row r="260" spans="1:44" x14ac:dyDescent="0.2">
      <c r="A260">
        <f>ROW(Source!A265)</f>
        <v>265</v>
      </c>
      <c r="B260">
        <v>86327632</v>
      </c>
      <c r="C260">
        <v>86327620</v>
      </c>
      <c r="D260">
        <v>27439595</v>
      </c>
      <c r="E260">
        <v>1</v>
      </c>
      <c r="F260">
        <v>1</v>
      </c>
      <c r="G260">
        <v>1</v>
      </c>
      <c r="H260">
        <v>2</v>
      </c>
      <c r="I260" t="s">
        <v>679</v>
      </c>
      <c r="J260" t="s">
        <v>680</v>
      </c>
      <c r="K260" t="s">
        <v>681</v>
      </c>
      <c r="L260">
        <v>1368</v>
      </c>
      <c r="N260">
        <v>1011</v>
      </c>
      <c r="O260" t="s">
        <v>137</v>
      </c>
      <c r="P260" t="s">
        <v>137</v>
      </c>
      <c r="Q260">
        <v>1</v>
      </c>
      <c r="X260">
        <v>0.01</v>
      </c>
      <c r="Y260">
        <v>0</v>
      </c>
      <c r="Z260">
        <v>2.17</v>
      </c>
      <c r="AA260">
        <v>0</v>
      </c>
      <c r="AB260">
        <v>0</v>
      </c>
      <c r="AC260">
        <v>0</v>
      </c>
      <c r="AD260">
        <v>1</v>
      </c>
      <c r="AE260">
        <v>0</v>
      </c>
      <c r="AF260" t="s">
        <v>379</v>
      </c>
      <c r="AG260">
        <v>0.02</v>
      </c>
      <c r="AH260">
        <v>2</v>
      </c>
      <c r="AI260">
        <v>86327624</v>
      </c>
      <c r="AJ260">
        <v>338</v>
      </c>
      <c r="AK260">
        <v>0</v>
      </c>
      <c r="AL260">
        <v>0</v>
      </c>
      <c r="AM260">
        <v>0</v>
      </c>
      <c r="AN260">
        <v>0</v>
      </c>
      <c r="AO260">
        <v>0</v>
      </c>
      <c r="AP260">
        <v>0</v>
      </c>
      <c r="AQ260">
        <v>0</v>
      </c>
      <c r="AR260">
        <v>0</v>
      </c>
    </row>
    <row r="261" spans="1:44" x14ac:dyDescent="0.2">
      <c r="A261">
        <f>ROW(Source!A265)</f>
        <v>265</v>
      </c>
      <c r="B261">
        <v>86327633</v>
      </c>
      <c r="C261">
        <v>86327620</v>
      </c>
      <c r="D261">
        <v>27441139</v>
      </c>
      <c r="E261">
        <v>1</v>
      </c>
      <c r="F261">
        <v>1</v>
      </c>
      <c r="G261">
        <v>1</v>
      </c>
      <c r="H261">
        <v>2</v>
      </c>
      <c r="I261" t="s">
        <v>682</v>
      </c>
      <c r="J261" t="s">
        <v>683</v>
      </c>
      <c r="K261" t="s">
        <v>684</v>
      </c>
      <c r="L261">
        <v>1368</v>
      </c>
      <c r="N261">
        <v>1011</v>
      </c>
      <c r="O261" t="s">
        <v>137</v>
      </c>
      <c r="P261" t="s">
        <v>137</v>
      </c>
      <c r="Q261">
        <v>1</v>
      </c>
      <c r="X261">
        <v>0.65</v>
      </c>
      <c r="Y261">
        <v>0</v>
      </c>
      <c r="Z261">
        <v>6.81</v>
      </c>
      <c r="AA261">
        <v>0</v>
      </c>
      <c r="AB261">
        <v>0</v>
      </c>
      <c r="AC261">
        <v>0</v>
      </c>
      <c r="AD261">
        <v>1</v>
      </c>
      <c r="AE261">
        <v>0</v>
      </c>
      <c r="AF261" t="s">
        <v>379</v>
      </c>
      <c r="AG261">
        <v>1.3</v>
      </c>
      <c r="AH261">
        <v>2</v>
      </c>
      <c r="AI261">
        <v>86327625</v>
      </c>
      <c r="AJ261">
        <v>339</v>
      </c>
      <c r="AK261">
        <v>0</v>
      </c>
      <c r="AL261">
        <v>0</v>
      </c>
      <c r="AM261">
        <v>0</v>
      </c>
      <c r="AN261">
        <v>0</v>
      </c>
      <c r="AO261">
        <v>0</v>
      </c>
      <c r="AP261">
        <v>0</v>
      </c>
      <c r="AQ261">
        <v>0</v>
      </c>
      <c r="AR261">
        <v>0</v>
      </c>
    </row>
    <row r="262" spans="1:44" x14ac:dyDescent="0.2">
      <c r="A262">
        <f>ROW(Source!A265)</f>
        <v>265</v>
      </c>
      <c r="B262">
        <v>86327634</v>
      </c>
      <c r="C262">
        <v>86327620</v>
      </c>
      <c r="D262">
        <v>27441327</v>
      </c>
      <c r="E262">
        <v>1</v>
      </c>
      <c r="F262">
        <v>1</v>
      </c>
      <c r="G262">
        <v>1</v>
      </c>
      <c r="H262">
        <v>2</v>
      </c>
      <c r="I262" t="s">
        <v>637</v>
      </c>
      <c r="J262" t="s">
        <v>638</v>
      </c>
      <c r="K262" t="s">
        <v>639</v>
      </c>
      <c r="L262">
        <v>1368</v>
      </c>
      <c r="N262">
        <v>1011</v>
      </c>
      <c r="O262" t="s">
        <v>137</v>
      </c>
      <c r="P262" t="s">
        <v>137</v>
      </c>
      <c r="Q262">
        <v>1</v>
      </c>
      <c r="X262">
        <v>0.01</v>
      </c>
      <c r="Y262">
        <v>0</v>
      </c>
      <c r="Z262">
        <v>93.37</v>
      </c>
      <c r="AA262">
        <v>11.69</v>
      </c>
      <c r="AB262">
        <v>0</v>
      </c>
      <c r="AC262">
        <v>0</v>
      </c>
      <c r="AD262">
        <v>1</v>
      </c>
      <c r="AE262">
        <v>0</v>
      </c>
      <c r="AF262" t="s">
        <v>379</v>
      </c>
      <c r="AG262">
        <v>0.02</v>
      </c>
      <c r="AH262">
        <v>2</v>
      </c>
      <c r="AI262">
        <v>86327626</v>
      </c>
      <c r="AJ262">
        <v>340</v>
      </c>
      <c r="AK262">
        <v>0</v>
      </c>
      <c r="AL262">
        <v>0</v>
      </c>
      <c r="AM262">
        <v>0</v>
      </c>
      <c r="AN262">
        <v>0</v>
      </c>
      <c r="AO262">
        <v>0</v>
      </c>
      <c r="AP262">
        <v>0</v>
      </c>
      <c r="AQ262">
        <v>0</v>
      </c>
      <c r="AR262">
        <v>0</v>
      </c>
    </row>
    <row r="263" spans="1:44" x14ac:dyDescent="0.2">
      <c r="A263">
        <f>ROW(Source!A265)</f>
        <v>265</v>
      </c>
      <c r="B263">
        <v>86327635</v>
      </c>
      <c r="C263">
        <v>86327620</v>
      </c>
      <c r="D263">
        <v>27371445</v>
      </c>
      <c r="E263">
        <v>1</v>
      </c>
      <c r="F263">
        <v>1</v>
      </c>
      <c r="G263">
        <v>1</v>
      </c>
      <c r="H263">
        <v>3</v>
      </c>
      <c r="I263" t="s">
        <v>383</v>
      </c>
      <c r="J263" t="s">
        <v>385</v>
      </c>
      <c r="K263" t="s">
        <v>384</v>
      </c>
      <c r="L263">
        <v>1348</v>
      </c>
      <c r="N263">
        <v>1009</v>
      </c>
      <c r="O263" t="s">
        <v>33</v>
      </c>
      <c r="P263" t="s">
        <v>33</v>
      </c>
      <c r="Q263">
        <v>1000</v>
      </c>
      <c r="X263">
        <v>1.4E-3</v>
      </c>
      <c r="Y263">
        <v>6156.33</v>
      </c>
      <c r="Z263">
        <v>0</v>
      </c>
      <c r="AA263">
        <v>0</v>
      </c>
      <c r="AB263">
        <v>0</v>
      </c>
      <c r="AC263">
        <v>0</v>
      </c>
      <c r="AD263">
        <v>1</v>
      </c>
      <c r="AE263">
        <v>0</v>
      </c>
      <c r="AF263" t="s">
        <v>379</v>
      </c>
      <c r="AG263">
        <v>2.8E-3</v>
      </c>
      <c r="AH263">
        <v>2</v>
      </c>
      <c r="AI263">
        <v>86327627</v>
      </c>
      <c r="AJ263">
        <v>341</v>
      </c>
      <c r="AK263">
        <v>3</v>
      </c>
      <c r="AL263">
        <v>-17.237724</v>
      </c>
      <c r="AM263">
        <v>0</v>
      </c>
      <c r="AN263">
        <v>0</v>
      </c>
      <c r="AO263">
        <v>0</v>
      </c>
      <c r="AP263">
        <v>0</v>
      </c>
      <c r="AQ263">
        <v>0</v>
      </c>
      <c r="AR263">
        <v>1</v>
      </c>
    </row>
    <row r="264" spans="1:44" x14ac:dyDescent="0.2">
      <c r="A264">
        <f>ROW(Source!A265)</f>
        <v>265</v>
      </c>
      <c r="B264">
        <v>86327636</v>
      </c>
      <c r="C264">
        <v>86327620</v>
      </c>
      <c r="D264">
        <v>27387231</v>
      </c>
      <c r="E264">
        <v>1</v>
      </c>
      <c r="F264">
        <v>1</v>
      </c>
      <c r="G264">
        <v>1</v>
      </c>
      <c r="H264">
        <v>3</v>
      </c>
      <c r="I264" t="s">
        <v>388</v>
      </c>
      <c r="J264" t="s">
        <v>390</v>
      </c>
      <c r="K264" t="s">
        <v>389</v>
      </c>
      <c r="L264">
        <v>1348</v>
      </c>
      <c r="N264">
        <v>1009</v>
      </c>
      <c r="O264" t="s">
        <v>33</v>
      </c>
      <c r="P264" t="s">
        <v>33</v>
      </c>
      <c r="Q264">
        <v>1000</v>
      </c>
      <c r="X264">
        <v>1.9E-2</v>
      </c>
      <c r="Y264">
        <v>14313</v>
      </c>
      <c r="Z264">
        <v>0</v>
      </c>
      <c r="AA264">
        <v>0</v>
      </c>
      <c r="AB264">
        <v>0</v>
      </c>
      <c r="AC264">
        <v>0</v>
      </c>
      <c r="AD264">
        <v>1</v>
      </c>
      <c r="AE264">
        <v>0</v>
      </c>
      <c r="AF264" t="s">
        <v>379</v>
      </c>
      <c r="AG264">
        <v>3.7999999999999999E-2</v>
      </c>
      <c r="AH264">
        <v>2</v>
      </c>
      <c r="AI264">
        <v>86327628</v>
      </c>
      <c r="AJ264">
        <v>342</v>
      </c>
      <c r="AK264">
        <v>3</v>
      </c>
      <c r="AL264">
        <v>-543.89400000000001</v>
      </c>
      <c r="AM264">
        <v>0</v>
      </c>
      <c r="AN264">
        <v>0</v>
      </c>
      <c r="AO264">
        <v>0</v>
      </c>
      <c r="AP264">
        <v>0</v>
      </c>
      <c r="AQ264">
        <v>0</v>
      </c>
      <c r="AR264">
        <v>1</v>
      </c>
    </row>
    <row r="265" spans="1:44" x14ac:dyDescent="0.2">
      <c r="A265">
        <f>ROW(Source!A266)</f>
        <v>266</v>
      </c>
      <c r="B265">
        <v>86327629</v>
      </c>
      <c r="C265">
        <v>86327620</v>
      </c>
      <c r="D265">
        <v>27493137</v>
      </c>
      <c r="E265">
        <v>1</v>
      </c>
      <c r="F265">
        <v>1</v>
      </c>
      <c r="G265">
        <v>1</v>
      </c>
      <c r="H265">
        <v>1</v>
      </c>
      <c r="I265" t="s">
        <v>674</v>
      </c>
      <c r="J265" t="s">
        <v>6</v>
      </c>
      <c r="K265" t="s">
        <v>675</v>
      </c>
      <c r="L265">
        <v>1369</v>
      </c>
      <c r="N265">
        <v>1013</v>
      </c>
      <c r="O265" t="s">
        <v>625</v>
      </c>
      <c r="P265" t="s">
        <v>625</v>
      </c>
      <c r="Q265">
        <v>1</v>
      </c>
      <c r="X265">
        <v>3.83</v>
      </c>
      <c r="Y265">
        <v>0</v>
      </c>
      <c r="Z265">
        <v>0</v>
      </c>
      <c r="AA265">
        <v>0</v>
      </c>
      <c r="AB265">
        <v>9.15</v>
      </c>
      <c r="AC265">
        <v>0</v>
      </c>
      <c r="AD265">
        <v>1</v>
      </c>
      <c r="AE265">
        <v>1</v>
      </c>
      <c r="AF265" t="s">
        <v>379</v>
      </c>
      <c r="AG265">
        <v>7.66</v>
      </c>
      <c r="AH265">
        <v>2</v>
      </c>
      <c r="AI265">
        <v>86327621</v>
      </c>
      <c r="AJ265">
        <v>343</v>
      </c>
      <c r="AK265">
        <v>0</v>
      </c>
      <c r="AL265">
        <v>0</v>
      </c>
      <c r="AM265">
        <v>0</v>
      </c>
      <c r="AN265">
        <v>0</v>
      </c>
      <c r="AO265">
        <v>0</v>
      </c>
      <c r="AP265">
        <v>0</v>
      </c>
      <c r="AQ265">
        <v>0</v>
      </c>
      <c r="AR265">
        <v>0</v>
      </c>
    </row>
    <row r="266" spans="1:44" x14ac:dyDescent="0.2">
      <c r="A266">
        <f>ROW(Source!A266)</f>
        <v>266</v>
      </c>
      <c r="B266">
        <v>86327630</v>
      </c>
      <c r="C266">
        <v>86327620</v>
      </c>
      <c r="D266">
        <v>121548</v>
      </c>
      <c r="E266">
        <v>1</v>
      </c>
      <c r="F266">
        <v>1</v>
      </c>
      <c r="G266">
        <v>1</v>
      </c>
      <c r="H266">
        <v>1</v>
      </c>
      <c r="I266" t="s">
        <v>40</v>
      </c>
      <c r="J266" t="s">
        <v>6</v>
      </c>
      <c r="K266" t="s">
        <v>626</v>
      </c>
      <c r="L266">
        <v>608254</v>
      </c>
      <c r="N266">
        <v>1013</v>
      </c>
      <c r="O266" t="s">
        <v>627</v>
      </c>
      <c r="P266" t="s">
        <v>627</v>
      </c>
      <c r="Q266">
        <v>1</v>
      </c>
      <c r="X266">
        <v>0.01</v>
      </c>
      <c r="Y266">
        <v>0</v>
      </c>
      <c r="Z266">
        <v>0</v>
      </c>
      <c r="AA266">
        <v>0</v>
      </c>
      <c r="AB266">
        <v>0</v>
      </c>
      <c r="AC266">
        <v>0</v>
      </c>
      <c r="AD266">
        <v>1</v>
      </c>
      <c r="AE266">
        <v>2</v>
      </c>
      <c r="AF266" t="s">
        <v>379</v>
      </c>
      <c r="AG266">
        <v>0.02</v>
      </c>
      <c r="AH266">
        <v>2</v>
      </c>
      <c r="AI266">
        <v>86327622</v>
      </c>
      <c r="AJ266">
        <v>344</v>
      </c>
      <c r="AK266">
        <v>0</v>
      </c>
      <c r="AL266">
        <v>0</v>
      </c>
      <c r="AM266">
        <v>0</v>
      </c>
      <c r="AN266">
        <v>0</v>
      </c>
      <c r="AO266">
        <v>0</v>
      </c>
      <c r="AP266">
        <v>0</v>
      </c>
      <c r="AQ266">
        <v>0</v>
      </c>
      <c r="AR266">
        <v>0</v>
      </c>
    </row>
    <row r="267" spans="1:44" x14ac:dyDescent="0.2">
      <c r="A267">
        <f>ROW(Source!A266)</f>
        <v>266</v>
      </c>
      <c r="B267">
        <v>86327631</v>
      </c>
      <c r="C267">
        <v>86327620</v>
      </c>
      <c r="D267">
        <v>27439571</v>
      </c>
      <c r="E267">
        <v>1</v>
      </c>
      <c r="F267">
        <v>1</v>
      </c>
      <c r="G267">
        <v>1</v>
      </c>
      <c r="H267">
        <v>2</v>
      </c>
      <c r="I267" t="s">
        <v>676</v>
      </c>
      <c r="J267" t="s">
        <v>677</v>
      </c>
      <c r="K267" t="s">
        <v>678</v>
      </c>
      <c r="L267">
        <v>1368</v>
      </c>
      <c r="N267">
        <v>1011</v>
      </c>
      <c r="O267" t="s">
        <v>137</v>
      </c>
      <c r="P267" t="s">
        <v>137</v>
      </c>
      <c r="Q267">
        <v>1</v>
      </c>
      <c r="X267">
        <v>0.01</v>
      </c>
      <c r="Y267">
        <v>0</v>
      </c>
      <c r="Z267">
        <v>88.42</v>
      </c>
      <c r="AA267">
        <v>10.14</v>
      </c>
      <c r="AB267">
        <v>0</v>
      </c>
      <c r="AC267">
        <v>0</v>
      </c>
      <c r="AD267">
        <v>1</v>
      </c>
      <c r="AE267">
        <v>0</v>
      </c>
      <c r="AF267" t="s">
        <v>379</v>
      </c>
      <c r="AG267">
        <v>0.02</v>
      </c>
      <c r="AH267">
        <v>2</v>
      </c>
      <c r="AI267">
        <v>86327623</v>
      </c>
      <c r="AJ267">
        <v>345</v>
      </c>
      <c r="AK267">
        <v>0</v>
      </c>
      <c r="AL267">
        <v>0</v>
      </c>
      <c r="AM267">
        <v>0</v>
      </c>
      <c r="AN267">
        <v>0</v>
      </c>
      <c r="AO267">
        <v>0</v>
      </c>
      <c r="AP267">
        <v>0</v>
      </c>
      <c r="AQ267">
        <v>0</v>
      </c>
      <c r="AR267">
        <v>0</v>
      </c>
    </row>
    <row r="268" spans="1:44" x14ac:dyDescent="0.2">
      <c r="A268">
        <f>ROW(Source!A266)</f>
        <v>266</v>
      </c>
      <c r="B268">
        <v>86327632</v>
      </c>
      <c r="C268">
        <v>86327620</v>
      </c>
      <c r="D268">
        <v>27439595</v>
      </c>
      <c r="E268">
        <v>1</v>
      </c>
      <c r="F268">
        <v>1</v>
      </c>
      <c r="G268">
        <v>1</v>
      </c>
      <c r="H268">
        <v>2</v>
      </c>
      <c r="I268" t="s">
        <v>679</v>
      </c>
      <c r="J268" t="s">
        <v>680</v>
      </c>
      <c r="K268" t="s">
        <v>681</v>
      </c>
      <c r="L268">
        <v>1368</v>
      </c>
      <c r="N268">
        <v>1011</v>
      </c>
      <c r="O268" t="s">
        <v>137</v>
      </c>
      <c r="P268" t="s">
        <v>137</v>
      </c>
      <c r="Q268">
        <v>1</v>
      </c>
      <c r="X268">
        <v>0.01</v>
      </c>
      <c r="Y268">
        <v>0</v>
      </c>
      <c r="Z268">
        <v>2.17</v>
      </c>
      <c r="AA268">
        <v>0</v>
      </c>
      <c r="AB268">
        <v>0</v>
      </c>
      <c r="AC268">
        <v>0</v>
      </c>
      <c r="AD268">
        <v>1</v>
      </c>
      <c r="AE268">
        <v>0</v>
      </c>
      <c r="AF268" t="s">
        <v>379</v>
      </c>
      <c r="AG268">
        <v>0.02</v>
      </c>
      <c r="AH268">
        <v>2</v>
      </c>
      <c r="AI268">
        <v>86327624</v>
      </c>
      <c r="AJ268">
        <v>346</v>
      </c>
      <c r="AK268">
        <v>0</v>
      </c>
      <c r="AL268">
        <v>0</v>
      </c>
      <c r="AM268">
        <v>0</v>
      </c>
      <c r="AN268">
        <v>0</v>
      </c>
      <c r="AO268">
        <v>0</v>
      </c>
      <c r="AP268">
        <v>0</v>
      </c>
      <c r="AQ268">
        <v>0</v>
      </c>
      <c r="AR268">
        <v>0</v>
      </c>
    </row>
    <row r="269" spans="1:44" x14ac:dyDescent="0.2">
      <c r="A269">
        <f>ROW(Source!A266)</f>
        <v>266</v>
      </c>
      <c r="B269">
        <v>86327633</v>
      </c>
      <c r="C269">
        <v>86327620</v>
      </c>
      <c r="D269">
        <v>27441139</v>
      </c>
      <c r="E269">
        <v>1</v>
      </c>
      <c r="F269">
        <v>1</v>
      </c>
      <c r="G269">
        <v>1</v>
      </c>
      <c r="H269">
        <v>2</v>
      </c>
      <c r="I269" t="s">
        <v>682</v>
      </c>
      <c r="J269" t="s">
        <v>683</v>
      </c>
      <c r="K269" t="s">
        <v>684</v>
      </c>
      <c r="L269">
        <v>1368</v>
      </c>
      <c r="N269">
        <v>1011</v>
      </c>
      <c r="O269" t="s">
        <v>137</v>
      </c>
      <c r="P269" t="s">
        <v>137</v>
      </c>
      <c r="Q269">
        <v>1</v>
      </c>
      <c r="X269">
        <v>0.65</v>
      </c>
      <c r="Y269">
        <v>0</v>
      </c>
      <c r="Z269">
        <v>6.81</v>
      </c>
      <c r="AA269">
        <v>0</v>
      </c>
      <c r="AB269">
        <v>0</v>
      </c>
      <c r="AC269">
        <v>0</v>
      </c>
      <c r="AD269">
        <v>1</v>
      </c>
      <c r="AE269">
        <v>0</v>
      </c>
      <c r="AF269" t="s">
        <v>379</v>
      </c>
      <c r="AG269">
        <v>1.3</v>
      </c>
      <c r="AH269">
        <v>2</v>
      </c>
      <c r="AI269">
        <v>86327625</v>
      </c>
      <c r="AJ269">
        <v>347</v>
      </c>
      <c r="AK269">
        <v>0</v>
      </c>
      <c r="AL269">
        <v>0</v>
      </c>
      <c r="AM269">
        <v>0</v>
      </c>
      <c r="AN269">
        <v>0</v>
      </c>
      <c r="AO269">
        <v>0</v>
      </c>
      <c r="AP269">
        <v>0</v>
      </c>
      <c r="AQ269">
        <v>0</v>
      </c>
      <c r="AR269">
        <v>0</v>
      </c>
    </row>
    <row r="270" spans="1:44" x14ac:dyDescent="0.2">
      <c r="A270">
        <f>ROW(Source!A266)</f>
        <v>266</v>
      </c>
      <c r="B270">
        <v>86327634</v>
      </c>
      <c r="C270">
        <v>86327620</v>
      </c>
      <c r="D270">
        <v>27441327</v>
      </c>
      <c r="E270">
        <v>1</v>
      </c>
      <c r="F270">
        <v>1</v>
      </c>
      <c r="G270">
        <v>1</v>
      </c>
      <c r="H270">
        <v>2</v>
      </c>
      <c r="I270" t="s">
        <v>637</v>
      </c>
      <c r="J270" t="s">
        <v>638</v>
      </c>
      <c r="K270" t="s">
        <v>639</v>
      </c>
      <c r="L270">
        <v>1368</v>
      </c>
      <c r="N270">
        <v>1011</v>
      </c>
      <c r="O270" t="s">
        <v>137</v>
      </c>
      <c r="P270" t="s">
        <v>137</v>
      </c>
      <c r="Q270">
        <v>1</v>
      </c>
      <c r="X270">
        <v>0.01</v>
      </c>
      <c r="Y270">
        <v>0</v>
      </c>
      <c r="Z270">
        <v>93.37</v>
      </c>
      <c r="AA270">
        <v>11.69</v>
      </c>
      <c r="AB270">
        <v>0</v>
      </c>
      <c r="AC270">
        <v>0</v>
      </c>
      <c r="AD270">
        <v>1</v>
      </c>
      <c r="AE270">
        <v>0</v>
      </c>
      <c r="AF270" t="s">
        <v>379</v>
      </c>
      <c r="AG270">
        <v>0.02</v>
      </c>
      <c r="AH270">
        <v>2</v>
      </c>
      <c r="AI270">
        <v>86327626</v>
      </c>
      <c r="AJ270">
        <v>348</v>
      </c>
      <c r="AK270">
        <v>0</v>
      </c>
      <c r="AL270">
        <v>0</v>
      </c>
      <c r="AM270">
        <v>0</v>
      </c>
      <c r="AN270">
        <v>0</v>
      </c>
      <c r="AO270">
        <v>0</v>
      </c>
      <c r="AP270">
        <v>0</v>
      </c>
      <c r="AQ270">
        <v>0</v>
      </c>
      <c r="AR270">
        <v>0</v>
      </c>
    </row>
    <row r="271" spans="1:44" x14ac:dyDescent="0.2">
      <c r="A271">
        <f>ROW(Source!A266)</f>
        <v>266</v>
      </c>
      <c r="B271">
        <v>86327635</v>
      </c>
      <c r="C271">
        <v>86327620</v>
      </c>
      <c r="D271">
        <v>27371445</v>
      </c>
      <c r="E271">
        <v>1</v>
      </c>
      <c r="F271">
        <v>1</v>
      </c>
      <c r="G271">
        <v>1</v>
      </c>
      <c r="H271">
        <v>3</v>
      </c>
      <c r="I271" t="s">
        <v>383</v>
      </c>
      <c r="J271" t="s">
        <v>385</v>
      </c>
      <c r="K271" t="s">
        <v>384</v>
      </c>
      <c r="L271">
        <v>1348</v>
      </c>
      <c r="N271">
        <v>1009</v>
      </c>
      <c r="O271" t="s">
        <v>33</v>
      </c>
      <c r="P271" t="s">
        <v>33</v>
      </c>
      <c r="Q271">
        <v>1000</v>
      </c>
      <c r="X271">
        <v>1.4E-3</v>
      </c>
      <c r="Y271">
        <v>6156.33</v>
      </c>
      <c r="Z271">
        <v>0</v>
      </c>
      <c r="AA271">
        <v>0</v>
      </c>
      <c r="AB271">
        <v>0</v>
      </c>
      <c r="AC271">
        <v>0</v>
      </c>
      <c r="AD271">
        <v>1</v>
      </c>
      <c r="AE271">
        <v>0</v>
      </c>
      <c r="AF271" t="s">
        <v>379</v>
      </c>
      <c r="AG271">
        <v>2.8E-3</v>
      </c>
      <c r="AH271">
        <v>2</v>
      </c>
      <c r="AI271">
        <v>86327627</v>
      </c>
      <c r="AJ271">
        <v>349</v>
      </c>
      <c r="AK271">
        <v>3</v>
      </c>
      <c r="AL271">
        <v>-17.237724</v>
      </c>
      <c r="AM271">
        <v>0</v>
      </c>
      <c r="AN271">
        <v>0</v>
      </c>
      <c r="AO271">
        <v>0</v>
      </c>
      <c r="AP271">
        <v>0</v>
      </c>
      <c r="AQ271">
        <v>0</v>
      </c>
      <c r="AR271">
        <v>1</v>
      </c>
    </row>
    <row r="272" spans="1:44" x14ac:dyDescent="0.2">
      <c r="A272">
        <f>ROW(Source!A266)</f>
        <v>266</v>
      </c>
      <c r="B272">
        <v>86327636</v>
      </c>
      <c r="C272">
        <v>86327620</v>
      </c>
      <c r="D272">
        <v>27387231</v>
      </c>
      <c r="E272">
        <v>1</v>
      </c>
      <c r="F272">
        <v>1</v>
      </c>
      <c r="G272">
        <v>1</v>
      </c>
      <c r="H272">
        <v>3</v>
      </c>
      <c r="I272" t="s">
        <v>388</v>
      </c>
      <c r="J272" t="s">
        <v>390</v>
      </c>
      <c r="K272" t="s">
        <v>389</v>
      </c>
      <c r="L272">
        <v>1348</v>
      </c>
      <c r="N272">
        <v>1009</v>
      </c>
      <c r="O272" t="s">
        <v>33</v>
      </c>
      <c r="P272" t="s">
        <v>33</v>
      </c>
      <c r="Q272">
        <v>1000</v>
      </c>
      <c r="X272">
        <v>1.9E-2</v>
      </c>
      <c r="Y272">
        <v>14313</v>
      </c>
      <c r="Z272">
        <v>0</v>
      </c>
      <c r="AA272">
        <v>0</v>
      </c>
      <c r="AB272">
        <v>0</v>
      </c>
      <c r="AC272">
        <v>0</v>
      </c>
      <c r="AD272">
        <v>1</v>
      </c>
      <c r="AE272">
        <v>0</v>
      </c>
      <c r="AF272" t="s">
        <v>379</v>
      </c>
      <c r="AG272">
        <v>3.7999999999999999E-2</v>
      </c>
      <c r="AH272">
        <v>2</v>
      </c>
      <c r="AI272">
        <v>86327628</v>
      </c>
      <c r="AJ272">
        <v>350</v>
      </c>
      <c r="AK272">
        <v>3</v>
      </c>
      <c r="AL272">
        <v>-543.89400000000001</v>
      </c>
      <c r="AM272">
        <v>0</v>
      </c>
      <c r="AN272">
        <v>0</v>
      </c>
      <c r="AO272">
        <v>0</v>
      </c>
      <c r="AP272">
        <v>0</v>
      </c>
      <c r="AQ272">
        <v>0</v>
      </c>
      <c r="AR272">
        <v>1</v>
      </c>
    </row>
    <row r="273" spans="1:44" x14ac:dyDescent="0.2">
      <c r="A273">
        <f>ROW(Source!A273)</f>
        <v>273</v>
      </c>
      <c r="B273">
        <v>86327646</v>
      </c>
      <c r="C273">
        <v>86327640</v>
      </c>
      <c r="D273">
        <v>27493458</v>
      </c>
      <c r="E273">
        <v>1</v>
      </c>
      <c r="F273">
        <v>1</v>
      </c>
      <c r="G273">
        <v>1</v>
      </c>
      <c r="H273">
        <v>1</v>
      </c>
      <c r="I273" t="s">
        <v>685</v>
      </c>
      <c r="J273" t="s">
        <v>6</v>
      </c>
      <c r="K273" t="s">
        <v>686</v>
      </c>
      <c r="L273">
        <v>1369</v>
      </c>
      <c r="N273">
        <v>1013</v>
      </c>
      <c r="O273" t="s">
        <v>625</v>
      </c>
      <c r="P273" t="s">
        <v>625</v>
      </c>
      <c r="Q273">
        <v>1</v>
      </c>
      <c r="X273">
        <v>8.6999999999999993</v>
      </c>
      <c r="Y273">
        <v>0</v>
      </c>
      <c r="Z273">
        <v>0</v>
      </c>
      <c r="AA273">
        <v>0</v>
      </c>
      <c r="AB273">
        <v>8.6</v>
      </c>
      <c r="AC273">
        <v>0</v>
      </c>
      <c r="AD273">
        <v>1</v>
      </c>
      <c r="AE273">
        <v>1</v>
      </c>
      <c r="AF273" t="s">
        <v>6</v>
      </c>
      <c r="AG273">
        <v>8.6999999999999993</v>
      </c>
      <c r="AH273">
        <v>2</v>
      </c>
      <c r="AI273">
        <v>86327641</v>
      </c>
      <c r="AJ273">
        <v>351</v>
      </c>
      <c r="AK273">
        <v>0</v>
      </c>
      <c r="AL273">
        <v>0</v>
      </c>
      <c r="AM273">
        <v>0</v>
      </c>
      <c r="AN273">
        <v>0</v>
      </c>
      <c r="AO273">
        <v>0</v>
      </c>
      <c r="AP273">
        <v>0</v>
      </c>
      <c r="AQ273">
        <v>0</v>
      </c>
      <c r="AR273">
        <v>0</v>
      </c>
    </row>
    <row r="274" spans="1:44" x14ac:dyDescent="0.2">
      <c r="A274">
        <f>ROW(Source!A273)</f>
        <v>273</v>
      </c>
      <c r="B274">
        <v>86327647</v>
      </c>
      <c r="C274">
        <v>86327640</v>
      </c>
      <c r="D274">
        <v>27439746</v>
      </c>
      <c r="E274">
        <v>1</v>
      </c>
      <c r="F274">
        <v>1</v>
      </c>
      <c r="G274">
        <v>1</v>
      </c>
      <c r="H274">
        <v>2</v>
      </c>
      <c r="I274" t="s">
        <v>687</v>
      </c>
      <c r="J274" t="s">
        <v>688</v>
      </c>
      <c r="K274" t="s">
        <v>689</v>
      </c>
      <c r="L274">
        <v>1368</v>
      </c>
      <c r="N274">
        <v>1011</v>
      </c>
      <c r="O274" t="s">
        <v>137</v>
      </c>
      <c r="P274" t="s">
        <v>137</v>
      </c>
      <c r="Q274">
        <v>1</v>
      </c>
      <c r="X274">
        <v>0.31</v>
      </c>
      <c r="Y274">
        <v>0</v>
      </c>
      <c r="Z274">
        <v>32.5</v>
      </c>
      <c r="AA274">
        <v>0</v>
      </c>
      <c r="AB274">
        <v>0</v>
      </c>
      <c r="AC274">
        <v>0</v>
      </c>
      <c r="AD274">
        <v>1</v>
      </c>
      <c r="AE274">
        <v>0</v>
      </c>
      <c r="AF274" t="s">
        <v>6</v>
      </c>
      <c r="AG274">
        <v>0.31</v>
      </c>
      <c r="AH274">
        <v>2</v>
      </c>
      <c r="AI274">
        <v>86327642</v>
      </c>
      <c r="AJ274">
        <v>352</v>
      </c>
      <c r="AK274">
        <v>0</v>
      </c>
      <c r="AL274">
        <v>0</v>
      </c>
      <c r="AM274">
        <v>0</v>
      </c>
      <c r="AN274">
        <v>0</v>
      </c>
      <c r="AO274">
        <v>0</v>
      </c>
      <c r="AP274">
        <v>0</v>
      </c>
      <c r="AQ274">
        <v>0</v>
      </c>
      <c r="AR274">
        <v>0</v>
      </c>
    </row>
    <row r="275" spans="1:44" x14ac:dyDescent="0.2">
      <c r="A275">
        <f>ROW(Source!A273)</f>
        <v>273</v>
      </c>
      <c r="B275">
        <v>86327648</v>
      </c>
      <c r="C275">
        <v>86327640</v>
      </c>
      <c r="D275">
        <v>27441078</v>
      </c>
      <c r="E275">
        <v>1</v>
      </c>
      <c r="F275">
        <v>1</v>
      </c>
      <c r="G275">
        <v>1</v>
      </c>
      <c r="H275">
        <v>2</v>
      </c>
      <c r="I275" t="s">
        <v>669</v>
      </c>
      <c r="J275" t="s">
        <v>670</v>
      </c>
      <c r="K275" t="s">
        <v>671</v>
      </c>
      <c r="L275">
        <v>1368</v>
      </c>
      <c r="N275">
        <v>1011</v>
      </c>
      <c r="O275" t="s">
        <v>137</v>
      </c>
      <c r="P275" t="s">
        <v>137</v>
      </c>
      <c r="Q275">
        <v>1</v>
      </c>
      <c r="X275">
        <v>3.96</v>
      </c>
      <c r="Y275">
        <v>0</v>
      </c>
      <c r="Z275">
        <v>2.0699999999999998</v>
      </c>
      <c r="AA275">
        <v>0</v>
      </c>
      <c r="AB275">
        <v>0</v>
      </c>
      <c r="AC275">
        <v>0</v>
      </c>
      <c r="AD275">
        <v>1</v>
      </c>
      <c r="AE275">
        <v>0</v>
      </c>
      <c r="AF275" t="s">
        <v>6</v>
      </c>
      <c r="AG275">
        <v>3.96</v>
      </c>
      <c r="AH275">
        <v>2</v>
      </c>
      <c r="AI275">
        <v>86327643</v>
      </c>
      <c r="AJ275">
        <v>353</v>
      </c>
      <c r="AK275">
        <v>0</v>
      </c>
      <c r="AL275">
        <v>0</v>
      </c>
      <c r="AM275">
        <v>0</v>
      </c>
      <c r="AN275">
        <v>0</v>
      </c>
      <c r="AO275">
        <v>0</v>
      </c>
      <c r="AP275">
        <v>0</v>
      </c>
      <c r="AQ275">
        <v>0</v>
      </c>
      <c r="AR275">
        <v>0</v>
      </c>
    </row>
    <row r="276" spans="1:44" x14ac:dyDescent="0.2">
      <c r="A276">
        <f>ROW(Source!A273)</f>
        <v>273</v>
      </c>
      <c r="B276">
        <v>86327649</v>
      </c>
      <c r="C276">
        <v>86327640</v>
      </c>
      <c r="D276">
        <v>27372302</v>
      </c>
      <c r="E276">
        <v>1</v>
      </c>
      <c r="F276">
        <v>1</v>
      </c>
      <c r="G276">
        <v>1</v>
      </c>
      <c r="H276">
        <v>3</v>
      </c>
      <c r="I276" t="s">
        <v>745</v>
      </c>
      <c r="J276" t="s">
        <v>746</v>
      </c>
      <c r="K276" t="s">
        <v>747</v>
      </c>
      <c r="L276">
        <v>1346</v>
      </c>
      <c r="N276">
        <v>1009</v>
      </c>
      <c r="O276" t="s">
        <v>305</v>
      </c>
      <c r="P276" t="s">
        <v>305</v>
      </c>
      <c r="Q276">
        <v>1</v>
      </c>
      <c r="X276">
        <v>0</v>
      </c>
      <c r="Y276">
        <v>0</v>
      </c>
      <c r="Z276">
        <v>0</v>
      </c>
      <c r="AA276">
        <v>0</v>
      </c>
      <c r="AB276">
        <v>0</v>
      </c>
      <c r="AC276">
        <v>1</v>
      </c>
      <c r="AD276">
        <v>0</v>
      </c>
      <c r="AE276">
        <v>0</v>
      </c>
      <c r="AF276" t="s">
        <v>6</v>
      </c>
      <c r="AG276">
        <v>0</v>
      </c>
      <c r="AH276">
        <v>3</v>
      </c>
      <c r="AI276">
        <v>-1</v>
      </c>
      <c r="AJ276" t="s">
        <v>6</v>
      </c>
      <c r="AK276">
        <v>0</v>
      </c>
      <c r="AL276">
        <v>0</v>
      </c>
      <c r="AM276">
        <v>0</v>
      </c>
      <c r="AN276">
        <v>0</v>
      </c>
      <c r="AO276">
        <v>0</v>
      </c>
      <c r="AP276">
        <v>0</v>
      </c>
      <c r="AQ276">
        <v>0</v>
      </c>
      <c r="AR276">
        <v>0</v>
      </c>
    </row>
    <row r="277" spans="1:44" x14ac:dyDescent="0.2">
      <c r="A277">
        <f>ROW(Source!A273)</f>
        <v>273</v>
      </c>
      <c r="B277">
        <v>86327650</v>
      </c>
      <c r="C277">
        <v>86327640</v>
      </c>
      <c r="D277">
        <v>27378431</v>
      </c>
      <c r="E277">
        <v>1</v>
      </c>
      <c r="F277">
        <v>1</v>
      </c>
      <c r="G277">
        <v>1</v>
      </c>
      <c r="H277">
        <v>3</v>
      </c>
      <c r="I277" t="s">
        <v>748</v>
      </c>
      <c r="J277" t="s">
        <v>749</v>
      </c>
      <c r="K277" t="s">
        <v>750</v>
      </c>
      <c r="L277">
        <v>1348</v>
      </c>
      <c r="N277">
        <v>1009</v>
      </c>
      <c r="O277" t="s">
        <v>33</v>
      </c>
      <c r="P277" t="s">
        <v>33</v>
      </c>
      <c r="Q277">
        <v>1000</v>
      </c>
      <c r="X277">
        <v>0</v>
      </c>
      <c r="Y277">
        <v>0</v>
      </c>
      <c r="Z277">
        <v>0</v>
      </c>
      <c r="AA277">
        <v>0</v>
      </c>
      <c r="AB277">
        <v>0</v>
      </c>
      <c r="AC277">
        <v>1</v>
      </c>
      <c r="AD277">
        <v>0</v>
      </c>
      <c r="AE277">
        <v>0</v>
      </c>
      <c r="AF277" t="s">
        <v>6</v>
      </c>
      <c r="AG277">
        <v>0</v>
      </c>
      <c r="AH277">
        <v>3</v>
      </c>
      <c r="AI277">
        <v>-1</v>
      </c>
      <c r="AJ277" t="s">
        <v>6</v>
      </c>
      <c r="AK277">
        <v>0</v>
      </c>
      <c r="AL277">
        <v>0</v>
      </c>
      <c r="AM277">
        <v>0</v>
      </c>
      <c r="AN277">
        <v>0</v>
      </c>
      <c r="AO277">
        <v>0</v>
      </c>
      <c r="AP277">
        <v>0</v>
      </c>
      <c r="AQ277">
        <v>0</v>
      </c>
      <c r="AR277">
        <v>0</v>
      </c>
    </row>
    <row r="278" spans="1:44" x14ac:dyDescent="0.2">
      <c r="A278">
        <f>ROW(Source!A274)</f>
        <v>274</v>
      </c>
      <c r="B278">
        <v>86327646</v>
      </c>
      <c r="C278">
        <v>86327640</v>
      </c>
      <c r="D278">
        <v>27493458</v>
      </c>
      <c r="E278">
        <v>1</v>
      </c>
      <c r="F278">
        <v>1</v>
      </c>
      <c r="G278">
        <v>1</v>
      </c>
      <c r="H278">
        <v>1</v>
      </c>
      <c r="I278" t="s">
        <v>685</v>
      </c>
      <c r="J278" t="s">
        <v>6</v>
      </c>
      <c r="K278" t="s">
        <v>686</v>
      </c>
      <c r="L278">
        <v>1369</v>
      </c>
      <c r="N278">
        <v>1013</v>
      </c>
      <c r="O278" t="s">
        <v>625</v>
      </c>
      <c r="P278" t="s">
        <v>625</v>
      </c>
      <c r="Q278">
        <v>1</v>
      </c>
      <c r="X278">
        <v>8.6999999999999993</v>
      </c>
      <c r="Y278">
        <v>0</v>
      </c>
      <c r="Z278">
        <v>0</v>
      </c>
      <c r="AA278">
        <v>0</v>
      </c>
      <c r="AB278">
        <v>8.6</v>
      </c>
      <c r="AC278">
        <v>0</v>
      </c>
      <c r="AD278">
        <v>1</v>
      </c>
      <c r="AE278">
        <v>1</v>
      </c>
      <c r="AF278" t="s">
        <v>6</v>
      </c>
      <c r="AG278">
        <v>8.6999999999999993</v>
      </c>
      <c r="AH278">
        <v>2</v>
      </c>
      <c r="AI278">
        <v>86327641</v>
      </c>
      <c r="AJ278">
        <v>356</v>
      </c>
      <c r="AK278">
        <v>0</v>
      </c>
      <c r="AL278">
        <v>0</v>
      </c>
      <c r="AM278">
        <v>0</v>
      </c>
      <c r="AN278">
        <v>0</v>
      </c>
      <c r="AO278">
        <v>0</v>
      </c>
      <c r="AP278">
        <v>0</v>
      </c>
      <c r="AQ278">
        <v>0</v>
      </c>
      <c r="AR278">
        <v>0</v>
      </c>
    </row>
    <row r="279" spans="1:44" x14ac:dyDescent="0.2">
      <c r="A279">
        <f>ROW(Source!A274)</f>
        <v>274</v>
      </c>
      <c r="B279">
        <v>86327647</v>
      </c>
      <c r="C279">
        <v>86327640</v>
      </c>
      <c r="D279">
        <v>27439746</v>
      </c>
      <c r="E279">
        <v>1</v>
      </c>
      <c r="F279">
        <v>1</v>
      </c>
      <c r="G279">
        <v>1</v>
      </c>
      <c r="H279">
        <v>2</v>
      </c>
      <c r="I279" t="s">
        <v>687</v>
      </c>
      <c r="J279" t="s">
        <v>688</v>
      </c>
      <c r="K279" t="s">
        <v>689</v>
      </c>
      <c r="L279">
        <v>1368</v>
      </c>
      <c r="N279">
        <v>1011</v>
      </c>
      <c r="O279" t="s">
        <v>137</v>
      </c>
      <c r="P279" t="s">
        <v>137</v>
      </c>
      <c r="Q279">
        <v>1</v>
      </c>
      <c r="X279">
        <v>0.31</v>
      </c>
      <c r="Y279">
        <v>0</v>
      </c>
      <c r="Z279">
        <v>32.5</v>
      </c>
      <c r="AA279">
        <v>0</v>
      </c>
      <c r="AB279">
        <v>0</v>
      </c>
      <c r="AC279">
        <v>0</v>
      </c>
      <c r="AD279">
        <v>1</v>
      </c>
      <c r="AE279">
        <v>0</v>
      </c>
      <c r="AF279" t="s">
        <v>6</v>
      </c>
      <c r="AG279">
        <v>0.31</v>
      </c>
      <c r="AH279">
        <v>2</v>
      </c>
      <c r="AI279">
        <v>86327642</v>
      </c>
      <c r="AJ279">
        <v>357</v>
      </c>
      <c r="AK279">
        <v>0</v>
      </c>
      <c r="AL279">
        <v>0</v>
      </c>
      <c r="AM279">
        <v>0</v>
      </c>
      <c r="AN279">
        <v>0</v>
      </c>
      <c r="AO279">
        <v>0</v>
      </c>
      <c r="AP279">
        <v>0</v>
      </c>
      <c r="AQ279">
        <v>0</v>
      </c>
      <c r="AR279">
        <v>0</v>
      </c>
    </row>
    <row r="280" spans="1:44" x14ac:dyDescent="0.2">
      <c r="A280">
        <f>ROW(Source!A274)</f>
        <v>274</v>
      </c>
      <c r="B280">
        <v>86327648</v>
      </c>
      <c r="C280">
        <v>86327640</v>
      </c>
      <c r="D280">
        <v>27441078</v>
      </c>
      <c r="E280">
        <v>1</v>
      </c>
      <c r="F280">
        <v>1</v>
      </c>
      <c r="G280">
        <v>1</v>
      </c>
      <c r="H280">
        <v>2</v>
      </c>
      <c r="I280" t="s">
        <v>669</v>
      </c>
      <c r="J280" t="s">
        <v>670</v>
      </c>
      <c r="K280" t="s">
        <v>671</v>
      </c>
      <c r="L280">
        <v>1368</v>
      </c>
      <c r="N280">
        <v>1011</v>
      </c>
      <c r="O280" t="s">
        <v>137</v>
      </c>
      <c r="P280" t="s">
        <v>137</v>
      </c>
      <c r="Q280">
        <v>1</v>
      </c>
      <c r="X280">
        <v>3.96</v>
      </c>
      <c r="Y280">
        <v>0</v>
      </c>
      <c r="Z280">
        <v>2.0699999999999998</v>
      </c>
      <c r="AA280">
        <v>0</v>
      </c>
      <c r="AB280">
        <v>0</v>
      </c>
      <c r="AC280">
        <v>0</v>
      </c>
      <c r="AD280">
        <v>1</v>
      </c>
      <c r="AE280">
        <v>0</v>
      </c>
      <c r="AF280" t="s">
        <v>6</v>
      </c>
      <c r="AG280">
        <v>3.96</v>
      </c>
      <c r="AH280">
        <v>2</v>
      </c>
      <c r="AI280">
        <v>86327643</v>
      </c>
      <c r="AJ280">
        <v>358</v>
      </c>
      <c r="AK280">
        <v>0</v>
      </c>
      <c r="AL280">
        <v>0</v>
      </c>
      <c r="AM280">
        <v>0</v>
      </c>
      <c r="AN280">
        <v>0</v>
      </c>
      <c r="AO280">
        <v>0</v>
      </c>
      <c r="AP280">
        <v>0</v>
      </c>
      <c r="AQ280">
        <v>0</v>
      </c>
      <c r="AR280">
        <v>0</v>
      </c>
    </row>
    <row r="281" spans="1:44" x14ac:dyDescent="0.2">
      <c r="A281">
        <f>ROW(Source!A274)</f>
        <v>274</v>
      </c>
      <c r="B281">
        <v>86327649</v>
      </c>
      <c r="C281">
        <v>86327640</v>
      </c>
      <c r="D281">
        <v>27372302</v>
      </c>
      <c r="E281">
        <v>1</v>
      </c>
      <c r="F281">
        <v>1</v>
      </c>
      <c r="G281">
        <v>1</v>
      </c>
      <c r="H281">
        <v>3</v>
      </c>
      <c r="I281" t="s">
        <v>745</v>
      </c>
      <c r="J281" t="s">
        <v>746</v>
      </c>
      <c r="K281" t="s">
        <v>747</v>
      </c>
      <c r="L281">
        <v>1346</v>
      </c>
      <c r="N281">
        <v>1009</v>
      </c>
      <c r="O281" t="s">
        <v>305</v>
      </c>
      <c r="P281" t="s">
        <v>305</v>
      </c>
      <c r="Q281">
        <v>1</v>
      </c>
      <c r="X281">
        <v>0</v>
      </c>
      <c r="Y281">
        <v>0</v>
      </c>
      <c r="Z281">
        <v>0</v>
      </c>
      <c r="AA281">
        <v>0</v>
      </c>
      <c r="AB281">
        <v>0</v>
      </c>
      <c r="AC281">
        <v>1</v>
      </c>
      <c r="AD281">
        <v>0</v>
      </c>
      <c r="AE281">
        <v>0</v>
      </c>
      <c r="AF281" t="s">
        <v>6</v>
      </c>
      <c r="AG281">
        <v>0</v>
      </c>
      <c r="AH281">
        <v>3</v>
      </c>
      <c r="AI281">
        <v>-1</v>
      </c>
      <c r="AJ281" t="s">
        <v>6</v>
      </c>
      <c r="AK281">
        <v>0</v>
      </c>
      <c r="AL281">
        <v>0</v>
      </c>
      <c r="AM281">
        <v>0</v>
      </c>
      <c r="AN281">
        <v>0</v>
      </c>
      <c r="AO281">
        <v>0</v>
      </c>
      <c r="AP281">
        <v>0</v>
      </c>
      <c r="AQ281">
        <v>0</v>
      </c>
      <c r="AR281">
        <v>0</v>
      </c>
    </row>
    <row r="282" spans="1:44" x14ac:dyDescent="0.2">
      <c r="A282">
        <f>ROW(Source!A274)</f>
        <v>274</v>
      </c>
      <c r="B282">
        <v>86327650</v>
      </c>
      <c r="C282">
        <v>86327640</v>
      </c>
      <c r="D282">
        <v>27378431</v>
      </c>
      <c r="E282">
        <v>1</v>
      </c>
      <c r="F282">
        <v>1</v>
      </c>
      <c r="G282">
        <v>1</v>
      </c>
      <c r="H282">
        <v>3</v>
      </c>
      <c r="I282" t="s">
        <v>748</v>
      </c>
      <c r="J282" t="s">
        <v>749</v>
      </c>
      <c r="K282" t="s">
        <v>750</v>
      </c>
      <c r="L282">
        <v>1348</v>
      </c>
      <c r="N282">
        <v>1009</v>
      </c>
      <c r="O282" t="s">
        <v>33</v>
      </c>
      <c r="P282" t="s">
        <v>33</v>
      </c>
      <c r="Q282">
        <v>1000</v>
      </c>
      <c r="X282">
        <v>0</v>
      </c>
      <c r="Y282">
        <v>0</v>
      </c>
      <c r="Z282">
        <v>0</v>
      </c>
      <c r="AA282">
        <v>0</v>
      </c>
      <c r="AB282">
        <v>0</v>
      </c>
      <c r="AC282">
        <v>1</v>
      </c>
      <c r="AD282">
        <v>0</v>
      </c>
      <c r="AE282">
        <v>0</v>
      </c>
      <c r="AF282" t="s">
        <v>6</v>
      </c>
      <c r="AG282">
        <v>0</v>
      </c>
      <c r="AH282">
        <v>3</v>
      </c>
      <c r="AI282">
        <v>-1</v>
      </c>
      <c r="AJ282" t="s">
        <v>6</v>
      </c>
      <c r="AK282">
        <v>0</v>
      </c>
      <c r="AL282">
        <v>0</v>
      </c>
      <c r="AM282">
        <v>0</v>
      </c>
      <c r="AN282">
        <v>0</v>
      </c>
      <c r="AO282">
        <v>0</v>
      </c>
      <c r="AP282">
        <v>0</v>
      </c>
      <c r="AQ282">
        <v>0</v>
      </c>
      <c r="AR282">
        <v>0</v>
      </c>
    </row>
    <row r="283" spans="1:44" x14ac:dyDescent="0.2">
      <c r="A283">
        <f>ROW(Source!A279)</f>
        <v>279</v>
      </c>
      <c r="B283">
        <v>86327657</v>
      </c>
      <c r="C283">
        <v>86327653</v>
      </c>
      <c r="D283">
        <v>27493458</v>
      </c>
      <c r="E283">
        <v>1</v>
      </c>
      <c r="F283">
        <v>1</v>
      </c>
      <c r="G283">
        <v>1</v>
      </c>
      <c r="H283">
        <v>1</v>
      </c>
      <c r="I283" t="s">
        <v>685</v>
      </c>
      <c r="J283" t="s">
        <v>6</v>
      </c>
      <c r="K283" t="s">
        <v>686</v>
      </c>
      <c r="L283">
        <v>1369</v>
      </c>
      <c r="N283">
        <v>1013</v>
      </c>
      <c r="O283" t="s">
        <v>625</v>
      </c>
      <c r="P283" t="s">
        <v>625</v>
      </c>
      <c r="Q283">
        <v>1</v>
      </c>
      <c r="X283">
        <v>0.82</v>
      </c>
      <c r="Y283">
        <v>0</v>
      </c>
      <c r="Z283">
        <v>0</v>
      </c>
      <c r="AA283">
        <v>0</v>
      </c>
      <c r="AB283">
        <v>8.6</v>
      </c>
      <c r="AC283">
        <v>0</v>
      </c>
      <c r="AD283">
        <v>1</v>
      </c>
      <c r="AE283">
        <v>1</v>
      </c>
      <c r="AF283" t="s">
        <v>414</v>
      </c>
      <c r="AG283">
        <v>10.25</v>
      </c>
      <c r="AH283">
        <v>2</v>
      </c>
      <c r="AI283">
        <v>86327654</v>
      </c>
      <c r="AJ283">
        <v>361</v>
      </c>
      <c r="AK283">
        <v>0</v>
      </c>
      <c r="AL283">
        <v>0</v>
      </c>
      <c r="AM283">
        <v>0</v>
      </c>
      <c r="AN283">
        <v>0</v>
      </c>
      <c r="AO283">
        <v>0</v>
      </c>
      <c r="AP283">
        <v>0</v>
      </c>
      <c r="AQ283">
        <v>0</v>
      </c>
      <c r="AR283">
        <v>0</v>
      </c>
    </row>
    <row r="284" spans="1:44" x14ac:dyDescent="0.2">
      <c r="A284">
        <f>ROW(Source!A279)</f>
        <v>279</v>
      </c>
      <c r="B284">
        <v>86327658</v>
      </c>
      <c r="C284">
        <v>86327653</v>
      </c>
      <c r="D284">
        <v>27439746</v>
      </c>
      <c r="E284">
        <v>1</v>
      </c>
      <c r="F284">
        <v>1</v>
      </c>
      <c r="G284">
        <v>1</v>
      </c>
      <c r="H284">
        <v>2</v>
      </c>
      <c r="I284" t="s">
        <v>687</v>
      </c>
      <c r="J284" t="s">
        <v>688</v>
      </c>
      <c r="K284" t="s">
        <v>689</v>
      </c>
      <c r="L284">
        <v>1368</v>
      </c>
      <c r="N284">
        <v>1011</v>
      </c>
      <c r="O284" t="s">
        <v>137</v>
      </c>
      <c r="P284" t="s">
        <v>137</v>
      </c>
      <c r="Q284">
        <v>1</v>
      </c>
      <c r="X284">
        <v>0.03</v>
      </c>
      <c r="Y284">
        <v>0</v>
      </c>
      <c r="Z284">
        <v>32.5</v>
      </c>
      <c r="AA284">
        <v>0</v>
      </c>
      <c r="AB284">
        <v>0</v>
      </c>
      <c r="AC284">
        <v>0</v>
      </c>
      <c r="AD284">
        <v>1</v>
      </c>
      <c r="AE284">
        <v>0</v>
      </c>
      <c r="AF284" t="s">
        <v>414</v>
      </c>
      <c r="AG284">
        <v>0.375</v>
      </c>
      <c r="AH284">
        <v>2</v>
      </c>
      <c r="AI284">
        <v>86327655</v>
      </c>
      <c r="AJ284">
        <v>362</v>
      </c>
      <c r="AK284">
        <v>0</v>
      </c>
      <c r="AL284">
        <v>0</v>
      </c>
      <c r="AM284">
        <v>0</v>
      </c>
      <c r="AN284">
        <v>0</v>
      </c>
      <c r="AO284">
        <v>0</v>
      </c>
      <c r="AP284">
        <v>0</v>
      </c>
      <c r="AQ284">
        <v>0</v>
      </c>
      <c r="AR284">
        <v>0</v>
      </c>
    </row>
    <row r="285" spans="1:44" x14ac:dyDescent="0.2">
      <c r="A285">
        <f>ROW(Source!A279)</f>
        <v>279</v>
      </c>
      <c r="B285">
        <v>86327659</v>
      </c>
      <c r="C285">
        <v>86327653</v>
      </c>
      <c r="D285">
        <v>27441078</v>
      </c>
      <c r="E285">
        <v>1</v>
      </c>
      <c r="F285">
        <v>1</v>
      </c>
      <c r="G285">
        <v>1</v>
      </c>
      <c r="H285">
        <v>2</v>
      </c>
      <c r="I285" t="s">
        <v>669</v>
      </c>
      <c r="J285" t="s">
        <v>670</v>
      </c>
      <c r="K285" t="s">
        <v>671</v>
      </c>
      <c r="L285">
        <v>1368</v>
      </c>
      <c r="N285">
        <v>1011</v>
      </c>
      <c r="O285" t="s">
        <v>137</v>
      </c>
      <c r="P285" t="s">
        <v>137</v>
      </c>
      <c r="Q285">
        <v>1</v>
      </c>
      <c r="X285">
        <v>0.35</v>
      </c>
      <c r="Y285">
        <v>0</v>
      </c>
      <c r="Z285">
        <v>2.0699999999999998</v>
      </c>
      <c r="AA285">
        <v>0</v>
      </c>
      <c r="AB285">
        <v>0</v>
      </c>
      <c r="AC285">
        <v>0</v>
      </c>
      <c r="AD285">
        <v>1</v>
      </c>
      <c r="AE285">
        <v>0</v>
      </c>
      <c r="AF285" t="s">
        <v>414</v>
      </c>
      <c r="AG285">
        <v>4.375</v>
      </c>
      <c r="AH285">
        <v>2</v>
      </c>
      <c r="AI285">
        <v>86327656</v>
      </c>
      <c r="AJ285">
        <v>363</v>
      </c>
      <c r="AK285">
        <v>0</v>
      </c>
      <c r="AL285">
        <v>0</v>
      </c>
      <c r="AM285">
        <v>0</v>
      </c>
      <c r="AN285">
        <v>0</v>
      </c>
      <c r="AO285">
        <v>0</v>
      </c>
      <c r="AP285">
        <v>0</v>
      </c>
      <c r="AQ285">
        <v>0</v>
      </c>
      <c r="AR285">
        <v>0</v>
      </c>
    </row>
    <row r="286" spans="1:44" x14ac:dyDescent="0.2">
      <c r="A286">
        <f>ROW(Source!A279)</f>
        <v>279</v>
      </c>
      <c r="B286">
        <v>86327660</v>
      </c>
      <c r="C286">
        <v>86327653</v>
      </c>
      <c r="D286">
        <v>27372302</v>
      </c>
      <c r="E286">
        <v>1</v>
      </c>
      <c r="F286">
        <v>1</v>
      </c>
      <c r="G286">
        <v>1</v>
      </c>
      <c r="H286">
        <v>3</v>
      </c>
      <c r="I286" t="s">
        <v>745</v>
      </c>
      <c r="J286" t="s">
        <v>746</v>
      </c>
      <c r="K286" t="s">
        <v>747</v>
      </c>
      <c r="L286">
        <v>1346</v>
      </c>
      <c r="N286">
        <v>1009</v>
      </c>
      <c r="O286" t="s">
        <v>305</v>
      </c>
      <c r="P286" t="s">
        <v>305</v>
      </c>
      <c r="Q286">
        <v>1</v>
      </c>
      <c r="X286">
        <v>0</v>
      </c>
      <c r="Y286">
        <v>0</v>
      </c>
      <c r="Z286">
        <v>0</v>
      </c>
      <c r="AA286">
        <v>0</v>
      </c>
      <c r="AB286">
        <v>0</v>
      </c>
      <c r="AC286">
        <v>1</v>
      </c>
      <c r="AD286">
        <v>0</v>
      </c>
      <c r="AE286">
        <v>0</v>
      </c>
      <c r="AF286" t="s">
        <v>414</v>
      </c>
      <c r="AG286">
        <v>0</v>
      </c>
      <c r="AH286">
        <v>3</v>
      </c>
      <c r="AI286">
        <v>-1</v>
      </c>
      <c r="AJ286" t="s">
        <v>6</v>
      </c>
      <c r="AK286">
        <v>0</v>
      </c>
      <c r="AL286">
        <v>0</v>
      </c>
      <c r="AM286">
        <v>0</v>
      </c>
      <c r="AN286">
        <v>0</v>
      </c>
      <c r="AO286">
        <v>0</v>
      </c>
      <c r="AP286">
        <v>0</v>
      </c>
      <c r="AQ286">
        <v>0</v>
      </c>
      <c r="AR286">
        <v>0</v>
      </c>
    </row>
    <row r="287" spans="1:44" x14ac:dyDescent="0.2">
      <c r="A287">
        <f>ROW(Source!A279)</f>
        <v>279</v>
      </c>
      <c r="B287">
        <v>86327661</v>
      </c>
      <c r="C287">
        <v>86327653</v>
      </c>
      <c r="D287">
        <v>27378431</v>
      </c>
      <c r="E287">
        <v>1</v>
      </c>
      <c r="F287">
        <v>1</v>
      </c>
      <c r="G287">
        <v>1</v>
      </c>
      <c r="H287">
        <v>3</v>
      </c>
      <c r="I287" t="s">
        <v>748</v>
      </c>
      <c r="J287" t="s">
        <v>749</v>
      </c>
      <c r="K287" t="s">
        <v>750</v>
      </c>
      <c r="L287">
        <v>1348</v>
      </c>
      <c r="N287">
        <v>1009</v>
      </c>
      <c r="O287" t="s">
        <v>33</v>
      </c>
      <c r="P287" t="s">
        <v>33</v>
      </c>
      <c r="Q287">
        <v>1000</v>
      </c>
      <c r="X287">
        <v>0</v>
      </c>
      <c r="Y287">
        <v>0</v>
      </c>
      <c r="Z287">
        <v>0</v>
      </c>
      <c r="AA287">
        <v>0</v>
      </c>
      <c r="AB287">
        <v>0</v>
      </c>
      <c r="AC287">
        <v>1</v>
      </c>
      <c r="AD287">
        <v>0</v>
      </c>
      <c r="AE287">
        <v>0</v>
      </c>
      <c r="AF287" t="s">
        <v>414</v>
      </c>
      <c r="AG287">
        <v>0</v>
      </c>
      <c r="AH287">
        <v>3</v>
      </c>
      <c r="AI287">
        <v>-1</v>
      </c>
      <c r="AJ287" t="s">
        <v>6</v>
      </c>
      <c r="AK287">
        <v>0</v>
      </c>
      <c r="AL287">
        <v>0</v>
      </c>
      <c r="AM287">
        <v>0</v>
      </c>
      <c r="AN287">
        <v>0</v>
      </c>
      <c r="AO287">
        <v>0</v>
      </c>
      <c r="AP287">
        <v>0</v>
      </c>
      <c r="AQ287">
        <v>0</v>
      </c>
      <c r="AR287">
        <v>0</v>
      </c>
    </row>
    <row r="288" spans="1:44" x14ac:dyDescent="0.2">
      <c r="A288">
        <f>ROW(Source!A280)</f>
        <v>280</v>
      </c>
      <c r="B288">
        <v>86327657</v>
      </c>
      <c r="C288">
        <v>86327653</v>
      </c>
      <c r="D288">
        <v>27493458</v>
      </c>
      <c r="E288">
        <v>1</v>
      </c>
      <c r="F288">
        <v>1</v>
      </c>
      <c r="G288">
        <v>1</v>
      </c>
      <c r="H288">
        <v>1</v>
      </c>
      <c r="I288" t="s">
        <v>685</v>
      </c>
      <c r="J288" t="s">
        <v>6</v>
      </c>
      <c r="K288" t="s">
        <v>686</v>
      </c>
      <c r="L288">
        <v>1369</v>
      </c>
      <c r="N288">
        <v>1013</v>
      </c>
      <c r="O288" t="s">
        <v>625</v>
      </c>
      <c r="P288" t="s">
        <v>625</v>
      </c>
      <c r="Q288">
        <v>1</v>
      </c>
      <c r="X288">
        <v>0.82</v>
      </c>
      <c r="Y288">
        <v>0</v>
      </c>
      <c r="Z288">
        <v>0</v>
      </c>
      <c r="AA288">
        <v>0</v>
      </c>
      <c r="AB288">
        <v>8.6</v>
      </c>
      <c r="AC288">
        <v>0</v>
      </c>
      <c r="AD288">
        <v>1</v>
      </c>
      <c r="AE288">
        <v>1</v>
      </c>
      <c r="AF288" t="s">
        <v>414</v>
      </c>
      <c r="AG288">
        <v>10.25</v>
      </c>
      <c r="AH288">
        <v>2</v>
      </c>
      <c r="AI288">
        <v>86327654</v>
      </c>
      <c r="AJ288">
        <v>364</v>
      </c>
      <c r="AK288">
        <v>0</v>
      </c>
      <c r="AL288">
        <v>0</v>
      </c>
      <c r="AM288">
        <v>0</v>
      </c>
      <c r="AN288">
        <v>0</v>
      </c>
      <c r="AO288">
        <v>0</v>
      </c>
      <c r="AP288">
        <v>0</v>
      </c>
      <c r="AQ288">
        <v>0</v>
      </c>
      <c r="AR288">
        <v>0</v>
      </c>
    </row>
    <row r="289" spans="1:44" x14ac:dyDescent="0.2">
      <c r="A289">
        <f>ROW(Source!A280)</f>
        <v>280</v>
      </c>
      <c r="B289">
        <v>86327658</v>
      </c>
      <c r="C289">
        <v>86327653</v>
      </c>
      <c r="D289">
        <v>27439746</v>
      </c>
      <c r="E289">
        <v>1</v>
      </c>
      <c r="F289">
        <v>1</v>
      </c>
      <c r="G289">
        <v>1</v>
      </c>
      <c r="H289">
        <v>2</v>
      </c>
      <c r="I289" t="s">
        <v>687</v>
      </c>
      <c r="J289" t="s">
        <v>688</v>
      </c>
      <c r="K289" t="s">
        <v>689</v>
      </c>
      <c r="L289">
        <v>1368</v>
      </c>
      <c r="N289">
        <v>1011</v>
      </c>
      <c r="O289" t="s">
        <v>137</v>
      </c>
      <c r="P289" t="s">
        <v>137</v>
      </c>
      <c r="Q289">
        <v>1</v>
      </c>
      <c r="X289">
        <v>0.03</v>
      </c>
      <c r="Y289">
        <v>0</v>
      </c>
      <c r="Z289">
        <v>32.5</v>
      </c>
      <c r="AA289">
        <v>0</v>
      </c>
      <c r="AB289">
        <v>0</v>
      </c>
      <c r="AC289">
        <v>0</v>
      </c>
      <c r="AD289">
        <v>1</v>
      </c>
      <c r="AE289">
        <v>0</v>
      </c>
      <c r="AF289" t="s">
        <v>414</v>
      </c>
      <c r="AG289">
        <v>0.375</v>
      </c>
      <c r="AH289">
        <v>2</v>
      </c>
      <c r="AI289">
        <v>86327655</v>
      </c>
      <c r="AJ289">
        <v>365</v>
      </c>
      <c r="AK289">
        <v>0</v>
      </c>
      <c r="AL289">
        <v>0</v>
      </c>
      <c r="AM289">
        <v>0</v>
      </c>
      <c r="AN289">
        <v>0</v>
      </c>
      <c r="AO289">
        <v>0</v>
      </c>
      <c r="AP289">
        <v>0</v>
      </c>
      <c r="AQ289">
        <v>0</v>
      </c>
      <c r="AR289">
        <v>0</v>
      </c>
    </row>
    <row r="290" spans="1:44" x14ac:dyDescent="0.2">
      <c r="A290">
        <f>ROW(Source!A280)</f>
        <v>280</v>
      </c>
      <c r="B290">
        <v>86327659</v>
      </c>
      <c r="C290">
        <v>86327653</v>
      </c>
      <c r="D290">
        <v>27441078</v>
      </c>
      <c r="E290">
        <v>1</v>
      </c>
      <c r="F290">
        <v>1</v>
      </c>
      <c r="G290">
        <v>1</v>
      </c>
      <c r="H290">
        <v>2</v>
      </c>
      <c r="I290" t="s">
        <v>669</v>
      </c>
      <c r="J290" t="s">
        <v>670</v>
      </c>
      <c r="K290" t="s">
        <v>671</v>
      </c>
      <c r="L290">
        <v>1368</v>
      </c>
      <c r="N290">
        <v>1011</v>
      </c>
      <c r="O290" t="s">
        <v>137</v>
      </c>
      <c r="P290" t="s">
        <v>137</v>
      </c>
      <c r="Q290">
        <v>1</v>
      </c>
      <c r="X290">
        <v>0.35</v>
      </c>
      <c r="Y290">
        <v>0</v>
      </c>
      <c r="Z290">
        <v>2.0699999999999998</v>
      </c>
      <c r="AA290">
        <v>0</v>
      </c>
      <c r="AB290">
        <v>0</v>
      </c>
      <c r="AC290">
        <v>0</v>
      </c>
      <c r="AD290">
        <v>1</v>
      </c>
      <c r="AE290">
        <v>0</v>
      </c>
      <c r="AF290" t="s">
        <v>414</v>
      </c>
      <c r="AG290">
        <v>4.375</v>
      </c>
      <c r="AH290">
        <v>2</v>
      </c>
      <c r="AI290">
        <v>86327656</v>
      </c>
      <c r="AJ290">
        <v>366</v>
      </c>
      <c r="AK290">
        <v>0</v>
      </c>
      <c r="AL290">
        <v>0</v>
      </c>
      <c r="AM290">
        <v>0</v>
      </c>
      <c r="AN290">
        <v>0</v>
      </c>
      <c r="AO290">
        <v>0</v>
      </c>
      <c r="AP290">
        <v>0</v>
      </c>
      <c r="AQ290">
        <v>0</v>
      </c>
      <c r="AR290">
        <v>0</v>
      </c>
    </row>
    <row r="291" spans="1:44" x14ac:dyDescent="0.2">
      <c r="A291">
        <f>ROW(Source!A280)</f>
        <v>280</v>
      </c>
      <c r="B291">
        <v>86327660</v>
      </c>
      <c r="C291">
        <v>86327653</v>
      </c>
      <c r="D291">
        <v>27372302</v>
      </c>
      <c r="E291">
        <v>1</v>
      </c>
      <c r="F291">
        <v>1</v>
      </c>
      <c r="G291">
        <v>1</v>
      </c>
      <c r="H291">
        <v>3</v>
      </c>
      <c r="I291" t="s">
        <v>745</v>
      </c>
      <c r="J291" t="s">
        <v>746</v>
      </c>
      <c r="K291" t="s">
        <v>747</v>
      </c>
      <c r="L291">
        <v>1346</v>
      </c>
      <c r="N291">
        <v>1009</v>
      </c>
      <c r="O291" t="s">
        <v>305</v>
      </c>
      <c r="P291" t="s">
        <v>305</v>
      </c>
      <c r="Q291">
        <v>1</v>
      </c>
      <c r="X291">
        <v>0</v>
      </c>
      <c r="Y291">
        <v>0</v>
      </c>
      <c r="Z291">
        <v>0</v>
      </c>
      <c r="AA291">
        <v>0</v>
      </c>
      <c r="AB291">
        <v>0</v>
      </c>
      <c r="AC291">
        <v>1</v>
      </c>
      <c r="AD291">
        <v>0</v>
      </c>
      <c r="AE291">
        <v>0</v>
      </c>
      <c r="AF291" t="s">
        <v>414</v>
      </c>
      <c r="AG291">
        <v>0</v>
      </c>
      <c r="AH291">
        <v>3</v>
      </c>
      <c r="AI291">
        <v>-1</v>
      </c>
      <c r="AJ291" t="s">
        <v>6</v>
      </c>
      <c r="AK291">
        <v>0</v>
      </c>
      <c r="AL291">
        <v>0</v>
      </c>
      <c r="AM291">
        <v>0</v>
      </c>
      <c r="AN291">
        <v>0</v>
      </c>
      <c r="AO291">
        <v>0</v>
      </c>
      <c r="AP291">
        <v>0</v>
      </c>
      <c r="AQ291">
        <v>0</v>
      </c>
      <c r="AR291">
        <v>0</v>
      </c>
    </row>
    <row r="292" spans="1:44" x14ac:dyDescent="0.2">
      <c r="A292">
        <f>ROW(Source!A280)</f>
        <v>280</v>
      </c>
      <c r="B292">
        <v>86327661</v>
      </c>
      <c r="C292">
        <v>86327653</v>
      </c>
      <c r="D292">
        <v>27378431</v>
      </c>
      <c r="E292">
        <v>1</v>
      </c>
      <c r="F292">
        <v>1</v>
      </c>
      <c r="G292">
        <v>1</v>
      </c>
      <c r="H292">
        <v>3</v>
      </c>
      <c r="I292" t="s">
        <v>748</v>
      </c>
      <c r="J292" t="s">
        <v>749</v>
      </c>
      <c r="K292" t="s">
        <v>750</v>
      </c>
      <c r="L292">
        <v>1348</v>
      </c>
      <c r="N292">
        <v>1009</v>
      </c>
      <c r="O292" t="s">
        <v>33</v>
      </c>
      <c r="P292" t="s">
        <v>33</v>
      </c>
      <c r="Q292">
        <v>1000</v>
      </c>
      <c r="X292">
        <v>0</v>
      </c>
      <c r="Y292">
        <v>0</v>
      </c>
      <c r="Z292">
        <v>0</v>
      </c>
      <c r="AA292">
        <v>0</v>
      </c>
      <c r="AB292">
        <v>0</v>
      </c>
      <c r="AC292">
        <v>1</v>
      </c>
      <c r="AD292">
        <v>0</v>
      </c>
      <c r="AE292">
        <v>0</v>
      </c>
      <c r="AF292" t="s">
        <v>414</v>
      </c>
      <c r="AG292">
        <v>0</v>
      </c>
      <c r="AH292">
        <v>3</v>
      </c>
      <c r="AI292">
        <v>-1</v>
      </c>
      <c r="AJ292" t="s">
        <v>6</v>
      </c>
      <c r="AK292">
        <v>0</v>
      </c>
      <c r="AL292">
        <v>0</v>
      </c>
      <c r="AM292">
        <v>0</v>
      </c>
      <c r="AN292">
        <v>0</v>
      </c>
      <c r="AO292">
        <v>0</v>
      </c>
      <c r="AP292">
        <v>0</v>
      </c>
      <c r="AQ292">
        <v>0</v>
      </c>
      <c r="AR292">
        <v>0</v>
      </c>
    </row>
    <row r="293" spans="1:44" x14ac:dyDescent="0.2">
      <c r="A293">
        <f>ROW(Source!A316)</f>
        <v>316</v>
      </c>
      <c r="B293">
        <v>86327672</v>
      </c>
      <c r="C293">
        <v>86327662</v>
      </c>
      <c r="D293">
        <v>27493207</v>
      </c>
      <c r="E293">
        <v>1</v>
      </c>
      <c r="F293">
        <v>1</v>
      </c>
      <c r="G293">
        <v>1</v>
      </c>
      <c r="H293">
        <v>1</v>
      </c>
      <c r="I293" t="s">
        <v>623</v>
      </c>
      <c r="J293" t="s">
        <v>6</v>
      </c>
      <c r="K293" t="s">
        <v>624</v>
      </c>
      <c r="L293">
        <v>1369</v>
      </c>
      <c r="N293">
        <v>1013</v>
      </c>
      <c r="O293" t="s">
        <v>625</v>
      </c>
      <c r="P293" t="s">
        <v>625</v>
      </c>
      <c r="Q293">
        <v>1</v>
      </c>
      <c r="X293">
        <v>6.5</v>
      </c>
      <c r="Y293">
        <v>0</v>
      </c>
      <c r="Z293">
        <v>0</v>
      </c>
      <c r="AA293">
        <v>0</v>
      </c>
      <c r="AB293">
        <v>7.87</v>
      </c>
      <c r="AC293">
        <v>0</v>
      </c>
      <c r="AD293">
        <v>1</v>
      </c>
      <c r="AE293">
        <v>1</v>
      </c>
      <c r="AF293" t="s">
        <v>25</v>
      </c>
      <c r="AG293">
        <v>6.8250000000000002</v>
      </c>
      <c r="AH293">
        <v>2</v>
      </c>
      <c r="AI293">
        <v>86327663</v>
      </c>
      <c r="AJ293">
        <v>367</v>
      </c>
      <c r="AK293">
        <v>0</v>
      </c>
      <c r="AL293">
        <v>0</v>
      </c>
      <c r="AM293">
        <v>0</v>
      </c>
      <c r="AN293">
        <v>0</v>
      </c>
      <c r="AO293">
        <v>0</v>
      </c>
      <c r="AP293">
        <v>0</v>
      </c>
      <c r="AQ293">
        <v>0</v>
      </c>
      <c r="AR293">
        <v>0</v>
      </c>
    </row>
    <row r="294" spans="1:44" x14ac:dyDescent="0.2">
      <c r="A294">
        <f>ROW(Source!A316)</f>
        <v>316</v>
      </c>
      <c r="B294">
        <v>86327673</v>
      </c>
      <c r="C294">
        <v>86327662</v>
      </c>
      <c r="D294">
        <v>121548</v>
      </c>
      <c r="E294">
        <v>1</v>
      </c>
      <c r="F294">
        <v>1</v>
      </c>
      <c r="G294">
        <v>1</v>
      </c>
      <c r="H294">
        <v>1</v>
      </c>
      <c r="I294" t="s">
        <v>40</v>
      </c>
      <c r="J294" t="s">
        <v>6</v>
      </c>
      <c r="K294" t="s">
        <v>626</v>
      </c>
      <c r="L294">
        <v>608254</v>
      </c>
      <c r="N294">
        <v>1013</v>
      </c>
      <c r="O294" t="s">
        <v>627</v>
      </c>
      <c r="P294" t="s">
        <v>627</v>
      </c>
      <c r="Q294">
        <v>1</v>
      </c>
      <c r="X294">
        <v>2.12</v>
      </c>
      <c r="Y294">
        <v>0</v>
      </c>
      <c r="Z294">
        <v>0</v>
      </c>
      <c r="AA294">
        <v>0</v>
      </c>
      <c r="AB294">
        <v>0</v>
      </c>
      <c r="AC294">
        <v>0</v>
      </c>
      <c r="AD294">
        <v>1</v>
      </c>
      <c r="AE294">
        <v>2</v>
      </c>
      <c r="AF294" t="s">
        <v>24</v>
      </c>
      <c r="AG294">
        <v>2.3744000000000005</v>
      </c>
      <c r="AH294">
        <v>2</v>
      </c>
      <c r="AI294">
        <v>86327664</v>
      </c>
      <c r="AJ294">
        <v>368</v>
      </c>
      <c r="AK294">
        <v>0</v>
      </c>
      <c r="AL294">
        <v>0</v>
      </c>
      <c r="AM294">
        <v>0</v>
      </c>
      <c r="AN294">
        <v>0</v>
      </c>
      <c r="AO294">
        <v>0</v>
      </c>
      <c r="AP294">
        <v>0</v>
      </c>
      <c r="AQ294">
        <v>0</v>
      </c>
      <c r="AR294">
        <v>0</v>
      </c>
    </row>
    <row r="295" spans="1:44" x14ac:dyDescent="0.2">
      <c r="A295">
        <f>ROW(Source!A316)</f>
        <v>316</v>
      </c>
      <c r="B295">
        <v>86327674</v>
      </c>
      <c r="C295">
        <v>86327662</v>
      </c>
      <c r="D295">
        <v>27439418</v>
      </c>
      <c r="E295">
        <v>1</v>
      </c>
      <c r="F295">
        <v>1</v>
      </c>
      <c r="G295">
        <v>1</v>
      </c>
      <c r="H295">
        <v>2</v>
      </c>
      <c r="I295" t="s">
        <v>652</v>
      </c>
      <c r="J295" t="s">
        <v>653</v>
      </c>
      <c r="K295" t="s">
        <v>654</v>
      </c>
      <c r="L295">
        <v>1368</v>
      </c>
      <c r="N295">
        <v>1011</v>
      </c>
      <c r="O295" t="s">
        <v>137</v>
      </c>
      <c r="P295" t="s">
        <v>137</v>
      </c>
      <c r="Q295">
        <v>1</v>
      </c>
      <c r="X295">
        <v>1.2</v>
      </c>
      <c r="Y295">
        <v>0</v>
      </c>
      <c r="Z295">
        <v>91.69</v>
      </c>
      <c r="AA295">
        <v>13.61</v>
      </c>
      <c r="AB295">
        <v>0</v>
      </c>
      <c r="AC295">
        <v>0</v>
      </c>
      <c r="AD295">
        <v>1</v>
      </c>
      <c r="AE295">
        <v>0</v>
      </c>
      <c r="AF295" t="s">
        <v>24</v>
      </c>
      <c r="AG295">
        <v>1.3440000000000001</v>
      </c>
      <c r="AH295">
        <v>3</v>
      </c>
      <c r="AI295">
        <v>-1</v>
      </c>
      <c r="AJ295" t="s">
        <v>6</v>
      </c>
      <c r="AK295">
        <v>4</v>
      </c>
      <c r="AL295">
        <v>0</v>
      </c>
      <c r="AM295">
        <v>-123.23136000000001</v>
      </c>
      <c r="AN295">
        <v>-18.291840000000001</v>
      </c>
      <c r="AO295">
        <v>0</v>
      </c>
      <c r="AP295">
        <v>0</v>
      </c>
      <c r="AQ295">
        <v>0</v>
      </c>
      <c r="AR295">
        <v>1</v>
      </c>
    </row>
    <row r="296" spans="1:44" x14ac:dyDescent="0.2">
      <c r="A296">
        <f>ROW(Source!A316)</f>
        <v>316</v>
      </c>
      <c r="B296">
        <v>86327675</v>
      </c>
      <c r="C296">
        <v>86327662</v>
      </c>
      <c r="D296">
        <v>27439499</v>
      </c>
      <c r="E296">
        <v>1</v>
      </c>
      <c r="F296">
        <v>1</v>
      </c>
      <c r="G296">
        <v>1</v>
      </c>
      <c r="H296">
        <v>2</v>
      </c>
      <c r="I296" t="s">
        <v>631</v>
      </c>
      <c r="J296" t="s">
        <v>632</v>
      </c>
      <c r="K296" t="s">
        <v>633</v>
      </c>
      <c r="L296">
        <v>1368</v>
      </c>
      <c r="N296">
        <v>1011</v>
      </c>
      <c r="O296" t="s">
        <v>137</v>
      </c>
      <c r="P296" t="s">
        <v>137</v>
      </c>
      <c r="Q296">
        <v>1</v>
      </c>
      <c r="X296">
        <v>0.22</v>
      </c>
      <c r="Y296">
        <v>0</v>
      </c>
      <c r="Z296">
        <v>112.67</v>
      </c>
      <c r="AA296">
        <v>13.61</v>
      </c>
      <c r="AB296">
        <v>0</v>
      </c>
      <c r="AC296">
        <v>0</v>
      </c>
      <c r="AD296">
        <v>1</v>
      </c>
      <c r="AE296">
        <v>0</v>
      </c>
      <c r="AF296" t="s">
        <v>24</v>
      </c>
      <c r="AG296">
        <v>0.24640000000000004</v>
      </c>
      <c r="AH296">
        <v>2</v>
      </c>
      <c r="AI296">
        <v>86327666</v>
      </c>
      <c r="AJ296">
        <v>370</v>
      </c>
      <c r="AK296">
        <v>0</v>
      </c>
      <c r="AL296">
        <v>0</v>
      </c>
      <c r="AM296">
        <v>0</v>
      </c>
      <c r="AN296">
        <v>0</v>
      </c>
      <c r="AO296">
        <v>0</v>
      </c>
      <c r="AP296">
        <v>0</v>
      </c>
      <c r="AQ296">
        <v>0</v>
      </c>
      <c r="AR296">
        <v>0</v>
      </c>
    </row>
    <row r="297" spans="1:44" x14ac:dyDescent="0.2">
      <c r="A297">
        <f>ROW(Source!A316)</f>
        <v>316</v>
      </c>
      <c r="B297">
        <v>86327676</v>
      </c>
      <c r="C297">
        <v>86327662</v>
      </c>
      <c r="D297">
        <v>27439640</v>
      </c>
      <c r="E297">
        <v>1</v>
      </c>
      <c r="F297">
        <v>1</v>
      </c>
      <c r="G297">
        <v>1</v>
      </c>
      <c r="H297">
        <v>2</v>
      </c>
      <c r="I297" t="s">
        <v>634</v>
      </c>
      <c r="J297" t="s">
        <v>635</v>
      </c>
      <c r="K297" t="s">
        <v>636</v>
      </c>
      <c r="L297">
        <v>1368</v>
      </c>
      <c r="N297">
        <v>1011</v>
      </c>
      <c r="O297" t="s">
        <v>137</v>
      </c>
      <c r="P297" t="s">
        <v>137</v>
      </c>
      <c r="Q297">
        <v>1</v>
      </c>
      <c r="X297">
        <v>0.7</v>
      </c>
      <c r="Y297">
        <v>0</v>
      </c>
      <c r="Z297">
        <v>56.1</v>
      </c>
      <c r="AA297">
        <v>13.61</v>
      </c>
      <c r="AB297">
        <v>0</v>
      </c>
      <c r="AC297">
        <v>0</v>
      </c>
      <c r="AD297">
        <v>1</v>
      </c>
      <c r="AE297">
        <v>0</v>
      </c>
      <c r="AF297" t="s">
        <v>24</v>
      </c>
      <c r="AG297">
        <v>0.78400000000000003</v>
      </c>
      <c r="AH297">
        <v>2</v>
      </c>
      <c r="AI297">
        <v>86327667</v>
      </c>
      <c r="AJ297">
        <v>371</v>
      </c>
      <c r="AK297">
        <v>0</v>
      </c>
      <c r="AL297">
        <v>0</v>
      </c>
      <c r="AM297">
        <v>0</v>
      </c>
      <c r="AN297">
        <v>0</v>
      </c>
      <c r="AO297">
        <v>0</v>
      </c>
      <c r="AP297">
        <v>0</v>
      </c>
      <c r="AQ297">
        <v>0</v>
      </c>
      <c r="AR297">
        <v>0</v>
      </c>
    </row>
    <row r="298" spans="1:44" x14ac:dyDescent="0.2">
      <c r="A298">
        <f>ROW(Source!A316)</f>
        <v>316</v>
      </c>
      <c r="B298">
        <v>86327677</v>
      </c>
      <c r="C298">
        <v>86327662</v>
      </c>
      <c r="D298">
        <v>27441327</v>
      </c>
      <c r="E298">
        <v>1</v>
      </c>
      <c r="F298">
        <v>1</v>
      </c>
      <c r="G298">
        <v>1</v>
      </c>
      <c r="H298">
        <v>2</v>
      </c>
      <c r="I298" t="s">
        <v>637</v>
      </c>
      <c r="J298" t="s">
        <v>638</v>
      </c>
      <c r="K298" t="s">
        <v>639</v>
      </c>
      <c r="L298">
        <v>1368</v>
      </c>
      <c r="N298">
        <v>1011</v>
      </c>
      <c r="O298" t="s">
        <v>137</v>
      </c>
      <c r="P298" t="s">
        <v>137</v>
      </c>
      <c r="Q298">
        <v>1</v>
      </c>
      <c r="X298">
        <v>0.33</v>
      </c>
      <c r="Y298">
        <v>0</v>
      </c>
      <c r="Z298">
        <v>93.37</v>
      </c>
      <c r="AA298">
        <v>11.69</v>
      </c>
      <c r="AB298">
        <v>0</v>
      </c>
      <c r="AC298">
        <v>0</v>
      </c>
      <c r="AD298">
        <v>1</v>
      </c>
      <c r="AE298">
        <v>0</v>
      </c>
      <c r="AF298" t="s">
        <v>24</v>
      </c>
      <c r="AG298">
        <v>0.36960000000000004</v>
      </c>
      <c r="AH298">
        <v>2</v>
      </c>
      <c r="AI298">
        <v>86327668</v>
      </c>
      <c r="AJ298">
        <v>372</v>
      </c>
      <c r="AK298">
        <v>0</v>
      </c>
      <c r="AL298">
        <v>0</v>
      </c>
      <c r="AM298">
        <v>0</v>
      </c>
      <c r="AN298">
        <v>0</v>
      </c>
      <c r="AO298">
        <v>0</v>
      </c>
      <c r="AP298">
        <v>0</v>
      </c>
      <c r="AQ298">
        <v>0</v>
      </c>
      <c r="AR298">
        <v>0</v>
      </c>
    </row>
    <row r="299" spans="1:44" x14ac:dyDescent="0.2">
      <c r="A299">
        <f>ROW(Source!A316)</f>
        <v>316</v>
      </c>
      <c r="B299">
        <v>86327678</v>
      </c>
      <c r="C299">
        <v>86327662</v>
      </c>
      <c r="D299">
        <v>27378576</v>
      </c>
      <c r="E299">
        <v>1</v>
      </c>
      <c r="F299">
        <v>1</v>
      </c>
      <c r="G299">
        <v>1</v>
      </c>
      <c r="H299">
        <v>3</v>
      </c>
      <c r="I299" t="s">
        <v>703</v>
      </c>
      <c r="J299" t="s">
        <v>704</v>
      </c>
      <c r="K299" t="s">
        <v>32</v>
      </c>
      <c r="L299">
        <v>1348</v>
      </c>
      <c r="N299">
        <v>1009</v>
      </c>
      <c r="O299" t="s">
        <v>33</v>
      </c>
      <c r="P299" t="s">
        <v>33</v>
      </c>
      <c r="Q299">
        <v>1000</v>
      </c>
      <c r="X299">
        <v>3.0000000000000001E-3</v>
      </c>
      <c r="Y299">
        <v>12050</v>
      </c>
      <c r="Z299">
        <v>0</v>
      </c>
      <c r="AA299">
        <v>0</v>
      </c>
      <c r="AB299">
        <v>0</v>
      </c>
      <c r="AC299">
        <v>0</v>
      </c>
      <c r="AD299">
        <v>1</v>
      </c>
      <c r="AE299">
        <v>0</v>
      </c>
      <c r="AF299" t="s">
        <v>6</v>
      </c>
      <c r="AG299">
        <v>3.0000000000000001E-3</v>
      </c>
      <c r="AH299">
        <v>3</v>
      </c>
      <c r="AI299">
        <v>-1</v>
      </c>
      <c r="AJ299" t="s">
        <v>6</v>
      </c>
      <c r="AK299">
        <v>4</v>
      </c>
      <c r="AL299">
        <v>-36.15</v>
      </c>
      <c r="AM299">
        <v>0</v>
      </c>
      <c r="AN299">
        <v>0</v>
      </c>
      <c r="AO299">
        <v>0</v>
      </c>
      <c r="AP299">
        <v>0</v>
      </c>
      <c r="AQ299">
        <v>0</v>
      </c>
      <c r="AR299">
        <v>1</v>
      </c>
    </row>
    <row r="300" spans="1:44" x14ac:dyDescent="0.2">
      <c r="A300">
        <f>ROW(Source!A316)</f>
        <v>316</v>
      </c>
      <c r="B300">
        <v>86327679</v>
      </c>
      <c r="C300">
        <v>86327662</v>
      </c>
      <c r="D300">
        <v>27379786</v>
      </c>
      <c r="E300">
        <v>1</v>
      </c>
      <c r="F300">
        <v>1</v>
      </c>
      <c r="G300">
        <v>1</v>
      </c>
      <c r="H300">
        <v>3</v>
      </c>
      <c r="I300" t="s">
        <v>42</v>
      </c>
      <c r="J300" t="s">
        <v>45</v>
      </c>
      <c r="K300" t="s">
        <v>43</v>
      </c>
      <c r="L300">
        <v>1339</v>
      </c>
      <c r="N300">
        <v>1007</v>
      </c>
      <c r="O300" t="s">
        <v>44</v>
      </c>
      <c r="P300" t="s">
        <v>44</v>
      </c>
      <c r="Q300">
        <v>1</v>
      </c>
      <c r="X300">
        <v>1.9E-2</v>
      </c>
      <c r="Y300">
        <v>1100</v>
      </c>
      <c r="Z300">
        <v>0</v>
      </c>
      <c r="AA300">
        <v>0</v>
      </c>
      <c r="AB300">
        <v>0</v>
      </c>
      <c r="AC300">
        <v>0</v>
      </c>
      <c r="AD300">
        <v>1</v>
      </c>
      <c r="AE300">
        <v>0</v>
      </c>
      <c r="AF300" t="s">
        <v>6</v>
      </c>
      <c r="AG300">
        <v>1.9E-2</v>
      </c>
      <c r="AH300">
        <v>2</v>
      </c>
      <c r="AI300">
        <v>86327670</v>
      </c>
      <c r="AJ300">
        <v>375</v>
      </c>
      <c r="AK300">
        <v>3</v>
      </c>
      <c r="AL300">
        <v>-20.9</v>
      </c>
      <c r="AM300">
        <v>0</v>
      </c>
      <c r="AN300">
        <v>0</v>
      </c>
      <c r="AO300">
        <v>0</v>
      </c>
      <c r="AP300">
        <v>0</v>
      </c>
      <c r="AQ300">
        <v>0</v>
      </c>
      <c r="AR300">
        <v>1</v>
      </c>
    </row>
    <row r="301" spans="1:44" x14ac:dyDescent="0.2">
      <c r="A301">
        <f>ROW(Source!A317)</f>
        <v>317</v>
      </c>
      <c r="B301">
        <v>86327672</v>
      </c>
      <c r="C301">
        <v>86327662</v>
      </c>
      <c r="D301">
        <v>27493207</v>
      </c>
      <c r="E301">
        <v>1</v>
      </c>
      <c r="F301">
        <v>1</v>
      </c>
      <c r="G301">
        <v>1</v>
      </c>
      <c r="H301">
        <v>1</v>
      </c>
      <c r="I301" t="s">
        <v>623</v>
      </c>
      <c r="J301" t="s">
        <v>6</v>
      </c>
      <c r="K301" t="s">
        <v>624</v>
      </c>
      <c r="L301">
        <v>1369</v>
      </c>
      <c r="N301">
        <v>1013</v>
      </c>
      <c r="O301" t="s">
        <v>625</v>
      </c>
      <c r="P301" t="s">
        <v>625</v>
      </c>
      <c r="Q301">
        <v>1</v>
      </c>
      <c r="X301">
        <v>6.5</v>
      </c>
      <c r="Y301">
        <v>0</v>
      </c>
      <c r="Z301">
        <v>0</v>
      </c>
      <c r="AA301">
        <v>0</v>
      </c>
      <c r="AB301">
        <v>7.87</v>
      </c>
      <c r="AC301">
        <v>0</v>
      </c>
      <c r="AD301">
        <v>1</v>
      </c>
      <c r="AE301">
        <v>1</v>
      </c>
      <c r="AF301" t="s">
        <v>25</v>
      </c>
      <c r="AG301">
        <v>6.8250000000000002</v>
      </c>
      <c r="AH301">
        <v>2</v>
      </c>
      <c r="AI301">
        <v>86327663</v>
      </c>
      <c r="AJ301">
        <v>376</v>
      </c>
      <c r="AK301">
        <v>0</v>
      </c>
      <c r="AL301">
        <v>0</v>
      </c>
      <c r="AM301">
        <v>0</v>
      </c>
      <c r="AN301">
        <v>0</v>
      </c>
      <c r="AO301">
        <v>0</v>
      </c>
      <c r="AP301">
        <v>0</v>
      </c>
      <c r="AQ301">
        <v>0</v>
      </c>
      <c r="AR301">
        <v>0</v>
      </c>
    </row>
    <row r="302" spans="1:44" x14ac:dyDescent="0.2">
      <c r="A302">
        <f>ROW(Source!A317)</f>
        <v>317</v>
      </c>
      <c r="B302">
        <v>86327673</v>
      </c>
      <c r="C302">
        <v>86327662</v>
      </c>
      <c r="D302">
        <v>121548</v>
      </c>
      <c r="E302">
        <v>1</v>
      </c>
      <c r="F302">
        <v>1</v>
      </c>
      <c r="G302">
        <v>1</v>
      </c>
      <c r="H302">
        <v>1</v>
      </c>
      <c r="I302" t="s">
        <v>40</v>
      </c>
      <c r="J302" t="s">
        <v>6</v>
      </c>
      <c r="K302" t="s">
        <v>626</v>
      </c>
      <c r="L302">
        <v>608254</v>
      </c>
      <c r="N302">
        <v>1013</v>
      </c>
      <c r="O302" t="s">
        <v>627</v>
      </c>
      <c r="P302" t="s">
        <v>627</v>
      </c>
      <c r="Q302">
        <v>1</v>
      </c>
      <c r="X302">
        <v>2.12</v>
      </c>
      <c r="Y302">
        <v>0</v>
      </c>
      <c r="Z302">
        <v>0</v>
      </c>
      <c r="AA302">
        <v>0</v>
      </c>
      <c r="AB302">
        <v>0</v>
      </c>
      <c r="AC302">
        <v>0</v>
      </c>
      <c r="AD302">
        <v>1</v>
      </c>
      <c r="AE302">
        <v>2</v>
      </c>
      <c r="AF302" t="s">
        <v>24</v>
      </c>
      <c r="AG302">
        <v>2.3744000000000005</v>
      </c>
      <c r="AH302">
        <v>2</v>
      </c>
      <c r="AI302">
        <v>86327664</v>
      </c>
      <c r="AJ302">
        <v>377</v>
      </c>
      <c r="AK302">
        <v>0</v>
      </c>
      <c r="AL302">
        <v>0</v>
      </c>
      <c r="AM302">
        <v>0</v>
      </c>
      <c r="AN302">
        <v>0</v>
      </c>
      <c r="AO302">
        <v>0</v>
      </c>
      <c r="AP302">
        <v>0</v>
      </c>
      <c r="AQ302">
        <v>0</v>
      </c>
      <c r="AR302">
        <v>0</v>
      </c>
    </row>
    <row r="303" spans="1:44" x14ac:dyDescent="0.2">
      <c r="A303">
        <f>ROW(Source!A317)</f>
        <v>317</v>
      </c>
      <c r="B303">
        <v>86327674</v>
      </c>
      <c r="C303">
        <v>86327662</v>
      </c>
      <c r="D303">
        <v>27439418</v>
      </c>
      <c r="E303">
        <v>1</v>
      </c>
      <c r="F303">
        <v>1</v>
      </c>
      <c r="G303">
        <v>1</v>
      </c>
      <c r="H303">
        <v>2</v>
      </c>
      <c r="I303" t="s">
        <v>652</v>
      </c>
      <c r="J303" t="s">
        <v>653</v>
      </c>
      <c r="K303" t="s">
        <v>654</v>
      </c>
      <c r="L303">
        <v>1368</v>
      </c>
      <c r="N303">
        <v>1011</v>
      </c>
      <c r="O303" t="s">
        <v>137</v>
      </c>
      <c r="P303" t="s">
        <v>137</v>
      </c>
      <c r="Q303">
        <v>1</v>
      </c>
      <c r="X303">
        <v>1.2</v>
      </c>
      <c r="Y303">
        <v>0</v>
      </c>
      <c r="Z303">
        <v>91.69</v>
      </c>
      <c r="AA303">
        <v>13.61</v>
      </c>
      <c r="AB303">
        <v>0</v>
      </c>
      <c r="AC303">
        <v>0</v>
      </c>
      <c r="AD303">
        <v>1</v>
      </c>
      <c r="AE303">
        <v>0</v>
      </c>
      <c r="AF303" t="s">
        <v>24</v>
      </c>
      <c r="AG303">
        <v>1.3440000000000001</v>
      </c>
      <c r="AH303">
        <v>3</v>
      </c>
      <c r="AI303">
        <v>-1</v>
      </c>
      <c r="AJ303" t="s">
        <v>6</v>
      </c>
      <c r="AK303">
        <v>4</v>
      </c>
      <c r="AL303">
        <v>0</v>
      </c>
      <c r="AM303">
        <v>-123.23136000000001</v>
      </c>
      <c r="AN303">
        <v>-18.291840000000001</v>
      </c>
      <c r="AO303">
        <v>0</v>
      </c>
      <c r="AP303">
        <v>0</v>
      </c>
      <c r="AQ303">
        <v>0</v>
      </c>
      <c r="AR303">
        <v>1</v>
      </c>
    </row>
    <row r="304" spans="1:44" x14ac:dyDescent="0.2">
      <c r="A304">
        <f>ROW(Source!A317)</f>
        <v>317</v>
      </c>
      <c r="B304">
        <v>86327675</v>
      </c>
      <c r="C304">
        <v>86327662</v>
      </c>
      <c r="D304">
        <v>27439499</v>
      </c>
      <c r="E304">
        <v>1</v>
      </c>
      <c r="F304">
        <v>1</v>
      </c>
      <c r="G304">
        <v>1</v>
      </c>
      <c r="H304">
        <v>2</v>
      </c>
      <c r="I304" t="s">
        <v>631</v>
      </c>
      <c r="J304" t="s">
        <v>632</v>
      </c>
      <c r="K304" t="s">
        <v>633</v>
      </c>
      <c r="L304">
        <v>1368</v>
      </c>
      <c r="N304">
        <v>1011</v>
      </c>
      <c r="O304" t="s">
        <v>137</v>
      </c>
      <c r="P304" t="s">
        <v>137</v>
      </c>
      <c r="Q304">
        <v>1</v>
      </c>
      <c r="X304">
        <v>0.22</v>
      </c>
      <c r="Y304">
        <v>0</v>
      </c>
      <c r="Z304">
        <v>112.67</v>
      </c>
      <c r="AA304">
        <v>13.61</v>
      </c>
      <c r="AB304">
        <v>0</v>
      </c>
      <c r="AC304">
        <v>0</v>
      </c>
      <c r="AD304">
        <v>1</v>
      </c>
      <c r="AE304">
        <v>0</v>
      </c>
      <c r="AF304" t="s">
        <v>24</v>
      </c>
      <c r="AG304">
        <v>0.24640000000000004</v>
      </c>
      <c r="AH304">
        <v>2</v>
      </c>
      <c r="AI304">
        <v>86327666</v>
      </c>
      <c r="AJ304">
        <v>379</v>
      </c>
      <c r="AK304">
        <v>0</v>
      </c>
      <c r="AL304">
        <v>0</v>
      </c>
      <c r="AM304">
        <v>0</v>
      </c>
      <c r="AN304">
        <v>0</v>
      </c>
      <c r="AO304">
        <v>0</v>
      </c>
      <c r="AP304">
        <v>0</v>
      </c>
      <c r="AQ304">
        <v>0</v>
      </c>
      <c r="AR304">
        <v>0</v>
      </c>
    </row>
    <row r="305" spans="1:44" x14ac:dyDescent="0.2">
      <c r="A305">
        <f>ROW(Source!A317)</f>
        <v>317</v>
      </c>
      <c r="B305">
        <v>86327676</v>
      </c>
      <c r="C305">
        <v>86327662</v>
      </c>
      <c r="D305">
        <v>27439640</v>
      </c>
      <c r="E305">
        <v>1</v>
      </c>
      <c r="F305">
        <v>1</v>
      </c>
      <c r="G305">
        <v>1</v>
      </c>
      <c r="H305">
        <v>2</v>
      </c>
      <c r="I305" t="s">
        <v>634</v>
      </c>
      <c r="J305" t="s">
        <v>635</v>
      </c>
      <c r="K305" t="s">
        <v>636</v>
      </c>
      <c r="L305">
        <v>1368</v>
      </c>
      <c r="N305">
        <v>1011</v>
      </c>
      <c r="O305" t="s">
        <v>137</v>
      </c>
      <c r="P305" t="s">
        <v>137</v>
      </c>
      <c r="Q305">
        <v>1</v>
      </c>
      <c r="X305">
        <v>0.7</v>
      </c>
      <c r="Y305">
        <v>0</v>
      </c>
      <c r="Z305">
        <v>56.1</v>
      </c>
      <c r="AA305">
        <v>13.61</v>
      </c>
      <c r="AB305">
        <v>0</v>
      </c>
      <c r="AC305">
        <v>0</v>
      </c>
      <c r="AD305">
        <v>1</v>
      </c>
      <c r="AE305">
        <v>0</v>
      </c>
      <c r="AF305" t="s">
        <v>24</v>
      </c>
      <c r="AG305">
        <v>0.78400000000000003</v>
      </c>
      <c r="AH305">
        <v>2</v>
      </c>
      <c r="AI305">
        <v>86327667</v>
      </c>
      <c r="AJ305">
        <v>380</v>
      </c>
      <c r="AK305">
        <v>0</v>
      </c>
      <c r="AL305">
        <v>0</v>
      </c>
      <c r="AM305">
        <v>0</v>
      </c>
      <c r="AN305">
        <v>0</v>
      </c>
      <c r="AO305">
        <v>0</v>
      </c>
      <c r="AP305">
        <v>0</v>
      </c>
      <c r="AQ305">
        <v>0</v>
      </c>
      <c r="AR305">
        <v>0</v>
      </c>
    </row>
    <row r="306" spans="1:44" x14ac:dyDescent="0.2">
      <c r="A306">
        <f>ROW(Source!A317)</f>
        <v>317</v>
      </c>
      <c r="B306">
        <v>86327677</v>
      </c>
      <c r="C306">
        <v>86327662</v>
      </c>
      <c r="D306">
        <v>27441327</v>
      </c>
      <c r="E306">
        <v>1</v>
      </c>
      <c r="F306">
        <v>1</v>
      </c>
      <c r="G306">
        <v>1</v>
      </c>
      <c r="H306">
        <v>2</v>
      </c>
      <c r="I306" t="s">
        <v>637</v>
      </c>
      <c r="J306" t="s">
        <v>638</v>
      </c>
      <c r="K306" t="s">
        <v>639</v>
      </c>
      <c r="L306">
        <v>1368</v>
      </c>
      <c r="N306">
        <v>1011</v>
      </c>
      <c r="O306" t="s">
        <v>137</v>
      </c>
      <c r="P306" t="s">
        <v>137</v>
      </c>
      <c r="Q306">
        <v>1</v>
      </c>
      <c r="X306">
        <v>0.33</v>
      </c>
      <c r="Y306">
        <v>0</v>
      </c>
      <c r="Z306">
        <v>93.37</v>
      </c>
      <c r="AA306">
        <v>11.69</v>
      </c>
      <c r="AB306">
        <v>0</v>
      </c>
      <c r="AC306">
        <v>0</v>
      </c>
      <c r="AD306">
        <v>1</v>
      </c>
      <c r="AE306">
        <v>0</v>
      </c>
      <c r="AF306" t="s">
        <v>24</v>
      </c>
      <c r="AG306">
        <v>0.36960000000000004</v>
      </c>
      <c r="AH306">
        <v>2</v>
      </c>
      <c r="AI306">
        <v>86327668</v>
      </c>
      <c r="AJ306">
        <v>381</v>
      </c>
      <c r="AK306">
        <v>0</v>
      </c>
      <c r="AL306">
        <v>0</v>
      </c>
      <c r="AM306">
        <v>0</v>
      </c>
      <c r="AN306">
        <v>0</v>
      </c>
      <c r="AO306">
        <v>0</v>
      </c>
      <c r="AP306">
        <v>0</v>
      </c>
      <c r="AQ306">
        <v>0</v>
      </c>
      <c r="AR306">
        <v>0</v>
      </c>
    </row>
    <row r="307" spans="1:44" x14ac:dyDescent="0.2">
      <c r="A307">
        <f>ROW(Source!A317)</f>
        <v>317</v>
      </c>
      <c r="B307">
        <v>86327678</v>
      </c>
      <c r="C307">
        <v>86327662</v>
      </c>
      <c r="D307">
        <v>27378576</v>
      </c>
      <c r="E307">
        <v>1</v>
      </c>
      <c r="F307">
        <v>1</v>
      </c>
      <c r="G307">
        <v>1</v>
      </c>
      <c r="H307">
        <v>3</v>
      </c>
      <c r="I307" t="s">
        <v>703</v>
      </c>
      <c r="J307" t="s">
        <v>704</v>
      </c>
      <c r="K307" t="s">
        <v>32</v>
      </c>
      <c r="L307">
        <v>1348</v>
      </c>
      <c r="N307">
        <v>1009</v>
      </c>
      <c r="O307" t="s">
        <v>33</v>
      </c>
      <c r="P307" t="s">
        <v>33</v>
      </c>
      <c r="Q307">
        <v>1000</v>
      </c>
      <c r="X307">
        <v>3.0000000000000001E-3</v>
      </c>
      <c r="Y307">
        <v>12050</v>
      </c>
      <c r="Z307">
        <v>0</v>
      </c>
      <c r="AA307">
        <v>0</v>
      </c>
      <c r="AB307">
        <v>0</v>
      </c>
      <c r="AC307">
        <v>0</v>
      </c>
      <c r="AD307">
        <v>1</v>
      </c>
      <c r="AE307">
        <v>0</v>
      </c>
      <c r="AF307" t="s">
        <v>6</v>
      </c>
      <c r="AG307">
        <v>3.0000000000000001E-3</v>
      </c>
      <c r="AH307">
        <v>3</v>
      </c>
      <c r="AI307">
        <v>-1</v>
      </c>
      <c r="AJ307" t="s">
        <v>6</v>
      </c>
      <c r="AK307">
        <v>4</v>
      </c>
      <c r="AL307">
        <v>-36.15</v>
      </c>
      <c r="AM307">
        <v>0</v>
      </c>
      <c r="AN307">
        <v>0</v>
      </c>
      <c r="AO307">
        <v>0</v>
      </c>
      <c r="AP307">
        <v>0</v>
      </c>
      <c r="AQ307">
        <v>0</v>
      </c>
      <c r="AR307">
        <v>1</v>
      </c>
    </row>
    <row r="308" spans="1:44" x14ac:dyDescent="0.2">
      <c r="A308">
        <f>ROW(Source!A317)</f>
        <v>317</v>
      </c>
      <c r="B308">
        <v>86327679</v>
      </c>
      <c r="C308">
        <v>86327662</v>
      </c>
      <c r="D308">
        <v>27379786</v>
      </c>
      <c r="E308">
        <v>1</v>
      </c>
      <c r="F308">
        <v>1</v>
      </c>
      <c r="G308">
        <v>1</v>
      </c>
      <c r="H308">
        <v>3</v>
      </c>
      <c r="I308" t="s">
        <v>42</v>
      </c>
      <c r="J308" t="s">
        <v>45</v>
      </c>
      <c r="K308" t="s">
        <v>43</v>
      </c>
      <c r="L308">
        <v>1339</v>
      </c>
      <c r="N308">
        <v>1007</v>
      </c>
      <c r="O308" t="s">
        <v>44</v>
      </c>
      <c r="P308" t="s">
        <v>44</v>
      </c>
      <c r="Q308">
        <v>1</v>
      </c>
      <c r="X308">
        <v>1.9E-2</v>
      </c>
      <c r="Y308">
        <v>1100</v>
      </c>
      <c r="Z308">
        <v>0</v>
      </c>
      <c r="AA308">
        <v>0</v>
      </c>
      <c r="AB308">
        <v>0</v>
      </c>
      <c r="AC308">
        <v>0</v>
      </c>
      <c r="AD308">
        <v>1</v>
      </c>
      <c r="AE308">
        <v>0</v>
      </c>
      <c r="AF308" t="s">
        <v>6</v>
      </c>
      <c r="AG308">
        <v>1.9E-2</v>
      </c>
      <c r="AH308">
        <v>2</v>
      </c>
      <c r="AI308">
        <v>86327670</v>
      </c>
      <c r="AJ308">
        <v>384</v>
      </c>
      <c r="AK308">
        <v>3</v>
      </c>
      <c r="AL308">
        <v>-20.9</v>
      </c>
      <c r="AM308">
        <v>0</v>
      </c>
      <c r="AN308">
        <v>0</v>
      </c>
      <c r="AO308">
        <v>0</v>
      </c>
      <c r="AP308">
        <v>0</v>
      </c>
      <c r="AQ308">
        <v>0</v>
      </c>
      <c r="AR308">
        <v>1</v>
      </c>
    </row>
    <row r="309" spans="1:44" x14ac:dyDescent="0.2">
      <c r="A309">
        <f>ROW(Source!A324)</f>
        <v>324</v>
      </c>
      <c r="B309">
        <v>86327691</v>
      </c>
      <c r="C309">
        <v>86327683</v>
      </c>
      <c r="D309">
        <v>5511010</v>
      </c>
      <c r="E309">
        <v>1</v>
      </c>
      <c r="F309">
        <v>1</v>
      </c>
      <c r="G309">
        <v>1</v>
      </c>
      <c r="H309">
        <v>1</v>
      </c>
      <c r="I309" t="s">
        <v>640</v>
      </c>
      <c r="J309" t="s">
        <v>6</v>
      </c>
      <c r="K309" t="s">
        <v>641</v>
      </c>
      <c r="L309">
        <v>1369</v>
      </c>
      <c r="N309">
        <v>1013</v>
      </c>
      <c r="O309" t="s">
        <v>625</v>
      </c>
      <c r="P309" t="s">
        <v>625</v>
      </c>
      <c r="Q309">
        <v>1</v>
      </c>
      <c r="X309">
        <v>88.894000000000005</v>
      </c>
      <c r="Y309">
        <v>0</v>
      </c>
      <c r="Z309">
        <v>0</v>
      </c>
      <c r="AA309">
        <v>0</v>
      </c>
      <c r="AB309">
        <v>11.92</v>
      </c>
      <c r="AC309">
        <v>0</v>
      </c>
      <c r="AD309">
        <v>1</v>
      </c>
      <c r="AE309">
        <v>1</v>
      </c>
      <c r="AF309" t="s">
        <v>25</v>
      </c>
      <c r="AG309">
        <v>93.338700000000003</v>
      </c>
      <c r="AH309">
        <v>2</v>
      </c>
      <c r="AI309">
        <v>86327684</v>
      </c>
      <c r="AJ309">
        <v>385</v>
      </c>
      <c r="AK309">
        <v>0</v>
      </c>
      <c r="AL309">
        <v>0</v>
      </c>
      <c r="AM309">
        <v>0</v>
      </c>
      <c r="AN309">
        <v>0</v>
      </c>
      <c r="AO309">
        <v>0</v>
      </c>
      <c r="AP309">
        <v>0</v>
      </c>
      <c r="AQ309">
        <v>0</v>
      </c>
      <c r="AR309">
        <v>0</v>
      </c>
    </row>
    <row r="310" spans="1:44" x14ac:dyDescent="0.2">
      <c r="A310">
        <f>ROW(Source!A324)</f>
        <v>324</v>
      </c>
      <c r="B310">
        <v>86327692</v>
      </c>
      <c r="C310">
        <v>86327683</v>
      </c>
      <c r="D310">
        <v>121548</v>
      </c>
      <c r="E310">
        <v>1</v>
      </c>
      <c r="F310">
        <v>1</v>
      </c>
      <c r="G310">
        <v>1</v>
      </c>
      <c r="H310">
        <v>1</v>
      </c>
      <c r="I310" t="s">
        <v>40</v>
      </c>
      <c r="J310" t="s">
        <v>6</v>
      </c>
      <c r="K310" t="s">
        <v>626</v>
      </c>
      <c r="L310">
        <v>608254</v>
      </c>
      <c r="N310">
        <v>1013</v>
      </c>
      <c r="O310" t="s">
        <v>627</v>
      </c>
      <c r="P310" t="s">
        <v>627</v>
      </c>
      <c r="Q310">
        <v>1</v>
      </c>
      <c r="X310">
        <v>0.45</v>
      </c>
      <c r="Y310">
        <v>0</v>
      </c>
      <c r="Z310">
        <v>0</v>
      </c>
      <c r="AA310">
        <v>0</v>
      </c>
      <c r="AB310">
        <v>0</v>
      </c>
      <c r="AC310">
        <v>0</v>
      </c>
      <c r="AD310">
        <v>1</v>
      </c>
      <c r="AE310">
        <v>2</v>
      </c>
      <c r="AF310" t="s">
        <v>24</v>
      </c>
      <c r="AG310">
        <v>0.50400000000000011</v>
      </c>
      <c r="AH310">
        <v>2</v>
      </c>
      <c r="AI310">
        <v>86327685</v>
      </c>
      <c r="AJ310">
        <v>386</v>
      </c>
      <c r="AK310">
        <v>0</v>
      </c>
      <c r="AL310">
        <v>0</v>
      </c>
      <c r="AM310">
        <v>0</v>
      </c>
      <c r="AN310">
        <v>0</v>
      </c>
      <c r="AO310">
        <v>0</v>
      </c>
      <c r="AP310">
        <v>0</v>
      </c>
      <c r="AQ310">
        <v>0</v>
      </c>
      <c r="AR310">
        <v>0</v>
      </c>
    </row>
    <row r="311" spans="1:44" x14ac:dyDescent="0.2">
      <c r="A311">
        <f>ROW(Source!A324)</f>
        <v>324</v>
      </c>
      <c r="B311">
        <v>86327693</v>
      </c>
      <c r="C311">
        <v>86327683</v>
      </c>
      <c r="D311">
        <v>35950917</v>
      </c>
      <c r="E311">
        <v>1</v>
      </c>
      <c r="F311">
        <v>1</v>
      </c>
      <c r="G311">
        <v>1</v>
      </c>
      <c r="H311">
        <v>2</v>
      </c>
      <c r="I311" t="s">
        <v>628</v>
      </c>
      <c r="J311" t="s">
        <v>642</v>
      </c>
      <c r="K311" t="s">
        <v>643</v>
      </c>
      <c r="L311">
        <v>1368</v>
      </c>
      <c r="N311">
        <v>1011</v>
      </c>
      <c r="O311" t="s">
        <v>137</v>
      </c>
      <c r="P311" t="s">
        <v>137</v>
      </c>
      <c r="Q311">
        <v>1</v>
      </c>
      <c r="X311">
        <v>0.36</v>
      </c>
      <c r="Y311">
        <v>0</v>
      </c>
      <c r="Z311">
        <v>115.64</v>
      </c>
      <c r="AA311">
        <v>11.18</v>
      </c>
      <c r="AB311">
        <v>0</v>
      </c>
      <c r="AC311">
        <v>0</v>
      </c>
      <c r="AD311">
        <v>1</v>
      </c>
      <c r="AE311">
        <v>0</v>
      </c>
      <c r="AF311" t="s">
        <v>24</v>
      </c>
      <c r="AG311">
        <v>0.4032</v>
      </c>
      <c r="AH311">
        <v>2</v>
      </c>
      <c r="AI311">
        <v>86327686</v>
      </c>
      <c r="AJ311">
        <v>387</v>
      </c>
      <c r="AK311">
        <v>0</v>
      </c>
      <c r="AL311">
        <v>0</v>
      </c>
      <c r="AM311">
        <v>0</v>
      </c>
      <c r="AN311">
        <v>0</v>
      </c>
      <c r="AO311">
        <v>0</v>
      </c>
      <c r="AP311">
        <v>0</v>
      </c>
      <c r="AQ311">
        <v>0</v>
      </c>
      <c r="AR311">
        <v>0</v>
      </c>
    </row>
    <row r="312" spans="1:44" x14ac:dyDescent="0.2">
      <c r="A312">
        <f>ROW(Source!A324)</f>
        <v>324</v>
      </c>
      <c r="B312">
        <v>86327694</v>
      </c>
      <c r="C312">
        <v>86327683</v>
      </c>
      <c r="D312">
        <v>35950918</v>
      </c>
      <c r="E312">
        <v>1</v>
      </c>
      <c r="F312">
        <v>1</v>
      </c>
      <c r="G312">
        <v>1</v>
      </c>
      <c r="H312">
        <v>2</v>
      </c>
      <c r="I312" t="s">
        <v>631</v>
      </c>
      <c r="J312" t="s">
        <v>644</v>
      </c>
      <c r="K312" t="s">
        <v>645</v>
      </c>
      <c r="L312">
        <v>1368</v>
      </c>
      <c r="N312">
        <v>1011</v>
      </c>
      <c r="O312" t="s">
        <v>137</v>
      </c>
      <c r="P312" t="s">
        <v>137</v>
      </c>
      <c r="Q312">
        <v>1</v>
      </c>
      <c r="X312">
        <v>0.09</v>
      </c>
      <c r="Y312">
        <v>0</v>
      </c>
      <c r="Z312">
        <v>112.67</v>
      </c>
      <c r="AA312">
        <v>13.02</v>
      </c>
      <c r="AB312">
        <v>0</v>
      </c>
      <c r="AC312">
        <v>0</v>
      </c>
      <c r="AD312">
        <v>1</v>
      </c>
      <c r="AE312">
        <v>0</v>
      </c>
      <c r="AF312" t="s">
        <v>24</v>
      </c>
      <c r="AG312">
        <v>0.1008</v>
      </c>
      <c r="AH312">
        <v>2</v>
      </c>
      <c r="AI312">
        <v>86327687</v>
      </c>
      <c r="AJ312">
        <v>388</v>
      </c>
      <c r="AK312">
        <v>0</v>
      </c>
      <c r="AL312">
        <v>0</v>
      </c>
      <c r="AM312">
        <v>0</v>
      </c>
      <c r="AN312">
        <v>0</v>
      </c>
      <c r="AO312">
        <v>0</v>
      </c>
      <c r="AP312">
        <v>0</v>
      </c>
      <c r="AQ312">
        <v>0</v>
      </c>
      <c r="AR312">
        <v>0</v>
      </c>
    </row>
    <row r="313" spans="1:44" x14ac:dyDescent="0.2">
      <c r="A313">
        <f>ROW(Source!A324)</f>
        <v>324</v>
      </c>
      <c r="B313">
        <v>86327695</v>
      </c>
      <c r="C313">
        <v>86327683</v>
      </c>
      <c r="D313">
        <v>35950919</v>
      </c>
      <c r="E313">
        <v>1</v>
      </c>
      <c r="F313">
        <v>1</v>
      </c>
      <c r="G313">
        <v>1</v>
      </c>
      <c r="H313">
        <v>2</v>
      </c>
      <c r="I313" t="s">
        <v>637</v>
      </c>
      <c r="J313" t="s">
        <v>646</v>
      </c>
      <c r="K313" t="s">
        <v>639</v>
      </c>
      <c r="L313">
        <v>1368</v>
      </c>
      <c r="N313">
        <v>1011</v>
      </c>
      <c r="O313" t="s">
        <v>137</v>
      </c>
      <c r="P313" t="s">
        <v>137</v>
      </c>
      <c r="Q313">
        <v>1</v>
      </c>
      <c r="X313">
        <v>0.13</v>
      </c>
      <c r="Y313">
        <v>0</v>
      </c>
      <c r="Z313">
        <v>93.37</v>
      </c>
      <c r="AA313">
        <v>11.69</v>
      </c>
      <c r="AB313">
        <v>0</v>
      </c>
      <c r="AC313">
        <v>0</v>
      </c>
      <c r="AD313">
        <v>1</v>
      </c>
      <c r="AE313">
        <v>0</v>
      </c>
      <c r="AF313" t="s">
        <v>24</v>
      </c>
      <c r="AG313">
        <v>0.14560000000000001</v>
      </c>
      <c r="AH313">
        <v>2</v>
      </c>
      <c r="AI313">
        <v>86327688</v>
      </c>
      <c r="AJ313">
        <v>389</v>
      </c>
      <c r="AK313">
        <v>0</v>
      </c>
      <c r="AL313">
        <v>0</v>
      </c>
      <c r="AM313">
        <v>0</v>
      </c>
      <c r="AN313">
        <v>0</v>
      </c>
      <c r="AO313">
        <v>0</v>
      </c>
      <c r="AP313">
        <v>0</v>
      </c>
      <c r="AQ313">
        <v>0</v>
      </c>
      <c r="AR313">
        <v>0</v>
      </c>
    </row>
    <row r="314" spans="1:44" x14ac:dyDescent="0.2">
      <c r="A314">
        <f>ROW(Source!A324)</f>
        <v>324</v>
      </c>
      <c r="B314">
        <v>86327696</v>
      </c>
      <c r="C314">
        <v>86327683</v>
      </c>
      <c r="D314">
        <v>10841104</v>
      </c>
      <c r="E314">
        <v>1</v>
      </c>
      <c r="F314">
        <v>1</v>
      </c>
      <c r="G314">
        <v>1</v>
      </c>
      <c r="H314">
        <v>3</v>
      </c>
      <c r="I314" t="s">
        <v>316</v>
      </c>
      <c r="J314" t="s">
        <v>705</v>
      </c>
      <c r="K314" t="s">
        <v>706</v>
      </c>
      <c r="L314">
        <v>1348</v>
      </c>
      <c r="N314">
        <v>1009</v>
      </c>
      <c r="O314" t="s">
        <v>33</v>
      </c>
      <c r="P314" t="s">
        <v>33</v>
      </c>
      <c r="Q314">
        <v>1000</v>
      </c>
      <c r="X314">
        <v>5.0000000000000001E-3</v>
      </c>
      <c r="Y314">
        <v>10559.12</v>
      </c>
      <c r="Z314">
        <v>0</v>
      </c>
      <c r="AA314">
        <v>0</v>
      </c>
      <c r="AB314">
        <v>0</v>
      </c>
      <c r="AC314">
        <v>0</v>
      </c>
      <c r="AD314">
        <v>1</v>
      </c>
      <c r="AE314">
        <v>0</v>
      </c>
      <c r="AF314" t="s">
        <v>6</v>
      </c>
      <c r="AG314">
        <v>5.0000000000000001E-3</v>
      </c>
      <c r="AH314">
        <v>3</v>
      </c>
      <c r="AI314">
        <v>-1</v>
      </c>
      <c r="AJ314" t="s">
        <v>6</v>
      </c>
      <c r="AK314">
        <v>4</v>
      </c>
      <c r="AL314">
        <v>-52.795600000000007</v>
      </c>
      <c r="AM314">
        <v>0</v>
      </c>
      <c r="AN314">
        <v>0</v>
      </c>
      <c r="AO314">
        <v>0</v>
      </c>
      <c r="AP314">
        <v>0</v>
      </c>
      <c r="AQ314">
        <v>0</v>
      </c>
      <c r="AR314">
        <v>1</v>
      </c>
    </row>
    <row r="315" spans="1:44" x14ac:dyDescent="0.2">
      <c r="A315">
        <f>ROW(Source!A324)</f>
        <v>324</v>
      </c>
      <c r="B315">
        <v>86327697</v>
      </c>
      <c r="C315">
        <v>86327683</v>
      </c>
      <c r="D315">
        <v>35950877</v>
      </c>
      <c r="E315">
        <v>1</v>
      </c>
      <c r="F315">
        <v>1</v>
      </c>
      <c r="G315">
        <v>1</v>
      </c>
      <c r="H315">
        <v>3</v>
      </c>
      <c r="I315" t="s">
        <v>751</v>
      </c>
      <c r="J315" t="s">
        <v>752</v>
      </c>
      <c r="K315" t="s">
        <v>753</v>
      </c>
      <c r="L315">
        <v>1348</v>
      </c>
      <c r="N315">
        <v>1009</v>
      </c>
      <c r="O315" t="s">
        <v>33</v>
      </c>
      <c r="P315" t="s">
        <v>33</v>
      </c>
      <c r="Q315">
        <v>1000</v>
      </c>
      <c r="X315">
        <v>1</v>
      </c>
      <c r="Y315">
        <v>4700.26</v>
      </c>
      <c r="Z315">
        <v>0</v>
      </c>
      <c r="AA315">
        <v>0</v>
      </c>
      <c r="AB315">
        <v>0</v>
      </c>
      <c r="AC315">
        <v>0</v>
      </c>
      <c r="AD315">
        <v>1</v>
      </c>
      <c r="AE315">
        <v>0</v>
      </c>
      <c r="AF315" t="s">
        <v>6</v>
      </c>
      <c r="AG315">
        <v>1</v>
      </c>
      <c r="AH315">
        <v>3</v>
      </c>
      <c r="AI315">
        <v>-1</v>
      </c>
      <c r="AJ315" t="s">
        <v>6</v>
      </c>
      <c r="AK315">
        <v>4</v>
      </c>
      <c r="AL315">
        <v>-4700.26</v>
      </c>
      <c r="AM315">
        <v>0</v>
      </c>
      <c r="AN315">
        <v>0</v>
      </c>
      <c r="AO315">
        <v>0</v>
      </c>
      <c r="AP315">
        <v>0</v>
      </c>
      <c r="AQ315">
        <v>0</v>
      </c>
      <c r="AR315">
        <v>1</v>
      </c>
    </row>
    <row r="316" spans="1:44" x14ac:dyDescent="0.2">
      <c r="A316">
        <f>ROW(Source!A325)</f>
        <v>325</v>
      </c>
      <c r="B316">
        <v>86327691</v>
      </c>
      <c r="C316">
        <v>86327683</v>
      </c>
      <c r="D316">
        <v>5511010</v>
      </c>
      <c r="E316">
        <v>1</v>
      </c>
      <c r="F316">
        <v>1</v>
      </c>
      <c r="G316">
        <v>1</v>
      </c>
      <c r="H316">
        <v>1</v>
      </c>
      <c r="I316" t="s">
        <v>640</v>
      </c>
      <c r="J316" t="s">
        <v>6</v>
      </c>
      <c r="K316" t="s">
        <v>641</v>
      </c>
      <c r="L316">
        <v>1369</v>
      </c>
      <c r="N316">
        <v>1013</v>
      </c>
      <c r="O316" t="s">
        <v>625</v>
      </c>
      <c r="P316" t="s">
        <v>625</v>
      </c>
      <c r="Q316">
        <v>1</v>
      </c>
      <c r="X316">
        <v>88.894000000000005</v>
      </c>
      <c r="Y316">
        <v>0</v>
      </c>
      <c r="Z316">
        <v>0</v>
      </c>
      <c r="AA316">
        <v>0</v>
      </c>
      <c r="AB316">
        <v>11.92</v>
      </c>
      <c r="AC316">
        <v>0</v>
      </c>
      <c r="AD316">
        <v>1</v>
      </c>
      <c r="AE316">
        <v>1</v>
      </c>
      <c r="AF316" t="s">
        <v>25</v>
      </c>
      <c r="AG316">
        <v>93.338700000000003</v>
      </c>
      <c r="AH316">
        <v>2</v>
      </c>
      <c r="AI316">
        <v>86327684</v>
      </c>
      <c r="AJ316">
        <v>392</v>
      </c>
      <c r="AK316">
        <v>0</v>
      </c>
      <c r="AL316">
        <v>0</v>
      </c>
      <c r="AM316">
        <v>0</v>
      </c>
      <c r="AN316">
        <v>0</v>
      </c>
      <c r="AO316">
        <v>0</v>
      </c>
      <c r="AP316">
        <v>0</v>
      </c>
      <c r="AQ316">
        <v>0</v>
      </c>
      <c r="AR316">
        <v>0</v>
      </c>
    </row>
    <row r="317" spans="1:44" x14ac:dyDescent="0.2">
      <c r="A317">
        <f>ROW(Source!A325)</f>
        <v>325</v>
      </c>
      <c r="B317">
        <v>86327692</v>
      </c>
      <c r="C317">
        <v>86327683</v>
      </c>
      <c r="D317">
        <v>121548</v>
      </c>
      <c r="E317">
        <v>1</v>
      </c>
      <c r="F317">
        <v>1</v>
      </c>
      <c r="G317">
        <v>1</v>
      </c>
      <c r="H317">
        <v>1</v>
      </c>
      <c r="I317" t="s">
        <v>40</v>
      </c>
      <c r="J317" t="s">
        <v>6</v>
      </c>
      <c r="K317" t="s">
        <v>626</v>
      </c>
      <c r="L317">
        <v>608254</v>
      </c>
      <c r="N317">
        <v>1013</v>
      </c>
      <c r="O317" t="s">
        <v>627</v>
      </c>
      <c r="P317" t="s">
        <v>627</v>
      </c>
      <c r="Q317">
        <v>1</v>
      </c>
      <c r="X317">
        <v>0.45</v>
      </c>
      <c r="Y317">
        <v>0</v>
      </c>
      <c r="Z317">
        <v>0</v>
      </c>
      <c r="AA317">
        <v>0</v>
      </c>
      <c r="AB317">
        <v>0</v>
      </c>
      <c r="AC317">
        <v>0</v>
      </c>
      <c r="AD317">
        <v>1</v>
      </c>
      <c r="AE317">
        <v>2</v>
      </c>
      <c r="AF317" t="s">
        <v>24</v>
      </c>
      <c r="AG317">
        <v>0.50400000000000011</v>
      </c>
      <c r="AH317">
        <v>2</v>
      </c>
      <c r="AI317">
        <v>86327685</v>
      </c>
      <c r="AJ317">
        <v>393</v>
      </c>
      <c r="AK317">
        <v>0</v>
      </c>
      <c r="AL317">
        <v>0</v>
      </c>
      <c r="AM317">
        <v>0</v>
      </c>
      <c r="AN317">
        <v>0</v>
      </c>
      <c r="AO317">
        <v>0</v>
      </c>
      <c r="AP317">
        <v>0</v>
      </c>
      <c r="AQ317">
        <v>0</v>
      </c>
      <c r="AR317">
        <v>0</v>
      </c>
    </row>
    <row r="318" spans="1:44" x14ac:dyDescent="0.2">
      <c r="A318">
        <f>ROW(Source!A325)</f>
        <v>325</v>
      </c>
      <c r="B318">
        <v>86327693</v>
      </c>
      <c r="C318">
        <v>86327683</v>
      </c>
      <c r="D318">
        <v>35950917</v>
      </c>
      <c r="E318">
        <v>1</v>
      </c>
      <c r="F318">
        <v>1</v>
      </c>
      <c r="G318">
        <v>1</v>
      </c>
      <c r="H318">
        <v>2</v>
      </c>
      <c r="I318" t="s">
        <v>628</v>
      </c>
      <c r="J318" t="s">
        <v>642</v>
      </c>
      <c r="K318" t="s">
        <v>643</v>
      </c>
      <c r="L318">
        <v>1368</v>
      </c>
      <c r="N318">
        <v>1011</v>
      </c>
      <c r="O318" t="s">
        <v>137</v>
      </c>
      <c r="P318" t="s">
        <v>137</v>
      </c>
      <c r="Q318">
        <v>1</v>
      </c>
      <c r="X318">
        <v>0.36</v>
      </c>
      <c r="Y318">
        <v>0</v>
      </c>
      <c r="Z318">
        <v>115.64</v>
      </c>
      <c r="AA318">
        <v>11.18</v>
      </c>
      <c r="AB318">
        <v>0</v>
      </c>
      <c r="AC318">
        <v>0</v>
      </c>
      <c r="AD318">
        <v>1</v>
      </c>
      <c r="AE318">
        <v>0</v>
      </c>
      <c r="AF318" t="s">
        <v>24</v>
      </c>
      <c r="AG318">
        <v>0.4032</v>
      </c>
      <c r="AH318">
        <v>2</v>
      </c>
      <c r="AI318">
        <v>86327686</v>
      </c>
      <c r="AJ318">
        <v>394</v>
      </c>
      <c r="AK318">
        <v>0</v>
      </c>
      <c r="AL318">
        <v>0</v>
      </c>
      <c r="AM318">
        <v>0</v>
      </c>
      <c r="AN318">
        <v>0</v>
      </c>
      <c r="AO318">
        <v>0</v>
      </c>
      <c r="AP318">
        <v>0</v>
      </c>
      <c r="AQ318">
        <v>0</v>
      </c>
      <c r="AR318">
        <v>0</v>
      </c>
    </row>
    <row r="319" spans="1:44" x14ac:dyDescent="0.2">
      <c r="A319">
        <f>ROW(Source!A325)</f>
        <v>325</v>
      </c>
      <c r="B319">
        <v>86327694</v>
      </c>
      <c r="C319">
        <v>86327683</v>
      </c>
      <c r="D319">
        <v>35950918</v>
      </c>
      <c r="E319">
        <v>1</v>
      </c>
      <c r="F319">
        <v>1</v>
      </c>
      <c r="G319">
        <v>1</v>
      </c>
      <c r="H319">
        <v>2</v>
      </c>
      <c r="I319" t="s">
        <v>631</v>
      </c>
      <c r="J319" t="s">
        <v>644</v>
      </c>
      <c r="K319" t="s">
        <v>645</v>
      </c>
      <c r="L319">
        <v>1368</v>
      </c>
      <c r="N319">
        <v>1011</v>
      </c>
      <c r="O319" t="s">
        <v>137</v>
      </c>
      <c r="P319" t="s">
        <v>137</v>
      </c>
      <c r="Q319">
        <v>1</v>
      </c>
      <c r="X319">
        <v>0.09</v>
      </c>
      <c r="Y319">
        <v>0</v>
      </c>
      <c r="Z319">
        <v>112.67</v>
      </c>
      <c r="AA319">
        <v>13.02</v>
      </c>
      <c r="AB319">
        <v>0</v>
      </c>
      <c r="AC319">
        <v>0</v>
      </c>
      <c r="AD319">
        <v>1</v>
      </c>
      <c r="AE319">
        <v>0</v>
      </c>
      <c r="AF319" t="s">
        <v>24</v>
      </c>
      <c r="AG319">
        <v>0.1008</v>
      </c>
      <c r="AH319">
        <v>2</v>
      </c>
      <c r="AI319">
        <v>86327687</v>
      </c>
      <c r="AJ319">
        <v>395</v>
      </c>
      <c r="AK319">
        <v>0</v>
      </c>
      <c r="AL319">
        <v>0</v>
      </c>
      <c r="AM319">
        <v>0</v>
      </c>
      <c r="AN319">
        <v>0</v>
      </c>
      <c r="AO319">
        <v>0</v>
      </c>
      <c r="AP319">
        <v>0</v>
      </c>
      <c r="AQ319">
        <v>0</v>
      </c>
      <c r="AR319">
        <v>0</v>
      </c>
    </row>
    <row r="320" spans="1:44" x14ac:dyDescent="0.2">
      <c r="A320">
        <f>ROW(Source!A325)</f>
        <v>325</v>
      </c>
      <c r="B320">
        <v>86327695</v>
      </c>
      <c r="C320">
        <v>86327683</v>
      </c>
      <c r="D320">
        <v>35950919</v>
      </c>
      <c r="E320">
        <v>1</v>
      </c>
      <c r="F320">
        <v>1</v>
      </c>
      <c r="G320">
        <v>1</v>
      </c>
      <c r="H320">
        <v>2</v>
      </c>
      <c r="I320" t="s">
        <v>637</v>
      </c>
      <c r="J320" t="s">
        <v>646</v>
      </c>
      <c r="K320" t="s">
        <v>639</v>
      </c>
      <c r="L320">
        <v>1368</v>
      </c>
      <c r="N320">
        <v>1011</v>
      </c>
      <c r="O320" t="s">
        <v>137</v>
      </c>
      <c r="P320" t="s">
        <v>137</v>
      </c>
      <c r="Q320">
        <v>1</v>
      </c>
      <c r="X320">
        <v>0.13</v>
      </c>
      <c r="Y320">
        <v>0</v>
      </c>
      <c r="Z320">
        <v>93.37</v>
      </c>
      <c r="AA320">
        <v>11.69</v>
      </c>
      <c r="AB320">
        <v>0</v>
      </c>
      <c r="AC320">
        <v>0</v>
      </c>
      <c r="AD320">
        <v>1</v>
      </c>
      <c r="AE320">
        <v>0</v>
      </c>
      <c r="AF320" t="s">
        <v>24</v>
      </c>
      <c r="AG320">
        <v>0.14560000000000001</v>
      </c>
      <c r="AH320">
        <v>2</v>
      </c>
      <c r="AI320">
        <v>86327688</v>
      </c>
      <c r="AJ320">
        <v>396</v>
      </c>
      <c r="AK320">
        <v>0</v>
      </c>
      <c r="AL320">
        <v>0</v>
      </c>
      <c r="AM320">
        <v>0</v>
      </c>
      <c r="AN320">
        <v>0</v>
      </c>
      <c r="AO320">
        <v>0</v>
      </c>
      <c r="AP320">
        <v>0</v>
      </c>
      <c r="AQ320">
        <v>0</v>
      </c>
      <c r="AR320">
        <v>0</v>
      </c>
    </row>
    <row r="321" spans="1:44" x14ac:dyDescent="0.2">
      <c r="A321">
        <f>ROW(Source!A325)</f>
        <v>325</v>
      </c>
      <c r="B321">
        <v>86327696</v>
      </c>
      <c r="C321">
        <v>86327683</v>
      </c>
      <c r="D321">
        <v>10841104</v>
      </c>
      <c r="E321">
        <v>1</v>
      </c>
      <c r="F321">
        <v>1</v>
      </c>
      <c r="G321">
        <v>1</v>
      </c>
      <c r="H321">
        <v>3</v>
      </c>
      <c r="I321" t="s">
        <v>316</v>
      </c>
      <c r="J321" t="s">
        <v>705</v>
      </c>
      <c r="K321" t="s">
        <v>706</v>
      </c>
      <c r="L321">
        <v>1348</v>
      </c>
      <c r="N321">
        <v>1009</v>
      </c>
      <c r="O321" t="s">
        <v>33</v>
      </c>
      <c r="P321" t="s">
        <v>33</v>
      </c>
      <c r="Q321">
        <v>1000</v>
      </c>
      <c r="X321">
        <v>5.0000000000000001E-3</v>
      </c>
      <c r="Y321">
        <v>10559.12</v>
      </c>
      <c r="Z321">
        <v>0</v>
      </c>
      <c r="AA321">
        <v>0</v>
      </c>
      <c r="AB321">
        <v>0</v>
      </c>
      <c r="AC321">
        <v>0</v>
      </c>
      <c r="AD321">
        <v>1</v>
      </c>
      <c r="AE321">
        <v>0</v>
      </c>
      <c r="AF321" t="s">
        <v>6</v>
      </c>
      <c r="AG321">
        <v>5.0000000000000001E-3</v>
      </c>
      <c r="AH321">
        <v>3</v>
      </c>
      <c r="AI321">
        <v>-1</v>
      </c>
      <c r="AJ321" t="s">
        <v>6</v>
      </c>
      <c r="AK321">
        <v>4</v>
      </c>
      <c r="AL321">
        <v>-52.795600000000007</v>
      </c>
      <c r="AM321">
        <v>0</v>
      </c>
      <c r="AN321">
        <v>0</v>
      </c>
      <c r="AO321">
        <v>0</v>
      </c>
      <c r="AP321">
        <v>0</v>
      </c>
      <c r="AQ321">
        <v>0</v>
      </c>
      <c r="AR321">
        <v>1</v>
      </c>
    </row>
    <row r="322" spans="1:44" x14ac:dyDescent="0.2">
      <c r="A322">
        <f>ROW(Source!A325)</f>
        <v>325</v>
      </c>
      <c r="B322">
        <v>86327697</v>
      </c>
      <c r="C322">
        <v>86327683</v>
      </c>
      <c r="D322">
        <v>35950877</v>
      </c>
      <c r="E322">
        <v>1</v>
      </c>
      <c r="F322">
        <v>1</v>
      </c>
      <c r="G322">
        <v>1</v>
      </c>
      <c r="H322">
        <v>3</v>
      </c>
      <c r="I322" t="s">
        <v>751</v>
      </c>
      <c r="J322" t="s">
        <v>752</v>
      </c>
      <c r="K322" t="s">
        <v>753</v>
      </c>
      <c r="L322">
        <v>1348</v>
      </c>
      <c r="N322">
        <v>1009</v>
      </c>
      <c r="O322" t="s">
        <v>33</v>
      </c>
      <c r="P322" t="s">
        <v>33</v>
      </c>
      <c r="Q322">
        <v>1000</v>
      </c>
      <c r="X322">
        <v>1</v>
      </c>
      <c r="Y322">
        <v>4700.26</v>
      </c>
      <c r="Z322">
        <v>0</v>
      </c>
      <c r="AA322">
        <v>0</v>
      </c>
      <c r="AB322">
        <v>0</v>
      </c>
      <c r="AC322">
        <v>0</v>
      </c>
      <c r="AD322">
        <v>1</v>
      </c>
      <c r="AE322">
        <v>0</v>
      </c>
      <c r="AF322" t="s">
        <v>6</v>
      </c>
      <c r="AG322">
        <v>1</v>
      </c>
      <c r="AH322">
        <v>3</v>
      </c>
      <c r="AI322">
        <v>-1</v>
      </c>
      <c r="AJ322" t="s">
        <v>6</v>
      </c>
      <c r="AK322">
        <v>4</v>
      </c>
      <c r="AL322">
        <v>-4700.26</v>
      </c>
      <c r="AM322">
        <v>0</v>
      </c>
      <c r="AN322">
        <v>0</v>
      </c>
      <c r="AO322">
        <v>0</v>
      </c>
      <c r="AP322">
        <v>0</v>
      </c>
      <c r="AQ322">
        <v>0</v>
      </c>
      <c r="AR322">
        <v>1</v>
      </c>
    </row>
    <row r="323" spans="1:44" x14ac:dyDescent="0.2">
      <c r="A323">
        <f>ROW(Source!A330)</f>
        <v>330</v>
      </c>
      <c r="B323">
        <v>86327710</v>
      </c>
      <c r="C323">
        <v>86327700</v>
      </c>
      <c r="D323">
        <v>5511010</v>
      </c>
      <c r="E323">
        <v>1</v>
      </c>
      <c r="F323">
        <v>1</v>
      </c>
      <c r="G323">
        <v>1</v>
      </c>
      <c r="H323">
        <v>1</v>
      </c>
      <c r="I323" t="s">
        <v>640</v>
      </c>
      <c r="J323" t="s">
        <v>6</v>
      </c>
      <c r="K323" t="s">
        <v>641</v>
      </c>
      <c r="L323">
        <v>1369</v>
      </c>
      <c r="N323">
        <v>1013</v>
      </c>
      <c r="O323" t="s">
        <v>625</v>
      </c>
      <c r="P323" t="s">
        <v>625</v>
      </c>
      <c r="Q323">
        <v>1</v>
      </c>
      <c r="X323">
        <v>88.894000000000005</v>
      </c>
      <c r="Y323">
        <v>0</v>
      </c>
      <c r="Z323">
        <v>0</v>
      </c>
      <c r="AA323">
        <v>0</v>
      </c>
      <c r="AB323">
        <v>11.92</v>
      </c>
      <c r="AC323">
        <v>0</v>
      </c>
      <c r="AD323">
        <v>1</v>
      </c>
      <c r="AE323">
        <v>1</v>
      </c>
      <c r="AF323" t="s">
        <v>25</v>
      </c>
      <c r="AG323">
        <v>93.338700000000003</v>
      </c>
      <c r="AH323">
        <v>2</v>
      </c>
      <c r="AI323">
        <v>86327701</v>
      </c>
      <c r="AJ323">
        <v>399</v>
      </c>
      <c r="AK323">
        <v>0</v>
      </c>
      <c r="AL323">
        <v>0</v>
      </c>
      <c r="AM323">
        <v>0</v>
      </c>
      <c r="AN323">
        <v>0</v>
      </c>
      <c r="AO323">
        <v>0</v>
      </c>
      <c r="AP323">
        <v>0</v>
      </c>
      <c r="AQ323">
        <v>0</v>
      </c>
      <c r="AR323">
        <v>0</v>
      </c>
    </row>
    <row r="324" spans="1:44" x14ac:dyDescent="0.2">
      <c r="A324">
        <f>ROW(Source!A330)</f>
        <v>330</v>
      </c>
      <c r="B324">
        <v>86327711</v>
      </c>
      <c r="C324">
        <v>86327700</v>
      </c>
      <c r="D324">
        <v>121548</v>
      </c>
      <c r="E324">
        <v>1</v>
      </c>
      <c r="F324">
        <v>1</v>
      </c>
      <c r="G324">
        <v>1</v>
      </c>
      <c r="H324">
        <v>1</v>
      </c>
      <c r="I324" t="s">
        <v>40</v>
      </c>
      <c r="J324" t="s">
        <v>6</v>
      </c>
      <c r="K324" t="s">
        <v>626</v>
      </c>
      <c r="L324">
        <v>608254</v>
      </c>
      <c r="N324">
        <v>1013</v>
      </c>
      <c r="O324" t="s">
        <v>627</v>
      </c>
      <c r="P324" t="s">
        <v>627</v>
      </c>
      <c r="Q324">
        <v>1</v>
      </c>
      <c r="X324">
        <v>0.46</v>
      </c>
      <c r="Y324">
        <v>0</v>
      </c>
      <c r="Z324">
        <v>0</v>
      </c>
      <c r="AA324">
        <v>0</v>
      </c>
      <c r="AB324">
        <v>0</v>
      </c>
      <c r="AC324">
        <v>0</v>
      </c>
      <c r="AD324">
        <v>1</v>
      </c>
      <c r="AE324">
        <v>2</v>
      </c>
      <c r="AF324" t="s">
        <v>24</v>
      </c>
      <c r="AG324">
        <v>0.5152000000000001</v>
      </c>
      <c r="AH324">
        <v>2</v>
      </c>
      <c r="AI324">
        <v>86327702</v>
      </c>
      <c r="AJ324">
        <v>400</v>
      </c>
      <c r="AK324">
        <v>0</v>
      </c>
      <c r="AL324">
        <v>0</v>
      </c>
      <c r="AM324">
        <v>0</v>
      </c>
      <c r="AN324">
        <v>0</v>
      </c>
      <c r="AO324">
        <v>0</v>
      </c>
      <c r="AP324">
        <v>0</v>
      </c>
      <c r="AQ324">
        <v>0</v>
      </c>
      <c r="AR324">
        <v>0</v>
      </c>
    </row>
    <row r="325" spans="1:44" x14ac:dyDescent="0.2">
      <c r="A325">
        <f>ROW(Source!A330)</f>
        <v>330</v>
      </c>
      <c r="B325">
        <v>86327712</v>
      </c>
      <c r="C325">
        <v>86327700</v>
      </c>
      <c r="D325">
        <v>35950917</v>
      </c>
      <c r="E325">
        <v>1</v>
      </c>
      <c r="F325">
        <v>1</v>
      </c>
      <c r="G325">
        <v>1</v>
      </c>
      <c r="H325">
        <v>2</v>
      </c>
      <c r="I325" t="s">
        <v>628</v>
      </c>
      <c r="J325" t="s">
        <v>642</v>
      </c>
      <c r="K325" t="s">
        <v>643</v>
      </c>
      <c r="L325">
        <v>1368</v>
      </c>
      <c r="N325">
        <v>1011</v>
      </c>
      <c r="O325" t="s">
        <v>137</v>
      </c>
      <c r="P325" t="s">
        <v>137</v>
      </c>
      <c r="Q325">
        <v>1</v>
      </c>
      <c r="X325">
        <v>0.36</v>
      </c>
      <c r="Y325">
        <v>0</v>
      </c>
      <c r="Z325">
        <v>115.64</v>
      </c>
      <c r="AA325">
        <v>11.18</v>
      </c>
      <c r="AB325">
        <v>0</v>
      </c>
      <c r="AC325">
        <v>0</v>
      </c>
      <c r="AD325">
        <v>1</v>
      </c>
      <c r="AE325">
        <v>0</v>
      </c>
      <c r="AF325" t="s">
        <v>24</v>
      </c>
      <c r="AG325">
        <v>0.4032</v>
      </c>
      <c r="AH325">
        <v>2</v>
      </c>
      <c r="AI325">
        <v>86327703</v>
      </c>
      <c r="AJ325">
        <v>401</v>
      </c>
      <c r="AK325">
        <v>0</v>
      </c>
      <c r="AL325">
        <v>0</v>
      </c>
      <c r="AM325">
        <v>0</v>
      </c>
      <c r="AN325">
        <v>0</v>
      </c>
      <c r="AO325">
        <v>0</v>
      </c>
      <c r="AP325">
        <v>0</v>
      </c>
      <c r="AQ325">
        <v>0</v>
      </c>
      <c r="AR325">
        <v>0</v>
      </c>
    </row>
    <row r="326" spans="1:44" x14ac:dyDescent="0.2">
      <c r="A326">
        <f>ROW(Source!A330)</f>
        <v>330</v>
      </c>
      <c r="B326">
        <v>86327713</v>
      </c>
      <c r="C326">
        <v>86327700</v>
      </c>
      <c r="D326">
        <v>35950918</v>
      </c>
      <c r="E326">
        <v>1</v>
      </c>
      <c r="F326">
        <v>1</v>
      </c>
      <c r="G326">
        <v>1</v>
      </c>
      <c r="H326">
        <v>2</v>
      </c>
      <c r="I326" t="s">
        <v>631</v>
      </c>
      <c r="J326" t="s">
        <v>644</v>
      </c>
      <c r="K326" t="s">
        <v>645</v>
      </c>
      <c r="L326">
        <v>1368</v>
      </c>
      <c r="N326">
        <v>1011</v>
      </c>
      <c r="O326" t="s">
        <v>137</v>
      </c>
      <c r="P326" t="s">
        <v>137</v>
      </c>
      <c r="Q326">
        <v>1</v>
      </c>
      <c r="X326">
        <v>0.1</v>
      </c>
      <c r="Y326">
        <v>0</v>
      </c>
      <c r="Z326">
        <v>112.67</v>
      </c>
      <c r="AA326">
        <v>13.02</v>
      </c>
      <c r="AB326">
        <v>0</v>
      </c>
      <c r="AC326">
        <v>0</v>
      </c>
      <c r="AD326">
        <v>1</v>
      </c>
      <c r="AE326">
        <v>0</v>
      </c>
      <c r="AF326" t="s">
        <v>24</v>
      </c>
      <c r="AG326">
        <v>0.11200000000000002</v>
      </c>
      <c r="AH326">
        <v>2</v>
      </c>
      <c r="AI326">
        <v>86327704</v>
      </c>
      <c r="AJ326">
        <v>402</v>
      </c>
      <c r="AK326">
        <v>0</v>
      </c>
      <c r="AL326">
        <v>0</v>
      </c>
      <c r="AM326">
        <v>0</v>
      </c>
      <c r="AN326">
        <v>0</v>
      </c>
      <c r="AO326">
        <v>0</v>
      </c>
      <c r="AP326">
        <v>0</v>
      </c>
      <c r="AQ326">
        <v>0</v>
      </c>
      <c r="AR326">
        <v>0</v>
      </c>
    </row>
    <row r="327" spans="1:44" x14ac:dyDescent="0.2">
      <c r="A327">
        <f>ROW(Source!A330)</f>
        <v>330</v>
      </c>
      <c r="B327">
        <v>86327714</v>
      </c>
      <c r="C327">
        <v>86327700</v>
      </c>
      <c r="D327">
        <v>35950919</v>
      </c>
      <c r="E327">
        <v>1</v>
      </c>
      <c r="F327">
        <v>1</v>
      </c>
      <c r="G327">
        <v>1</v>
      </c>
      <c r="H327">
        <v>2</v>
      </c>
      <c r="I327" t="s">
        <v>637</v>
      </c>
      <c r="J327" t="s">
        <v>646</v>
      </c>
      <c r="K327" t="s">
        <v>639</v>
      </c>
      <c r="L327">
        <v>1368</v>
      </c>
      <c r="N327">
        <v>1011</v>
      </c>
      <c r="O327" t="s">
        <v>137</v>
      </c>
      <c r="P327" t="s">
        <v>137</v>
      </c>
      <c r="Q327">
        <v>1</v>
      </c>
      <c r="X327">
        <v>0.14000000000000001</v>
      </c>
      <c r="Y327">
        <v>0</v>
      </c>
      <c r="Z327">
        <v>93.37</v>
      </c>
      <c r="AA327">
        <v>11.69</v>
      </c>
      <c r="AB327">
        <v>0</v>
      </c>
      <c r="AC327">
        <v>0</v>
      </c>
      <c r="AD327">
        <v>1</v>
      </c>
      <c r="AE327">
        <v>0</v>
      </c>
      <c r="AF327" t="s">
        <v>24</v>
      </c>
      <c r="AG327">
        <v>0.15680000000000002</v>
      </c>
      <c r="AH327">
        <v>2</v>
      </c>
      <c r="AI327">
        <v>86327705</v>
      </c>
      <c r="AJ327">
        <v>403</v>
      </c>
      <c r="AK327">
        <v>0</v>
      </c>
      <c r="AL327">
        <v>0</v>
      </c>
      <c r="AM327">
        <v>0</v>
      </c>
      <c r="AN327">
        <v>0</v>
      </c>
      <c r="AO327">
        <v>0</v>
      </c>
      <c r="AP327">
        <v>0</v>
      </c>
      <c r="AQ327">
        <v>0</v>
      </c>
      <c r="AR327">
        <v>0</v>
      </c>
    </row>
    <row r="328" spans="1:44" x14ac:dyDescent="0.2">
      <c r="A328">
        <f>ROW(Source!A330)</f>
        <v>330</v>
      </c>
      <c r="B328">
        <v>86327715</v>
      </c>
      <c r="C328">
        <v>86327700</v>
      </c>
      <c r="D328">
        <v>10841104</v>
      </c>
      <c r="E328">
        <v>1</v>
      </c>
      <c r="F328">
        <v>1</v>
      </c>
      <c r="G328">
        <v>1</v>
      </c>
      <c r="H328">
        <v>3</v>
      </c>
      <c r="I328" t="s">
        <v>316</v>
      </c>
      <c r="J328" t="s">
        <v>705</v>
      </c>
      <c r="K328" t="s">
        <v>706</v>
      </c>
      <c r="L328">
        <v>1348</v>
      </c>
      <c r="N328">
        <v>1009</v>
      </c>
      <c r="O328" t="s">
        <v>33</v>
      </c>
      <c r="P328" t="s">
        <v>33</v>
      </c>
      <c r="Q328">
        <v>1000</v>
      </c>
      <c r="X328">
        <v>6.0000000000000001E-3</v>
      </c>
      <c r="Y328">
        <v>10559.12</v>
      </c>
      <c r="Z328">
        <v>0</v>
      </c>
      <c r="AA328">
        <v>0</v>
      </c>
      <c r="AB328">
        <v>0</v>
      </c>
      <c r="AC328">
        <v>0</v>
      </c>
      <c r="AD328">
        <v>1</v>
      </c>
      <c r="AE328">
        <v>0</v>
      </c>
      <c r="AF328" t="s">
        <v>6</v>
      </c>
      <c r="AG328">
        <v>6.0000000000000001E-3</v>
      </c>
      <c r="AH328">
        <v>3</v>
      </c>
      <c r="AI328">
        <v>-1</v>
      </c>
      <c r="AJ328" t="s">
        <v>6</v>
      </c>
      <c r="AK328">
        <v>4</v>
      </c>
      <c r="AL328">
        <v>-63.354720000000007</v>
      </c>
      <c r="AM328">
        <v>0</v>
      </c>
      <c r="AN328">
        <v>0</v>
      </c>
      <c r="AO328">
        <v>0</v>
      </c>
      <c r="AP328">
        <v>0</v>
      </c>
      <c r="AQ328">
        <v>0</v>
      </c>
      <c r="AR328">
        <v>1</v>
      </c>
    </row>
    <row r="329" spans="1:44" x14ac:dyDescent="0.2">
      <c r="A329">
        <f>ROW(Source!A330)</f>
        <v>330</v>
      </c>
      <c r="B329">
        <v>86327716</v>
      </c>
      <c r="C329">
        <v>86327700</v>
      </c>
      <c r="D329">
        <v>35950867</v>
      </c>
      <c r="E329">
        <v>1</v>
      </c>
      <c r="F329">
        <v>1</v>
      </c>
      <c r="G329">
        <v>1</v>
      </c>
      <c r="H329">
        <v>3</v>
      </c>
      <c r="I329" t="s">
        <v>754</v>
      </c>
      <c r="J329" t="s">
        <v>755</v>
      </c>
      <c r="K329" t="s">
        <v>756</v>
      </c>
      <c r="L329">
        <v>1348</v>
      </c>
      <c r="N329">
        <v>1009</v>
      </c>
      <c r="O329" t="s">
        <v>33</v>
      </c>
      <c r="P329" t="s">
        <v>33</v>
      </c>
      <c r="Q329">
        <v>1000</v>
      </c>
      <c r="X329">
        <v>0.18559600000000001</v>
      </c>
      <c r="Y329">
        <v>7244</v>
      </c>
      <c r="Z329">
        <v>0</v>
      </c>
      <c r="AA329">
        <v>0</v>
      </c>
      <c r="AB329">
        <v>0</v>
      </c>
      <c r="AC329">
        <v>0</v>
      </c>
      <c r="AD329">
        <v>1</v>
      </c>
      <c r="AE329">
        <v>0</v>
      </c>
      <c r="AF329" t="s">
        <v>6</v>
      </c>
      <c r="AG329">
        <v>0.18559600000000001</v>
      </c>
      <c r="AH329">
        <v>3</v>
      </c>
      <c r="AI329">
        <v>-1</v>
      </c>
      <c r="AJ329" t="s">
        <v>6</v>
      </c>
      <c r="AK329">
        <v>4</v>
      </c>
      <c r="AL329">
        <v>-1344.4574240000002</v>
      </c>
      <c r="AM329">
        <v>0</v>
      </c>
      <c r="AN329">
        <v>0</v>
      </c>
      <c r="AO329">
        <v>0</v>
      </c>
      <c r="AP329">
        <v>0</v>
      </c>
      <c r="AQ329">
        <v>0</v>
      </c>
      <c r="AR329">
        <v>1</v>
      </c>
    </row>
    <row r="330" spans="1:44" x14ac:dyDescent="0.2">
      <c r="A330">
        <f>ROW(Source!A330)</f>
        <v>330</v>
      </c>
      <c r="B330">
        <v>86327717</v>
      </c>
      <c r="C330">
        <v>86327700</v>
      </c>
      <c r="D330">
        <v>35950856</v>
      </c>
      <c r="E330">
        <v>1</v>
      </c>
      <c r="F330">
        <v>1</v>
      </c>
      <c r="G330">
        <v>1</v>
      </c>
      <c r="H330">
        <v>3</v>
      </c>
      <c r="I330" t="s">
        <v>757</v>
      </c>
      <c r="J330" t="s">
        <v>758</v>
      </c>
      <c r="K330" t="s">
        <v>759</v>
      </c>
      <c r="L330">
        <v>1348</v>
      </c>
      <c r="N330">
        <v>1009</v>
      </c>
      <c r="O330" t="s">
        <v>33</v>
      </c>
      <c r="P330" t="s">
        <v>33</v>
      </c>
      <c r="Q330">
        <v>1000</v>
      </c>
      <c r="X330">
        <v>0.81440400000000002</v>
      </c>
      <c r="Y330">
        <v>4700.26</v>
      </c>
      <c r="Z330">
        <v>0</v>
      </c>
      <c r="AA330">
        <v>0</v>
      </c>
      <c r="AB330">
        <v>0</v>
      </c>
      <c r="AC330">
        <v>0</v>
      </c>
      <c r="AD330">
        <v>1</v>
      </c>
      <c r="AE330">
        <v>0</v>
      </c>
      <c r="AF330" t="s">
        <v>6</v>
      </c>
      <c r="AG330">
        <v>0.81440400000000002</v>
      </c>
      <c r="AH330">
        <v>3</v>
      </c>
      <c r="AI330">
        <v>-1</v>
      </c>
      <c r="AJ330" t="s">
        <v>6</v>
      </c>
      <c r="AK330">
        <v>4</v>
      </c>
      <c r="AL330">
        <v>-3827.9105450400002</v>
      </c>
      <c r="AM330">
        <v>0</v>
      </c>
      <c r="AN330">
        <v>0</v>
      </c>
      <c r="AO330">
        <v>0</v>
      </c>
      <c r="AP330">
        <v>0</v>
      </c>
      <c r="AQ330">
        <v>0</v>
      </c>
      <c r="AR330">
        <v>1</v>
      </c>
    </row>
    <row r="331" spans="1:44" x14ac:dyDescent="0.2">
      <c r="A331">
        <f>ROW(Source!A331)</f>
        <v>331</v>
      </c>
      <c r="B331">
        <v>86327710</v>
      </c>
      <c r="C331">
        <v>86327700</v>
      </c>
      <c r="D331">
        <v>5511010</v>
      </c>
      <c r="E331">
        <v>1</v>
      </c>
      <c r="F331">
        <v>1</v>
      </c>
      <c r="G331">
        <v>1</v>
      </c>
      <c r="H331">
        <v>1</v>
      </c>
      <c r="I331" t="s">
        <v>640</v>
      </c>
      <c r="J331" t="s">
        <v>6</v>
      </c>
      <c r="K331" t="s">
        <v>641</v>
      </c>
      <c r="L331">
        <v>1369</v>
      </c>
      <c r="N331">
        <v>1013</v>
      </c>
      <c r="O331" t="s">
        <v>625</v>
      </c>
      <c r="P331" t="s">
        <v>625</v>
      </c>
      <c r="Q331">
        <v>1</v>
      </c>
      <c r="X331">
        <v>88.894000000000005</v>
      </c>
      <c r="Y331">
        <v>0</v>
      </c>
      <c r="Z331">
        <v>0</v>
      </c>
      <c r="AA331">
        <v>0</v>
      </c>
      <c r="AB331">
        <v>11.92</v>
      </c>
      <c r="AC331">
        <v>0</v>
      </c>
      <c r="AD331">
        <v>1</v>
      </c>
      <c r="AE331">
        <v>1</v>
      </c>
      <c r="AF331" t="s">
        <v>25</v>
      </c>
      <c r="AG331">
        <v>93.338700000000003</v>
      </c>
      <c r="AH331">
        <v>2</v>
      </c>
      <c r="AI331">
        <v>86327701</v>
      </c>
      <c r="AJ331">
        <v>408</v>
      </c>
      <c r="AK331">
        <v>0</v>
      </c>
      <c r="AL331">
        <v>0</v>
      </c>
      <c r="AM331">
        <v>0</v>
      </c>
      <c r="AN331">
        <v>0</v>
      </c>
      <c r="AO331">
        <v>0</v>
      </c>
      <c r="AP331">
        <v>0</v>
      </c>
      <c r="AQ331">
        <v>0</v>
      </c>
      <c r="AR331">
        <v>0</v>
      </c>
    </row>
    <row r="332" spans="1:44" x14ac:dyDescent="0.2">
      <c r="A332">
        <f>ROW(Source!A331)</f>
        <v>331</v>
      </c>
      <c r="B332">
        <v>86327711</v>
      </c>
      <c r="C332">
        <v>86327700</v>
      </c>
      <c r="D332">
        <v>121548</v>
      </c>
      <c r="E332">
        <v>1</v>
      </c>
      <c r="F332">
        <v>1</v>
      </c>
      <c r="G332">
        <v>1</v>
      </c>
      <c r="H332">
        <v>1</v>
      </c>
      <c r="I332" t="s">
        <v>40</v>
      </c>
      <c r="J332" t="s">
        <v>6</v>
      </c>
      <c r="K332" t="s">
        <v>626</v>
      </c>
      <c r="L332">
        <v>608254</v>
      </c>
      <c r="N332">
        <v>1013</v>
      </c>
      <c r="O332" t="s">
        <v>627</v>
      </c>
      <c r="P332" t="s">
        <v>627</v>
      </c>
      <c r="Q332">
        <v>1</v>
      </c>
      <c r="X332">
        <v>0.46</v>
      </c>
      <c r="Y332">
        <v>0</v>
      </c>
      <c r="Z332">
        <v>0</v>
      </c>
      <c r="AA332">
        <v>0</v>
      </c>
      <c r="AB332">
        <v>0</v>
      </c>
      <c r="AC332">
        <v>0</v>
      </c>
      <c r="AD332">
        <v>1</v>
      </c>
      <c r="AE332">
        <v>2</v>
      </c>
      <c r="AF332" t="s">
        <v>24</v>
      </c>
      <c r="AG332">
        <v>0.5152000000000001</v>
      </c>
      <c r="AH332">
        <v>2</v>
      </c>
      <c r="AI332">
        <v>86327702</v>
      </c>
      <c r="AJ332">
        <v>409</v>
      </c>
      <c r="AK332">
        <v>0</v>
      </c>
      <c r="AL332">
        <v>0</v>
      </c>
      <c r="AM332">
        <v>0</v>
      </c>
      <c r="AN332">
        <v>0</v>
      </c>
      <c r="AO332">
        <v>0</v>
      </c>
      <c r="AP332">
        <v>0</v>
      </c>
      <c r="AQ332">
        <v>0</v>
      </c>
      <c r="AR332">
        <v>0</v>
      </c>
    </row>
    <row r="333" spans="1:44" x14ac:dyDescent="0.2">
      <c r="A333">
        <f>ROW(Source!A331)</f>
        <v>331</v>
      </c>
      <c r="B333">
        <v>86327712</v>
      </c>
      <c r="C333">
        <v>86327700</v>
      </c>
      <c r="D333">
        <v>35950917</v>
      </c>
      <c r="E333">
        <v>1</v>
      </c>
      <c r="F333">
        <v>1</v>
      </c>
      <c r="G333">
        <v>1</v>
      </c>
      <c r="H333">
        <v>2</v>
      </c>
      <c r="I333" t="s">
        <v>628</v>
      </c>
      <c r="J333" t="s">
        <v>642</v>
      </c>
      <c r="K333" t="s">
        <v>643</v>
      </c>
      <c r="L333">
        <v>1368</v>
      </c>
      <c r="N333">
        <v>1011</v>
      </c>
      <c r="O333" t="s">
        <v>137</v>
      </c>
      <c r="P333" t="s">
        <v>137</v>
      </c>
      <c r="Q333">
        <v>1</v>
      </c>
      <c r="X333">
        <v>0.36</v>
      </c>
      <c r="Y333">
        <v>0</v>
      </c>
      <c r="Z333">
        <v>115.64</v>
      </c>
      <c r="AA333">
        <v>11.18</v>
      </c>
      <c r="AB333">
        <v>0</v>
      </c>
      <c r="AC333">
        <v>0</v>
      </c>
      <c r="AD333">
        <v>1</v>
      </c>
      <c r="AE333">
        <v>0</v>
      </c>
      <c r="AF333" t="s">
        <v>24</v>
      </c>
      <c r="AG333">
        <v>0.4032</v>
      </c>
      <c r="AH333">
        <v>2</v>
      </c>
      <c r="AI333">
        <v>86327703</v>
      </c>
      <c r="AJ333">
        <v>410</v>
      </c>
      <c r="AK333">
        <v>0</v>
      </c>
      <c r="AL333">
        <v>0</v>
      </c>
      <c r="AM333">
        <v>0</v>
      </c>
      <c r="AN333">
        <v>0</v>
      </c>
      <c r="AO333">
        <v>0</v>
      </c>
      <c r="AP333">
        <v>0</v>
      </c>
      <c r="AQ333">
        <v>0</v>
      </c>
      <c r="AR333">
        <v>0</v>
      </c>
    </row>
    <row r="334" spans="1:44" x14ac:dyDescent="0.2">
      <c r="A334">
        <f>ROW(Source!A331)</f>
        <v>331</v>
      </c>
      <c r="B334">
        <v>86327713</v>
      </c>
      <c r="C334">
        <v>86327700</v>
      </c>
      <c r="D334">
        <v>35950918</v>
      </c>
      <c r="E334">
        <v>1</v>
      </c>
      <c r="F334">
        <v>1</v>
      </c>
      <c r="G334">
        <v>1</v>
      </c>
      <c r="H334">
        <v>2</v>
      </c>
      <c r="I334" t="s">
        <v>631</v>
      </c>
      <c r="J334" t="s">
        <v>644</v>
      </c>
      <c r="K334" t="s">
        <v>645</v>
      </c>
      <c r="L334">
        <v>1368</v>
      </c>
      <c r="N334">
        <v>1011</v>
      </c>
      <c r="O334" t="s">
        <v>137</v>
      </c>
      <c r="P334" t="s">
        <v>137</v>
      </c>
      <c r="Q334">
        <v>1</v>
      </c>
      <c r="X334">
        <v>0.1</v>
      </c>
      <c r="Y334">
        <v>0</v>
      </c>
      <c r="Z334">
        <v>112.67</v>
      </c>
      <c r="AA334">
        <v>13.02</v>
      </c>
      <c r="AB334">
        <v>0</v>
      </c>
      <c r="AC334">
        <v>0</v>
      </c>
      <c r="AD334">
        <v>1</v>
      </c>
      <c r="AE334">
        <v>0</v>
      </c>
      <c r="AF334" t="s">
        <v>24</v>
      </c>
      <c r="AG334">
        <v>0.11200000000000002</v>
      </c>
      <c r="AH334">
        <v>2</v>
      </c>
      <c r="AI334">
        <v>86327704</v>
      </c>
      <c r="AJ334">
        <v>411</v>
      </c>
      <c r="AK334">
        <v>0</v>
      </c>
      <c r="AL334">
        <v>0</v>
      </c>
      <c r="AM334">
        <v>0</v>
      </c>
      <c r="AN334">
        <v>0</v>
      </c>
      <c r="AO334">
        <v>0</v>
      </c>
      <c r="AP334">
        <v>0</v>
      </c>
      <c r="AQ334">
        <v>0</v>
      </c>
      <c r="AR334">
        <v>0</v>
      </c>
    </row>
    <row r="335" spans="1:44" x14ac:dyDescent="0.2">
      <c r="A335">
        <f>ROW(Source!A331)</f>
        <v>331</v>
      </c>
      <c r="B335">
        <v>86327714</v>
      </c>
      <c r="C335">
        <v>86327700</v>
      </c>
      <c r="D335">
        <v>35950919</v>
      </c>
      <c r="E335">
        <v>1</v>
      </c>
      <c r="F335">
        <v>1</v>
      </c>
      <c r="G335">
        <v>1</v>
      </c>
      <c r="H335">
        <v>2</v>
      </c>
      <c r="I335" t="s">
        <v>637</v>
      </c>
      <c r="J335" t="s">
        <v>646</v>
      </c>
      <c r="K335" t="s">
        <v>639</v>
      </c>
      <c r="L335">
        <v>1368</v>
      </c>
      <c r="N335">
        <v>1011</v>
      </c>
      <c r="O335" t="s">
        <v>137</v>
      </c>
      <c r="P335" t="s">
        <v>137</v>
      </c>
      <c r="Q335">
        <v>1</v>
      </c>
      <c r="X335">
        <v>0.14000000000000001</v>
      </c>
      <c r="Y335">
        <v>0</v>
      </c>
      <c r="Z335">
        <v>93.37</v>
      </c>
      <c r="AA335">
        <v>11.69</v>
      </c>
      <c r="AB335">
        <v>0</v>
      </c>
      <c r="AC335">
        <v>0</v>
      </c>
      <c r="AD335">
        <v>1</v>
      </c>
      <c r="AE335">
        <v>0</v>
      </c>
      <c r="AF335" t="s">
        <v>24</v>
      </c>
      <c r="AG335">
        <v>0.15680000000000002</v>
      </c>
      <c r="AH335">
        <v>2</v>
      </c>
      <c r="AI335">
        <v>86327705</v>
      </c>
      <c r="AJ335">
        <v>412</v>
      </c>
      <c r="AK335">
        <v>0</v>
      </c>
      <c r="AL335">
        <v>0</v>
      </c>
      <c r="AM335">
        <v>0</v>
      </c>
      <c r="AN335">
        <v>0</v>
      </c>
      <c r="AO335">
        <v>0</v>
      </c>
      <c r="AP335">
        <v>0</v>
      </c>
      <c r="AQ335">
        <v>0</v>
      </c>
      <c r="AR335">
        <v>0</v>
      </c>
    </row>
    <row r="336" spans="1:44" x14ac:dyDescent="0.2">
      <c r="A336">
        <f>ROW(Source!A331)</f>
        <v>331</v>
      </c>
      <c r="B336">
        <v>86327715</v>
      </c>
      <c r="C336">
        <v>86327700</v>
      </c>
      <c r="D336">
        <v>10841104</v>
      </c>
      <c r="E336">
        <v>1</v>
      </c>
      <c r="F336">
        <v>1</v>
      </c>
      <c r="G336">
        <v>1</v>
      </c>
      <c r="H336">
        <v>3</v>
      </c>
      <c r="I336" t="s">
        <v>316</v>
      </c>
      <c r="J336" t="s">
        <v>705</v>
      </c>
      <c r="K336" t="s">
        <v>706</v>
      </c>
      <c r="L336">
        <v>1348</v>
      </c>
      <c r="N336">
        <v>1009</v>
      </c>
      <c r="O336" t="s">
        <v>33</v>
      </c>
      <c r="P336" t="s">
        <v>33</v>
      </c>
      <c r="Q336">
        <v>1000</v>
      </c>
      <c r="X336">
        <v>6.0000000000000001E-3</v>
      </c>
      <c r="Y336">
        <v>10559.12</v>
      </c>
      <c r="Z336">
        <v>0</v>
      </c>
      <c r="AA336">
        <v>0</v>
      </c>
      <c r="AB336">
        <v>0</v>
      </c>
      <c r="AC336">
        <v>0</v>
      </c>
      <c r="AD336">
        <v>1</v>
      </c>
      <c r="AE336">
        <v>0</v>
      </c>
      <c r="AF336" t="s">
        <v>6</v>
      </c>
      <c r="AG336">
        <v>6.0000000000000001E-3</v>
      </c>
      <c r="AH336">
        <v>3</v>
      </c>
      <c r="AI336">
        <v>-1</v>
      </c>
      <c r="AJ336" t="s">
        <v>6</v>
      </c>
      <c r="AK336">
        <v>4</v>
      </c>
      <c r="AL336">
        <v>-63.354720000000007</v>
      </c>
      <c r="AM336">
        <v>0</v>
      </c>
      <c r="AN336">
        <v>0</v>
      </c>
      <c r="AO336">
        <v>0</v>
      </c>
      <c r="AP336">
        <v>0</v>
      </c>
      <c r="AQ336">
        <v>0</v>
      </c>
      <c r="AR336">
        <v>1</v>
      </c>
    </row>
    <row r="337" spans="1:44" x14ac:dyDescent="0.2">
      <c r="A337">
        <f>ROW(Source!A331)</f>
        <v>331</v>
      </c>
      <c r="B337">
        <v>86327716</v>
      </c>
      <c r="C337">
        <v>86327700</v>
      </c>
      <c r="D337">
        <v>35950867</v>
      </c>
      <c r="E337">
        <v>1</v>
      </c>
      <c r="F337">
        <v>1</v>
      </c>
      <c r="G337">
        <v>1</v>
      </c>
      <c r="H337">
        <v>3</v>
      </c>
      <c r="I337" t="s">
        <v>754</v>
      </c>
      <c r="J337" t="s">
        <v>755</v>
      </c>
      <c r="K337" t="s">
        <v>756</v>
      </c>
      <c r="L337">
        <v>1348</v>
      </c>
      <c r="N337">
        <v>1009</v>
      </c>
      <c r="O337" t="s">
        <v>33</v>
      </c>
      <c r="P337" t="s">
        <v>33</v>
      </c>
      <c r="Q337">
        <v>1000</v>
      </c>
      <c r="X337">
        <v>0.18559600000000001</v>
      </c>
      <c r="Y337">
        <v>7244</v>
      </c>
      <c r="Z337">
        <v>0</v>
      </c>
      <c r="AA337">
        <v>0</v>
      </c>
      <c r="AB337">
        <v>0</v>
      </c>
      <c r="AC337">
        <v>0</v>
      </c>
      <c r="AD337">
        <v>1</v>
      </c>
      <c r="AE337">
        <v>0</v>
      </c>
      <c r="AF337" t="s">
        <v>6</v>
      </c>
      <c r="AG337">
        <v>0.18559600000000001</v>
      </c>
      <c r="AH337">
        <v>3</v>
      </c>
      <c r="AI337">
        <v>-1</v>
      </c>
      <c r="AJ337" t="s">
        <v>6</v>
      </c>
      <c r="AK337">
        <v>4</v>
      </c>
      <c r="AL337">
        <v>-1344.4574240000002</v>
      </c>
      <c r="AM337">
        <v>0</v>
      </c>
      <c r="AN337">
        <v>0</v>
      </c>
      <c r="AO337">
        <v>0</v>
      </c>
      <c r="AP337">
        <v>0</v>
      </c>
      <c r="AQ337">
        <v>0</v>
      </c>
      <c r="AR337">
        <v>1</v>
      </c>
    </row>
    <row r="338" spans="1:44" x14ac:dyDescent="0.2">
      <c r="A338">
        <f>ROW(Source!A331)</f>
        <v>331</v>
      </c>
      <c r="B338">
        <v>86327717</v>
      </c>
      <c r="C338">
        <v>86327700</v>
      </c>
      <c r="D338">
        <v>35950856</v>
      </c>
      <c r="E338">
        <v>1</v>
      </c>
      <c r="F338">
        <v>1</v>
      </c>
      <c r="G338">
        <v>1</v>
      </c>
      <c r="H338">
        <v>3</v>
      </c>
      <c r="I338" t="s">
        <v>757</v>
      </c>
      <c r="J338" t="s">
        <v>758</v>
      </c>
      <c r="K338" t="s">
        <v>759</v>
      </c>
      <c r="L338">
        <v>1348</v>
      </c>
      <c r="N338">
        <v>1009</v>
      </c>
      <c r="O338" t="s">
        <v>33</v>
      </c>
      <c r="P338" t="s">
        <v>33</v>
      </c>
      <c r="Q338">
        <v>1000</v>
      </c>
      <c r="X338">
        <v>0.81440400000000002</v>
      </c>
      <c r="Y338">
        <v>4700.26</v>
      </c>
      <c r="Z338">
        <v>0</v>
      </c>
      <c r="AA338">
        <v>0</v>
      </c>
      <c r="AB338">
        <v>0</v>
      </c>
      <c r="AC338">
        <v>0</v>
      </c>
      <c r="AD338">
        <v>1</v>
      </c>
      <c r="AE338">
        <v>0</v>
      </c>
      <c r="AF338" t="s">
        <v>6</v>
      </c>
      <c r="AG338">
        <v>0.81440400000000002</v>
      </c>
      <c r="AH338">
        <v>3</v>
      </c>
      <c r="AI338">
        <v>-1</v>
      </c>
      <c r="AJ338" t="s">
        <v>6</v>
      </c>
      <c r="AK338">
        <v>4</v>
      </c>
      <c r="AL338">
        <v>-3827.9105450400002</v>
      </c>
      <c r="AM338">
        <v>0</v>
      </c>
      <c r="AN338">
        <v>0</v>
      </c>
      <c r="AO338">
        <v>0</v>
      </c>
      <c r="AP338">
        <v>0</v>
      </c>
      <c r="AQ338">
        <v>0</v>
      </c>
      <c r="AR338">
        <v>1</v>
      </c>
    </row>
    <row r="339" spans="1:44" x14ac:dyDescent="0.2">
      <c r="A339">
        <f>ROW(Source!A340)</f>
        <v>340</v>
      </c>
      <c r="B339">
        <v>86327732</v>
      </c>
      <c r="C339">
        <v>86327722</v>
      </c>
      <c r="D339">
        <v>27497778</v>
      </c>
      <c r="E339">
        <v>1</v>
      </c>
      <c r="F339">
        <v>1</v>
      </c>
      <c r="G339">
        <v>1</v>
      </c>
      <c r="H339">
        <v>1</v>
      </c>
      <c r="I339" t="s">
        <v>647</v>
      </c>
      <c r="J339" t="s">
        <v>6</v>
      </c>
      <c r="K339" t="s">
        <v>648</v>
      </c>
      <c r="L339">
        <v>1369</v>
      </c>
      <c r="N339">
        <v>1013</v>
      </c>
      <c r="O339" t="s">
        <v>625</v>
      </c>
      <c r="P339" t="s">
        <v>625</v>
      </c>
      <c r="Q339">
        <v>1</v>
      </c>
      <c r="X339">
        <v>2.4900000000000002</v>
      </c>
      <c r="Y339">
        <v>0</v>
      </c>
      <c r="Z339">
        <v>0</v>
      </c>
      <c r="AA339">
        <v>0</v>
      </c>
      <c r="AB339">
        <v>8.7100000000000009</v>
      </c>
      <c r="AC339">
        <v>0</v>
      </c>
      <c r="AD339">
        <v>1</v>
      </c>
      <c r="AE339">
        <v>1</v>
      </c>
      <c r="AF339" t="s">
        <v>25</v>
      </c>
      <c r="AG339">
        <v>2.6145000000000005</v>
      </c>
      <c r="AH339">
        <v>2</v>
      </c>
      <c r="AI339">
        <v>86327723</v>
      </c>
      <c r="AJ339">
        <v>417</v>
      </c>
      <c r="AK339">
        <v>0</v>
      </c>
      <c r="AL339">
        <v>0</v>
      </c>
      <c r="AM339">
        <v>0</v>
      </c>
      <c r="AN339">
        <v>0</v>
      </c>
      <c r="AO339">
        <v>0</v>
      </c>
      <c r="AP339">
        <v>0</v>
      </c>
      <c r="AQ339">
        <v>0</v>
      </c>
      <c r="AR339">
        <v>0</v>
      </c>
    </row>
    <row r="340" spans="1:44" x14ac:dyDescent="0.2">
      <c r="A340">
        <f>ROW(Source!A340)</f>
        <v>340</v>
      </c>
      <c r="B340">
        <v>86327733</v>
      </c>
      <c r="C340">
        <v>86327722</v>
      </c>
      <c r="D340">
        <v>121548</v>
      </c>
      <c r="E340">
        <v>1</v>
      </c>
      <c r="F340">
        <v>1</v>
      </c>
      <c r="G340">
        <v>1</v>
      </c>
      <c r="H340">
        <v>1</v>
      </c>
      <c r="I340" t="s">
        <v>40</v>
      </c>
      <c r="J340" t="s">
        <v>6</v>
      </c>
      <c r="K340" t="s">
        <v>626</v>
      </c>
      <c r="L340">
        <v>608254</v>
      </c>
      <c r="N340">
        <v>1013</v>
      </c>
      <c r="O340" t="s">
        <v>627</v>
      </c>
      <c r="P340" t="s">
        <v>627</v>
      </c>
      <c r="Q340">
        <v>1</v>
      </c>
      <c r="X340">
        <v>0.96</v>
      </c>
      <c r="Y340">
        <v>0</v>
      </c>
      <c r="Z340">
        <v>0</v>
      </c>
      <c r="AA340">
        <v>0</v>
      </c>
      <c r="AB340">
        <v>0</v>
      </c>
      <c r="AC340">
        <v>0</v>
      </c>
      <c r="AD340">
        <v>1</v>
      </c>
      <c r="AE340">
        <v>2</v>
      </c>
      <c r="AF340" t="s">
        <v>24</v>
      </c>
      <c r="AG340">
        <v>1.0752000000000002</v>
      </c>
      <c r="AH340">
        <v>2</v>
      </c>
      <c r="AI340">
        <v>86327724</v>
      </c>
      <c r="AJ340">
        <v>418</v>
      </c>
      <c r="AK340">
        <v>0</v>
      </c>
      <c r="AL340">
        <v>0</v>
      </c>
      <c r="AM340">
        <v>0</v>
      </c>
      <c r="AN340">
        <v>0</v>
      </c>
      <c r="AO340">
        <v>0</v>
      </c>
      <c r="AP340">
        <v>0</v>
      </c>
      <c r="AQ340">
        <v>0</v>
      </c>
      <c r="AR340">
        <v>0</v>
      </c>
    </row>
    <row r="341" spans="1:44" x14ac:dyDescent="0.2">
      <c r="A341">
        <f>ROW(Source!A340)</f>
        <v>340</v>
      </c>
      <c r="B341">
        <v>86327734</v>
      </c>
      <c r="C341">
        <v>86327722</v>
      </c>
      <c r="D341">
        <v>27439418</v>
      </c>
      <c r="E341">
        <v>1</v>
      </c>
      <c r="F341">
        <v>1</v>
      </c>
      <c r="G341">
        <v>1</v>
      </c>
      <c r="H341">
        <v>2</v>
      </c>
      <c r="I341" t="s">
        <v>652</v>
      </c>
      <c r="J341" t="s">
        <v>653</v>
      </c>
      <c r="K341" t="s">
        <v>654</v>
      </c>
      <c r="L341">
        <v>1368</v>
      </c>
      <c r="N341">
        <v>1011</v>
      </c>
      <c r="O341" t="s">
        <v>137</v>
      </c>
      <c r="P341" t="s">
        <v>137</v>
      </c>
      <c r="Q341">
        <v>1</v>
      </c>
      <c r="X341">
        <v>0.96</v>
      </c>
      <c r="Y341">
        <v>0</v>
      </c>
      <c r="Z341">
        <v>91.69</v>
      </c>
      <c r="AA341">
        <v>13.61</v>
      </c>
      <c r="AB341">
        <v>0</v>
      </c>
      <c r="AC341">
        <v>0</v>
      </c>
      <c r="AD341">
        <v>1</v>
      </c>
      <c r="AE341">
        <v>0</v>
      </c>
      <c r="AF341" t="s">
        <v>24</v>
      </c>
      <c r="AG341">
        <v>1.0752000000000002</v>
      </c>
      <c r="AH341">
        <v>3</v>
      </c>
      <c r="AI341">
        <v>-1</v>
      </c>
      <c r="AJ341" t="s">
        <v>6</v>
      </c>
      <c r="AK341">
        <v>4</v>
      </c>
      <c r="AL341">
        <v>0</v>
      </c>
      <c r="AM341">
        <v>-98.585088000000013</v>
      </c>
      <c r="AN341">
        <v>-14.633472000000001</v>
      </c>
      <c r="AO341">
        <v>0</v>
      </c>
      <c r="AP341">
        <v>0</v>
      </c>
      <c r="AQ341">
        <v>0</v>
      </c>
      <c r="AR341">
        <v>1</v>
      </c>
    </row>
    <row r="342" spans="1:44" x14ac:dyDescent="0.2">
      <c r="A342">
        <f>ROW(Source!A340)</f>
        <v>340</v>
      </c>
      <c r="B342">
        <v>86327735</v>
      </c>
      <c r="C342">
        <v>86327722</v>
      </c>
      <c r="D342">
        <v>27440041</v>
      </c>
      <c r="E342">
        <v>1</v>
      </c>
      <c r="F342">
        <v>1</v>
      </c>
      <c r="G342">
        <v>1</v>
      </c>
      <c r="H342">
        <v>2</v>
      </c>
      <c r="I342" t="s">
        <v>690</v>
      </c>
      <c r="J342" t="s">
        <v>691</v>
      </c>
      <c r="K342" t="s">
        <v>692</v>
      </c>
      <c r="L342">
        <v>1368</v>
      </c>
      <c r="N342">
        <v>1011</v>
      </c>
      <c r="O342" t="s">
        <v>137</v>
      </c>
      <c r="P342" t="s">
        <v>137</v>
      </c>
      <c r="Q342">
        <v>1</v>
      </c>
      <c r="X342">
        <v>1.67</v>
      </c>
      <c r="Y342">
        <v>0</v>
      </c>
      <c r="Z342">
        <v>0.5</v>
      </c>
      <c r="AA342">
        <v>0</v>
      </c>
      <c r="AB342">
        <v>0</v>
      </c>
      <c r="AC342">
        <v>0</v>
      </c>
      <c r="AD342">
        <v>1</v>
      </c>
      <c r="AE342">
        <v>0</v>
      </c>
      <c r="AF342" t="s">
        <v>24</v>
      </c>
      <c r="AG342">
        <v>1.8704000000000001</v>
      </c>
      <c r="AH342">
        <v>2</v>
      </c>
      <c r="AI342">
        <v>86327726</v>
      </c>
      <c r="AJ342">
        <v>420</v>
      </c>
      <c r="AK342">
        <v>0</v>
      </c>
      <c r="AL342">
        <v>0</v>
      </c>
      <c r="AM342">
        <v>0</v>
      </c>
      <c r="AN342">
        <v>0</v>
      </c>
      <c r="AO342">
        <v>0</v>
      </c>
      <c r="AP342">
        <v>0</v>
      </c>
      <c r="AQ342">
        <v>0</v>
      </c>
      <c r="AR342">
        <v>0</v>
      </c>
    </row>
    <row r="343" spans="1:44" x14ac:dyDescent="0.2">
      <c r="A343">
        <f>ROW(Source!A340)</f>
        <v>340</v>
      </c>
      <c r="B343">
        <v>86327736</v>
      </c>
      <c r="C343">
        <v>86327722</v>
      </c>
      <c r="D343">
        <v>27371200</v>
      </c>
      <c r="E343">
        <v>1</v>
      </c>
      <c r="F343">
        <v>1</v>
      </c>
      <c r="G343">
        <v>1</v>
      </c>
      <c r="H343">
        <v>3</v>
      </c>
      <c r="I343" t="s">
        <v>71</v>
      </c>
      <c r="J343" t="s">
        <v>713</v>
      </c>
      <c r="K343" t="s">
        <v>72</v>
      </c>
      <c r="L343">
        <v>1348</v>
      </c>
      <c r="N343">
        <v>1009</v>
      </c>
      <c r="O343" t="s">
        <v>33</v>
      </c>
      <c r="P343" t="s">
        <v>33</v>
      </c>
      <c r="Q343">
        <v>1000</v>
      </c>
      <c r="X343">
        <v>2.0999999999999999E-3</v>
      </c>
      <c r="Y343">
        <v>1696.01</v>
      </c>
      <c r="Z343">
        <v>0</v>
      </c>
      <c r="AA343">
        <v>0</v>
      </c>
      <c r="AB343">
        <v>0</v>
      </c>
      <c r="AC343">
        <v>0</v>
      </c>
      <c r="AD343">
        <v>1</v>
      </c>
      <c r="AE343">
        <v>0</v>
      </c>
      <c r="AF343" t="s">
        <v>6</v>
      </c>
      <c r="AG343">
        <v>2.0999999999999999E-3</v>
      </c>
      <c r="AH343">
        <v>2</v>
      </c>
      <c r="AI343">
        <v>86327727</v>
      </c>
      <c r="AJ343">
        <v>421</v>
      </c>
      <c r="AK343">
        <v>3</v>
      </c>
      <c r="AL343">
        <v>-3.5616209999999997</v>
      </c>
      <c r="AM343">
        <v>0</v>
      </c>
      <c r="AN343">
        <v>0</v>
      </c>
      <c r="AO343">
        <v>0</v>
      </c>
      <c r="AP343">
        <v>0</v>
      </c>
      <c r="AQ343">
        <v>0</v>
      </c>
      <c r="AR343">
        <v>1</v>
      </c>
    </row>
    <row r="344" spans="1:44" x14ac:dyDescent="0.2">
      <c r="A344">
        <f>ROW(Source!A340)</f>
        <v>340</v>
      </c>
      <c r="B344">
        <v>86327737</v>
      </c>
      <c r="C344">
        <v>86327722</v>
      </c>
      <c r="D344">
        <v>27371970</v>
      </c>
      <c r="E344">
        <v>1</v>
      </c>
      <c r="F344">
        <v>1</v>
      </c>
      <c r="G344">
        <v>1</v>
      </c>
      <c r="H344">
        <v>3</v>
      </c>
      <c r="I344" t="s">
        <v>760</v>
      </c>
      <c r="J344" t="s">
        <v>761</v>
      </c>
      <c r="K344" t="s">
        <v>762</v>
      </c>
      <c r="L344">
        <v>1330</v>
      </c>
      <c r="N344">
        <v>1005</v>
      </c>
      <c r="O344" t="s">
        <v>763</v>
      </c>
      <c r="P344" t="s">
        <v>763</v>
      </c>
      <c r="Q344">
        <v>10</v>
      </c>
      <c r="X344">
        <v>9.8000000000000004E-2</v>
      </c>
      <c r="Y344">
        <v>76.760000000000005</v>
      </c>
      <c r="Z344">
        <v>0</v>
      </c>
      <c r="AA344">
        <v>0</v>
      </c>
      <c r="AB344">
        <v>0</v>
      </c>
      <c r="AC344">
        <v>0</v>
      </c>
      <c r="AD344">
        <v>1</v>
      </c>
      <c r="AE344">
        <v>0</v>
      </c>
      <c r="AF344" t="s">
        <v>6</v>
      </c>
      <c r="AG344">
        <v>9.8000000000000004E-2</v>
      </c>
      <c r="AH344">
        <v>3</v>
      </c>
      <c r="AI344">
        <v>-1</v>
      </c>
      <c r="AJ344" t="s">
        <v>6</v>
      </c>
      <c r="AK344">
        <v>4</v>
      </c>
      <c r="AL344">
        <v>-7.5224800000000007</v>
      </c>
      <c r="AM344">
        <v>0</v>
      </c>
      <c r="AN344">
        <v>0</v>
      </c>
      <c r="AO344">
        <v>0</v>
      </c>
      <c r="AP344">
        <v>0</v>
      </c>
      <c r="AQ344">
        <v>0</v>
      </c>
      <c r="AR344">
        <v>1</v>
      </c>
    </row>
    <row r="345" spans="1:44" x14ac:dyDescent="0.2">
      <c r="A345">
        <f>ROW(Source!A340)</f>
        <v>340</v>
      </c>
      <c r="B345">
        <v>86327738</v>
      </c>
      <c r="C345">
        <v>86327722</v>
      </c>
      <c r="D345">
        <v>27379319</v>
      </c>
      <c r="E345">
        <v>1</v>
      </c>
      <c r="F345">
        <v>1</v>
      </c>
      <c r="G345">
        <v>1</v>
      </c>
      <c r="H345">
        <v>3</v>
      </c>
      <c r="I345" t="s">
        <v>714</v>
      </c>
      <c r="J345" t="s">
        <v>715</v>
      </c>
      <c r="K345" t="s">
        <v>716</v>
      </c>
      <c r="L345">
        <v>1035</v>
      </c>
      <c r="N345">
        <v>1013</v>
      </c>
      <c r="O345" t="s">
        <v>717</v>
      </c>
      <c r="P345" t="s">
        <v>717</v>
      </c>
      <c r="Q345">
        <v>1</v>
      </c>
      <c r="X345">
        <v>0</v>
      </c>
      <c r="Y345">
        <v>0</v>
      </c>
      <c r="Z345">
        <v>0</v>
      </c>
      <c r="AA345">
        <v>0</v>
      </c>
      <c r="AB345">
        <v>0</v>
      </c>
      <c r="AC345">
        <v>1</v>
      </c>
      <c r="AD345">
        <v>0</v>
      </c>
      <c r="AE345">
        <v>0</v>
      </c>
      <c r="AF345" t="s">
        <v>6</v>
      </c>
      <c r="AG345">
        <v>0</v>
      </c>
      <c r="AH345">
        <v>3</v>
      </c>
      <c r="AI345">
        <v>-1</v>
      </c>
      <c r="AJ345" t="s">
        <v>6</v>
      </c>
      <c r="AK345">
        <v>0</v>
      </c>
      <c r="AL345">
        <v>0</v>
      </c>
      <c r="AM345">
        <v>0</v>
      </c>
      <c r="AN345">
        <v>0</v>
      </c>
      <c r="AO345">
        <v>0</v>
      </c>
      <c r="AP345">
        <v>0</v>
      </c>
      <c r="AQ345">
        <v>0</v>
      </c>
      <c r="AR345">
        <v>0</v>
      </c>
    </row>
    <row r="346" spans="1:44" x14ac:dyDescent="0.2">
      <c r="A346">
        <f>ROW(Source!A340)</f>
        <v>340</v>
      </c>
      <c r="B346">
        <v>86327739</v>
      </c>
      <c r="C346">
        <v>86327722</v>
      </c>
      <c r="D346">
        <v>27407521</v>
      </c>
      <c r="E346">
        <v>1</v>
      </c>
      <c r="F346">
        <v>1</v>
      </c>
      <c r="G346">
        <v>1</v>
      </c>
      <c r="H346">
        <v>3</v>
      </c>
      <c r="I346" t="s">
        <v>718</v>
      </c>
      <c r="J346" t="s">
        <v>719</v>
      </c>
      <c r="K346" t="s">
        <v>720</v>
      </c>
      <c r="L346">
        <v>1339</v>
      </c>
      <c r="N346">
        <v>1007</v>
      </c>
      <c r="O346" t="s">
        <v>44</v>
      </c>
      <c r="P346" t="s">
        <v>44</v>
      </c>
      <c r="Q346">
        <v>1</v>
      </c>
      <c r="X346">
        <v>0</v>
      </c>
      <c r="Y346">
        <v>0</v>
      </c>
      <c r="Z346">
        <v>0</v>
      </c>
      <c r="AA346">
        <v>0</v>
      </c>
      <c r="AB346">
        <v>0</v>
      </c>
      <c r="AC346">
        <v>1</v>
      </c>
      <c r="AD346">
        <v>0</v>
      </c>
      <c r="AE346">
        <v>0</v>
      </c>
      <c r="AF346" t="s">
        <v>6</v>
      </c>
      <c r="AG346">
        <v>0</v>
      </c>
      <c r="AH346">
        <v>3</v>
      </c>
      <c r="AI346">
        <v>-1</v>
      </c>
      <c r="AJ346" t="s">
        <v>6</v>
      </c>
      <c r="AK346">
        <v>0</v>
      </c>
      <c r="AL346">
        <v>0</v>
      </c>
      <c r="AM346">
        <v>0</v>
      </c>
      <c r="AN346">
        <v>0</v>
      </c>
      <c r="AO346">
        <v>0</v>
      </c>
      <c r="AP346">
        <v>0</v>
      </c>
      <c r="AQ346">
        <v>0</v>
      </c>
      <c r="AR346">
        <v>0</v>
      </c>
    </row>
    <row r="347" spans="1:44" x14ac:dyDescent="0.2">
      <c r="A347">
        <f>ROW(Source!A340)</f>
        <v>340</v>
      </c>
      <c r="B347">
        <v>86327740</v>
      </c>
      <c r="C347">
        <v>86327722</v>
      </c>
      <c r="D347">
        <v>27416566</v>
      </c>
      <c r="E347">
        <v>1</v>
      </c>
      <c r="F347">
        <v>1</v>
      </c>
      <c r="G347">
        <v>1</v>
      </c>
      <c r="H347">
        <v>3</v>
      </c>
      <c r="I347" t="s">
        <v>764</v>
      </c>
      <c r="J347" t="s">
        <v>765</v>
      </c>
      <c r="K347" t="s">
        <v>766</v>
      </c>
      <c r="L347">
        <v>1339</v>
      </c>
      <c r="N347">
        <v>1007</v>
      </c>
      <c r="O347" t="s">
        <v>44</v>
      </c>
      <c r="P347" t="s">
        <v>44</v>
      </c>
      <c r="Q347">
        <v>1</v>
      </c>
      <c r="X347">
        <v>7.0000000000000001E-3</v>
      </c>
      <c r="Y347">
        <v>7.14</v>
      </c>
      <c r="Z347">
        <v>0</v>
      </c>
      <c r="AA347">
        <v>0</v>
      </c>
      <c r="AB347">
        <v>0</v>
      </c>
      <c r="AC347">
        <v>0</v>
      </c>
      <c r="AD347">
        <v>1</v>
      </c>
      <c r="AE347">
        <v>0</v>
      </c>
      <c r="AF347" t="s">
        <v>6</v>
      </c>
      <c r="AG347">
        <v>7.0000000000000001E-3</v>
      </c>
      <c r="AH347">
        <v>3</v>
      </c>
      <c r="AI347">
        <v>-1</v>
      </c>
      <c r="AJ347" t="s">
        <v>6</v>
      </c>
      <c r="AK347">
        <v>4</v>
      </c>
      <c r="AL347">
        <v>-4.9979999999999997E-2</v>
      </c>
      <c r="AM347">
        <v>0</v>
      </c>
      <c r="AN347">
        <v>0</v>
      </c>
      <c r="AO347">
        <v>0</v>
      </c>
      <c r="AP347">
        <v>0</v>
      </c>
      <c r="AQ347">
        <v>0</v>
      </c>
      <c r="AR347">
        <v>1</v>
      </c>
    </row>
    <row r="348" spans="1:44" x14ac:dyDescent="0.2">
      <c r="A348">
        <f>ROW(Source!A341)</f>
        <v>341</v>
      </c>
      <c r="B348">
        <v>86327732</v>
      </c>
      <c r="C348">
        <v>86327722</v>
      </c>
      <c r="D348">
        <v>27497778</v>
      </c>
      <c r="E348">
        <v>1</v>
      </c>
      <c r="F348">
        <v>1</v>
      </c>
      <c r="G348">
        <v>1</v>
      </c>
      <c r="H348">
        <v>1</v>
      </c>
      <c r="I348" t="s">
        <v>647</v>
      </c>
      <c r="J348" t="s">
        <v>6</v>
      </c>
      <c r="K348" t="s">
        <v>648</v>
      </c>
      <c r="L348">
        <v>1369</v>
      </c>
      <c r="N348">
        <v>1013</v>
      </c>
      <c r="O348" t="s">
        <v>625</v>
      </c>
      <c r="P348" t="s">
        <v>625</v>
      </c>
      <c r="Q348">
        <v>1</v>
      </c>
      <c r="X348">
        <v>2.4900000000000002</v>
      </c>
      <c r="Y348">
        <v>0</v>
      </c>
      <c r="Z348">
        <v>0</v>
      </c>
      <c r="AA348">
        <v>0</v>
      </c>
      <c r="AB348">
        <v>8.7100000000000009</v>
      </c>
      <c r="AC348">
        <v>0</v>
      </c>
      <c r="AD348">
        <v>1</v>
      </c>
      <c r="AE348">
        <v>1</v>
      </c>
      <c r="AF348" t="s">
        <v>25</v>
      </c>
      <c r="AG348">
        <v>2.6145000000000005</v>
      </c>
      <c r="AH348">
        <v>2</v>
      </c>
      <c r="AI348">
        <v>86327723</v>
      </c>
      <c r="AJ348">
        <v>426</v>
      </c>
      <c r="AK348">
        <v>0</v>
      </c>
      <c r="AL348">
        <v>0</v>
      </c>
      <c r="AM348">
        <v>0</v>
      </c>
      <c r="AN348">
        <v>0</v>
      </c>
      <c r="AO348">
        <v>0</v>
      </c>
      <c r="AP348">
        <v>0</v>
      </c>
      <c r="AQ348">
        <v>0</v>
      </c>
      <c r="AR348">
        <v>0</v>
      </c>
    </row>
    <row r="349" spans="1:44" x14ac:dyDescent="0.2">
      <c r="A349">
        <f>ROW(Source!A341)</f>
        <v>341</v>
      </c>
      <c r="B349">
        <v>86327733</v>
      </c>
      <c r="C349">
        <v>86327722</v>
      </c>
      <c r="D349">
        <v>121548</v>
      </c>
      <c r="E349">
        <v>1</v>
      </c>
      <c r="F349">
        <v>1</v>
      </c>
      <c r="G349">
        <v>1</v>
      </c>
      <c r="H349">
        <v>1</v>
      </c>
      <c r="I349" t="s">
        <v>40</v>
      </c>
      <c r="J349" t="s">
        <v>6</v>
      </c>
      <c r="K349" t="s">
        <v>626</v>
      </c>
      <c r="L349">
        <v>608254</v>
      </c>
      <c r="N349">
        <v>1013</v>
      </c>
      <c r="O349" t="s">
        <v>627</v>
      </c>
      <c r="P349" t="s">
        <v>627</v>
      </c>
      <c r="Q349">
        <v>1</v>
      </c>
      <c r="X349">
        <v>0.96</v>
      </c>
      <c r="Y349">
        <v>0</v>
      </c>
      <c r="Z349">
        <v>0</v>
      </c>
      <c r="AA349">
        <v>0</v>
      </c>
      <c r="AB349">
        <v>0</v>
      </c>
      <c r="AC349">
        <v>0</v>
      </c>
      <c r="AD349">
        <v>1</v>
      </c>
      <c r="AE349">
        <v>2</v>
      </c>
      <c r="AF349" t="s">
        <v>24</v>
      </c>
      <c r="AG349">
        <v>1.0752000000000002</v>
      </c>
      <c r="AH349">
        <v>2</v>
      </c>
      <c r="AI349">
        <v>86327724</v>
      </c>
      <c r="AJ349">
        <v>427</v>
      </c>
      <c r="AK349">
        <v>0</v>
      </c>
      <c r="AL349">
        <v>0</v>
      </c>
      <c r="AM349">
        <v>0</v>
      </c>
      <c r="AN349">
        <v>0</v>
      </c>
      <c r="AO349">
        <v>0</v>
      </c>
      <c r="AP349">
        <v>0</v>
      </c>
      <c r="AQ349">
        <v>0</v>
      </c>
      <c r="AR349">
        <v>0</v>
      </c>
    </row>
    <row r="350" spans="1:44" x14ac:dyDescent="0.2">
      <c r="A350">
        <f>ROW(Source!A341)</f>
        <v>341</v>
      </c>
      <c r="B350">
        <v>86327734</v>
      </c>
      <c r="C350">
        <v>86327722</v>
      </c>
      <c r="D350">
        <v>27439418</v>
      </c>
      <c r="E350">
        <v>1</v>
      </c>
      <c r="F350">
        <v>1</v>
      </c>
      <c r="G350">
        <v>1</v>
      </c>
      <c r="H350">
        <v>2</v>
      </c>
      <c r="I350" t="s">
        <v>652</v>
      </c>
      <c r="J350" t="s">
        <v>653</v>
      </c>
      <c r="K350" t="s">
        <v>654</v>
      </c>
      <c r="L350">
        <v>1368</v>
      </c>
      <c r="N350">
        <v>1011</v>
      </c>
      <c r="O350" t="s">
        <v>137</v>
      </c>
      <c r="P350" t="s">
        <v>137</v>
      </c>
      <c r="Q350">
        <v>1</v>
      </c>
      <c r="X350">
        <v>0.96</v>
      </c>
      <c r="Y350">
        <v>0</v>
      </c>
      <c r="Z350">
        <v>91.69</v>
      </c>
      <c r="AA350">
        <v>13.61</v>
      </c>
      <c r="AB350">
        <v>0</v>
      </c>
      <c r="AC350">
        <v>0</v>
      </c>
      <c r="AD350">
        <v>1</v>
      </c>
      <c r="AE350">
        <v>0</v>
      </c>
      <c r="AF350" t="s">
        <v>24</v>
      </c>
      <c r="AG350">
        <v>1.0752000000000002</v>
      </c>
      <c r="AH350">
        <v>3</v>
      </c>
      <c r="AI350">
        <v>-1</v>
      </c>
      <c r="AJ350" t="s">
        <v>6</v>
      </c>
      <c r="AK350">
        <v>4</v>
      </c>
      <c r="AL350">
        <v>0</v>
      </c>
      <c r="AM350">
        <v>-98.585088000000013</v>
      </c>
      <c r="AN350">
        <v>-14.633472000000001</v>
      </c>
      <c r="AO350">
        <v>0</v>
      </c>
      <c r="AP350">
        <v>0</v>
      </c>
      <c r="AQ350">
        <v>0</v>
      </c>
      <c r="AR350">
        <v>1</v>
      </c>
    </row>
    <row r="351" spans="1:44" x14ac:dyDescent="0.2">
      <c r="A351">
        <f>ROW(Source!A341)</f>
        <v>341</v>
      </c>
      <c r="B351">
        <v>86327735</v>
      </c>
      <c r="C351">
        <v>86327722</v>
      </c>
      <c r="D351">
        <v>27440041</v>
      </c>
      <c r="E351">
        <v>1</v>
      </c>
      <c r="F351">
        <v>1</v>
      </c>
      <c r="G351">
        <v>1</v>
      </c>
      <c r="H351">
        <v>2</v>
      </c>
      <c r="I351" t="s">
        <v>690</v>
      </c>
      <c r="J351" t="s">
        <v>691</v>
      </c>
      <c r="K351" t="s">
        <v>692</v>
      </c>
      <c r="L351">
        <v>1368</v>
      </c>
      <c r="N351">
        <v>1011</v>
      </c>
      <c r="O351" t="s">
        <v>137</v>
      </c>
      <c r="P351" t="s">
        <v>137</v>
      </c>
      <c r="Q351">
        <v>1</v>
      </c>
      <c r="X351">
        <v>1.67</v>
      </c>
      <c r="Y351">
        <v>0</v>
      </c>
      <c r="Z351">
        <v>0.5</v>
      </c>
      <c r="AA351">
        <v>0</v>
      </c>
      <c r="AB351">
        <v>0</v>
      </c>
      <c r="AC351">
        <v>0</v>
      </c>
      <c r="AD351">
        <v>1</v>
      </c>
      <c r="AE351">
        <v>0</v>
      </c>
      <c r="AF351" t="s">
        <v>24</v>
      </c>
      <c r="AG351">
        <v>1.8704000000000001</v>
      </c>
      <c r="AH351">
        <v>2</v>
      </c>
      <c r="AI351">
        <v>86327726</v>
      </c>
      <c r="AJ351">
        <v>429</v>
      </c>
      <c r="AK351">
        <v>0</v>
      </c>
      <c r="AL351">
        <v>0</v>
      </c>
      <c r="AM351">
        <v>0</v>
      </c>
      <c r="AN351">
        <v>0</v>
      </c>
      <c r="AO351">
        <v>0</v>
      </c>
      <c r="AP351">
        <v>0</v>
      </c>
      <c r="AQ351">
        <v>0</v>
      </c>
      <c r="AR351">
        <v>0</v>
      </c>
    </row>
    <row r="352" spans="1:44" x14ac:dyDescent="0.2">
      <c r="A352">
        <f>ROW(Source!A341)</f>
        <v>341</v>
      </c>
      <c r="B352">
        <v>86327736</v>
      </c>
      <c r="C352">
        <v>86327722</v>
      </c>
      <c r="D352">
        <v>27371200</v>
      </c>
      <c r="E352">
        <v>1</v>
      </c>
      <c r="F352">
        <v>1</v>
      </c>
      <c r="G352">
        <v>1</v>
      </c>
      <c r="H352">
        <v>3</v>
      </c>
      <c r="I352" t="s">
        <v>71</v>
      </c>
      <c r="J352" t="s">
        <v>713</v>
      </c>
      <c r="K352" t="s">
        <v>72</v>
      </c>
      <c r="L352">
        <v>1348</v>
      </c>
      <c r="N352">
        <v>1009</v>
      </c>
      <c r="O352" t="s">
        <v>33</v>
      </c>
      <c r="P352" t="s">
        <v>33</v>
      </c>
      <c r="Q352">
        <v>1000</v>
      </c>
      <c r="X352">
        <v>2.0999999999999999E-3</v>
      </c>
      <c r="Y352">
        <v>1696.01</v>
      </c>
      <c r="Z352">
        <v>0</v>
      </c>
      <c r="AA352">
        <v>0</v>
      </c>
      <c r="AB352">
        <v>0</v>
      </c>
      <c r="AC352">
        <v>0</v>
      </c>
      <c r="AD352">
        <v>1</v>
      </c>
      <c r="AE352">
        <v>0</v>
      </c>
      <c r="AF352" t="s">
        <v>6</v>
      </c>
      <c r="AG352">
        <v>2.0999999999999999E-3</v>
      </c>
      <c r="AH352">
        <v>2</v>
      </c>
      <c r="AI352">
        <v>86327727</v>
      </c>
      <c r="AJ352">
        <v>430</v>
      </c>
      <c r="AK352">
        <v>3</v>
      </c>
      <c r="AL352">
        <v>-3.5616209999999997</v>
      </c>
      <c r="AM352">
        <v>0</v>
      </c>
      <c r="AN352">
        <v>0</v>
      </c>
      <c r="AO352">
        <v>0</v>
      </c>
      <c r="AP352">
        <v>0</v>
      </c>
      <c r="AQ352">
        <v>0</v>
      </c>
      <c r="AR352">
        <v>1</v>
      </c>
    </row>
    <row r="353" spans="1:44" x14ac:dyDescent="0.2">
      <c r="A353">
        <f>ROW(Source!A341)</f>
        <v>341</v>
      </c>
      <c r="B353">
        <v>86327737</v>
      </c>
      <c r="C353">
        <v>86327722</v>
      </c>
      <c r="D353">
        <v>27371970</v>
      </c>
      <c r="E353">
        <v>1</v>
      </c>
      <c r="F353">
        <v>1</v>
      </c>
      <c r="G353">
        <v>1</v>
      </c>
      <c r="H353">
        <v>3</v>
      </c>
      <c r="I353" t="s">
        <v>760</v>
      </c>
      <c r="J353" t="s">
        <v>761</v>
      </c>
      <c r="K353" t="s">
        <v>762</v>
      </c>
      <c r="L353">
        <v>1330</v>
      </c>
      <c r="N353">
        <v>1005</v>
      </c>
      <c r="O353" t="s">
        <v>763</v>
      </c>
      <c r="P353" t="s">
        <v>763</v>
      </c>
      <c r="Q353">
        <v>10</v>
      </c>
      <c r="X353">
        <v>9.8000000000000004E-2</v>
      </c>
      <c r="Y353">
        <v>76.760000000000005</v>
      </c>
      <c r="Z353">
        <v>0</v>
      </c>
      <c r="AA353">
        <v>0</v>
      </c>
      <c r="AB353">
        <v>0</v>
      </c>
      <c r="AC353">
        <v>0</v>
      </c>
      <c r="AD353">
        <v>1</v>
      </c>
      <c r="AE353">
        <v>0</v>
      </c>
      <c r="AF353" t="s">
        <v>6</v>
      </c>
      <c r="AG353">
        <v>9.8000000000000004E-2</v>
      </c>
      <c r="AH353">
        <v>3</v>
      </c>
      <c r="AI353">
        <v>-1</v>
      </c>
      <c r="AJ353" t="s">
        <v>6</v>
      </c>
      <c r="AK353">
        <v>4</v>
      </c>
      <c r="AL353">
        <v>-7.5224800000000007</v>
      </c>
      <c r="AM353">
        <v>0</v>
      </c>
      <c r="AN353">
        <v>0</v>
      </c>
      <c r="AO353">
        <v>0</v>
      </c>
      <c r="AP353">
        <v>0</v>
      </c>
      <c r="AQ353">
        <v>0</v>
      </c>
      <c r="AR353">
        <v>1</v>
      </c>
    </row>
    <row r="354" spans="1:44" x14ac:dyDescent="0.2">
      <c r="A354">
        <f>ROW(Source!A341)</f>
        <v>341</v>
      </c>
      <c r="B354">
        <v>86327738</v>
      </c>
      <c r="C354">
        <v>86327722</v>
      </c>
      <c r="D354">
        <v>27379319</v>
      </c>
      <c r="E354">
        <v>1</v>
      </c>
      <c r="F354">
        <v>1</v>
      </c>
      <c r="G354">
        <v>1</v>
      </c>
      <c r="H354">
        <v>3</v>
      </c>
      <c r="I354" t="s">
        <v>714</v>
      </c>
      <c r="J354" t="s">
        <v>715</v>
      </c>
      <c r="K354" t="s">
        <v>716</v>
      </c>
      <c r="L354">
        <v>1035</v>
      </c>
      <c r="N354">
        <v>1013</v>
      </c>
      <c r="O354" t="s">
        <v>717</v>
      </c>
      <c r="P354" t="s">
        <v>717</v>
      </c>
      <c r="Q354">
        <v>1</v>
      </c>
      <c r="X354">
        <v>0</v>
      </c>
      <c r="Y354">
        <v>0</v>
      </c>
      <c r="Z354">
        <v>0</v>
      </c>
      <c r="AA354">
        <v>0</v>
      </c>
      <c r="AB354">
        <v>0</v>
      </c>
      <c r="AC354">
        <v>1</v>
      </c>
      <c r="AD354">
        <v>0</v>
      </c>
      <c r="AE354">
        <v>0</v>
      </c>
      <c r="AF354" t="s">
        <v>6</v>
      </c>
      <c r="AG354">
        <v>0</v>
      </c>
      <c r="AH354">
        <v>3</v>
      </c>
      <c r="AI354">
        <v>-1</v>
      </c>
      <c r="AJ354" t="s">
        <v>6</v>
      </c>
      <c r="AK354">
        <v>0</v>
      </c>
      <c r="AL354">
        <v>0</v>
      </c>
      <c r="AM354">
        <v>0</v>
      </c>
      <c r="AN354">
        <v>0</v>
      </c>
      <c r="AO354">
        <v>0</v>
      </c>
      <c r="AP354">
        <v>0</v>
      </c>
      <c r="AQ354">
        <v>0</v>
      </c>
      <c r="AR354">
        <v>0</v>
      </c>
    </row>
    <row r="355" spans="1:44" x14ac:dyDescent="0.2">
      <c r="A355">
        <f>ROW(Source!A341)</f>
        <v>341</v>
      </c>
      <c r="B355">
        <v>86327739</v>
      </c>
      <c r="C355">
        <v>86327722</v>
      </c>
      <c r="D355">
        <v>27407521</v>
      </c>
      <c r="E355">
        <v>1</v>
      </c>
      <c r="F355">
        <v>1</v>
      </c>
      <c r="G355">
        <v>1</v>
      </c>
      <c r="H355">
        <v>3</v>
      </c>
      <c r="I355" t="s">
        <v>718</v>
      </c>
      <c r="J355" t="s">
        <v>719</v>
      </c>
      <c r="K355" t="s">
        <v>720</v>
      </c>
      <c r="L355">
        <v>1339</v>
      </c>
      <c r="N355">
        <v>1007</v>
      </c>
      <c r="O355" t="s">
        <v>44</v>
      </c>
      <c r="P355" t="s">
        <v>44</v>
      </c>
      <c r="Q355">
        <v>1</v>
      </c>
      <c r="X355">
        <v>0</v>
      </c>
      <c r="Y355">
        <v>0</v>
      </c>
      <c r="Z355">
        <v>0</v>
      </c>
      <c r="AA355">
        <v>0</v>
      </c>
      <c r="AB355">
        <v>0</v>
      </c>
      <c r="AC355">
        <v>1</v>
      </c>
      <c r="AD355">
        <v>0</v>
      </c>
      <c r="AE355">
        <v>0</v>
      </c>
      <c r="AF355" t="s">
        <v>6</v>
      </c>
      <c r="AG355">
        <v>0</v>
      </c>
      <c r="AH355">
        <v>3</v>
      </c>
      <c r="AI355">
        <v>-1</v>
      </c>
      <c r="AJ355" t="s">
        <v>6</v>
      </c>
      <c r="AK355">
        <v>0</v>
      </c>
      <c r="AL355">
        <v>0</v>
      </c>
      <c r="AM355">
        <v>0</v>
      </c>
      <c r="AN355">
        <v>0</v>
      </c>
      <c r="AO355">
        <v>0</v>
      </c>
      <c r="AP355">
        <v>0</v>
      </c>
      <c r="AQ355">
        <v>0</v>
      </c>
      <c r="AR355">
        <v>0</v>
      </c>
    </row>
    <row r="356" spans="1:44" x14ac:dyDescent="0.2">
      <c r="A356">
        <f>ROW(Source!A341)</f>
        <v>341</v>
      </c>
      <c r="B356">
        <v>86327740</v>
      </c>
      <c r="C356">
        <v>86327722</v>
      </c>
      <c r="D356">
        <v>27416566</v>
      </c>
      <c r="E356">
        <v>1</v>
      </c>
      <c r="F356">
        <v>1</v>
      </c>
      <c r="G356">
        <v>1</v>
      </c>
      <c r="H356">
        <v>3</v>
      </c>
      <c r="I356" t="s">
        <v>764</v>
      </c>
      <c r="J356" t="s">
        <v>765</v>
      </c>
      <c r="K356" t="s">
        <v>766</v>
      </c>
      <c r="L356">
        <v>1339</v>
      </c>
      <c r="N356">
        <v>1007</v>
      </c>
      <c r="O356" t="s">
        <v>44</v>
      </c>
      <c r="P356" t="s">
        <v>44</v>
      </c>
      <c r="Q356">
        <v>1</v>
      </c>
      <c r="X356">
        <v>7.0000000000000001E-3</v>
      </c>
      <c r="Y356">
        <v>7.14</v>
      </c>
      <c r="Z356">
        <v>0</v>
      </c>
      <c r="AA356">
        <v>0</v>
      </c>
      <c r="AB356">
        <v>0</v>
      </c>
      <c r="AC356">
        <v>0</v>
      </c>
      <c r="AD356">
        <v>1</v>
      </c>
      <c r="AE356">
        <v>0</v>
      </c>
      <c r="AF356" t="s">
        <v>6</v>
      </c>
      <c r="AG356">
        <v>7.0000000000000001E-3</v>
      </c>
      <c r="AH356">
        <v>3</v>
      </c>
      <c r="AI356">
        <v>-1</v>
      </c>
      <c r="AJ356" t="s">
        <v>6</v>
      </c>
      <c r="AK356">
        <v>4</v>
      </c>
      <c r="AL356">
        <v>-4.9979999999999997E-2</v>
      </c>
      <c r="AM356">
        <v>0</v>
      </c>
      <c r="AN356">
        <v>0</v>
      </c>
      <c r="AO356">
        <v>0</v>
      </c>
      <c r="AP356">
        <v>0</v>
      </c>
      <c r="AQ356">
        <v>0</v>
      </c>
      <c r="AR356">
        <v>1</v>
      </c>
    </row>
    <row r="357" spans="1:44" x14ac:dyDescent="0.2">
      <c r="A357">
        <f>ROW(Source!A354)</f>
        <v>354</v>
      </c>
      <c r="B357">
        <v>86327755</v>
      </c>
      <c r="C357">
        <v>86327747</v>
      </c>
      <c r="D357">
        <v>27496319</v>
      </c>
      <c r="E357">
        <v>1</v>
      </c>
      <c r="F357">
        <v>1</v>
      </c>
      <c r="G357">
        <v>1</v>
      </c>
      <c r="H357">
        <v>1</v>
      </c>
      <c r="I357" t="s">
        <v>672</v>
      </c>
      <c r="J357" t="s">
        <v>6</v>
      </c>
      <c r="K357" t="s">
        <v>673</v>
      </c>
      <c r="L357">
        <v>1369</v>
      </c>
      <c r="N357">
        <v>1013</v>
      </c>
      <c r="O357" t="s">
        <v>625</v>
      </c>
      <c r="P357" t="s">
        <v>625</v>
      </c>
      <c r="Q357">
        <v>1</v>
      </c>
      <c r="X357">
        <v>90.61</v>
      </c>
      <c r="Y357">
        <v>0</v>
      </c>
      <c r="Z357">
        <v>0</v>
      </c>
      <c r="AA357">
        <v>0</v>
      </c>
      <c r="AB357">
        <v>8.01</v>
      </c>
      <c r="AC357">
        <v>0</v>
      </c>
      <c r="AD357">
        <v>1</v>
      </c>
      <c r="AE357">
        <v>1</v>
      </c>
      <c r="AF357" t="s">
        <v>25</v>
      </c>
      <c r="AG357">
        <v>95.140500000000003</v>
      </c>
      <c r="AH357">
        <v>2</v>
      </c>
      <c r="AI357">
        <v>86327748</v>
      </c>
      <c r="AJ357">
        <v>435</v>
      </c>
      <c r="AK357">
        <v>0</v>
      </c>
      <c r="AL357">
        <v>0</v>
      </c>
      <c r="AM357">
        <v>0</v>
      </c>
      <c r="AN357">
        <v>0</v>
      </c>
      <c r="AO357">
        <v>0</v>
      </c>
      <c r="AP357">
        <v>0</v>
      </c>
      <c r="AQ357">
        <v>0</v>
      </c>
      <c r="AR357">
        <v>0</v>
      </c>
    </row>
    <row r="358" spans="1:44" x14ac:dyDescent="0.2">
      <c r="A358">
        <f>ROW(Source!A354)</f>
        <v>354</v>
      </c>
      <c r="B358">
        <v>86327756</v>
      </c>
      <c r="C358">
        <v>86327747</v>
      </c>
      <c r="D358">
        <v>121548</v>
      </c>
      <c r="E358">
        <v>1</v>
      </c>
      <c r="F358">
        <v>1</v>
      </c>
      <c r="G358">
        <v>1</v>
      </c>
      <c r="H358">
        <v>1</v>
      </c>
      <c r="I358" t="s">
        <v>40</v>
      </c>
      <c r="J358" t="s">
        <v>6</v>
      </c>
      <c r="K358" t="s">
        <v>626</v>
      </c>
      <c r="L358">
        <v>608254</v>
      </c>
      <c r="N358">
        <v>1013</v>
      </c>
      <c r="O358" t="s">
        <v>627</v>
      </c>
      <c r="P358" t="s">
        <v>627</v>
      </c>
      <c r="Q358">
        <v>1</v>
      </c>
      <c r="X358">
        <v>0.68</v>
      </c>
      <c r="Y358">
        <v>0</v>
      </c>
      <c r="Z358">
        <v>0</v>
      </c>
      <c r="AA358">
        <v>0</v>
      </c>
      <c r="AB358">
        <v>0</v>
      </c>
      <c r="AC358">
        <v>0</v>
      </c>
      <c r="AD358">
        <v>1</v>
      </c>
      <c r="AE358">
        <v>2</v>
      </c>
      <c r="AF358" t="s">
        <v>24</v>
      </c>
      <c r="AG358">
        <v>0.76160000000000017</v>
      </c>
      <c r="AH358">
        <v>2</v>
      </c>
      <c r="AI358">
        <v>86327749</v>
      </c>
      <c r="AJ358">
        <v>436</v>
      </c>
      <c r="AK358">
        <v>0</v>
      </c>
      <c r="AL358">
        <v>0</v>
      </c>
      <c r="AM358">
        <v>0</v>
      </c>
      <c r="AN358">
        <v>0</v>
      </c>
      <c r="AO358">
        <v>0</v>
      </c>
      <c r="AP358">
        <v>0</v>
      </c>
      <c r="AQ358">
        <v>0</v>
      </c>
      <c r="AR358">
        <v>0</v>
      </c>
    </row>
    <row r="359" spans="1:44" x14ac:dyDescent="0.2">
      <c r="A359">
        <f>ROW(Source!A354)</f>
        <v>354</v>
      </c>
      <c r="B359">
        <v>86327757</v>
      </c>
      <c r="C359">
        <v>86327747</v>
      </c>
      <c r="D359">
        <v>27439418</v>
      </c>
      <c r="E359">
        <v>1</v>
      </c>
      <c r="F359">
        <v>1</v>
      </c>
      <c r="G359">
        <v>1</v>
      </c>
      <c r="H359">
        <v>2</v>
      </c>
      <c r="I359" t="s">
        <v>652</v>
      </c>
      <c r="J359" t="s">
        <v>653</v>
      </c>
      <c r="K359" t="s">
        <v>654</v>
      </c>
      <c r="L359">
        <v>1368</v>
      </c>
      <c r="N359">
        <v>1011</v>
      </c>
      <c r="O359" t="s">
        <v>137</v>
      </c>
      <c r="P359" t="s">
        <v>137</v>
      </c>
      <c r="Q359">
        <v>1</v>
      </c>
      <c r="X359">
        <v>0.57999999999999996</v>
      </c>
      <c r="Y359">
        <v>0</v>
      </c>
      <c r="Z359">
        <v>91.69</v>
      </c>
      <c r="AA359">
        <v>13.61</v>
      </c>
      <c r="AB359">
        <v>0</v>
      </c>
      <c r="AC359">
        <v>0</v>
      </c>
      <c r="AD359">
        <v>1</v>
      </c>
      <c r="AE359">
        <v>0</v>
      </c>
      <c r="AF359" t="s">
        <v>24</v>
      </c>
      <c r="AG359">
        <v>0.64960000000000007</v>
      </c>
      <c r="AH359">
        <v>3</v>
      </c>
      <c r="AI359">
        <v>-1</v>
      </c>
      <c r="AJ359" t="s">
        <v>6</v>
      </c>
      <c r="AK359">
        <v>4</v>
      </c>
      <c r="AL359">
        <v>0</v>
      </c>
      <c r="AM359">
        <v>-59.561824000000001</v>
      </c>
      <c r="AN359">
        <v>-8.841056</v>
      </c>
      <c r="AO359">
        <v>0</v>
      </c>
      <c r="AP359">
        <v>0</v>
      </c>
      <c r="AQ359">
        <v>0</v>
      </c>
      <c r="AR359">
        <v>1</v>
      </c>
    </row>
    <row r="360" spans="1:44" x14ac:dyDescent="0.2">
      <c r="A360">
        <f>ROW(Source!A354)</f>
        <v>354</v>
      </c>
      <c r="B360">
        <v>86327758</v>
      </c>
      <c r="C360">
        <v>86327747</v>
      </c>
      <c r="D360">
        <v>27439499</v>
      </c>
      <c r="E360">
        <v>1</v>
      </c>
      <c r="F360">
        <v>1</v>
      </c>
      <c r="G360">
        <v>1</v>
      </c>
      <c r="H360">
        <v>2</v>
      </c>
      <c r="I360" t="s">
        <v>631</v>
      </c>
      <c r="J360" t="s">
        <v>632</v>
      </c>
      <c r="K360" t="s">
        <v>633</v>
      </c>
      <c r="L360">
        <v>1368</v>
      </c>
      <c r="N360">
        <v>1011</v>
      </c>
      <c r="O360" t="s">
        <v>137</v>
      </c>
      <c r="P360" t="s">
        <v>137</v>
      </c>
      <c r="Q360">
        <v>1</v>
      </c>
      <c r="X360">
        <v>0.1</v>
      </c>
      <c r="Y360">
        <v>0</v>
      </c>
      <c r="Z360">
        <v>112.67</v>
      </c>
      <c r="AA360">
        <v>13.61</v>
      </c>
      <c r="AB360">
        <v>0</v>
      </c>
      <c r="AC360">
        <v>0</v>
      </c>
      <c r="AD360">
        <v>1</v>
      </c>
      <c r="AE360">
        <v>0</v>
      </c>
      <c r="AF360" t="s">
        <v>24</v>
      </c>
      <c r="AG360">
        <v>0.11200000000000002</v>
      </c>
      <c r="AH360">
        <v>2</v>
      </c>
      <c r="AI360">
        <v>86327751</v>
      </c>
      <c r="AJ360">
        <v>438</v>
      </c>
      <c r="AK360">
        <v>0</v>
      </c>
      <c r="AL360">
        <v>0</v>
      </c>
      <c r="AM360">
        <v>0</v>
      </c>
      <c r="AN360">
        <v>0</v>
      </c>
      <c r="AO360">
        <v>0</v>
      </c>
      <c r="AP360">
        <v>0</v>
      </c>
      <c r="AQ360">
        <v>0</v>
      </c>
      <c r="AR360">
        <v>0</v>
      </c>
    </row>
    <row r="361" spans="1:44" x14ac:dyDescent="0.2">
      <c r="A361">
        <f>ROW(Source!A354)</f>
        <v>354</v>
      </c>
      <c r="B361">
        <v>86327759</v>
      </c>
      <c r="C361">
        <v>86327747</v>
      </c>
      <c r="D361">
        <v>27441327</v>
      </c>
      <c r="E361">
        <v>1</v>
      </c>
      <c r="F361">
        <v>1</v>
      </c>
      <c r="G361">
        <v>1</v>
      </c>
      <c r="H361">
        <v>2</v>
      </c>
      <c r="I361" t="s">
        <v>637</v>
      </c>
      <c r="J361" t="s">
        <v>638</v>
      </c>
      <c r="K361" t="s">
        <v>639</v>
      </c>
      <c r="L361">
        <v>1368</v>
      </c>
      <c r="N361">
        <v>1011</v>
      </c>
      <c r="O361" t="s">
        <v>137</v>
      </c>
      <c r="P361" t="s">
        <v>137</v>
      </c>
      <c r="Q361">
        <v>1</v>
      </c>
      <c r="X361">
        <v>0.14000000000000001</v>
      </c>
      <c r="Y361">
        <v>0</v>
      </c>
      <c r="Z361">
        <v>93.37</v>
      </c>
      <c r="AA361">
        <v>11.69</v>
      </c>
      <c r="AB361">
        <v>0</v>
      </c>
      <c r="AC361">
        <v>0</v>
      </c>
      <c r="AD361">
        <v>1</v>
      </c>
      <c r="AE361">
        <v>0</v>
      </c>
      <c r="AF361" t="s">
        <v>24</v>
      </c>
      <c r="AG361">
        <v>0.15680000000000002</v>
      </c>
      <c r="AH361">
        <v>2</v>
      </c>
      <c r="AI361">
        <v>86327752</v>
      </c>
      <c r="AJ361">
        <v>439</v>
      </c>
      <c r="AK361">
        <v>0</v>
      </c>
      <c r="AL361">
        <v>0</v>
      </c>
      <c r="AM361">
        <v>0</v>
      </c>
      <c r="AN361">
        <v>0</v>
      </c>
      <c r="AO361">
        <v>0</v>
      </c>
      <c r="AP361">
        <v>0</v>
      </c>
      <c r="AQ361">
        <v>0</v>
      </c>
      <c r="AR361">
        <v>0</v>
      </c>
    </row>
    <row r="362" spans="1:44" x14ac:dyDescent="0.2">
      <c r="A362">
        <f>ROW(Source!A354)</f>
        <v>354</v>
      </c>
      <c r="B362">
        <v>86327760</v>
      </c>
      <c r="C362">
        <v>86327747</v>
      </c>
      <c r="D362">
        <v>27377917</v>
      </c>
      <c r="E362">
        <v>1</v>
      </c>
      <c r="F362">
        <v>1</v>
      </c>
      <c r="G362">
        <v>1</v>
      </c>
      <c r="H362">
        <v>3</v>
      </c>
      <c r="I362" t="s">
        <v>316</v>
      </c>
      <c r="J362" t="s">
        <v>318</v>
      </c>
      <c r="K362" t="s">
        <v>317</v>
      </c>
      <c r="L362">
        <v>1348</v>
      </c>
      <c r="N362">
        <v>1009</v>
      </c>
      <c r="O362" t="s">
        <v>33</v>
      </c>
      <c r="P362" t="s">
        <v>33</v>
      </c>
      <c r="Q362">
        <v>1000</v>
      </c>
      <c r="X362">
        <v>6.0000000000000001E-3</v>
      </c>
      <c r="Y362">
        <v>10559.12</v>
      </c>
      <c r="Z362">
        <v>0</v>
      </c>
      <c r="AA362">
        <v>0</v>
      </c>
      <c r="AB362">
        <v>0</v>
      </c>
      <c r="AC362">
        <v>0</v>
      </c>
      <c r="AD362">
        <v>1</v>
      </c>
      <c r="AE362">
        <v>0</v>
      </c>
      <c r="AF362" t="s">
        <v>6</v>
      </c>
      <c r="AG362">
        <v>6.0000000000000001E-3</v>
      </c>
      <c r="AH362">
        <v>2</v>
      </c>
      <c r="AI362">
        <v>86327753</v>
      </c>
      <c r="AJ362">
        <v>440</v>
      </c>
      <c r="AK362">
        <v>3</v>
      </c>
      <c r="AL362">
        <v>-63.354720000000007</v>
      </c>
      <c r="AM362">
        <v>0</v>
      </c>
      <c r="AN362">
        <v>0</v>
      </c>
      <c r="AO362">
        <v>0</v>
      </c>
      <c r="AP362">
        <v>0</v>
      </c>
      <c r="AQ362">
        <v>0</v>
      </c>
      <c r="AR362">
        <v>1</v>
      </c>
    </row>
    <row r="363" spans="1:44" x14ac:dyDescent="0.2">
      <c r="A363">
        <f>ROW(Source!A354)</f>
        <v>354</v>
      </c>
      <c r="B363">
        <v>86327761</v>
      </c>
      <c r="C363">
        <v>86327747</v>
      </c>
      <c r="D363">
        <v>27393976</v>
      </c>
      <c r="E363">
        <v>1</v>
      </c>
      <c r="F363">
        <v>1</v>
      </c>
      <c r="G363">
        <v>1</v>
      </c>
      <c r="H363">
        <v>3</v>
      </c>
      <c r="I363" t="s">
        <v>742</v>
      </c>
      <c r="J363" t="s">
        <v>743</v>
      </c>
      <c r="K363" t="s">
        <v>744</v>
      </c>
      <c r="L363">
        <v>1348</v>
      </c>
      <c r="N363">
        <v>1009</v>
      </c>
      <c r="O363" t="s">
        <v>33</v>
      </c>
      <c r="P363" t="s">
        <v>33</v>
      </c>
      <c r="Q363">
        <v>1000</v>
      </c>
      <c r="X363">
        <v>1</v>
      </c>
      <c r="Y363">
        <v>6000</v>
      </c>
      <c r="Z363">
        <v>0</v>
      </c>
      <c r="AA363">
        <v>0</v>
      </c>
      <c r="AB363">
        <v>0</v>
      </c>
      <c r="AC363">
        <v>0</v>
      </c>
      <c r="AD363">
        <v>1</v>
      </c>
      <c r="AE363">
        <v>0</v>
      </c>
      <c r="AF363" t="s">
        <v>6</v>
      </c>
      <c r="AG363">
        <v>1</v>
      </c>
      <c r="AH363">
        <v>3</v>
      </c>
      <c r="AI363">
        <v>-1</v>
      </c>
      <c r="AJ363" t="s">
        <v>6</v>
      </c>
      <c r="AK363">
        <v>4</v>
      </c>
      <c r="AL363">
        <v>-6000</v>
      </c>
      <c r="AM363">
        <v>0</v>
      </c>
      <c r="AN363">
        <v>0</v>
      </c>
      <c r="AO363">
        <v>0</v>
      </c>
      <c r="AP363">
        <v>0</v>
      </c>
      <c r="AQ363">
        <v>0</v>
      </c>
      <c r="AR363">
        <v>1</v>
      </c>
    </row>
    <row r="364" spans="1:44" x14ac:dyDescent="0.2">
      <c r="A364">
        <f>ROW(Source!A355)</f>
        <v>355</v>
      </c>
      <c r="B364">
        <v>86327755</v>
      </c>
      <c r="C364">
        <v>86327747</v>
      </c>
      <c r="D364">
        <v>27496319</v>
      </c>
      <c r="E364">
        <v>1</v>
      </c>
      <c r="F364">
        <v>1</v>
      </c>
      <c r="G364">
        <v>1</v>
      </c>
      <c r="H364">
        <v>1</v>
      </c>
      <c r="I364" t="s">
        <v>672</v>
      </c>
      <c r="J364" t="s">
        <v>6</v>
      </c>
      <c r="K364" t="s">
        <v>673</v>
      </c>
      <c r="L364">
        <v>1369</v>
      </c>
      <c r="N364">
        <v>1013</v>
      </c>
      <c r="O364" t="s">
        <v>625</v>
      </c>
      <c r="P364" t="s">
        <v>625</v>
      </c>
      <c r="Q364">
        <v>1</v>
      </c>
      <c r="X364">
        <v>90.61</v>
      </c>
      <c r="Y364">
        <v>0</v>
      </c>
      <c r="Z364">
        <v>0</v>
      </c>
      <c r="AA364">
        <v>0</v>
      </c>
      <c r="AB364">
        <v>8.01</v>
      </c>
      <c r="AC364">
        <v>0</v>
      </c>
      <c r="AD364">
        <v>1</v>
      </c>
      <c r="AE364">
        <v>1</v>
      </c>
      <c r="AF364" t="s">
        <v>25</v>
      </c>
      <c r="AG364">
        <v>95.140500000000003</v>
      </c>
      <c r="AH364">
        <v>2</v>
      </c>
      <c r="AI364">
        <v>86327748</v>
      </c>
      <c r="AJ364">
        <v>442</v>
      </c>
      <c r="AK364">
        <v>0</v>
      </c>
      <c r="AL364">
        <v>0</v>
      </c>
      <c r="AM364">
        <v>0</v>
      </c>
      <c r="AN364">
        <v>0</v>
      </c>
      <c r="AO364">
        <v>0</v>
      </c>
      <c r="AP364">
        <v>0</v>
      </c>
      <c r="AQ364">
        <v>0</v>
      </c>
      <c r="AR364">
        <v>0</v>
      </c>
    </row>
    <row r="365" spans="1:44" x14ac:dyDescent="0.2">
      <c r="A365">
        <f>ROW(Source!A355)</f>
        <v>355</v>
      </c>
      <c r="B365">
        <v>86327756</v>
      </c>
      <c r="C365">
        <v>86327747</v>
      </c>
      <c r="D365">
        <v>121548</v>
      </c>
      <c r="E365">
        <v>1</v>
      </c>
      <c r="F365">
        <v>1</v>
      </c>
      <c r="G365">
        <v>1</v>
      </c>
      <c r="H365">
        <v>1</v>
      </c>
      <c r="I365" t="s">
        <v>40</v>
      </c>
      <c r="J365" t="s">
        <v>6</v>
      </c>
      <c r="K365" t="s">
        <v>626</v>
      </c>
      <c r="L365">
        <v>608254</v>
      </c>
      <c r="N365">
        <v>1013</v>
      </c>
      <c r="O365" t="s">
        <v>627</v>
      </c>
      <c r="P365" t="s">
        <v>627</v>
      </c>
      <c r="Q365">
        <v>1</v>
      </c>
      <c r="X365">
        <v>0.68</v>
      </c>
      <c r="Y365">
        <v>0</v>
      </c>
      <c r="Z365">
        <v>0</v>
      </c>
      <c r="AA365">
        <v>0</v>
      </c>
      <c r="AB365">
        <v>0</v>
      </c>
      <c r="AC365">
        <v>0</v>
      </c>
      <c r="AD365">
        <v>1</v>
      </c>
      <c r="AE365">
        <v>2</v>
      </c>
      <c r="AF365" t="s">
        <v>24</v>
      </c>
      <c r="AG365">
        <v>0.76160000000000017</v>
      </c>
      <c r="AH365">
        <v>2</v>
      </c>
      <c r="AI365">
        <v>86327749</v>
      </c>
      <c r="AJ365">
        <v>443</v>
      </c>
      <c r="AK365">
        <v>0</v>
      </c>
      <c r="AL365">
        <v>0</v>
      </c>
      <c r="AM365">
        <v>0</v>
      </c>
      <c r="AN365">
        <v>0</v>
      </c>
      <c r="AO365">
        <v>0</v>
      </c>
      <c r="AP365">
        <v>0</v>
      </c>
      <c r="AQ365">
        <v>0</v>
      </c>
      <c r="AR365">
        <v>0</v>
      </c>
    </row>
    <row r="366" spans="1:44" x14ac:dyDescent="0.2">
      <c r="A366">
        <f>ROW(Source!A355)</f>
        <v>355</v>
      </c>
      <c r="B366">
        <v>86327757</v>
      </c>
      <c r="C366">
        <v>86327747</v>
      </c>
      <c r="D366">
        <v>27439418</v>
      </c>
      <c r="E366">
        <v>1</v>
      </c>
      <c r="F366">
        <v>1</v>
      </c>
      <c r="G366">
        <v>1</v>
      </c>
      <c r="H366">
        <v>2</v>
      </c>
      <c r="I366" t="s">
        <v>652</v>
      </c>
      <c r="J366" t="s">
        <v>653</v>
      </c>
      <c r="K366" t="s">
        <v>654</v>
      </c>
      <c r="L366">
        <v>1368</v>
      </c>
      <c r="N366">
        <v>1011</v>
      </c>
      <c r="O366" t="s">
        <v>137</v>
      </c>
      <c r="P366" t="s">
        <v>137</v>
      </c>
      <c r="Q366">
        <v>1</v>
      </c>
      <c r="X366">
        <v>0.57999999999999996</v>
      </c>
      <c r="Y366">
        <v>0</v>
      </c>
      <c r="Z366">
        <v>91.69</v>
      </c>
      <c r="AA366">
        <v>13.61</v>
      </c>
      <c r="AB366">
        <v>0</v>
      </c>
      <c r="AC366">
        <v>0</v>
      </c>
      <c r="AD366">
        <v>1</v>
      </c>
      <c r="AE366">
        <v>0</v>
      </c>
      <c r="AF366" t="s">
        <v>24</v>
      </c>
      <c r="AG366">
        <v>0.64960000000000007</v>
      </c>
      <c r="AH366">
        <v>3</v>
      </c>
      <c r="AI366">
        <v>-1</v>
      </c>
      <c r="AJ366" t="s">
        <v>6</v>
      </c>
      <c r="AK366">
        <v>4</v>
      </c>
      <c r="AL366">
        <v>0</v>
      </c>
      <c r="AM366">
        <v>-59.561824000000001</v>
      </c>
      <c r="AN366">
        <v>-8.841056</v>
      </c>
      <c r="AO366">
        <v>0</v>
      </c>
      <c r="AP366">
        <v>0</v>
      </c>
      <c r="AQ366">
        <v>0</v>
      </c>
      <c r="AR366">
        <v>1</v>
      </c>
    </row>
    <row r="367" spans="1:44" x14ac:dyDescent="0.2">
      <c r="A367">
        <f>ROW(Source!A355)</f>
        <v>355</v>
      </c>
      <c r="B367">
        <v>86327758</v>
      </c>
      <c r="C367">
        <v>86327747</v>
      </c>
      <c r="D367">
        <v>27439499</v>
      </c>
      <c r="E367">
        <v>1</v>
      </c>
      <c r="F367">
        <v>1</v>
      </c>
      <c r="G367">
        <v>1</v>
      </c>
      <c r="H367">
        <v>2</v>
      </c>
      <c r="I367" t="s">
        <v>631</v>
      </c>
      <c r="J367" t="s">
        <v>632</v>
      </c>
      <c r="K367" t="s">
        <v>633</v>
      </c>
      <c r="L367">
        <v>1368</v>
      </c>
      <c r="N367">
        <v>1011</v>
      </c>
      <c r="O367" t="s">
        <v>137</v>
      </c>
      <c r="P367" t="s">
        <v>137</v>
      </c>
      <c r="Q367">
        <v>1</v>
      </c>
      <c r="X367">
        <v>0.1</v>
      </c>
      <c r="Y367">
        <v>0</v>
      </c>
      <c r="Z367">
        <v>112.67</v>
      </c>
      <c r="AA367">
        <v>13.61</v>
      </c>
      <c r="AB367">
        <v>0</v>
      </c>
      <c r="AC367">
        <v>0</v>
      </c>
      <c r="AD367">
        <v>1</v>
      </c>
      <c r="AE367">
        <v>0</v>
      </c>
      <c r="AF367" t="s">
        <v>24</v>
      </c>
      <c r="AG367">
        <v>0.11200000000000002</v>
      </c>
      <c r="AH367">
        <v>2</v>
      </c>
      <c r="AI367">
        <v>86327751</v>
      </c>
      <c r="AJ367">
        <v>445</v>
      </c>
      <c r="AK367">
        <v>0</v>
      </c>
      <c r="AL367">
        <v>0</v>
      </c>
      <c r="AM367">
        <v>0</v>
      </c>
      <c r="AN367">
        <v>0</v>
      </c>
      <c r="AO367">
        <v>0</v>
      </c>
      <c r="AP367">
        <v>0</v>
      </c>
      <c r="AQ367">
        <v>0</v>
      </c>
      <c r="AR367">
        <v>0</v>
      </c>
    </row>
    <row r="368" spans="1:44" x14ac:dyDescent="0.2">
      <c r="A368">
        <f>ROW(Source!A355)</f>
        <v>355</v>
      </c>
      <c r="B368">
        <v>86327759</v>
      </c>
      <c r="C368">
        <v>86327747</v>
      </c>
      <c r="D368">
        <v>27441327</v>
      </c>
      <c r="E368">
        <v>1</v>
      </c>
      <c r="F368">
        <v>1</v>
      </c>
      <c r="G368">
        <v>1</v>
      </c>
      <c r="H368">
        <v>2</v>
      </c>
      <c r="I368" t="s">
        <v>637</v>
      </c>
      <c r="J368" t="s">
        <v>638</v>
      </c>
      <c r="K368" t="s">
        <v>639</v>
      </c>
      <c r="L368">
        <v>1368</v>
      </c>
      <c r="N368">
        <v>1011</v>
      </c>
      <c r="O368" t="s">
        <v>137</v>
      </c>
      <c r="P368" t="s">
        <v>137</v>
      </c>
      <c r="Q368">
        <v>1</v>
      </c>
      <c r="X368">
        <v>0.14000000000000001</v>
      </c>
      <c r="Y368">
        <v>0</v>
      </c>
      <c r="Z368">
        <v>93.37</v>
      </c>
      <c r="AA368">
        <v>11.69</v>
      </c>
      <c r="AB368">
        <v>0</v>
      </c>
      <c r="AC368">
        <v>0</v>
      </c>
      <c r="AD368">
        <v>1</v>
      </c>
      <c r="AE368">
        <v>0</v>
      </c>
      <c r="AF368" t="s">
        <v>24</v>
      </c>
      <c r="AG368">
        <v>0.15680000000000002</v>
      </c>
      <c r="AH368">
        <v>2</v>
      </c>
      <c r="AI368">
        <v>86327752</v>
      </c>
      <c r="AJ368">
        <v>446</v>
      </c>
      <c r="AK368">
        <v>0</v>
      </c>
      <c r="AL368">
        <v>0</v>
      </c>
      <c r="AM368">
        <v>0</v>
      </c>
      <c r="AN368">
        <v>0</v>
      </c>
      <c r="AO368">
        <v>0</v>
      </c>
      <c r="AP368">
        <v>0</v>
      </c>
      <c r="AQ368">
        <v>0</v>
      </c>
      <c r="AR368">
        <v>0</v>
      </c>
    </row>
    <row r="369" spans="1:44" x14ac:dyDescent="0.2">
      <c r="A369">
        <f>ROW(Source!A355)</f>
        <v>355</v>
      </c>
      <c r="B369">
        <v>86327760</v>
      </c>
      <c r="C369">
        <v>86327747</v>
      </c>
      <c r="D369">
        <v>27377917</v>
      </c>
      <c r="E369">
        <v>1</v>
      </c>
      <c r="F369">
        <v>1</v>
      </c>
      <c r="G369">
        <v>1</v>
      </c>
      <c r="H369">
        <v>3</v>
      </c>
      <c r="I369" t="s">
        <v>316</v>
      </c>
      <c r="J369" t="s">
        <v>318</v>
      </c>
      <c r="K369" t="s">
        <v>317</v>
      </c>
      <c r="L369">
        <v>1348</v>
      </c>
      <c r="N369">
        <v>1009</v>
      </c>
      <c r="O369" t="s">
        <v>33</v>
      </c>
      <c r="P369" t="s">
        <v>33</v>
      </c>
      <c r="Q369">
        <v>1000</v>
      </c>
      <c r="X369">
        <v>6.0000000000000001E-3</v>
      </c>
      <c r="Y369">
        <v>10559.12</v>
      </c>
      <c r="Z369">
        <v>0</v>
      </c>
      <c r="AA369">
        <v>0</v>
      </c>
      <c r="AB369">
        <v>0</v>
      </c>
      <c r="AC369">
        <v>0</v>
      </c>
      <c r="AD369">
        <v>1</v>
      </c>
      <c r="AE369">
        <v>0</v>
      </c>
      <c r="AF369" t="s">
        <v>6</v>
      </c>
      <c r="AG369">
        <v>6.0000000000000001E-3</v>
      </c>
      <c r="AH369">
        <v>2</v>
      </c>
      <c r="AI369">
        <v>86327753</v>
      </c>
      <c r="AJ369">
        <v>447</v>
      </c>
      <c r="AK369">
        <v>3</v>
      </c>
      <c r="AL369">
        <v>-63.354720000000007</v>
      </c>
      <c r="AM369">
        <v>0</v>
      </c>
      <c r="AN369">
        <v>0</v>
      </c>
      <c r="AO369">
        <v>0</v>
      </c>
      <c r="AP369">
        <v>0</v>
      </c>
      <c r="AQ369">
        <v>0</v>
      </c>
      <c r="AR369">
        <v>1</v>
      </c>
    </row>
    <row r="370" spans="1:44" x14ac:dyDescent="0.2">
      <c r="A370">
        <f>ROW(Source!A355)</f>
        <v>355</v>
      </c>
      <c r="B370">
        <v>86327761</v>
      </c>
      <c r="C370">
        <v>86327747</v>
      </c>
      <c r="D370">
        <v>27393976</v>
      </c>
      <c r="E370">
        <v>1</v>
      </c>
      <c r="F370">
        <v>1</v>
      </c>
      <c r="G370">
        <v>1</v>
      </c>
      <c r="H370">
        <v>3</v>
      </c>
      <c r="I370" t="s">
        <v>742</v>
      </c>
      <c r="J370" t="s">
        <v>743</v>
      </c>
      <c r="K370" t="s">
        <v>744</v>
      </c>
      <c r="L370">
        <v>1348</v>
      </c>
      <c r="N370">
        <v>1009</v>
      </c>
      <c r="O370" t="s">
        <v>33</v>
      </c>
      <c r="P370" t="s">
        <v>33</v>
      </c>
      <c r="Q370">
        <v>1000</v>
      </c>
      <c r="X370">
        <v>1</v>
      </c>
      <c r="Y370">
        <v>6000</v>
      </c>
      <c r="Z370">
        <v>0</v>
      </c>
      <c r="AA370">
        <v>0</v>
      </c>
      <c r="AB370">
        <v>0</v>
      </c>
      <c r="AC370">
        <v>0</v>
      </c>
      <c r="AD370">
        <v>1</v>
      </c>
      <c r="AE370">
        <v>0</v>
      </c>
      <c r="AF370" t="s">
        <v>6</v>
      </c>
      <c r="AG370">
        <v>1</v>
      </c>
      <c r="AH370">
        <v>3</v>
      </c>
      <c r="AI370">
        <v>-1</v>
      </c>
      <c r="AJ370" t="s">
        <v>6</v>
      </c>
      <c r="AK370">
        <v>4</v>
      </c>
      <c r="AL370">
        <v>-6000</v>
      </c>
      <c r="AM370">
        <v>0</v>
      </c>
      <c r="AN370">
        <v>0</v>
      </c>
      <c r="AO370">
        <v>0</v>
      </c>
      <c r="AP370">
        <v>0</v>
      </c>
      <c r="AQ370">
        <v>0</v>
      </c>
      <c r="AR370">
        <v>1</v>
      </c>
    </row>
    <row r="371" spans="1:44" x14ac:dyDescent="0.2">
      <c r="A371">
        <f>ROW(Source!A360)</f>
        <v>360</v>
      </c>
      <c r="B371">
        <v>86327773</v>
      </c>
      <c r="C371">
        <v>86327764</v>
      </c>
      <c r="D371">
        <v>27496319</v>
      </c>
      <c r="E371">
        <v>1</v>
      </c>
      <c r="F371">
        <v>1</v>
      </c>
      <c r="G371">
        <v>1</v>
      </c>
      <c r="H371">
        <v>1</v>
      </c>
      <c r="I371" t="s">
        <v>672</v>
      </c>
      <c r="J371" t="s">
        <v>6</v>
      </c>
      <c r="K371" t="s">
        <v>673</v>
      </c>
      <c r="L371">
        <v>1369</v>
      </c>
      <c r="N371">
        <v>1013</v>
      </c>
      <c r="O371" t="s">
        <v>625</v>
      </c>
      <c r="P371" t="s">
        <v>625</v>
      </c>
      <c r="Q371">
        <v>1</v>
      </c>
      <c r="X371">
        <v>27.28</v>
      </c>
      <c r="Y371">
        <v>0</v>
      </c>
      <c r="Z371">
        <v>0</v>
      </c>
      <c r="AA371">
        <v>0</v>
      </c>
      <c r="AB371">
        <v>8.01</v>
      </c>
      <c r="AC371">
        <v>0</v>
      </c>
      <c r="AD371">
        <v>1</v>
      </c>
      <c r="AE371">
        <v>1</v>
      </c>
      <c r="AF371" t="s">
        <v>25</v>
      </c>
      <c r="AG371">
        <v>28.644000000000002</v>
      </c>
      <c r="AH371">
        <v>2</v>
      </c>
      <c r="AI371">
        <v>86327765</v>
      </c>
      <c r="AJ371">
        <v>449</v>
      </c>
      <c r="AK371">
        <v>0</v>
      </c>
      <c r="AL371">
        <v>0</v>
      </c>
      <c r="AM371">
        <v>0</v>
      </c>
      <c r="AN371">
        <v>0</v>
      </c>
      <c r="AO371">
        <v>0</v>
      </c>
      <c r="AP371">
        <v>0</v>
      </c>
      <c r="AQ371">
        <v>0</v>
      </c>
      <c r="AR371">
        <v>0</v>
      </c>
    </row>
    <row r="372" spans="1:44" x14ac:dyDescent="0.2">
      <c r="A372">
        <f>ROW(Source!A360)</f>
        <v>360</v>
      </c>
      <c r="B372">
        <v>86327774</v>
      </c>
      <c r="C372">
        <v>86327764</v>
      </c>
      <c r="D372">
        <v>121548</v>
      </c>
      <c r="E372">
        <v>1</v>
      </c>
      <c r="F372">
        <v>1</v>
      </c>
      <c r="G372">
        <v>1</v>
      </c>
      <c r="H372">
        <v>1</v>
      </c>
      <c r="I372" t="s">
        <v>40</v>
      </c>
      <c r="J372" t="s">
        <v>6</v>
      </c>
      <c r="K372" t="s">
        <v>626</v>
      </c>
      <c r="L372">
        <v>608254</v>
      </c>
      <c r="N372">
        <v>1013</v>
      </c>
      <c r="O372" t="s">
        <v>627</v>
      </c>
      <c r="P372" t="s">
        <v>627</v>
      </c>
      <c r="Q372">
        <v>1</v>
      </c>
      <c r="X372">
        <v>0.56000000000000005</v>
      </c>
      <c r="Y372">
        <v>0</v>
      </c>
      <c r="Z372">
        <v>0</v>
      </c>
      <c r="AA372">
        <v>0</v>
      </c>
      <c r="AB372">
        <v>0</v>
      </c>
      <c r="AC372">
        <v>0</v>
      </c>
      <c r="AD372">
        <v>1</v>
      </c>
      <c r="AE372">
        <v>2</v>
      </c>
      <c r="AF372" t="s">
        <v>24</v>
      </c>
      <c r="AG372">
        <v>0.62720000000000009</v>
      </c>
      <c r="AH372">
        <v>2</v>
      </c>
      <c r="AI372">
        <v>86327766</v>
      </c>
      <c r="AJ372">
        <v>450</v>
      </c>
      <c r="AK372">
        <v>0</v>
      </c>
      <c r="AL372">
        <v>0</v>
      </c>
      <c r="AM372">
        <v>0</v>
      </c>
      <c r="AN372">
        <v>0</v>
      </c>
      <c r="AO372">
        <v>0</v>
      </c>
      <c r="AP372">
        <v>0</v>
      </c>
      <c r="AQ372">
        <v>0</v>
      </c>
      <c r="AR372">
        <v>0</v>
      </c>
    </row>
    <row r="373" spans="1:44" x14ac:dyDescent="0.2">
      <c r="A373">
        <f>ROW(Source!A360)</f>
        <v>360</v>
      </c>
      <c r="B373">
        <v>86327775</v>
      </c>
      <c r="C373">
        <v>86327764</v>
      </c>
      <c r="D373">
        <v>27439418</v>
      </c>
      <c r="E373">
        <v>1</v>
      </c>
      <c r="F373">
        <v>1</v>
      </c>
      <c r="G373">
        <v>1</v>
      </c>
      <c r="H373">
        <v>2</v>
      </c>
      <c r="I373" t="s">
        <v>652</v>
      </c>
      <c r="J373" t="s">
        <v>653</v>
      </c>
      <c r="K373" t="s">
        <v>654</v>
      </c>
      <c r="L373">
        <v>1368</v>
      </c>
      <c r="N373">
        <v>1011</v>
      </c>
      <c r="O373" t="s">
        <v>137</v>
      </c>
      <c r="P373" t="s">
        <v>137</v>
      </c>
      <c r="Q373">
        <v>1</v>
      </c>
      <c r="X373">
        <v>0.46</v>
      </c>
      <c r="Y373">
        <v>0</v>
      </c>
      <c r="Z373">
        <v>91.69</v>
      </c>
      <c r="AA373">
        <v>13.61</v>
      </c>
      <c r="AB373">
        <v>0</v>
      </c>
      <c r="AC373">
        <v>0</v>
      </c>
      <c r="AD373">
        <v>1</v>
      </c>
      <c r="AE373">
        <v>0</v>
      </c>
      <c r="AF373" t="s">
        <v>24</v>
      </c>
      <c r="AG373">
        <v>0.5152000000000001</v>
      </c>
      <c r="AH373">
        <v>3</v>
      </c>
      <c r="AI373">
        <v>-1</v>
      </c>
      <c r="AJ373" t="s">
        <v>6</v>
      </c>
      <c r="AK373">
        <v>4</v>
      </c>
      <c r="AL373">
        <v>0</v>
      </c>
      <c r="AM373">
        <v>-47.23868800000001</v>
      </c>
      <c r="AN373">
        <v>-7.0118720000000012</v>
      </c>
      <c r="AO373">
        <v>0</v>
      </c>
      <c r="AP373">
        <v>0</v>
      </c>
      <c r="AQ373">
        <v>0</v>
      </c>
      <c r="AR373">
        <v>1</v>
      </c>
    </row>
    <row r="374" spans="1:44" x14ac:dyDescent="0.2">
      <c r="A374">
        <f>ROW(Source!A360)</f>
        <v>360</v>
      </c>
      <c r="B374">
        <v>86327776</v>
      </c>
      <c r="C374">
        <v>86327764</v>
      </c>
      <c r="D374">
        <v>27439499</v>
      </c>
      <c r="E374">
        <v>1</v>
      </c>
      <c r="F374">
        <v>1</v>
      </c>
      <c r="G374">
        <v>1</v>
      </c>
      <c r="H374">
        <v>2</v>
      </c>
      <c r="I374" t="s">
        <v>631</v>
      </c>
      <c r="J374" t="s">
        <v>632</v>
      </c>
      <c r="K374" t="s">
        <v>633</v>
      </c>
      <c r="L374">
        <v>1368</v>
      </c>
      <c r="N374">
        <v>1011</v>
      </c>
      <c r="O374" t="s">
        <v>137</v>
      </c>
      <c r="P374" t="s">
        <v>137</v>
      </c>
      <c r="Q374">
        <v>1</v>
      </c>
      <c r="X374">
        <v>0.1</v>
      </c>
      <c r="Y374">
        <v>0</v>
      </c>
      <c r="Z374">
        <v>112.67</v>
      </c>
      <c r="AA374">
        <v>13.61</v>
      </c>
      <c r="AB374">
        <v>0</v>
      </c>
      <c r="AC374">
        <v>0</v>
      </c>
      <c r="AD374">
        <v>1</v>
      </c>
      <c r="AE374">
        <v>0</v>
      </c>
      <c r="AF374" t="s">
        <v>24</v>
      </c>
      <c r="AG374">
        <v>0.11200000000000002</v>
      </c>
      <c r="AH374">
        <v>2</v>
      </c>
      <c r="AI374">
        <v>86327768</v>
      </c>
      <c r="AJ374">
        <v>452</v>
      </c>
      <c r="AK374">
        <v>0</v>
      </c>
      <c r="AL374">
        <v>0</v>
      </c>
      <c r="AM374">
        <v>0</v>
      </c>
      <c r="AN374">
        <v>0</v>
      </c>
      <c r="AO374">
        <v>0</v>
      </c>
      <c r="AP374">
        <v>0</v>
      </c>
      <c r="AQ374">
        <v>0</v>
      </c>
      <c r="AR374">
        <v>0</v>
      </c>
    </row>
    <row r="375" spans="1:44" x14ac:dyDescent="0.2">
      <c r="A375">
        <f>ROW(Source!A360)</f>
        <v>360</v>
      </c>
      <c r="B375">
        <v>86327777</v>
      </c>
      <c r="C375">
        <v>86327764</v>
      </c>
      <c r="D375">
        <v>27441327</v>
      </c>
      <c r="E375">
        <v>1</v>
      </c>
      <c r="F375">
        <v>1</v>
      </c>
      <c r="G375">
        <v>1</v>
      </c>
      <c r="H375">
        <v>2</v>
      </c>
      <c r="I375" t="s">
        <v>637</v>
      </c>
      <c r="J375" t="s">
        <v>638</v>
      </c>
      <c r="K375" t="s">
        <v>639</v>
      </c>
      <c r="L375">
        <v>1368</v>
      </c>
      <c r="N375">
        <v>1011</v>
      </c>
      <c r="O375" t="s">
        <v>137</v>
      </c>
      <c r="P375" t="s">
        <v>137</v>
      </c>
      <c r="Q375">
        <v>1</v>
      </c>
      <c r="X375">
        <v>0.14000000000000001</v>
      </c>
      <c r="Y375">
        <v>0</v>
      </c>
      <c r="Z375">
        <v>93.37</v>
      </c>
      <c r="AA375">
        <v>11.69</v>
      </c>
      <c r="AB375">
        <v>0</v>
      </c>
      <c r="AC375">
        <v>0</v>
      </c>
      <c r="AD375">
        <v>1</v>
      </c>
      <c r="AE375">
        <v>0</v>
      </c>
      <c r="AF375" t="s">
        <v>24</v>
      </c>
      <c r="AG375">
        <v>0.15680000000000002</v>
      </c>
      <c r="AH375">
        <v>2</v>
      </c>
      <c r="AI375">
        <v>86327769</v>
      </c>
      <c r="AJ375">
        <v>453</v>
      </c>
      <c r="AK375">
        <v>0</v>
      </c>
      <c r="AL375">
        <v>0</v>
      </c>
      <c r="AM375">
        <v>0</v>
      </c>
      <c r="AN375">
        <v>0</v>
      </c>
      <c r="AO375">
        <v>0</v>
      </c>
      <c r="AP375">
        <v>0</v>
      </c>
      <c r="AQ375">
        <v>0</v>
      </c>
      <c r="AR375">
        <v>0</v>
      </c>
    </row>
    <row r="376" spans="1:44" x14ac:dyDescent="0.2">
      <c r="A376">
        <f>ROW(Source!A360)</f>
        <v>360</v>
      </c>
      <c r="B376">
        <v>86327778</v>
      </c>
      <c r="C376">
        <v>86327764</v>
      </c>
      <c r="D376">
        <v>27377917</v>
      </c>
      <c r="E376">
        <v>1</v>
      </c>
      <c r="F376">
        <v>1</v>
      </c>
      <c r="G376">
        <v>1</v>
      </c>
      <c r="H376">
        <v>3</v>
      </c>
      <c r="I376" t="s">
        <v>316</v>
      </c>
      <c r="J376" t="s">
        <v>318</v>
      </c>
      <c r="K376" t="s">
        <v>317</v>
      </c>
      <c r="L376">
        <v>1348</v>
      </c>
      <c r="N376">
        <v>1009</v>
      </c>
      <c r="O376" t="s">
        <v>33</v>
      </c>
      <c r="P376" t="s">
        <v>33</v>
      </c>
      <c r="Q376">
        <v>1000</v>
      </c>
      <c r="X376">
        <v>6.0000000000000001E-3</v>
      </c>
      <c r="Y376">
        <v>10559.12</v>
      </c>
      <c r="Z376">
        <v>0</v>
      </c>
      <c r="AA376">
        <v>0</v>
      </c>
      <c r="AB376">
        <v>0</v>
      </c>
      <c r="AC376">
        <v>0</v>
      </c>
      <c r="AD376">
        <v>1</v>
      </c>
      <c r="AE376">
        <v>0</v>
      </c>
      <c r="AF376" t="s">
        <v>6</v>
      </c>
      <c r="AG376">
        <v>6.0000000000000001E-3</v>
      </c>
      <c r="AH376">
        <v>2</v>
      </c>
      <c r="AI376">
        <v>86327770</v>
      </c>
      <c r="AJ376">
        <v>454</v>
      </c>
      <c r="AK376">
        <v>3</v>
      </c>
      <c r="AL376">
        <v>-63.354720000000007</v>
      </c>
      <c r="AM376">
        <v>0</v>
      </c>
      <c r="AN376">
        <v>0</v>
      </c>
      <c r="AO376">
        <v>0</v>
      </c>
      <c r="AP376">
        <v>0</v>
      </c>
      <c r="AQ376">
        <v>0</v>
      </c>
      <c r="AR376">
        <v>1</v>
      </c>
    </row>
    <row r="377" spans="1:44" x14ac:dyDescent="0.2">
      <c r="A377">
        <f>ROW(Source!A360)</f>
        <v>360</v>
      </c>
      <c r="B377">
        <v>86327779</v>
      </c>
      <c r="C377">
        <v>86327764</v>
      </c>
      <c r="D377">
        <v>27393976</v>
      </c>
      <c r="E377">
        <v>1</v>
      </c>
      <c r="F377">
        <v>1</v>
      </c>
      <c r="G377">
        <v>1</v>
      </c>
      <c r="H377">
        <v>3</v>
      </c>
      <c r="I377" t="s">
        <v>742</v>
      </c>
      <c r="J377" t="s">
        <v>743</v>
      </c>
      <c r="K377" t="s">
        <v>744</v>
      </c>
      <c r="L377">
        <v>1348</v>
      </c>
      <c r="N377">
        <v>1009</v>
      </c>
      <c r="O377" t="s">
        <v>33</v>
      </c>
      <c r="P377" t="s">
        <v>33</v>
      </c>
      <c r="Q377">
        <v>1000</v>
      </c>
      <c r="X377">
        <v>1</v>
      </c>
      <c r="Y377">
        <v>6000</v>
      </c>
      <c r="Z377">
        <v>0</v>
      </c>
      <c r="AA377">
        <v>0</v>
      </c>
      <c r="AB377">
        <v>0</v>
      </c>
      <c r="AC377">
        <v>0</v>
      </c>
      <c r="AD377">
        <v>1</v>
      </c>
      <c r="AE377">
        <v>0</v>
      </c>
      <c r="AF377" t="s">
        <v>6</v>
      </c>
      <c r="AG377">
        <v>1</v>
      </c>
      <c r="AH377">
        <v>3</v>
      </c>
      <c r="AI377">
        <v>-1</v>
      </c>
      <c r="AJ377" t="s">
        <v>6</v>
      </c>
      <c r="AK377">
        <v>4</v>
      </c>
      <c r="AL377">
        <v>-6000</v>
      </c>
      <c r="AM377">
        <v>0</v>
      </c>
      <c r="AN377">
        <v>0</v>
      </c>
      <c r="AO377">
        <v>0</v>
      </c>
      <c r="AP377">
        <v>0</v>
      </c>
      <c r="AQ377">
        <v>0</v>
      </c>
      <c r="AR377">
        <v>1</v>
      </c>
    </row>
    <row r="378" spans="1:44" x14ac:dyDescent="0.2">
      <c r="A378">
        <f>ROW(Source!A361)</f>
        <v>361</v>
      </c>
      <c r="B378">
        <v>86327773</v>
      </c>
      <c r="C378">
        <v>86327764</v>
      </c>
      <c r="D378">
        <v>27496319</v>
      </c>
      <c r="E378">
        <v>1</v>
      </c>
      <c r="F378">
        <v>1</v>
      </c>
      <c r="G378">
        <v>1</v>
      </c>
      <c r="H378">
        <v>1</v>
      </c>
      <c r="I378" t="s">
        <v>672</v>
      </c>
      <c r="J378" t="s">
        <v>6</v>
      </c>
      <c r="K378" t="s">
        <v>673</v>
      </c>
      <c r="L378">
        <v>1369</v>
      </c>
      <c r="N378">
        <v>1013</v>
      </c>
      <c r="O378" t="s">
        <v>625</v>
      </c>
      <c r="P378" t="s">
        <v>625</v>
      </c>
      <c r="Q378">
        <v>1</v>
      </c>
      <c r="X378">
        <v>27.28</v>
      </c>
      <c r="Y378">
        <v>0</v>
      </c>
      <c r="Z378">
        <v>0</v>
      </c>
      <c r="AA378">
        <v>0</v>
      </c>
      <c r="AB378">
        <v>8.01</v>
      </c>
      <c r="AC378">
        <v>0</v>
      </c>
      <c r="AD378">
        <v>1</v>
      </c>
      <c r="AE378">
        <v>1</v>
      </c>
      <c r="AF378" t="s">
        <v>25</v>
      </c>
      <c r="AG378">
        <v>28.644000000000002</v>
      </c>
      <c r="AH378">
        <v>2</v>
      </c>
      <c r="AI378">
        <v>86327765</v>
      </c>
      <c r="AJ378">
        <v>457</v>
      </c>
      <c r="AK378">
        <v>0</v>
      </c>
      <c r="AL378">
        <v>0</v>
      </c>
      <c r="AM378">
        <v>0</v>
      </c>
      <c r="AN378">
        <v>0</v>
      </c>
      <c r="AO378">
        <v>0</v>
      </c>
      <c r="AP378">
        <v>0</v>
      </c>
      <c r="AQ378">
        <v>0</v>
      </c>
      <c r="AR378">
        <v>0</v>
      </c>
    </row>
    <row r="379" spans="1:44" x14ac:dyDescent="0.2">
      <c r="A379">
        <f>ROW(Source!A361)</f>
        <v>361</v>
      </c>
      <c r="B379">
        <v>86327774</v>
      </c>
      <c r="C379">
        <v>86327764</v>
      </c>
      <c r="D379">
        <v>121548</v>
      </c>
      <c r="E379">
        <v>1</v>
      </c>
      <c r="F379">
        <v>1</v>
      </c>
      <c r="G379">
        <v>1</v>
      </c>
      <c r="H379">
        <v>1</v>
      </c>
      <c r="I379" t="s">
        <v>40</v>
      </c>
      <c r="J379" t="s">
        <v>6</v>
      </c>
      <c r="K379" t="s">
        <v>626</v>
      </c>
      <c r="L379">
        <v>608254</v>
      </c>
      <c r="N379">
        <v>1013</v>
      </c>
      <c r="O379" t="s">
        <v>627</v>
      </c>
      <c r="P379" t="s">
        <v>627</v>
      </c>
      <c r="Q379">
        <v>1</v>
      </c>
      <c r="X379">
        <v>0.56000000000000005</v>
      </c>
      <c r="Y379">
        <v>0</v>
      </c>
      <c r="Z379">
        <v>0</v>
      </c>
      <c r="AA379">
        <v>0</v>
      </c>
      <c r="AB379">
        <v>0</v>
      </c>
      <c r="AC379">
        <v>0</v>
      </c>
      <c r="AD379">
        <v>1</v>
      </c>
      <c r="AE379">
        <v>2</v>
      </c>
      <c r="AF379" t="s">
        <v>24</v>
      </c>
      <c r="AG379">
        <v>0.62720000000000009</v>
      </c>
      <c r="AH379">
        <v>2</v>
      </c>
      <c r="AI379">
        <v>86327766</v>
      </c>
      <c r="AJ379">
        <v>458</v>
      </c>
      <c r="AK379">
        <v>0</v>
      </c>
      <c r="AL379">
        <v>0</v>
      </c>
      <c r="AM379">
        <v>0</v>
      </c>
      <c r="AN379">
        <v>0</v>
      </c>
      <c r="AO379">
        <v>0</v>
      </c>
      <c r="AP379">
        <v>0</v>
      </c>
      <c r="AQ379">
        <v>0</v>
      </c>
      <c r="AR379">
        <v>0</v>
      </c>
    </row>
    <row r="380" spans="1:44" x14ac:dyDescent="0.2">
      <c r="A380">
        <f>ROW(Source!A361)</f>
        <v>361</v>
      </c>
      <c r="B380">
        <v>86327775</v>
      </c>
      <c r="C380">
        <v>86327764</v>
      </c>
      <c r="D380">
        <v>27439418</v>
      </c>
      <c r="E380">
        <v>1</v>
      </c>
      <c r="F380">
        <v>1</v>
      </c>
      <c r="G380">
        <v>1</v>
      </c>
      <c r="H380">
        <v>2</v>
      </c>
      <c r="I380" t="s">
        <v>652</v>
      </c>
      <c r="J380" t="s">
        <v>653</v>
      </c>
      <c r="K380" t="s">
        <v>654</v>
      </c>
      <c r="L380">
        <v>1368</v>
      </c>
      <c r="N380">
        <v>1011</v>
      </c>
      <c r="O380" t="s">
        <v>137</v>
      </c>
      <c r="P380" t="s">
        <v>137</v>
      </c>
      <c r="Q380">
        <v>1</v>
      </c>
      <c r="X380">
        <v>0.46</v>
      </c>
      <c r="Y380">
        <v>0</v>
      </c>
      <c r="Z380">
        <v>91.69</v>
      </c>
      <c r="AA380">
        <v>13.61</v>
      </c>
      <c r="AB380">
        <v>0</v>
      </c>
      <c r="AC380">
        <v>0</v>
      </c>
      <c r="AD380">
        <v>1</v>
      </c>
      <c r="AE380">
        <v>0</v>
      </c>
      <c r="AF380" t="s">
        <v>24</v>
      </c>
      <c r="AG380">
        <v>0.5152000000000001</v>
      </c>
      <c r="AH380">
        <v>3</v>
      </c>
      <c r="AI380">
        <v>-1</v>
      </c>
      <c r="AJ380" t="s">
        <v>6</v>
      </c>
      <c r="AK380">
        <v>4</v>
      </c>
      <c r="AL380">
        <v>0</v>
      </c>
      <c r="AM380">
        <v>-47.23868800000001</v>
      </c>
      <c r="AN380">
        <v>-7.0118720000000012</v>
      </c>
      <c r="AO380">
        <v>0</v>
      </c>
      <c r="AP380">
        <v>0</v>
      </c>
      <c r="AQ380">
        <v>0</v>
      </c>
      <c r="AR380">
        <v>1</v>
      </c>
    </row>
    <row r="381" spans="1:44" x14ac:dyDescent="0.2">
      <c r="A381">
        <f>ROW(Source!A361)</f>
        <v>361</v>
      </c>
      <c r="B381">
        <v>86327776</v>
      </c>
      <c r="C381">
        <v>86327764</v>
      </c>
      <c r="D381">
        <v>27439499</v>
      </c>
      <c r="E381">
        <v>1</v>
      </c>
      <c r="F381">
        <v>1</v>
      </c>
      <c r="G381">
        <v>1</v>
      </c>
      <c r="H381">
        <v>2</v>
      </c>
      <c r="I381" t="s">
        <v>631</v>
      </c>
      <c r="J381" t="s">
        <v>632</v>
      </c>
      <c r="K381" t="s">
        <v>633</v>
      </c>
      <c r="L381">
        <v>1368</v>
      </c>
      <c r="N381">
        <v>1011</v>
      </c>
      <c r="O381" t="s">
        <v>137</v>
      </c>
      <c r="P381" t="s">
        <v>137</v>
      </c>
      <c r="Q381">
        <v>1</v>
      </c>
      <c r="X381">
        <v>0.1</v>
      </c>
      <c r="Y381">
        <v>0</v>
      </c>
      <c r="Z381">
        <v>112.67</v>
      </c>
      <c r="AA381">
        <v>13.61</v>
      </c>
      <c r="AB381">
        <v>0</v>
      </c>
      <c r="AC381">
        <v>0</v>
      </c>
      <c r="AD381">
        <v>1</v>
      </c>
      <c r="AE381">
        <v>0</v>
      </c>
      <c r="AF381" t="s">
        <v>24</v>
      </c>
      <c r="AG381">
        <v>0.11200000000000002</v>
      </c>
      <c r="AH381">
        <v>2</v>
      </c>
      <c r="AI381">
        <v>86327768</v>
      </c>
      <c r="AJ381">
        <v>460</v>
      </c>
      <c r="AK381">
        <v>0</v>
      </c>
      <c r="AL381">
        <v>0</v>
      </c>
      <c r="AM381">
        <v>0</v>
      </c>
      <c r="AN381">
        <v>0</v>
      </c>
      <c r="AO381">
        <v>0</v>
      </c>
      <c r="AP381">
        <v>0</v>
      </c>
      <c r="AQ381">
        <v>0</v>
      </c>
      <c r="AR381">
        <v>0</v>
      </c>
    </row>
    <row r="382" spans="1:44" x14ac:dyDescent="0.2">
      <c r="A382">
        <f>ROW(Source!A361)</f>
        <v>361</v>
      </c>
      <c r="B382">
        <v>86327777</v>
      </c>
      <c r="C382">
        <v>86327764</v>
      </c>
      <c r="D382">
        <v>27441327</v>
      </c>
      <c r="E382">
        <v>1</v>
      </c>
      <c r="F382">
        <v>1</v>
      </c>
      <c r="G382">
        <v>1</v>
      </c>
      <c r="H382">
        <v>2</v>
      </c>
      <c r="I382" t="s">
        <v>637</v>
      </c>
      <c r="J382" t="s">
        <v>638</v>
      </c>
      <c r="K382" t="s">
        <v>639</v>
      </c>
      <c r="L382">
        <v>1368</v>
      </c>
      <c r="N382">
        <v>1011</v>
      </c>
      <c r="O382" t="s">
        <v>137</v>
      </c>
      <c r="P382" t="s">
        <v>137</v>
      </c>
      <c r="Q382">
        <v>1</v>
      </c>
      <c r="X382">
        <v>0.14000000000000001</v>
      </c>
      <c r="Y382">
        <v>0</v>
      </c>
      <c r="Z382">
        <v>93.37</v>
      </c>
      <c r="AA382">
        <v>11.69</v>
      </c>
      <c r="AB382">
        <v>0</v>
      </c>
      <c r="AC382">
        <v>0</v>
      </c>
      <c r="AD382">
        <v>1</v>
      </c>
      <c r="AE382">
        <v>0</v>
      </c>
      <c r="AF382" t="s">
        <v>24</v>
      </c>
      <c r="AG382">
        <v>0.15680000000000002</v>
      </c>
      <c r="AH382">
        <v>2</v>
      </c>
      <c r="AI382">
        <v>86327769</v>
      </c>
      <c r="AJ382">
        <v>461</v>
      </c>
      <c r="AK382">
        <v>0</v>
      </c>
      <c r="AL382">
        <v>0</v>
      </c>
      <c r="AM382">
        <v>0</v>
      </c>
      <c r="AN382">
        <v>0</v>
      </c>
      <c r="AO382">
        <v>0</v>
      </c>
      <c r="AP382">
        <v>0</v>
      </c>
      <c r="AQ382">
        <v>0</v>
      </c>
      <c r="AR382">
        <v>0</v>
      </c>
    </row>
    <row r="383" spans="1:44" x14ac:dyDescent="0.2">
      <c r="A383">
        <f>ROW(Source!A361)</f>
        <v>361</v>
      </c>
      <c r="B383">
        <v>86327778</v>
      </c>
      <c r="C383">
        <v>86327764</v>
      </c>
      <c r="D383">
        <v>27377917</v>
      </c>
      <c r="E383">
        <v>1</v>
      </c>
      <c r="F383">
        <v>1</v>
      </c>
      <c r="G383">
        <v>1</v>
      </c>
      <c r="H383">
        <v>3</v>
      </c>
      <c r="I383" t="s">
        <v>316</v>
      </c>
      <c r="J383" t="s">
        <v>318</v>
      </c>
      <c r="K383" t="s">
        <v>317</v>
      </c>
      <c r="L383">
        <v>1348</v>
      </c>
      <c r="N383">
        <v>1009</v>
      </c>
      <c r="O383" t="s">
        <v>33</v>
      </c>
      <c r="P383" t="s">
        <v>33</v>
      </c>
      <c r="Q383">
        <v>1000</v>
      </c>
      <c r="X383">
        <v>6.0000000000000001E-3</v>
      </c>
      <c r="Y383">
        <v>10559.12</v>
      </c>
      <c r="Z383">
        <v>0</v>
      </c>
      <c r="AA383">
        <v>0</v>
      </c>
      <c r="AB383">
        <v>0</v>
      </c>
      <c r="AC383">
        <v>0</v>
      </c>
      <c r="AD383">
        <v>1</v>
      </c>
      <c r="AE383">
        <v>0</v>
      </c>
      <c r="AF383" t="s">
        <v>6</v>
      </c>
      <c r="AG383">
        <v>6.0000000000000001E-3</v>
      </c>
      <c r="AH383">
        <v>2</v>
      </c>
      <c r="AI383">
        <v>86327770</v>
      </c>
      <c r="AJ383">
        <v>462</v>
      </c>
      <c r="AK383">
        <v>3</v>
      </c>
      <c r="AL383">
        <v>-63.354720000000007</v>
      </c>
      <c r="AM383">
        <v>0</v>
      </c>
      <c r="AN383">
        <v>0</v>
      </c>
      <c r="AO383">
        <v>0</v>
      </c>
      <c r="AP383">
        <v>0</v>
      </c>
      <c r="AQ383">
        <v>0</v>
      </c>
      <c r="AR383">
        <v>1</v>
      </c>
    </row>
    <row r="384" spans="1:44" x14ac:dyDescent="0.2">
      <c r="A384">
        <f>ROW(Source!A361)</f>
        <v>361</v>
      </c>
      <c r="B384">
        <v>86327779</v>
      </c>
      <c r="C384">
        <v>86327764</v>
      </c>
      <c r="D384">
        <v>27393976</v>
      </c>
      <c r="E384">
        <v>1</v>
      </c>
      <c r="F384">
        <v>1</v>
      </c>
      <c r="G384">
        <v>1</v>
      </c>
      <c r="H384">
        <v>3</v>
      </c>
      <c r="I384" t="s">
        <v>742</v>
      </c>
      <c r="J384" t="s">
        <v>743</v>
      </c>
      <c r="K384" t="s">
        <v>744</v>
      </c>
      <c r="L384">
        <v>1348</v>
      </c>
      <c r="N384">
        <v>1009</v>
      </c>
      <c r="O384" t="s">
        <v>33</v>
      </c>
      <c r="P384" t="s">
        <v>33</v>
      </c>
      <c r="Q384">
        <v>1000</v>
      </c>
      <c r="X384">
        <v>1</v>
      </c>
      <c r="Y384">
        <v>6000</v>
      </c>
      <c r="Z384">
        <v>0</v>
      </c>
      <c r="AA384">
        <v>0</v>
      </c>
      <c r="AB384">
        <v>0</v>
      </c>
      <c r="AC384">
        <v>0</v>
      </c>
      <c r="AD384">
        <v>1</v>
      </c>
      <c r="AE384">
        <v>0</v>
      </c>
      <c r="AF384" t="s">
        <v>6</v>
      </c>
      <c r="AG384">
        <v>1</v>
      </c>
      <c r="AH384">
        <v>3</v>
      </c>
      <c r="AI384">
        <v>-1</v>
      </c>
      <c r="AJ384" t="s">
        <v>6</v>
      </c>
      <c r="AK384">
        <v>4</v>
      </c>
      <c r="AL384">
        <v>-6000</v>
      </c>
      <c r="AM384">
        <v>0</v>
      </c>
      <c r="AN384">
        <v>0</v>
      </c>
      <c r="AO384">
        <v>0</v>
      </c>
      <c r="AP384">
        <v>0</v>
      </c>
      <c r="AQ384">
        <v>0</v>
      </c>
      <c r="AR384">
        <v>1</v>
      </c>
    </row>
    <row r="385" spans="1:44" x14ac:dyDescent="0.2">
      <c r="A385">
        <f>ROW(Source!A368)</f>
        <v>368</v>
      </c>
      <c r="B385">
        <v>86327789</v>
      </c>
      <c r="C385">
        <v>86327783</v>
      </c>
      <c r="D385">
        <v>27501039</v>
      </c>
      <c r="E385">
        <v>1</v>
      </c>
      <c r="F385">
        <v>1</v>
      </c>
      <c r="G385">
        <v>1</v>
      </c>
      <c r="H385">
        <v>1</v>
      </c>
      <c r="I385" t="s">
        <v>693</v>
      </c>
      <c r="J385" t="s">
        <v>6</v>
      </c>
      <c r="K385" t="s">
        <v>694</v>
      </c>
      <c r="L385">
        <v>1369</v>
      </c>
      <c r="N385">
        <v>1013</v>
      </c>
      <c r="O385" t="s">
        <v>625</v>
      </c>
      <c r="P385" t="s">
        <v>625</v>
      </c>
      <c r="Q385">
        <v>1</v>
      </c>
      <c r="X385">
        <v>42.7</v>
      </c>
      <c r="Y385">
        <v>0</v>
      </c>
      <c r="Z385">
        <v>0</v>
      </c>
      <c r="AA385">
        <v>0</v>
      </c>
      <c r="AB385">
        <v>10.3</v>
      </c>
      <c r="AC385">
        <v>0</v>
      </c>
      <c r="AD385">
        <v>1</v>
      </c>
      <c r="AE385">
        <v>1</v>
      </c>
      <c r="AF385" t="s">
        <v>6</v>
      </c>
      <c r="AG385">
        <v>42.7</v>
      </c>
      <c r="AH385">
        <v>2</v>
      </c>
      <c r="AI385">
        <v>86327784</v>
      </c>
      <c r="AJ385">
        <v>465</v>
      </c>
      <c r="AK385">
        <v>0</v>
      </c>
      <c r="AL385">
        <v>0</v>
      </c>
      <c r="AM385">
        <v>0</v>
      </c>
      <c r="AN385">
        <v>0</v>
      </c>
      <c r="AO385">
        <v>0</v>
      </c>
      <c r="AP385">
        <v>0</v>
      </c>
      <c r="AQ385">
        <v>0</v>
      </c>
      <c r="AR385">
        <v>0</v>
      </c>
    </row>
    <row r="386" spans="1:44" x14ac:dyDescent="0.2">
      <c r="A386">
        <f>ROW(Source!A368)</f>
        <v>368</v>
      </c>
      <c r="B386">
        <v>86327790</v>
      </c>
      <c r="C386">
        <v>86327783</v>
      </c>
      <c r="D386">
        <v>27439703</v>
      </c>
      <c r="E386">
        <v>1</v>
      </c>
      <c r="F386">
        <v>1</v>
      </c>
      <c r="G386">
        <v>1</v>
      </c>
      <c r="H386">
        <v>2</v>
      </c>
      <c r="I386" t="s">
        <v>695</v>
      </c>
      <c r="J386" t="s">
        <v>696</v>
      </c>
      <c r="K386" t="s">
        <v>697</v>
      </c>
      <c r="L386">
        <v>1368</v>
      </c>
      <c r="N386">
        <v>1011</v>
      </c>
      <c r="O386" t="s">
        <v>137</v>
      </c>
      <c r="P386" t="s">
        <v>137</v>
      </c>
      <c r="Q386">
        <v>1</v>
      </c>
      <c r="X386">
        <v>21.25</v>
      </c>
      <c r="Y386">
        <v>0</v>
      </c>
      <c r="Z386">
        <v>7.51</v>
      </c>
      <c r="AA386">
        <v>0</v>
      </c>
      <c r="AB386">
        <v>0</v>
      </c>
      <c r="AC386">
        <v>0</v>
      </c>
      <c r="AD386">
        <v>1</v>
      </c>
      <c r="AE386">
        <v>0</v>
      </c>
      <c r="AF386" t="s">
        <v>6</v>
      </c>
      <c r="AG386">
        <v>21.25</v>
      </c>
      <c r="AH386">
        <v>2</v>
      </c>
      <c r="AI386">
        <v>86327785</v>
      </c>
      <c r="AJ386">
        <v>466</v>
      </c>
      <c r="AK386">
        <v>0</v>
      </c>
      <c r="AL386">
        <v>0</v>
      </c>
      <c r="AM386">
        <v>0</v>
      </c>
      <c r="AN386">
        <v>0</v>
      </c>
      <c r="AO386">
        <v>0</v>
      </c>
      <c r="AP386">
        <v>0</v>
      </c>
      <c r="AQ386">
        <v>0</v>
      </c>
      <c r="AR386">
        <v>0</v>
      </c>
    </row>
    <row r="387" spans="1:44" x14ac:dyDescent="0.2">
      <c r="A387">
        <f>ROW(Source!A368)</f>
        <v>368</v>
      </c>
      <c r="B387">
        <v>86327791</v>
      </c>
      <c r="C387">
        <v>86327783</v>
      </c>
      <c r="D387">
        <v>27441327</v>
      </c>
      <c r="E387">
        <v>1</v>
      </c>
      <c r="F387">
        <v>1</v>
      </c>
      <c r="G387">
        <v>1</v>
      </c>
      <c r="H387">
        <v>2</v>
      </c>
      <c r="I387" t="s">
        <v>637</v>
      </c>
      <c r="J387" t="s">
        <v>638</v>
      </c>
      <c r="K387" t="s">
        <v>639</v>
      </c>
      <c r="L387">
        <v>1368</v>
      </c>
      <c r="N387">
        <v>1011</v>
      </c>
      <c r="O387" t="s">
        <v>137</v>
      </c>
      <c r="P387" t="s">
        <v>137</v>
      </c>
      <c r="Q387">
        <v>1</v>
      </c>
      <c r="X387">
        <v>1.03</v>
      </c>
      <c r="Y387">
        <v>0</v>
      </c>
      <c r="Z387">
        <v>93.37</v>
      </c>
      <c r="AA387">
        <v>11.69</v>
      </c>
      <c r="AB387">
        <v>0</v>
      </c>
      <c r="AC387">
        <v>0</v>
      </c>
      <c r="AD387">
        <v>1</v>
      </c>
      <c r="AE387">
        <v>0</v>
      </c>
      <c r="AF387" t="s">
        <v>6</v>
      </c>
      <c r="AG387">
        <v>1.03</v>
      </c>
      <c r="AH387">
        <v>2</v>
      </c>
      <c r="AI387">
        <v>86327786</v>
      </c>
      <c r="AJ387">
        <v>467</v>
      </c>
      <c r="AK387">
        <v>0</v>
      </c>
      <c r="AL387">
        <v>0</v>
      </c>
      <c r="AM387">
        <v>0</v>
      </c>
      <c r="AN387">
        <v>0</v>
      </c>
      <c r="AO387">
        <v>0</v>
      </c>
      <c r="AP387">
        <v>0</v>
      </c>
      <c r="AQ387">
        <v>0</v>
      </c>
      <c r="AR387">
        <v>0</v>
      </c>
    </row>
    <row r="388" spans="1:44" x14ac:dyDescent="0.2">
      <c r="A388">
        <f>ROW(Source!A368)</f>
        <v>368</v>
      </c>
      <c r="B388">
        <v>86327792</v>
      </c>
      <c r="C388">
        <v>86327783</v>
      </c>
      <c r="D388">
        <v>27378258</v>
      </c>
      <c r="E388">
        <v>1</v>
      </c>
      <c r="F388">
        <v>1</v>
      </c>
      <c r="G388">
        <v>1</v>
      </c>
      <c r="H388">
        <v>3</v>
      </c>
      <c r="I388" t="s">
        <v>767</v>
      </c>
      <c r="J388" t="s">
        <v>768</v>
      </c>
      <c r="K388" t="s">
        <v>769</v>
      </c>
      <c r="L388">
        <v>1348</v>
      </c>
      <c r="N388">
        <v>1009</v>
      </c>
      <c r="O388" t="s">
        <v>33</v>
      </c>
      <c r="P388" t="s">
        <v>33</v>
      </c>
      <c r="Q388">
        <v>1000</v>
      </c>
      <c r="X388">
        <v>0.04</v>
      </c>
      <c r="Y388">
        <v>9480</v>
      </c>
      <c r="Z388">
        <v>0</v>
      </c>
      <c r="AA388">
        <v>0</v>
      </c>
      <c r="AB388">
        <v>0</v>
      </c>
      <c r="AC388">
        <v>0</v>
      </c>
      <c r="AD388">
        <v>1</v>
      </c>
      <c r="AE388">
        <v>0</v>
      </c>
      <c r="AF388" t="s">
        <v>6</v>
      </c>
      <c r="AG388">
        <v>0.04</v>
      </c>
      <c r="AH388">
        <v>3</v>
      </c>
      <c r="AI388">
        <v>-1</v>
      </c>
      <c r="AJ388" t="s">
        <v>6</v>
      </c>
      <c r="AK388">
        <v>4</v>
      </c>
      <c r="AL388">
        <v>-379.2</v>
      </c>
      <c r="AM388">
        <v>0</v>
      </c>
      <c r="AN388">
        <v>0</v>
      </c>
      <c r="AO388">
        <v>0</v>
      </c>
      <c r="AP388">
        <v>0</v>
      </c>
      <c r="AQ388">
        <v>0</v>
      </c>
      <c r="AR388">
        <v>1</v>
      </c>
    </row>
    <row r="389" spans="1:44" x14ac:dyDescent="0.2">
      <c r="A389">
        <f>ROW(Source!A368)</f>
        <v>368</v>
      </c>
      <c r="B389">
        <v>86327793</v>
      </c>
      <c r="C389">
        <v>86327783</v>
      </c>
      <c r="D389">
        <v>27391784</v>
      </c>
      <c r="E389">
        <v>1</v>
      </c>
      <c r="F389">
        <v>1</v>
      </c>
      <c r="G389">
        <v>1</v>
      </c>
      <c r="H389">
        <v>3</v>
      </c>
      <c r="I389" t="s">
        <v>770</v>
      </c>
      <c r="J389" t="s">
        <v>771</v>
      </c>
      <c r="K389" t="s">
        <v>772</v>
      </c>
      <c r="L389">
        <v>1348</v>
      </c>
      <c r="N389">
        <v>1009</v>
      </c>
      <c r="O389" t="s">
        <v>33</v>
      </c>
      <c r="P389" t="s">
        <v>33</v>
      </c>
      <c r="Q389">
        <v>1000</v>
      </c>
      <c r="X389">
        <v>1</v>
      </c>
      <c r="Y389">
        <v>14079.53</v>
      </c>
      <c r="Z389">
        <v>0</v>
      </c>
      <c r="AA389">
        <v>0</v>
      </c>
      <c r="AB389">
        <v>0</v>
      </c>
      <c r="AC389">
        <v>0</v>
      </c>
      <c r="AD389">
        <v>1</v>
      </c>
      <c r="AE389">
        <v>0</v>
      </c>
      <c r="AF389" t="s">
        <v>6</v>
      </c>
      <c r="AG389">
        <v>1</v>
      </c>
      <c r="AH389">
        <v>3</v>
      </c>
      <c r="AI389">
        <v>-1</v>
      </c>
      <c r="AJ389" t="s">
        <v>6</v>
      </c>
      <c r="AK389">
        <v>4</v>
      </c>
      <c r="AL389">
        <v>-14079.53</v>
      </c>
      <c r="AM389">
        <v>0</v>
      </c>
      <c r="AN389">
        <v>0</v>
      </c>
      <c r="AO389">
        <v>0</v>
      </c>
      <c r="AP389">
        <v>0</v>
      </c>
      <c r="AQ389">
        <v>0</v>
      </c>
      <c r="AR389">
        <v>1</v>
      </c>
    </row>
    <row r="390" spans="1:44" x14ac:dyDescent="0.2">
      <c r="A390">
        <f>ROW(Source!A369)</f>
        <v>369</v>
      </c>
      <c r="B390">
        <v>86327789</v>
      </c>
      <c r="C390">
        <v>86327783</v>
      </c>
      <c r="D390">
        <v>27501039</v>
      </c>
      <c r="E390">
        <v>1</v>
      </c>
      <c r="F390">
        <v>1</v>
      </c>
      <c r="G390">
        <v>1</v>
      </c>
      <c r="H390">
        <v>1</v>
      </c>
      <c r="I390" t="s">
        <v>693</v>
      </c>
      <c r="J390" t="s">
        <v>6</v>
      </c>
      <c r="K390" t="s">
        <v>694</v>
      </c>
      <c r="L390">
        <v>1369</v>
      </c>
      <c r="N390">
        <v>1013</v>
      </c>
      <c r="O390" t="s">
        <v>625</v>
      </c>
      <c r="P390" t="s">
        <v>625</v>
      </c>
      <c r="Q390">
        <v>1</v>
      </c>
      <c r="X390">
        <v>42.7</v>
      </c>
      <c r="Y390">
        <v>0</v>
      </c>
      <c r="Z390">
        <v>0</v>
      </c>
      <c r="AA390">
        <v>0</v>
      </c>
      <c r="AB390">
        <v>10.3</v>
      </c>
      <c r="AC390">
        <v>0</v>
      </c>
      <c r="AD390">
        <v>1</v>
      </c>
      <c r="AE390">
        <v>1</v>
      </c>
      <c r="AF390" t="s">
        <v>6</v>
      </c>
      <c r="AG390">
        <v>42.7</v>
      </c>
      <c r="AH390">
        <v>2</v>
      </c>
      <c r="AI390">
        <v>86327784</v>
      </c>
      <c r="AJ390">
        <v>470</v>
      </c>
      <c r="AK390">
        <v>0</v>
      </c>
      <c r="AL390">
        <v>0</v>
      </c>
      <c r="AM390">
        <v>0</v>
      </c>
      <c r="AN390">
        <v>0</v>
      </c>
      <c r="AO390">
        <v>0</v>
      </c>
      <c r="AP390">
        <v>0</v>
      </c>
      <c r="AQ390">
        <v>0</v>
      </c>
      <c r="AR390">
        <v>0</v>
      </c>
    </row>
    <row r="391" spans="1:44" x14ac:dyDescent="0.2">
      <c r="A391">
        <f>ROW(Source!A369)</f>
        <v>369</v>
      </c>
      <c r="B391">
        <v>86327790</v>
      </c>
      <c r="C391">
        <v>86327783</v>
      </c>
      <c r="D391">
        <v>27439703</v>
      </c>
      <c r="E391">
        <v>1</v>
      </c>
      <c r="F391">
        <v>1</v>
      </c>
      <c r="G391">
        <v>1</v>
      </c>
      <c r="H391">
        <v>2</v>
      </c>
      <c r="I391" t="s">
        <v>695</v>
      </c>
      <c r="J391" t="s">
        <v>696</v>
      </c>
      <c r="K391" t="s">
        <v>697</v>
      </c>
      <c r="L391">
        <v>1368</v>
      </c>
      <c r="N391">
        <v>1011</v>
      </c>
      <c r="O391" t="s">
        <v>137</v>
      </c>
      <c r="P391" t="s">
        <v>137</v>
      </c>
      <c r="Q391">
        <v>1</v>
      </c>
      <c r="X391">
        <v>21.25</v>
      </c>
      <c r="Y391">
        <v>0</v>
      </c>
      <c r="Z391">
        <v>7.51</v>
      </c>
      <c r="AA391">
        <v>0</v>
      </c>
      <c r="AB391">
        <v>0</v>
      </c>
      <c r="AC391">
        <v>0</v>
      </c>
      <c r="AD391">
        <v>1</v>
      </c>
      <c r="AE391">
        <v>0</v>
      </c>
      <c r="AF391" t="s">
        <v>6</v>
      </c>
      <c r="AG391">
        <v>21.25</v>
      </c>
      <c r="AH391">
        <v>2</v>
      </c>
      <c r="AI391">
        <v>86327785</v>
      </c>
      <c r="AJ391">
        <v>471</v>
      </c>
      <c r="AK391">
        <v>0</v>
      </c>
      <c r="AL391">
        <v>0</v>
      </c>
      <c r="AM391">
        <v>0</v>
      </c>
      <c r="AN391">
        <v>0</v>
      </c>
      <c r="AO391">
        <v>0</v>
      </c>
      <c r="AP391">
        <v>0</v>
      </c>
      <c r="AQ391">
        <v>0</v>
      </c>
      <c r="AR391">
        <v>0</v>
      </c>
    </row>
    <row r="392" spans="1:44" x14ac:dyDescent="0.2">
      <c r="A392">
        <f>ROW(Source!A369)</f>
        <v>369</v>
      </c>
      <c r="B392">
        <v>86327791</v>
      </c>
      <c r="C392">
        <v>86327783</v>
      </c>
      <c r="D392">
        <v>27441327</v>
      </c>
      <c r="E392">
        <v>1</v>
      </c>
      <c r="F392">
        <v>1</v>
      </c>
      <c r="G392">
        <v>1</v>
      </c>
      <c r="H392">
        <v>2</v>
      </c>
      <c r="I392" t="s">
        <v>637</v>
      </c>
      <c r="J392" t="s">
        <v>638</v>
      </c>
      <c r="K392" t="s">
        <v>639</v>
      </c>
      <c r="L392">
        <v>1368</v>
      </c>
      <c r="N392">
        <v>1011</v>
      </c>
      <c r="O392" t="s">
        <v>137</v>
      </c>
      <c r="P392" t="s">
        <v>137</v>
      </c>
      <c r="Q392">
        <v>1</v>
      </c>
      <c r="X392">
        <v>1.03</v>
      </c>
      <c r="Y392">
        <v>0</v>
      </c>
      <c r="Z392">
        <v>93.37</v>
      </c>
      <c r="AA392">
        <v>11.69</v>
      </c>
      <c r="AB392">
        <v>0</v>
      </c>
      <c r="AC392">
        <v>0</v>
      </c>
      <c r="AD392">
        <v>1</v>
      </c>
      <c r="AE392">
        <v>0</v>
      </c>
      <c r="AF392" t="s">
        <v>6</v>
      </c>
      <c r="AG392">
        <v>1.03</v>
      </c>
      <c r="AH392">
        <v>2</v>
      </c>
      <c r="AI392">
        <v>86327786</v>
      </c>
      <c r="AJ392">
        <v>472</v>
      </c>
      <c r="AK392">
        <v>0</v>
      </c>
      <c r="AL392">
        <v>0</v>
      </c>
      <c r="AM392">
        <v>0</v>
      </c>
      <c r="AN392">
        <v>0</v>
      </c>
      <c r="AO392">
        <v>0</v>
      </c>
      <c r="AP392">
        <v>0</v>
      </c>
      <c r="AQ392">
        <v>0</v>
      </c>
      <c r="AR392">
        <v>0</v>
      </c>
    </row>
    <row r="393" spans="1:44" x14ac:dyDescent="0.2">
      <c r="A393">
        <f>ROW(Source!A369)</f>
        <v>369</v>
      </c>
      <c r="B393">
        <v>86327792</v>
      </c>
      <c r="C393">
        <v>86327783</v>
      </c>
      <c r="D393">
        <v>27378258</v>
      </c>
      <c r="E393">
        <v>1</v>
      </c>
      <c r="F393">
        <v>1</v>
      </c>
      <c r="G393">
        <v>1</v>
      </c>
      <c r="H393">
        <v>3</v>
      </c>
      <c r="I393" t="s">
        <v>767</v>
      </c>
      <c r="J393" t="s">
        <v>768</v>
      </c>
      <c r="K393" t="s">
        <v>769</v>
      </c>
      <c r="L393">
        <v>1348</v>
      </c>
      <c r="N393">
        <v>1009</v>
      </c>
      <c r="O393" t="s">
        <v>33</v>
      </c>
      <c r="P393" t="s">
        <v>33</v>
      </c>
      <c r="Q393">
        <v>1000</v>
      </c>
      <c r="X393">
        <v>0.04</v>
      </c>
      <c r="Y393">
        <v>9480</v>
      </c>
      <c r="Z393">
        <v>0</v>
      </c>
      <c r="AA393">
        <v>0</v>
      </c>
      <c r="AB393">
        <v>0</v>
      </c>
      <c r="AC393">
        <v>0</v>
      </c>
      <c r="AD393">
        <v>1</v>
      </c>
      <c r="AE393">
        <v>0</v>
      </c>
      <c r="AF393" t="s">
        <v>6</v>
      </c>
      <c r="AG393">
        <v>0.04</v>
      </c>
      <c r="AH393">
        <v>3</v>
      </c>
      <c r="AI393">
        <v>-1</v>
      </c>
      <c r="AJ393" t="s">
        <v>6</v>
      </c>
      <c r="AK393">
        <v>4</v>
      </c>
      <c r="AL393">
        <v>-379.2</v>
      </c>
      <c r="AM393">
        <v>0</v>
      </c>
      <c r="AN393">
        <v>0</v>
      </c>
      <c r="AO393">
        <v>0</v>
      </c>
      <c r="AP393">
        <v>0</v>
      </c>
      <c r="AQ393">
        <v>0</v>
      </c>
      <c r="AR393">
        <v>1</v>
      </c>
    </row>
    <row r="394" spans="1:44" x14ac:dyDescent="0.2">
      <c r="A394">
        <f>ROW(Source!A369)</f>
        <v>369</v>
      </c>
      <c r="B394">
        <v>86327793</v>
      </c>
      <c r="C394">
        <v>86327783</v>
      </c>
      <c r="D394">
        <v>27391784</v>
      </c>
      <c r="E394">
        <v>1</v>
      </c>
      <c r="F394">
        <v>1</v>
      </c>
      <c r="G394">
        <v>1</v>
      </c>
      <c r="H394">
        <v>3</v>
      </c>
      <c r="I394" t="s">
        <v>770</v>
      </c>
      <c r="J394" t="s">
        <v>771</v>
      </c>
      <c r="K394" t="s">
        <v>772</v>
      </c>
      <c r="L394">
        <v>1348</v>
      </c>
      <c r="N394">
        <v>1009</v>
      </c>
      <c r="O394" t="s">
        <v>33</v>
      </c>
      <c r="P394" t="s">
        <v>33</v>
      </c>
      <c r="Q394">
        <v>1000</v>
      </c>
      <c r="X394">
        <v>1</v>
      </c>
      <c r="Y394">
        <v>14079.53</v>
      </c>
      <c r="Z394">
        <v>0</v>
      </c>
      <c r="AA394">
        <v>0</v>
      </c>
      <c r="AB394">
        <v>0</v>
      </c>
      <c r="AC394">
        <v>0</v>
      </c>
      <c r="AD394">
        <v>1</v>
      </c>
      <c r="AE394">
        <v>0</v>
      </c>
      <c r="AF394" t="s">
        <v>6</v>
      </c>
      <c r="AG394">
        <v>1</v>
      </c>
      <c r="AH394">
        <v>3</v>
      </c>
      <c r="AI394">
        <v>-1</v>
      </c>
      <c r="AJ394" t="s">
        <v>6</v>
      </c>
      <c r="AK394">
        <v>4</v>
      </c>
      <c r="AL394">
        <v>-14079.53</v>
      </c>
      <c r="AM394">
        <v>0</v>
      </c>
      <c r="AN394">
        <v>0</v>
      </c>
      <c r="AO394">
        <v>0</v>
      </c>
      <c r="AP394">
        <v>0</v>
      </c>
      <c r="AQ394">
        <v>0</v>
      </c>
      <c r="AR394">
        <v>1</v>
      </c>
    </row>
    <row r="395" spans="1:44" x14ac:dyDescent="0.2">
      <c r="A395">
        <f>ROW(Source!A374)</f>
        <v>374</v>
      </c>
      <c r="B395">
        <v>86327805</v>
      </c>
      <c r="C395">
        <v>86327796</v>
      </c>
      <c r="D395">
        <v>27493137</v>
      </c>
      <c r="E395">
        <v>1</v>
      </c>
      <c r="F395">
        <v>1</v>
      </c>
      <c r="G395">
        <v>1</v>
      </c>
      <c r="H395">
        <v>1</v>
      </c>
      <c r="I395" t="s">
        <v>674</v>
      </c>
      <c r="J395" t="s">
        <v>6</v>
      </c>
      <c r="K395" t="s">
        <v>675</v>
      </c>
      <c r="L395">
        <v>1369</v>
      </c>
      <c r="N395">
        <v>1013</v>
      </c>
      <c r="O395" t="s">
        <v>625</v>
      </c>
      <c r="P395" t="s">
        <v>625</v>
      </c>
      <c r="Q395">
        <v>1</v>
      </c>
      <c r="X395">
        <v>3.83</v>
      </c>
      <c r="Y395">
        <v>0</v>
      </c>
      <c r="Z395">
        <v>0</v>
      </c>
      <c r="AA395">
        <v>0</v>
      </c>
      <c r="AB395">
        <v>9.15</v>
      </c>
      <c r="AC395">
        <v>0</v>
      </c>
      <c r="AD395">
        <v>1</v>
      </c>
      <c r="AE395">
        <v>1</v>
      </c>
      <c r="AF395" t="s">
        <v>379</v>
      </c>
      <c r="AG395">
        <v>7.66</v>
      </c>
      <c r="AH395">
        <v>2</v>
      </c>
      <c r="AI395">
        <v>86327797</v>
      </c>
      <c r="AJ395">
        <v>475</v>
      </c>
      <c r="AK395">
        <v>0</v>
      </c>
      <c r="AL395">
        <v>0</v>
      </c>
      <c r="AM395">
        <v>0</v>
      </c>
      <c r="AN395">
        <v>0</v>
      </c>
      <c r="AO395">
        <v>0</v>
      </c>
      <c r="AP395">
        <v>0</v>
      </c>
      <c r="AQ395">
        <v>0</v>
      </c>
      <c r="AR395">
        <v>0</v>
      </c>
    </row>
    <row r="396" spans="1:44" x14ac:dyDescent="0.2">
      <c r="A396">
        <f>ROW(Source!A374)</f>
        <v>374</v>
      </c>
      <c r="B396">
        <v>86327806</v>
      </c>
      <c r="C396">
        <v>86327796</v>
      </c>
      <c r="D396">
        <v>121548</v>
      </c>
      <c r="E396">
        <v>1</v>
      </c>
      <c r="F396">
        <v>1</v>
      </c>
      <c r="G396">
        <v>1</v>
      </c>
      <c r="H396">
        <v>1</v>
      </c>
      <c r="I396" t="s">
        <v>40</v>
      </c>
      <c r="J396" t="s">
        <v>6</v>
      </c>
      <c r="K396" t="s">
        <v>626</v>
      </c>
      <c r="L396">
        <v>608254</v>
      </c>
      <c r="N396">
        <v>1013</v>
      </c>
      <c r="O396" t="s">
        <v>627</v>
      </c>
      <c r="P396" t="s">
        <v>627</v>
      </c>
      <c r="Q396">
        <v>1</v>
      </c>
      <c r="X396">
        <v>0.01</v>
      </c>
      <c r="Y396">
        <v>0</v>
      </c>
      <c r="Z396">
        <v>0</v>
      </c>
      <c r="AA396">
        <v>0</v>
      </c>
      <c r="AB396">
        <v>0</v>
      </c>
      <c r="AC396">
        <v>0</v>
      </c>
      <c r="AD396">
        <v>1</v>
      </c>
      <c r="AE396">
        <v>2</v>
      </c>
      <c r="AF396" t="s">
        <v>379</v>
      </c>
      <c r="AG396">
        <v>0.02</v>
      </c>
      <c r="AH396">
        <v>2</v>
      </c>
      <c r="AI396">
        <v>86327798</v>
      </c>
      <c r="AJ396">
        <v>476</v>
      </c>
      <c r="AK396">
        <v>0</v>
      </c>
      <c r="AL396">
        <v>0</v>
      </c>
      <c r="AM396">
        <v>0</v>
      </c>
      <c r="AN396">
        <v>0</v>
      </c>
      <c r="AO396">
        <v>0</v>
      </c>
      <c r="AP396">
        <v>0</v>
      </c>
      <c r="AQ396">
        <v>0</v>
      </c>
      <c r="AR396">
        <v>0</v>
      </c>
    </row>
    <row r="397" spans="1:44" x14ac:dyDescent="0.2">
      <c r="A397">
        <f>ROW(Source!A374)</f>
        <v>374</v>
      </c>
      <c r="B397">
        <v>86327807</v>
      </c>
      <c r="C397">
        <v>86327796</v>
      </c>
      <c r="D397">
        <v>27439571</v>
      </c>
      <c r="E397">
        <v>1</v>
      </c>
      <c r="F397">
        <v>1</v>
      </c>
      <c r="G397">
        <v>1</v>
      </c>
      <c r="H397">
        <v>2</v>
      </c>
      <c r="I397" t="s">
        <v>676</v>
      </c>
      <c r="J397" t="s">
        <v>677</v>
      </c>
      <c r="K397" t="s">
        <v>678</v>
      </c>
      <c r="L397">
        <v>1368</v>
      </c>
      <c r="N397">
        <v>1011</v>
      </c>
      <c r="O397" t="s">
        <v>137</v>
      </c>
      <c r="P397" t="s">
        <v>137</v>
      </c>
      <c r="Q397">
        <v>1</v>
      </c>
      <c r="X397">
        <v>0.01</v>
      </c>
      <c r="Y397">
        <v>0</v>
      </c>
      <c r="Z397">
        <v>88.42</v>
      </c>
      <c r="AA397">
        <v>10.14</v>
      </c>
      <c r="AB397">
        <v>0</v>
      </c>
      <c r="AC397">
        <v>0</v>
      </c>
      <c r="AD397">
        <v>1</v>
      </c>
      <c r="AE397">
        <v>0</v>
      </c>
      <c r="AF397" t="s">
        <v>379</v>
      </c>
      <c r="AG397">
        <v>0.02</v>
      </c>
      <c r="AH397">
        <v>2</v>
      </c>
      <c r="AI397">
        <v>86327799</v>
      </c>
      <c r="AJ397">
        <v>477</v>
      </c>
      <c r="AK397">
        <v>0</v>
      </c>
      <c r="AL397">
        <v>0</v>
      </c>
      <c r="AM397">
        <v>0</v>
      </c>
      <c r="AN397">
        <v>0</v>
      </c>
      <c r="AO397">
        <v>0</v>
      </c>
      <c r="AP397">
        <v>0</v>
      </c>
      <c r="AQ397">
        <v>0</v>
      </c>
      <c r="AR397">
        <v>0</v>
      </c>
    </row>
    <row r="398" spans="1:44" x14ac:dyDescent="0.2">
      <c r="A398">
        <f>ROW(Source!A374)</f>
        <v>374</v>
      </c>
      <c r="B398">
        <v>86327808</v>
      </c>
      <c r="C398">
        <v>86327796</v>
      </c>
      <c r="D398">
        <v>27439595</v>
      </c>
      <c r="E398">
        <v>1</v>
      </c>
      <c r="F398">
        <v>1</v>
      </c>
      <c r="G398">
        <v>1</v>
      </c>
      <c r="H398">
        <v>2</v>
      </c>
      <c r="I398" t="s">
        <v>679</v>
      </c>
      <c r="J398" t="s">
        <v>680</v>
      </c>
      <c r="K398" t="s">
        <v>681</v>
      </c>
      <c r="L398">
        <v>1368</v>
      </c>
      <c r="N398">
        <v>1011</v>
      </c>
      <c r="O398" t="s">
        <v>137</v>
      </c>
      <c r="P398" t="s">
        <v>137</v>
      </c>
      <c r="Q398">
        <v>1</v>
      </c>
      <c r="X398">
        <v>0.01</v>
      </c>
      <c r="Y398">
        <v>0</v>
      </c>
      <c r="Z398">
        <v>2.17</v>
      </c>
      <c r="AA398">
        <v>0</v>
      </c>
      <c r="AB398">
        <v>0</v>
      </c>
      <c r="AC398">
        <v>0</v>
      </c>
      <c r="AD398">
        <v>1</v>
      </c>
      <c r="AE398">
        <v>0</v>
      </c>
      <c r="AF398" t="s">
        <v>379</v>
      </c>
      <c r="AG398">
        <v>0.02</v>
      </c>
      <c r="AH398">
        <v>2</v>
      </c>
      <c r="AI398">
        <v>86327800</v>
      </c>
      <c r="AJ398">
        <v>478</v>
      </c>
      <c r="AK398">
        <v>0</v>
      </c>
      <c r="AL398">
        <v>0</v>
      </c>
      <c r="AM398">
        <v>0</v>
      </c>
      <c r="AN398">
        <v>0</v>
      </c>
      <c r="AO398">
        <v>0</v>
      </c>
      <c r="AP398">
        <v>0</v>
      </c>
      <c r="AQ398">
        <v>0</v>
      </c>
      <c r="AR398">
        <v>0</v>
      </c>
    </row>
    <row r="399" spans="1:44" x14ac:dyDescent="0.2">
      <c r="A399">
        <f>ROW(Source!A374)</f>
        <v>374</v>
      </c>
      <c r="B399">
        <v>86327809</v>
      </c>
      <c r="C399">
        <v>86327796</v>
      </c>
      <c r="D399">
        <v>27441139</v>
      </c>
      <c r="E399">
        <v>1</v>
      </c>
      <c r="F399">
        <v>1</v>
      </c>
      <c r="G399">
        <v>1</v>
      </c>
      <c r="H399">
        <v>2</v>
      </c>
      <c r="I399" t="s">
        <v>682</v>
      </c>
      <c r="J399" t="s">
        <v>683</v>
      </c>
      <c r="K399" t="s">
        <v>684</v>
      </c>
      <c r="L399">
        <v>1368</v>
      </c>
      <c r="N399">
        <v>1011</v>
      </c>
      <c r="O399" t="s">
        <v>137</v>
      </c>
      <c r="P399" t="s">
        <v>137</v>
      </c>
      <c r="Q399">
        <v>1</v>
      </c>
      <c r="X399">
        <v>0.65</v>
      </c>
      <c r="Y399">
        <v>0</v>
      </c>
      <c r="Z399">
        <v>6.81</v>
      </c>
      <c r="AA399">
        <v>0</v>
      </c>
      <c r="AB399">
        <v>0</v>
      </c>
      <c r="AC399">
        <v>0</v>
      </c>
      <c r="AD399">
        <v>1</v>
      </c>
      <c r="AE399">
        <v>0</v>
      </c>
      <c r="AF399" t="s">
        <v>379</v>
      </c>
      <c r="AG399">
        <v>1.3</v>
      </c>
      <c r="AH399">
        <v>2</v>
      </c>
      <c r="AI399">
        <v>86327801</v>
      </c>
      <c r="AJ399">
        <v>479</v>
      </c>
      <c r="AK399">
        <v>0</v>
      </c>
      <c r="AL399">
        <v>0</v>
      </c>
      <c r="AM399">
        <v>0</v>
      </c>
      <c r="AN399">
        <v>0</v>
      </c>
      <c r="AO399">
        <v>0</v>
      </c>
      <c r="AP399">
        <v>0</v>
      </c>
      <c r="AQ399">
        <v>0</v>
      </c>
      <c r="AR399">
        <v>0</v>
      </c>
    </row>
    <row r="400" spans="1:44" x14ac:dyDescent="0.2">
      <c r="A400">
        <f>ROW(Source!A374)</f>
        <v>374</v>
      </c>
      <c r="B400">
        <v>86327810</v>
      </c>
      <c r="C400">
        <v>86327796</v>
      </c>
      <c r="D400">
        <v>27441327</v>
      </c>
      <c r="E400">
        <v>1</v>
      </c>
      <c r="F400">
        <v>1</v>
      </c>
      <c r="G400">
        <v>1</v>
      </c>
      <c r="H400">
        <v>2</v>
      </c>
      <c r="I400" t="s">
        <v>637</v>
      </c>
      <c r="J400" t="s">
        <v>638</v>
      </c>
      <c r="K400" t="s">
        <v>639</v>
      </c>
      <c r="L400">
        <v>1368</v>
      </c>
      <c r="N400">
        <v>1011</v>
      </c>
      <c r="O400" t="s">
        <v>137</v>
      </c>
      <c r="P400" t="s">
        <v>137</v>
      </c>
      <c r="Q400">
        <v>1</v>
      </c>
      <c r="X400">
        <v>0.01</v>
      </c>
      <c r="Y400">
        <v>0</v>
      </c>
      <c r="Z400">
        <v>93.37</v>
      </c>
      <c r="AA400">
        <v>11.69</v>
      </c>
      <c r="AB400">
        <v>0</v>
      </c>
      <c r="AC400">
        <v>0</v>
      </c>
      <c r="AD400">
        <v>1</v>
      </c>
      <c r="AE400">
        <v>0</v>
      </c>
      <c r="AF400" t="s">
        <v>379</v>
      </c>
      <c r="AG400">
        <v>0.02</v>
      </c>
      <c r="AH400">
        <v>2</v>
      </c>
      <c r="AI400">
        <v>86327802</v>
      </c>
      <c r="AJ400">
        <v>480</v>
      </c>
      <c r="AK400">
        <v>0</v>
      </c>
      <c r="AL400">
        <v>0</v>
      </c>
      <c r="AM400">
        <v>0</v>
      </c>
      <c r="AN400">
        <v>0</v>
      </c>
      <c r="AO400">
        <v>0</v>
      </c>
      <c r="AP400">
        <v>0</v>
      </c>
      <c r="AQ400">
        <v>0</v>
      </c>
      <c r="AR400">
        <v>0</v>
      </c>
    </row>
    <row r="401" spans="1:44" x14ac:dyDescent="0.2">
      <c r="A401">
        <f>ROW(Source!A374)</f>
        <v>374</v>
      </c>
      <c r="B401">
        <v>86327811</v>
      </c>
      <c r="C401">
        <v>86327796</v>
      </c>
      <c r="D401">
        <v>27371445</v>
      </c>
      <c r="E401">
        <v>1</v>
      </c>
      <c r="F401">
        <v>1</v>
      </c>
      <c r="G401">
        <v>1</v>
      </c>
      <c r="H401">
        <v>3</v>
      </c>
      <c r="I401" t="s">
        <v>383</v>
      </c>
      <c r="J401" t="s">
        <v>773</v>
      </c>
      <c r="K401" t="s">
        <v>384</v>
      </c>
      <c r="L401">
        <v>1348</v>
      </c>
      <c r="N401">
        <v>1009</v>
      </c>
      <c r="O401" t="s">
        <v>33</v>
      </c>
      <c r="P401" t="s">
        <v>33</v>
      </c>
      <c r="Q401">
        <v>1000</v>
      </c>
      <c r="X401">
        <v>1.4E-3</v>
      </c>
      <c r="Y401">
        <v>6156.33</v>
      </c>
      <c r="Z401">
        <v>0</v>
      </c>
      <c r="AA401">
        <v>0</v>
      </c>
      <c r="AB401">
        <v>0</v>
      </c>
      <c r="AC401">
        <v>0</v>
      </c>
      <c r="AD401">
        <v>1</v>
      </c>
      <c r="AE401">
        <v>0</v>
      </c>
      <c r="AF401" t="s">
        <v>379</v>
      </c>
      <c r="AG401">
        <v>2.8E-3</v>
      </c>
      <c r="AH401">
        <v>2</v>
      </c>
      <c r="AI401">
        <v>86327803</v>
      </c>
      <c r="AJ401">
        <v>481</v>
      </c>
      <c r="AK401">
        <v>3</v>
      </c>
      <c r="AL401">
        <v>-17.237724</v>
      </c>
      <c r="AM401">
        <v>0</v>
      </c>
      <c r="AN401">
        <v>0</v>
      </c>
      <c r="AO401">
        <v>0</v>
      </c>
      <c r="AP401">
        <v>0</v>
      </c>
      <c r="AQ401">
        <v>0</v>
      </c>
      <c r="AR401">
        <v>1</v>
      </c>
    </row>
    <row r="402" spans="1:44" x14ac:dyDescent="0.2">
      <c r="A402">
        <f>ROW(Source!A374)</f>
        <v>374</v>
      </c>
      <c r="B402">
        <v>86327812</v>
      </c>
      <c r="C402">
        <v>86327796</v>
      </c>
      <c r="D402">
        <v>27387231</v>
      </c>
      <c r="E402">
        <v>1</v>
      </c>
      <c r="F402">
        <v>1</v>
      </c>
      <c r="G402">
        <v>1</v>
      </c>
      <c r="H402">
        <v>3</v>
      </c>
      <c r="I402" t="s">
        <v>388</v>
      </c>
      <c r="J402" t="s">
        <v>774</v>
      </c>
      <c r="K402" t="s">
        <v>389</v>
      </c>
      <c r="L402">
        <v>1348</v>
      </c>
      <c r="N402">
        <v>1009</v>
      </c>
      <c r="O402" t="s">
        <v>33</v>
      </c>
      <c r="P402" t="s">
        <v>33</v>
      </c>
      <c r="Q402">
        <v>1000</v>
      </c>
      <c r="X402">
        <v>1.9E-2</v>
      </c>
      <c r="Y402">
        <v>14313</v>
      </c>
      <c r="Z402">
        <v>0</v>
      </c>
      <c r="AA402">
        <v>0</v>
      </c>
      <c r="AB402">
        <v>0</v>
      </c>
      <c r="AC402">
        <v>0</v>
      </c>
      <c r="AD402">
        <v>1</v>
      </c>
      <c r="AE402">
        <v>0</v>
      </c>
      <c r="AF402" t="s">
        <v>379</v>
      </c>
      <c r="AG402">
        <v>3.7999999999999999E-2</v>
      </c>
      <c r="AH402">
        <v>2</v>
      </c>
      <c r="AI402">
        <v>86327804</v>
      </c>
      <c r="AJ402">
        <v>482</v>
      </c>
      <c r="AK402">
        <v>3</v>
      </c>
      <c r="AL402">
        <v>-543.89400000000001</v>
      </c>
      <c r="AM402">
        <v>0</v>
      </c>
      <c r="AN402">
        <v>0</v>
      </c>
      <c r="AO402">
        <v>0</v>
      </c>
      <c r="AP402">
        <v>0</v>
      </c>
      <c r="AQ402">
        <v>0</v>
      </c>
      <c r="AR402">
        <v>1</v>
      </c>
    </row>
    <row r="403" spans="1:44" x14ac:dyDescent="0.2">
      <c r="A403">
        <f>ROW(Source!A375)</f>
        <v>375</v>
      </c>
      <c r="B403">
        <v>86327805</v>
      </c>
      <c r="C403">
        <v>86327796</v>
      </c>
      <c r="D403">
        <v>27493137</v>
      </c>
      <c r="E403">
        <v>1</v>
      </c>
      <c r="F403">
        <v>1</v>
      </c>
      <c r="G403">
        <v>1</v>
      </c>
      <c r="H403">
        <v>1</v>
      </c>
      <c r="I403" t="s">
        <v>674</v>
      </c>
      <c r="J403" t="s">
        <v>6</v>
      </c>
      <c r="K403" t="s">
        <v>675</v>
      </c>
      <c r="L403">
        <v>1369</v>
      </c>
      <c r="N403">
        <v>1013</v>
      </c>
      <c r="O403" t="s">
        <v>625</v>
      </c>
      <c r="P403" t="s">
        <v>625</v>
      </c>
      <c r="Q403">
        <v>1</v>
      </c>
      <c r="X403">
        <v>3.83</v>
      </c>
      <c r="Y403">
        <v>0</v>
      </c>
      <c r="Z403">
        <v>0</v>
      </c>
      <c r="AA403">
        <v>0</v>
      </c>
      <c r="AB403">
        <v>9.15</v>
      </c>
      <c r="AC403">
        <v>0</v>
      </c>
      <c r="AD403">
        <v>1</v>
      </c>
      <c r="AE403">
        <v>1</v>
      </c>
      <c r="AF403" t="s">
        <v>379</v>
      </c>
      <c r="AG403">
        <v>7.66</v>
      </c>
      <c r="AH403">
        <v>2</v>
      </c>
      <c r="AI403">
        <v>86327797</v>
      </c>
      <c r="AJ403">
        <v>483</v>
      </c>
      <c r="AK403">
        <v>0</v>
      </c>
      <c r="AL403">
        <v>0</v>
      </c>
      <c r="AM403">
        <v>0</v>
      </c>
      <c r="AN403">
        <v>0</v>
      </c>
      <c r="AO403">
        <v>0</v>
      </c>
      <c r="AP403">
        <v>0</v>
      </c>
      <c r="AQ403">
        <v>0</v>
      </c>
      <c r="AR403">
        <v>0</v>
      </c>
    </row>
    <row r="404" spans="1:44" x14ac:dyDescent="0.2">
      <c r="A404">
        <f>ROW(Source!A375)</f>
        <v>375</v>
      </c>
      <c r="B404">
        <v>86327806</v>
      </c>
      <c r="C404">
        <v>86327796</v>
      </c>
      <c r="D404">
        <v>121548</v>
      </c>
      <c r="E404">
        <v>1</v>
      </c>
      <c r="F404">
        <v>1</v>
      </c>
      <c r="G404">
        <v>1</v>
      </c>
      <c r="H404">
        <v>1</v>
      </c>
      <c r="I404" t="s">
        <v>40</v>
      </c>
      <c r="J404" t="s">
        <v>6</v>
      </c>
      <c r="K404" t="s">
        <v>626</v>
      </c>
      <c r="L404">
        <v>608254</v>
      </c>
      <c r="N404">
        <v>1013</v>
      </c>
      <c r="O404" t="s">
        <v>627</v>
      </c>
      <c r="P404" t="s">
        <v>627</v>
      </c>
      <c r="Q404">
        <v>1</v>
      </c>
      <c r="X404">
        <v>0.01</v>
      </c>
      <c r="Y404">
        <v>0</v>
      </c>
      <c r="Z404">
        <v>0</v>
      </c>
      <c r="AA404">
        <v>0</v>
      </c>
      <c r="AB404">
        <v>0</v>
      </c>
      <c r="AC404">
        <v>0</v>
      </c>
      <c r="AD404">
        <v>1</v>
      </c>
      <c r="AE404">
        <v>2</v>
      </c>
      <c r="AF404" t="s">
        <v>379</v>
      </c>
      <c r="AG404">
        <v>0.02</v>
      </c>
      <c r="AH404">
        <v>2</v>
      </c>
      <c r="AI404">
        <v>86327798</v>
      </c>
      <c r="AJ404">
        <v>484</v>
      </c>
      <c r="AK404">
        <v>0</v>
      </c>
      <c r="AL404">
        <v>0</v>
      </c>
      <c r="AM404">
        <v>0</v>
      </c>
      <c r="AN404">
        <v>0</v>
      </c>
      <c r="AO404">
        <v>0</v>
      </c>
      <c r="AP404">
        <v>0</v>
      </c>
      <c r="AQ404">
        <v>0</v>
      </c>
      <c r="AR404">
        <v>0</v>
      </c>
    </row>
    <row r="405" spans="1:44" x14ac:dyDescent="0.2">
      <c r="A405">
        <f>ROW(Source!A375)</f>
        <v>375</v>
      </c>
      <c r="B405">
        <v>86327807</v>
      </c>
      <c r="C405">
        <v>86327796</v>
      </c>
      <c r="D405">
        <v>27439571</v>
      </c>
      <c r="E405">
        <v>1</v>
      </c>
      <c r="F405">
        <v>1</v>
      </c>
      <c r="G405">
        <v>1</v>
      </c>
      <c r="H405">
        <v>2</v>
      </c>
      <c r="I405" t="s">
        <v>676</v>
      </c>
      <c r="J405" t="s">
        <v>677</v>
      </c>
      <c r="K405" t="s">
        <v>678</v>
      </c>
      <c r="L405">
        <v>1368</v>
      </c>
      <c r="N405">
        <v>1011</v>
      </c>
      <c r="O405" t="s">
        <v>137</v>
      </c>
      <c r="P405" t="s">
        <v>137</v>
      </c>
      <c r="Q405">
        <v>1</v>
      </c>
      <c r="X405">
        <v>0.01</v>
      </c>
      <c r="Y405">
        <v>0</v>
      </c>
      <c r="Z405">
        <v>88.42</v>
      </c>
      <c r="AA405">
        <v>10.14</v>
      </c>
      <c r="AB405">
        <v>0</v>
      </c>
      <c r="AC405">
        <v>0</v>
      </c>
      <c r="AD405">
        <v>1</v>
      </c>
      <c r="AE405">
        <v>0</v>
      </c>
      <c r="AF405" t="s">
        <v>379</v>
      </c>
      <c r="AG405">
        <v>0.02</v>
      </c>
      <c r="AH405">
        <v>2</v>
      </c>
      <c r="AI405">
        <v>86327799</v>
      </c>
      <c r="AJ405">
        <v>485</v>
      </c>
      <c r="AK405">
        <v>0</v>
      </c>
      <c r="AL405">
        <v>0</v>
      </c>
      <c r="AM405">
        <v>0</v>
      </c>
      <c r="AN405">
        <v>0</v>
      </c>
      <c r="AO405">
        <v>0</v>
      </c>
      <c r="AP405">
        <v>0</v>
      </c>
      <c r="AQ405">
        <v>0</v>
      </c>
      <c r="AR405">
        <v>0</v>
      </c>
    </row>
    <row r="406" spans="1:44" x14ac:dyDescent="0.2">
      <c r="A406">
        <f>ROW(Source!A375)</f>
        <v>375</v>
      </c>
      <c r="B406">
        <v>86327808</v>
      </c>
      <c r="C406">
        <v>86327796</v>
      </c>
      <c r="D406">
        <v>27439595</v>
      </c>
      <c r="E406">
        <v>1</v>
      </c>
      <c r="F406">
        <v>1</v>
      </c>
      <c r="G406">
        <v>1</v>
      </c>
      <c r="H406">
        <v>2</v>
      </c>
      <c r="I406" t="s">
        <v>679</v>
      </c>
      <c r="J406" t="s">
        <v>680</v>
      </c>
      <c r="K406" t="s">
        <v>681</v>
      </c>
      <c r="L406">
        <v>1368</v>
      </c>
      <c r="N406">
        <v>1011</v>
      </c>
      <c r="O406" t="s">
        <v>137</v>
      </c>
      <c r="P406" t="s">
        <v>137</v>
      </c>
      <c r="Q406">
        <v>1</v>
      </c>
      <c r="X406">
        <v>0.01</v>
      </c>
      <c r="Y406">
        <v>0</v>
      </c>
      <c r="Z406">
        <v>2.17</v>
      </c>
      <c r="AA406">
        <v>0</v>
      </c>
      <c r="AB406">
        <v>0</v>
      </c>
      <c r="AC406">
        <v>0</v>
      </c>
      <c r="AD406">
        <v>1</v>
      </c>
      <c r="AE406">
        <v>0</v>
      </c>
      <c r="AF406" t="s">
        <v>379</v>
      </c>
      <c r="AG406">
        <v>0.02</v>
      </c>
      <c r="AH406">
        <v>2</v>
      </c>
      <c r="AI406">
        <v>86327800</v>
      </c>
      <c r="AJ406">
        <v>486</v>
      </c>
      <c r="AK406">
        <v>0</v>
      </c>
      <c r="AL406">
        <v>0</v>
      </c>
      <c r="AM406">
        <v>0</v>
      </c>
      <c r="AN406">
        <v>0</v>
      </c>
      <c r="AO406">
        <v>0</v>
      </c>
      <c r="AP406">
        <v>0</v>
      </c>
      <c r="AQ406">
        <v>0</v>
      </c>
      <c r="AR406">
        <v>0</v>
      </c>
    </row>
    <row r="407" spans="1:44" x14ac:dyDescent="0.2">
      <c r="A407">
        <f>ROW(Source!A375)</f>
        <v>375</v>
      </c>
      <c r="B407">
        <v>86327809</v>
      </c>
      <c r="C407">
        <v>86327796</v>
      </c>
      <c r="D407">
        <v>27441139</v>
      </c>
      <c r="E407">
        <v>1</v>
      </c>
      <c r="F407">
        <v>1</v>
      </c>
      <c r="G407">
        <v>1</v>
      </c>
      <c r="H407">
        <v>2</v>
      </c>
      <c r="I407" t="s">
        <v>682</v>
      </c>
      <c r="J407" t="s">
        <v>683</v>
      </c>
      <c r="K407" t="s">
        <v>684</v>
      </c>
      <c r="L407">
        <v>1368</v>
      </c>
      <c r="N407">
        <v>1011</v>
      </c>
      <c r="O407" t="s">
        <v>137</v>
      </c>
      <c r="P407" t="s">
        <v>137</v>
      </c>
      <c r="Q407">
        <v>1</v>
      </c>
      <c r="X407">
        <v>0.65</v>
      </c>
      <c r="Y407">
        <v>0</v>
      </c>
      <c r="Z407">
        <v>6.81</v>
      </c>
      <c r="AA407">
        <v>0</v>
      </c>
      <c r="AB407">
        <v>0</v>
      </c>
      <c r="AC407">
        <v>0</v>
      </c>
      <c r="AD407">
        <v>1</v>
      </c>
      <c r="AE407">
        <v>0</v>
      </c>
      <c r="AF407" t="s">
        <v>379</v>
      </c>
      <c r="AG407">
        <v>1.3</v>
      </c>
      <c r="AH407">
        <v>2</v>
      </c>
      <c r="AI407">
        <v>86327801</v>
      </c>
      <c r="AJ407">
        <v>487</v>
      </c>
      <c r="AK407">
        <v>0</v>
      </c>
      <c r="AL407">
        <v>0</v>
      </c>
      <c r="AM407">
        <v>0</v>
      </c>
      <c r="AN407">
        <v>0</v>
      </c>
      <c r="AO407">
        <v>0</v>
      </c>
      <c r="AP407">
        <v>0</v>
      </c>
      <c r="AQ407">
        <v>0</v>
      </c>
      <c r="AR407">
        <v>0</v>
      </c>
    </row>
    <row r="408" spans="1:44" x14ac:dyDescent="0.2">
      <c r="A408">
        <f>ROW(Source!A375)</f>
        <v>375</v>
      </c>
      <c r="B408">
        <v>86327810</v>
      </c>
      <c r="C408">
        <v>86327796</v>
      </c>
      <c r="D408">
        <v>27441327</v>
      </c>
      <c r="E408">
        <v>1</v>
      </c>
      <c r="F408">
        <v>1</v>
      </c>
      <c r="G408">
        <v>1</v>
      </c>
      <c r="H408">
        <v>2</v>
      </c>
      <c r="I408" t="s">
        <v>637</v>
      </c>
      <c r="J408" t="s">
        <v>638</v>
      </c>
      <c r="K408" t="s">
        <v>639</v>
      </c>
      <c r="L408">
        <v>1368</v>
      </c>
      <c r="N408">
        <v>1011</v>
      </c>
      <c r="O408" t="s">
        <v>137</v>
      </c>
      <c r="P408" t="s">
        <v>137</v>
      </c>
      <c r="Q408">
        <v>1</v>
      </c>
      <c r="X408">
        <v>0.01</v>
      </c>
      <c r="Y408">
        <v>0</v>
      </c>
      <c r="Z408">
        <v>93.37</v>
      </c>
      <c r="AA408">
        <v>11.69</v>
      </c>
      <c r="AB408">
        <v>0</v>
      </c>
      <c r="AC408">
        <v>0</v>
      </c>
      <c r="AD408">
        <v>1</v>
      </c>
      <c r="AE408">
        <v>0</v>
      </c>
      <c r="AF408" t="s">
        <v>379</v>
      </c>
      <c r="AG408">
        <v>0.02</v>
      </c>
      <c r="AH408">
        <v>2</v>
      </c>
      <c r="AI408">
        <v>86327802</v>
      </c>
      <c r="AJ408">
        <v>488</v>
      </c>
      <c r="AK408">
        <v>0</v>
      </c>
      <c r="AL408">
        <v>0</v>
      </c>
      <c r="AM408">
        <v>0</v>
      </c>
      <c r="AN408">
        <v>0</v>
      </c>
      <c r="AO408">
        <v>0</v>
      </c>
      <c r="AP408">
        <v>0</v>
      </c>
      <c r="AQ408">
        <v>0</v>
      </c>
      <c r="AR408">
        <v>0</v>
      </c>
    </row>
    <row r="409" spans="1:44" x14ac:dyDescent="0.2">
      <c r="A409">
        <f>ROW(Source!A375)</f>
        <v>375</v>
      </c>
      <c r="B409">
        <v>86327811</v>
      </c>
      <c r="C409">
        <v>86327796</v>
      </c>
      <c r="D409">
        <v>27371445</v>
      </c>
      <c r="E409">
        <v>1</v>
      </c>
      <c r="F409">
        <v>1</v>
      </c>
      <c r="G409">
        <v>1</v>
      </c>
      <c r="H409">
        <v>3</v>
      </c>
      <c r="I409" t="s">
        <v>383</v>
      </c>
      <c r="J409" t="s">
        <v>773</v>
      </c>
      <c r="K409" t="s">
        <v>384</v>
      </c>
      <c r="L409">
        <v>1348</v>
      </c>
      <c r="N409">
        <v>1009</v>
      </c>
      <c r="O409" t="s">
        <v>33</v>
      </c>
      <c r="P409" t="s">
        <v>33</v>
      </c>
      <c r="Q409">
        <v>1000</v>
      </c>
      <c r="X409">
        <v>1.4E-3</v>
      </c>
      <c r="Y409">
        <v>6156.33</v>
      </c>
      <c r="Z409">
        <v>0</v>
      </c>
      <c r="AA409">
        <v>0</v>
      </c>
      <c r="AB409">
        <v>0</v>
      </c>
      <c r="AC409">
        <v>0</v>
      </c>
      <c r="AD409">
        <v>1</v>
      </c>
      <c r="AE409">
        <v>0</v>
      </c>
      <c r="AF409" t="s">
        <v>379</v>
      </c>
      <c r="AG409">
        <v>2.8E-3</v>
      </c>
      <c r="AH409">
        <v>2</v>
      </c>
      <c r="AI409">
        <v>86327803</v>
      </c>
      <c r="AJ409">
        <v>489</v>
      </c>
      <c r="AK409">
        <v>3</v>
      </c>
      <c r="AL409">
        <v>-17.237724</v>
      </c>
      <c r="AM409">
        <v>0</v>
      </c>
      <c r="AN409">
        <v>0</v>
      </c>
      <c r="AO409">
        <v>0</v>
      </c>
      <c r="AP409">
        <v>0</v>
      </c>
      <c r="AQ409">
        <v>0</v>
      </c>
      <c r="AR409">
        <v>1</v>
      </c>
    </row>
    <row r="410" spans="1:44" x14ac:dyDescent="0.2">
      <c r="A410">
        <f>ROW(Source!A375)</f>
        <v>375</v>
      </c>
      <c r="B410">
        <v>86327812</v>
      </c>
      <c r="C410">
        <v>86327796</v>
      </c>
      <c r="D410">
        <v>27387231</v>
      </c>
      <c r="E410">
        <v>1</v>
      </c>
      <c r="F410">
        <v>1</v>
      </c>
      <c r="G410">
        <v>1</v>
      </c>
      <c r="H410">
        <v>3</v>
      </c>
      <c r="I410" t="s">
        <v>388</v>
      </c>
      <c r="J410" t="s">
        <v>774</v>
      </c>
      <c r="K410" t="s">
        <v>389</v>
      </c>
      <c r="L410">
        <v>1348</v>
      </c>
      <c r="N410">
        <v>1009</v>
      </c>
      <c r="O410" t="s">
        <v>33</v>
      </c>
      <c r="P410" t="s">
        <v>33</v>
      </c>
      <c r="Q410">
        <v>1000</v>
      </c>
      <c r="X410">
        <v>1.9E-2</v>
      </c>
      <c r="Y410">
        <v>14313</v>
      </c>
      <c r="Z410">
        <v>0</v>
      </c>
      <c r="AA410">
        <v>0</v>
      </c>
      <c r="AB410">
        <v>0</v>
      </c>
      <c r="AC410">
        <v>0</v>
      </c>
      <c r="AD410">
        <v>1</v>
      </c>
      <c r="AE410">
        <v>0</v>
      </c>
      <c r="AF410" t="s">
        <v>379</v>
      </c>
      <c r="AG410">
        <v>3.7999999999999999E-2</v>
      </c>
      <c r="AH410">
        <v>2</v>
      </c>
      <c r="AI410">
        <v>86327804</v>
      </c>
      <c r="AJ410">
        <v>490</v>
      </c>
      <c r="AK410">
        <v>3</v>
      </c>
      <c r="AL410">
        <v>-543.89400000000001</v>
      </c>
      <c r="AM410">
        <v>0</v>
      </c>
      <c r="AN410">
        <v>0</v>
      </c>
      <c r="AO410">
        <v>0</v>
      </c>
      <c r="AP410">
        <v>0</v>
      </c>
      <c r="AQ410">
        <v>0</v>
      </c>
      <c r="AR410">
        <v>1</v>
      </c>
    </row>
    <row r="411" spans="1:44" x14ac:dyDescent="0.2">
      <c r="A411">
        <f>ROW(Source!A380)</f>
        <v>380</v>
      </c>
      <c r="B411">
        <v>86327820</v>
      </c>
      <c r="C411">
        <v>86327815</v>
      </c>
      <c r="D411">
        <v>27493087</v>
      </c>
      <c r="E411">
        <v>1</v>
      </c>
      <c r="F411">
        <v>1</v>
      </c>
      <c r="G411">
        <v>1</v>
      </c>
      <c r="H411">
        <v>1</v>
      </c>
      <c r="I411" t="s">
        <v>698</v>
      </c>
      <c r="J411" t="s">
        <v>6</v>
      </c>
      <c r="K411" t="s">
        <v>699</v>
      </c>
      <c r="L411">
        <v>1369</v>
      </c>
      <c r="N411">
        <v>1013</v>
      </c>
      <c r="O411" t="s">
        <v>625</v>
      </c>
      <c r="P411" t="s">
        <v>625</v>
      </c>
      <c r="Q411">
        <v>1</v>
      </c>
      <c r="X411">
        <v>9.4700000000000006</v>
      </c>
      <c r="Y411">
        <v>0</v>
      </c>
      <c r="Z411">
        <v>0</v>
      </c>
      <c r="AA411">
        <v>0</v>
      </c>
      <c r="AB411">
        <v>9.48</v>
      </c>
      <c r="AC411">
        <v>0</v>
      </c>
      <c r="AD411">
        <v>1</v>
      </c>
      <c r="AE411">
        <v>1</v>
      </c>
      <c r="AF411" t="s">
        <v>519</v>
      </c>
      <c r="AG411">
        <v>14.205000000000002</v>
      </c>
      <c r="AH411">
        <v>2</v>
      </c>
      <c r="AI411">
        <v>86327816</v>
      </c>
      <c r="AJ411">
        <v>491</v>
      </c>
      <c r="AK411">
        <v>0</v>
      </c>
      <c r="AL411">
        <v>0</v>
      </c>
      <c r="AM411">
        <v>0</v>
      </c>
      <c r="AN411">
        <v>0</v>
      </c>
      <c r="AO411">
        <v>0</v>
      </c>
      <c r="AP411">
        <v>0</v>
      </c>
      <c r="AQ411">
        <v>0</v>
      </c>
      <c r="AR411">
        <v>0</v>
      </c>
    </row>
    <row r="412" spans="1:44" x14ac:dyDescent="0.2">
      <c r="A412">
        <f>ROW(Source!A380)</f>
        <v>380</v>
      </c>
      <c r="B412">
        <v>86327821</v>
      </c>
      <c r="C412">
        <v>86327815</v>
      </c>
      <c r="D412">
        <v>27439597</v>
      </c>
      <c r="E412">
        <v>1</v>
      </c>
      <c r="F412">
        <v>1</v>
      </c>
      <c r="G412">
        <v>1</v>
      </c>
      <c r="H412">
        <v>2</v>
      </c>
      <c r="I412" t="s">
        <v>700</v>
      </c>
      <c r="J412" t="s">
        <v>701</v>
      </c>
      <c r="K412" t="s">
        <v>702</v>
      </c>
      <c r="L412">
        <v>1368</v>
      </c>
      <c r="N412">
        <v>1011</v>
      </c>
      <c r="O412" t="s">
        <v>137</v>
      </c>
      <c r="P412" t="s">
        <v>137</v>
      </c>
      <c r="Q412">
        <v>1</v>
      </c>
      <c r="X412">
        <v>0.45</v>
      </c>
      <c r="Y412">
        <v>0</v>
      </c>
      <c r="Z412">
        <v>6.62</v>
      </c>
      <c r="AA412">
        <v>0</v>
      </c>
      <c r="AB412">
        <v>0</v>
      </c>
      <c r="AC412">
        <v>0</v>
      </c>
      <c r="AD412">
        <v>1</v>
      </c>
      <c r="AE412">
        <v>0</v>
      </c>
      <c r="AF412" t="s">
        <v>6</v>
      </c>
      <c r="AG412">
        <v>0.45</v>
      </c>
      <c r="AH412">
        <v>2</v>
      </c>
      <c r="AI412">
        <v>86327817</v>
      </c>
      <c r="AJ412">
        <v>492</v>
      </c>
      <c r="AK412">
        <v>0</v>
      </c>
      <c r="AL412">
        <v>0</v>
      </c>
      <c r="AM412">
        <v>0</v>
      </c>
      <c r="AN412">
        <v>0</v>
      </c>
      <c r="AO412">
        <v>0</v>
      </c>
      <c r="AP412">
        <v>0</v>
      </c>
      <c r="AQ412">
        <v>0</v>
      </c>
      <c r="AR412">
        <v>0</v>
      </c>
    </row>
    <row r="413" spans="1:44" x14ac:dyDescent="0.2">
      <c r="A413">
        <f>ROW(Source!A380)</f>
        <v>380</v>
      </c>
      <c r="B413">
        <v>86327822</v>
      </c>
      <c r="C413">
        <v>86327815</v>
      </c>
      <c r="D413">
        <v>27441327</v>
      </c>
      <c r="E413">
        <v>1</v>
      </c>
      <c r="F413">
        <v>1</v>
      </c>
      <c r="G413">
        <v>1</v>
      </c>
      <c r="H413">
        <v>2</v>
      </c>
      <c r="I413" t="s">
        <v>637</v>
      </c>
      <c r="J413" t="s">
        <v>638</v>
      </c>
      <c r="K413" t="s">
        <v>639</v>
      </c>
      <c r="L413">
        <v>1368</v>
      </c>
      <c r="N413">
        <v>1011</v>
      </c>
      <c r="O413" t="s">
        <v>137</v>
      </c>
      <c r="P413" t="s">
        <v>137</v>
      </c>
      <c r="Q413">
        <v>1</v>
      </c>
      <c r="X413">
        <v>0.31</v>
      </c>
      <c r="Y413">
        <v>0</v>
      </c>
      <c r="Z413">
        <v>93.37</v>
      </c>
      <c r="AA413">
        <v>11.69</v>
      </c>
      <c r="AB413">
        <v>0</v>
      </c>
      <c r="AC413">
        <v>0</v>
      </c>
      <c r="AD413">
        <v>1</v>
      </c>
      <c r="AE413">
        <v>0</v>
      </c>
      <c r="AF413" t="s">
        <v>6</v>
      </c>
      <c r="AG413">
        <v>0.31</v>
      </c>
      <c r="AH413">
        <v>2</v>
      </c>
      <c r="AI413">
        <v>86327818</v>
      </c>
      <c r="AJ413">
        <v>493</v>
      </c>
      <c r="AK413">
        <v>0</v>
      </c>
      <c r="AL413">
        <v>0</v>
      </c>
      <c r="AM413">
        <v>0</v>
      </c>
      <c r="AN413">
        <v>0</v>
      </c>
      <c r="AO413">
        <v>0</v>
      </c>
      <c r="AP413">
        <v>0</v>
      </c>
      <c r="AQ413">
        <v>0</v>
      </c>
      <c r="AR413">
        <v>0</v>
      </c>
    </row>
    <row r="414" spans="1:44" x14ac:dyDescent="0.2">
      <c r="A414">
        <f>ROW(Source!A380)</f>
        <v>380</v>
      </c>
      <c r="B414">
        <v>86327823</v>
      </c>
      <c r="C414">
        <v>86327815</v>
      </c>
      <c r="D414">
        <v>27382910</v>
      </c>
      <c r="E414">
        <v>1</v>
      </c>
      <c r="F414">
        <v>1</v>
      </c>
      <c r="G414">
        <v>1</v>
      </c>
      <c r="H414">
        <v>3</v>
      </c>
      <c r="I414" t="s">
        <v>775</v>
      </c>
      <c r="J414" t="s">
        <v>776</v>
      </c>
      <c r="K414" t="s">
        <v>777</v>
      </c>
      <c r="L414">
        <v>1339</v>
      </c>
      <c r="N414">
        <v>1007</v>
      </c>
      <c r="O414" t="s">
        <v>44</v>
      </c>
      <c r="P414" t="s">
        <v>44</v>
      </c>
      <c r="Q414">
        <v>1</v>
      </c>
      <c r="X414">
        <v>1.02</v>
      </c>
      <c r="Y414">
        <v>994.39</v>
      </c>
      <c r="Z414">
        <v>0</v>
      </c>
      <c r="AA414">
        <v>0</v>
      </c>
      <c r="AB414">
        <v>0</v>
      </c>
      <c r="AC414">
        <v>0</v>
      </c>
      <c r="AD414">
        <v>1</v>
      </c>
      <c r="AE414">
        <v>0</v>
      </c>
      <c r="AF414" t="s">
        <v>6</v>
      </c>
      <c r="AG414">
        <v>1.02</v>
      </c>
      <c r="AH414">
        <v>3</v>
      </c>
      <c r="AI414">
        <v>-1</v>
      </c>
      <c r="AJ414" t="s">
        <v>6</v>
      </c>
      <c r="AK414">
        <v>4</v>
      </c>
      <c r="AL414">
        <v>-1014.2778</v>
      </c>
      <c r="AM414">
        <v>0</v>
      </c>
      <c r="AN414">
        <v>0</v>
      </c>
      <c r="AO414">
        <v>0</v>
      </c>
      <c r="AP414">
        <v>0</v>
      </c>
      <c r="AQ414">
        <v>0</v>
      </c>
      <c r="AR414">
        <v>1</v>
      </c>
    </row>
    <row r="415" spans="1:44" x14ac:dyDescent="0.2">
      <c r="A415">
        <f>ROW(Source!A381)</f>
        <v>381</v>
      </c>
      <c r="B415">
        <v>86327820</v>
      </c>
      <c r="C415">
        <v>86327815</v>
      </c>
      <c r="D415">
        <v>27493087</v>
      </c>
      <c r="E415">
        <v>1</v>
      </c>
      <c r="F415">
        <v>1</v>
      </c>
      <c r="G415">
        <v>1</v>
      </c>
      <c r="H415">
        <v>1</v>
      </c>
      <c r="I415" t="s">
        <v>698</v>
      </c>
      <c r="J415" t="s">
        <v>6</v>
      </c>
      <c r="K415" t="s">
        <v>699</v>
      </c>
      <c r="L415">
        <v>1369</v>
      </c>
      <c r="N415">
        <v>1013</v>
      </c>
      <c r="O415" t="s">
        <v>625</v>
      </c>
      <c r="P415" t="s">
        <v>625</v>
      </c>
      <c r="Q415">
        <v>1</v>
      </c>
      <c r="X415">
        <v>9.4700000000000006</v>
      </c>
      <c r="Y415">
        <v>0</v>
      </c>
      <c r="Z415">
        <v>0</v>
      </c>
      <c r="AA415">
        <v>0</v>
      </c>
      <c r="AB415">
        <v>9.48</v>
      </c>
      <c r="AC415">
        <v>0</v>
      </c>
      <c r="AD415">
        <v>1</v>
      </c>
      <c r="AE415">
        <v>1</v>
      </c>
      <c r="AF415" t="s">
        <v>519</v>
      </c>
      <c r="AG415">
        <v>14.205000000000002</v>
      </c>
      <c r="AH415">
        <v>2</v>
      </c>
      <c r="AI415">
        <v>86327816</v>
      </c>
      <c r="AJ415">
        <v>495</v>
      </c>
      <c r="AK415">
        <v>0</v>
      </c>
      <c r="AL415">
        <v>0</v>
      </c>
      <c r="AM415">
        <v>0</v>
      </c>
      <c r="AN415">
        <v>0</v>
      </c>
      <c r="AO415">
        <v>0</v>
      </c>
      <c r="AP415">
        <v>0</v>
      </c>
      <c r="AQ415">
        <v>0</v>
      </c>
      <c r="AR415">
        <v>0</v>
      </c>
    </row>
    <row r="416" spans="1:44" x14ac:dyDescent="0.2">
      <c r="A416">
        <f>ROW(Source!A381)</f>
        <v>381</v>
      </c>
      <c r="B416">
        <v>86327821</v>
      </c>
      <c r="C416">
        <v>86327815</v>
      </c>
      <c r="D416">
        <v>27439597</v>
      </c>
      <c r="E416">
        <v>1</v>
      </c>
      <c r="F416">
        <v>1</v>
      </c>
      <c r="G416">
        <v>1</v>
      </c>
      <c r="H416">
        <v>2</v>
      </c>
      <c r="I416" t="s">
        <v>700</v>
      </c>
      <c r="J416" t="s">
        <v>701</v>
      </c>
      <c r="K416" t="s">
        <v>702</v>
      </c>
      <c r="L416">
        <v>1368</v>
      </c>
      <c r="N416">
        <v>1011</v>
      </c>
      <c r="O416" t="s">
        <v>137</v>
      </c>
      <c r="P416" t="s">
        <v>137</v>
      </c>
      <c r="Q416">
        <v>1</v>
      </c>
      <c r="X416">
        <v>0.45</v>
      </c>
      <c r="Y416">
        <v>0</v>
      </c>
      <c r="Z416">
        <v>6.62</v>
      </c>
      <c r="AA416">
        <v>0</v>
      </c>
      <c r="AB416">
        <v>0</v>
      </c>
      <c r="AC416">
        <v>0</v>
      </c>
      <c r="AD416">
        <v>1</v>
      </c>
      <c r="AE416">
        <v>0</v>
      </c>
      <c r="AF416" t="s">
        <v>6</v>
      </c>
      <c r="AG416">
        <v>0.45</v>
      </c>
      <c r="AH416">
        <v>2</v>
      </c>
      <c r="AI416">
        <v>86327817</v>
      </c>
      <c r="AJ416">
        <v>496</v>
      </c>
      <c r="AK416">
        <v>0</v>
      </c>
      <c r="AL416">
        <v>0</v>
      </c>
      <c r="AM416">
        <v>0</v>
      </c>
      <c r="AN416">
        <v>0</v>
      </c>
      <c r="AO416">
        <v>0</v>
      </c>
      <c r="AP416">
        <v>0</v>
      </c>
      <c r="AQ416">
        <v>0</v>
      </c>
      <c r="AR416">
        <v>0</v>
      </c>
    </row>
    <row r="417" spans="1:44" x14ac:dyDescent="0.2">
      <c r="A417">
        <f>ROW(Source!A381)</f>
        <v>381</v>
      </c>
      <c r="B417">
        <v>86327822</v>
      </c>
      <c r="C417">
        <v>86327815</v>
      </c>
      <c r="D417">
        <v>27441327</v>
      </c>
      <c r="E417">
        <v>1</v>
      </c>
      <c r="F417">
        <v>1</v>
      </c>
      <c r="G417">
        <v>1</v>
      </c>
      <c r="H417">
        <v>2</v>
      </c>
      <c r="I417" t="s">
        <v>637</v>
      </c>
      <c r="J417" t="s">
        <v>638</v>
      </c>
      <c r="K417" t="s">
        <v>639</v>
      </c>
      <c r="L417">
        <v>1368</v>
      </c>
      <c r="N417">
        <v>1011</v>
      </c>
      <c r="O417" t="s">
        <v>137</v>
      </c>
      <c r="P417" t="s">
        <v>137</v>
      </c>
      <c r="Q417">
        <v>1</v>
      </c>
      <c r="X417">
        <v>0.31</v>
      </c>
      <c r="Y417">
        <v>0</v>
      </c>
      <c r="Z417">
        <v>93.37</v>
      </c>
      <c r="AA417">
        <v>11.69</v>
      </c>
      <c r="AB417">
        <v>0</v>
      </c>
      <c r="AC417">
        <v>0</v>
      </c>
      <c r="AD417">
        <v>1</v>
      </c>
      <c r="AE417">
        <v>0</v>
      </c>
      <c r="AF417" t="s">
        <v>6</v>
      </c>
      <c r="AG417">
        <v>0.31</v>
      </c>
      <c r="AH417">
        <v>2</v>
      </c>
      <c r="AI417">
        <v>86327818</v>
      </c>
      <c r="AJ417">
        <v>497</v>
      </c>
      <c r="AK417">
        <v>0</v>
      </c>
      <c r="AL417">
        <v>0</v>
      </c>
      <c r="AM417">
        <v>0</v>
      </c>
      <c r="AN417">
        <v>0</v>
      </c>
      <c r="AO417">
        <v>0</v>
      </c>
      <c r="AP417">
        <v>0</v>
      </c>
      <c r="AQ417">
        <v>0</v>
      </c>
      <c r="AR417">
        <v>0</v>
      </c>
    </row>
    <row r="418" spans="1:44" x14ac:dyDescent="0.2">
      <c r="A418">
        <f>ROW(Source!A381)</f>
        <v>381</v>
      </c>
      <c r="B418">
        <v>86327823</v>
      </c>
      <c r="C418">
        <v>86327815</v>
      </c>
      <c r="D418">
        <v>27382910</v>
      </c>
      <c r="E418">
        <v>1</v>
      </c>
      <c r="F418">
        <v>1</v>
      </c>
      <c r="G418">
        <v>1</v>
      </c>
      <c r="H418">
        <v>3</v>
      </c>
      <c r="I418" t="s">
        <v>775</v>
      </c>
      <c r="J418" t="s">
        <v>776</v>
      </c>
      <c r="K418" t="s">
        <v>777</v>
      </c>
      <c r="L418">
        <v>1339</v>
      </c>
      <c r="N418">
        <v>1007</v>
      </c>
      <c r="O418" t="s">
        <v>44</v>
      </c>
      <c r="P418" t="s">
        <v>44</v>
      </c>
      <c r="Q418">
        <v>1</v>
      </c>
      <c r="X418">
        <v>1.02</v>
      </c>
      <c r="Y418">
        <v>994.39</v>
      </c>
      <c r="Z418">
        <v>0</v>
      </c>
      <c r="AA418">
        <v>0</v>
      </c>
      <c r="AB418">
        <v>0</v>
      </c>
      <c r="AC418">
        <v>0</v>
      </c>
      <c r="AD418">
        <v>1</v>
      </c>
      <c r="AE418">
        <v>0</v>
      </c>
      <c r="AF418" t="s">
        <v>6</v>
      </c>
      <c r="AG418">
        <v>1.02</v>
      </c>
      <c r="AH418">
        <v>3</v>
      </c>
      <c r="AI418">
        <v>-1</v>
      </c>
      <c r="AJ418" t="s">
        <v>6</v>
      </c>
      <c r="AK418">
        <v>4</v>
      </c>
      <c r="AL418">
        <v>-1014.2778</v>
      </c>
      <c r="AM418">
        <v>0</v>
      </c>
      <c r="AN418">
        <v>0</v>
      </c>
      <c r="AO418">
        <v>0</v>
      </c>
      <c r="AP418">
        <v>0</v>
      </c>
      <c r="AQ418">
        <v>0</v>
      </c>
      <c r="AR418">
        <v>1</v>
      </c>
    </row>
    <row r="419" spans="1:44" x14ac:dyDescent="0.2">
      <c r="A419">
        <f>ROW(Source!A384)</f>
        <v>384</v>
      </c>
      <c r="B419">
        <v>86327837</v>
      </c>
      <c r="C419">
        <v>86327825</v>
      </c>
      <c r="D419">
        <v>27683434</v>
      </c>
      <c r="E419">
        <v>1</v>
      </c>
      <c r="F419">
        <v>1</v>
      </c>
      <c r="G419">
        <v>1</v>
      </c>
      <c r="H419">
        <v>1</v>
      </c>
      <c r="I419" t="s">
        <v>664</v>
      </c>
      <c r="J419" t="s">
        <v>6</v>
      </c>
      <c r="K419" t="s">
        <v>665</v>
      </c>
      <c r="L419">
        <v>1369</v>
      </c>
      <c r="N419">
        <v>1013</v>
      </c>
      <c r="O419" t="s">
        <v>625</v>
      </c>
      <c r="P419" t="s">
        <v>625</v>
      </c>
      <c r="Q419">
        <v>1</v>
      </c>
      <c r="X419">
        <v>15.28</v>
      </c>
      <c r="Y419">
        <v>0</v>
      </c>
      <c r="Z419">
        <v>0</v>
      </c>
      <c r="AA419">
        <v>0</v>
      </c>
      <c r="AB419">
        <v>9.48</v>
      </c>
      <c r="AC419">
        <v>0</v>
      </c>
      <c r="AD419">
        <v>1</v>
      </c>
      <c r="AE419">
        <v>1</v>
      </c>
      <c r="AF419" t="s">
        <v>6</v>
      </c>
      <c r="AG419">
        <v>15.28</v>
      </c>
      <c r="AH419">
        <v>2</v>
      </c>
      <c r="AI419">
        <v>86327826</v>
      </c>
      <c r="AJ419">
        <v>499</v>
      </c>
      <c r="AK419">
        <v>0</v>
      </c>
      <c r="AL419">
        <v>0</v>
      </c>
      <c r="AM419">
        <v>0</v>
      </c>
      <c r="AN419">
        <v>0</v>
      </c>
      <c r="AO419">
        <v>0</v>
      </c>
      <c r="AP419">
        <v>0</v>
      </c>
      <c r="AQ419">
        <v>0</v>
      </c>
      <c r="AR419">
        <v>0</v>
      </c>
    </row>
    <row r="420" spans="1:44" x14ac:dyDescent="0.2">
      <c r="A420">
        <f>ROW(Source!A384)</f>
        <v>384</v>
      </c>
      <c r="B420">
        <v>86327838</v>
      </c>
      <c r="C420">
        <v>86327825</v>
      </c>
      <c r="D420">
        <v>121548</v>
      </c>
      <c r="E420">
        <v>1</v>
      </c>
      <c r="F420">
        <v>1</v>
      </c>
      <c r="G420">
        <v>1</v>
      </c>
      <c r="H420">
        <v>1</v>
      </c>
      <c r="I420" t="s">
        <v>40</v>
      </c>
      <c r="J420" t="s">
        <v>6</v>
      </c>
      <c r="K420" t="s">
        <v>626</v>
      </c>
      <c r="L420">
        <v>608254</v>
      </c>
      <c r="N420">
        <v>1013</v>
      </c>
      <c r="O420" t="s">
        <v>627</v>
      </c>
      <c r="P420" t="s">
        <v>627</v>
      </c>
      <c r="Q420">
        <v>1</v>
      </c>
      <c r="X420">
        <v>0.09</v>
      </c>
      <c r="Y420">
        <v>0</v>
      </c>
      <c r="Z420">
        <v>0</v>
      </c>
      <c r="AA420">
        <v>0</v>
      </c>
      <c r="AB420">
        <v>0</v>
      </c>
      <c r="AC420">
        <v>0</v>
      </c>
      <c r="AD420">
        <v>1</v>
      </c>
      <c r="AE420">
        <v>2</v>
      </c>
      <c r="AF420" t="s">
        <v>6</v>
      </c>
      <c r="AG420">
        <v>0.09</v>
      </c>
      <c r="AH420">
        <v>2</v>
      </c>
      <c r="AI420">
        <v>86327827</v>
      </c>
      <c r="AJ420">
        <v>500</v>
      </c>
      <c r="AK420">
        <v>0</v>
      </c>
      <c r="AL420">
        <v>0</v>
      </c>
      <c r="AM420">
        <v>0</v>
      </c>
      <c r="AN420">
        <v>0</v>
      </c>
      <c r="AO420">
        <v>0</v>
      </c>
      <c r="AP420">
        <v>0</v>
      </c>
      <c r="AQ420">
        <v>0</v>
      </c>
      <c r="AR420">
        <v>0</v>
      </c>
    </row>
    <row r="421" spans="1:44" x14ac:dyDescent="0.2">
      <c r="A421">
        <f>ROW(Source!A384)</f>
        <v>384</v>
      </c>
      <c r="B421">
        <v>86327839</v>
      </c>
      <c r="C421">
        <v>86327825</v>
      </c>
      <c r="D421">
        <v>27439488</v>
      </c>
      <c r="E421">
        <v>1</v>
      </c>
      <c r="F421">
        <v>1</v>
      </c>
      <c r="G421">
        <v>1</v>
      </c>
      <c r="H421">
        <v>2</v>
      </c>
      <c r="I421" t="s">
        <v>666</v>
      </c>
      <c r="J421" t="s">
        <v>667</v>
      </c>
      <c r="K421" t="s">
        <v>668</v>
      </c>
      <c r="L421">
        <v>1368</v>
      </c>
      <c r="N421">
        <v>1011</v>
      </c>
      <c r="O421" t="s">
        <v>137</v>
      </c>
      <c r="P421" t="s">
        <v>137</v>
      </c>
      <c r="Q421">
        <v>1</v>
      </c>
      <c r="X421">
        <v>0.09</v>
      </c>
      <c r="Y421">
        <v>0</v>
      </c>
      <c r="Z421">
        <v>113.81</v>
      </c>
      <c r="AA421">
        <v>13.61</v>
      </c>
      <c r="AB421">
        <v>0</v>
      </c>
      <c r="AC421">
        <v>0</v>
      </c>
      <c r="AD421">
        <v>1</v>
      </c>
      <c r="AE421">
        <v>0</v>
      </c>
      <c r="AF421" t="s">
        <v>6</v>
      </c>
      <c r="AG421">
        <v>0.09</v>
      </c>
      <c r="AH421">
        <v>2</v>
      </c>
      <c r="AI421">
        <v>86327828</v>
      </c>
      <c r="AJ421">
        <v>501</v>
      </c>
      <c r="AK421">
        <v>0</v>
      </c>
      <c r="AL421">
        <v>0</v>
      </c>
      <c r="AM421">
        <v>0</v>
      </c>
      <c r="AN421">
        <v>0</v>
      </c>
      <c r="AO421">
        <v>0</v>
      </c>
      <c r="AP421">
        <v>0</v>
      </c>
      <c r="AQ421">
        <v>0</v>
      </c>
      <c r="AR421">
        <v>0</v>
      </c>
    </row>
    <row r="422" spans="1:44" x14ac:dyDescent="0.2">
      <c r="A422">
        <f>ROW(Source!A384)</f>
        <v>384</v>
      </c>
      <c r="B422">
        <v>86327840</v>
      </c>
      <c r="C422">
        <v>86327825</v>
      </c>
      <c r="D422">
        <v>27441078</v>
      </c>
      <c r="E422">
        <v>1</v>
      </c>
      <c r="F422">
        <v>1</v>
      </c>
      <c r="G422">
        <v>1</v>
      </c>
      <c r="H422">
        <v>2</v>
      </c>
      <c r="I422" t="s">
        <v>669</v>
      </c>
      <c r="J422" t="s">
        <v>670</v>
      </c>
      <c r="K422" t="s">
        <v>671</v>
      </c>
      <c r="L422">
        <v>1368</v>
      </c>
      <c r="N422">
        <v>1011</v>
      </c>
      <c r="O422" t="s">
        <v>137</v>
      </c>
      <c r="P422" t="s">
        <v>137</v>
      </c>
      <c r="Q422">
        <v>1</v>
      </c>
      <c r="X422">
        <v>2.35</v>
      </c>
      <c r="Y422">
        <v>0</v>
      </c>
      <c r="Z422">
        <v>2.0699999999999998</v>
      </c>
      <c r="AA422">
        <v>0</v>
      </c>
      <c r="AB422">
        <v>0</v>
      </c>
      <c r="AC422">
        <v>0</v>
      </c>
      <c r="AD422">
        <v>1</v>
      </c>
      <c r="AE422">
        <v>0</v>
      </c>
      <c r="AF422" t="s">
        <v>6</v>
      </c>
      <c r="AG422">
        <v>2.35</v>
      </c>
      <c r="AH422">
        <v>2</v>
      </c>
      <c r="AI422">
        <v>86327829</v>
      </c>
      <c r="AJ422">
        <v>502</v>
      </c>
      <c r="AK422">
        <v>0</v>
      </c>
      <c r="AL422">
        <v>0</v>
      </c>
      <c r="AM422">
        <v>0</v>
      </c>
      <c r="AN422">
        <v>0</v>
      </c>
      <c r="AO422">
        <v>0</v>
      </c>
      <c r="AP422">
        <v>0</v>
      </c>
      <c r="AQ422">
        <v>0</v>
      </c>
      <c r="AR422">
        <v>0</v>
      </c>
    </row>
    <row r="423" spans="1:44" x14ac:dyDescent="0.2">
      <c r="A423">
        <f>ROW(Source!A384)</f>
        <v>384</v>
      </c>
      <c r="B423">
        <v>86327841</v>
      </c>
      <c r="C423">
        <v>86327825</v>
      </c>
      <c r="D423">
        <v>27441327</v>
      </c>
      <c r="E423">
        <v>1</v>
      </c>
      <c r="F423">
        <v>1</v>
      </c>
      <c r="G423">
        <v>1</v>
      </c>
      <c r="H423">
        <v>2</v>
      </c>
      <c r="I423" t="s">
        <v>637</v>
      </c>
      <c r="J423" t="s">
        <v>638</v>
      </c>
      <c r="K423" t="s">
        <v>639</v>
      </c>
      <c r="L423">
        <v>1368</v>
      </c>
      <c r="N423">
        <v>1011</v>
      </c>
      <c r="O423" t="s">
        <v>137</v>
      </c>
      <c r="P423" t="s">
        <v>137</v>
      </c>
      <c r="Q423">
        <v>1</v>
      </c>
      <c r="X423">
        <v>0.09</v>
      </c>
      <c r="Y423">
        <v>0</v>
      </c>
      <c r="Z423">
        <v>93.37</v>
      </c>
      <c r="AA423">
        <v>11.69</v>
      </c>
      <c r="AB423">
        <v>0</v>
      </c>
      <c r="AC423">
        <v>0</v>
      </c>
      <c r="AD423">
        <v>1</v>
      </c>
      <c r="AE423">
        <v>0</v>
      </c>
      <c r="AF423" t="s">
        <v>6</v>
      </c>
      <c r="AG423">
        <v>0.09</v>
      </c>
      <c r="AH423">
        <v>2</v>
      </c>
      <c r="AI423">
        <v>86327830</v>
      </c>
      <c r="AJ423">
        <v>503</v>
      </c>
      <c r="AK423">
        <v>0</v>
      </c>
      <c r="AL423">
        <v>0</v>
      </c>
      <c r="AM423">
        <v>0</v>
      </c>
      <c r="AN423">
        <v>0</v>
      </c>
      <c r="AO423">
        <v>0</v>
      </c>
      <c r="AP423">
        <v>0</v>
      </c>
      <c r="AQ423">
        <v>0</v>
      </c>
      <c r="AR423">
        <v>0</v>
      </c>
    </row>
    <row r="424" spans="1:44" x14ac:dyDescent="0.2">
      <c r="A424">
        <f>ROW(Source!A384)</f>
        <v>384</v>
      </c>
      <c r="B424">
        <v>86327842</v>
      </c>
      <c r="C424">
        <v>86327825</v>
      </c>
      <c r="D424">
        <v>27386613</v>
      </c>
      <c r="E424">
        <v>1</v>
      </c>
      <c r="F424">
        <v>1</v>
      </c>
      <c r="G424">
        <v>1</v>
      </c>
      <c r="H424">
        <v>3</v>
      </c>
      <c r="I424" t="s">
        <v>732</v>
      </c>
      <c r="J424" t="s">
        <v>733</v>
      </c>
      <c r="K424" t="s">
        <v>734</v>
      </c>
      <c r="L424">
        <v>1346</v>
      </c>
      <c r="N424">
        <v>1009</v>
      </c>
      <c r="O424" t="s">
        <v>305</v>
      </c>
      <c r="P424" t="s">
        <v>305</v>
      </c>
      <c r="Q424">
        <v>1</v>
      </c>
      <c r="X424">
        <v>0.2</v>
      </c>
      <c r="Y424">
        <v>25.8</v>
      </c>
      <c r="Z424">
        <v>0</v>
      </c>
      <c r="AA424">
        <v>0</v>
      </c>
      <c r="AB424">
        <v>0</v>
      </c>
      <c r="AC424">
        <v>0</v>
      </c>
      <c r="AD424">
        <v>1</v>
      </c>
      <c r="AE424">
        <v>0</v>
      </c>
      <c r="AF424" t="s">
        <v>6</v>
      </c>
      <c r="AG424">
        <v>0.2</v>
      </c>
      <c r="AH424">
        <v>3</v>
      </c>
      <c r="AI424">
        <v>-1</v>
      </c>
      <c r="AJ424" t="s">
        <v>6</v>
      </c>
      <c r="AK424">
        <v>4</v>
      </c>
      <c r="AL424">
        <v>-5.16</v>
      </c>
      <c r="AM424">
        <v>0</v>
      </c>
      <c r="AN424">
        <v>0</v>
      </c>
      <c r="AO424">
        <v>0</v>
      </c>
      <c r="AP424">
        <v>0</v>
      </c>
      <c r="AQ424">
        <v>0</v>
      </c>
      <c r="AR424">
        <v>1</v>
      </c>
    </row>
    <row r="425" spans="1:44" x14ac:dyDescent="0.2">
      <c r="A425">
        <f>ROW(Source!A384)</f>
        <v>384</v>
      </c>
      <c r="B425">
        <v>86327843</v>
      </c>
      <c r="C425">
        <v>86327825</v>
      </c>
      <c r="D425">
        <v>27407706</v>
      </c>
      <c r="E425">
        <v>1</v>
      </c>
      <c r="F425">
        <v>1</v>
      </c>
      <c r="G425">
        <v>1</v>
      </c>
      <c r="H425">
        <v>3</v>
      </c>
      <c r="I425" t="s">
        <v>735</v>
      </c>
      <c r="J425" t="s">
        <v>736</v>
      </c>
      <c r="K425" t="s">
        <v>737</v>
      </c>
      <c r="L425">
        <v>1339</v>
      </c>
      <c r="N425">
        <v>1007</v>
      </c>
      <c r="O425" t="s">
        <v>44</v>
      </c>
      <c r="P425" t="s">
        <v>44</v>
      </c>
      <c r="Q425">
        <v>1</v>
      </c>
      <c r="X425">
        <v>2.1000000000000001E-2</v>
      </c>
      <c r="Y425">
        <v>528.35</v>
      </c>
      <c r="Z425">
        <v>0</v>
      </c>
      <c r="AA425">
        <v>0</v>
      </c>
      <c r="AB425">
        <v>0</v>
      </c>
      <c r="AC425">
        <v>0</v>
      </c>
      <c r="AD425">
        <v>1</v>
      </c>
      <c r="AE425">
        <v>0</v>
      </c>
      <c r="AF425" t="s">
        <v>6</v>
      </c>
      <c r="AG425">
        <v>2.1000000000000001E-2</v>
      </c>
      <c r="AH425">
        <v>3</v>
      </c>
      <c r="AI425">
        <v>-1</v>
      </c>
      <c r="AJ425" t="s">
        <v>6</v>
      </c>
      <c r="AK425">
        <v>4</v>
      </c>
      <c r="AL425">
        <v>-11.095350000000002</v>
      </c>
      <c r="AM425">
        <v>0</v>
      </c>
      <c r="AN425">
        <v>0</v>
      </c>
      <c r="AO425">
        <v>0</v>
      </c>
      <c r="AP425">
        <v>0</v>
      </c>
      <c r="AQ425">
        <v>0</v>
      </c>
      <c r="AR425">
        <v>1</v>
      </c>
    </row>
    <row r="426" spans="1:44" x14ac:dyDescent="0.2">
      <c r="A426">
        <f>ROW(Source!A384)</f>
        <v>384</v>
      </c>
      <c r="B426">
        <v>86327844</v>
      </c>
      <c r="C426">
        <v>86327825</v>
      </c>
      <c r="D426">
        <v>27438980</v>
      </c>
      <c r="E426">
        <v>1</v>
      </c>
      <c r="F426">
        <v>1</v>
      </c>
      <c r="G426">
        <v>1</v>
      </c>
      <c r="H426">
        <v>3</v>
      </c>
      <c r="I426" t="s">
        <v>738</v>
      </c>
      <c r="J426" t="s">
        <v>739</v>
      </c>
      <c r="K426" t="s">
        <v>740</v>
      </c>
      <c r="L426">
        <v>1374</v>
      </c>
      <c r="N426">
        <v>1013</v>
      </c>
      <c r="O426" t="s">
        <v>741</v>
      </c>
      <c r="P426" t="s">
        <v>741</v>
      </c>
      <c r="Q426">
        <v>1</v>
      </c>
      <c r="X426">
        <v>2.9</v>
      </c>
      <c r="Y426">
        <v>1</v>
      </c>
      <c r="Z426">
        <v>0</v>
      </c>
      <c r="AA426">
        <v>0</v>
      </c>
      <c r="AB426">
        <v>0</v>
      </c>
      <c r="AC426">
        <v>0</v>
      </c>
      <c r="AD426">
        <v>1</v>
      </c>
      <c r="AE426">
        <v>0</v>
      </c>
      <c r="AF426" t="s">
        <v>6</v>
      </c>
      <c r="AG426">
        <v>2.9</v>
      </c>
      <c r="AH426">
        <v>3</v>
      </c>
      <c r="AI426">
        <v>-1</v>
      </c>
      <c r="AJ426" t="s">
        <v>6</v>
      </c>
      <c r="AK426">
        <v>4</v>
      </c>
      <c r="AL426">
        <v>-2.9</v>
      </c>
      <c r="AM426">
        <v>0</v>
      </c>
      <c r="AN426">
        <v>0</v>
      </c>
      <c r="AO426">
        <v>0</v>
      </c>
      <c r="AP426">
        <v>0</v>
      </c>
      <c r="AQ426">
        <v>0</v>
      </c>
      <c r="AR426">
        <v>1</v>
      </c>
    </row>
    <row r="427" spans="1:44" x14ac:dyDescent="0.2">
      <c r="A427">
        <f>ROW(Source!A385)</f>
        <v>385</v>
      </c>
      <c r="B427">
        <v>86327837</v>
      </c>
      <c r="C427">
        <v>86327825</v>
      </c>
      <c r="D427">
        <v>27683434</v>
      </c>
      <c r="E427">
        <v>1</v>
      </c>
      <c r="F427">
        <v>1</v>
      </c>
      <c r="G427">
        <v>1</v>
      </c>
      <c r="H427">
        <v>1</v>
      </c>
      <c r="I427" t="s">
        <v>664</v>
      </c>
      <c r="J427" t="s">
        <v>6</v>
      </c>
      <c r="K427" t="s">
        <v>665</v>
      </c>
      <c r="L427">
        <v>1369</v>
      </c>
      <c r="N427">
        <v>1013</v>
      </c>
      <c r="O427" t="s">
        <v>625</v>
      </c>
      <c r="P427" t="s">
        <v>625</v>
      </c>
      <c r="Q427">
        <v>1</v>
      </c>
      <c r="X427">
        <v>15.28</v>
      </c>
      <c r="Y427">
        <v>0</v>
      </c>
      <c r="Z427">
        <v>0</v>
      </c>
      <c r="AA427">
        <v>0</v>
      </c>
      <c r="AB427">
        <v>9.48</v>
      </c>
      <c r="AC427">
        <v>0</v>
      </c>
      <c r="AD427">
        <v>1</v>
      </c>
      <c r="AE427">
        <v>1</v>
      </c>
      <c r="AF427" t="s">
        <v>6</v>
      </c>
      <c r="AG427">
        <v>15.28</v>
      </c>
      <c r="AH427">
        <v>2</v>
      </c>
      <c r="AI427">
        <v>86327826</v>
      </c>
      <c r="AJ427">
        <v>510</v>
      </c>
      <c r="AK427">
        <v>0</v>
      </c>
      <c r="AL427">
        <v>0</v>
      </c>
      <c r="AM427">
        <v>0</v>
      </c>
      <c r="AN427">
        <v>0</v>
      </c>
      <c r="AO427">
        <v>0</v>
      </c>
      <c r="AP427">
        <v>0</v>
      </c>
      <c r="AQ427">
        <v>0</v>
      </c>
      <c r="AR427">
        <v>0</v>
      </c>
    </row>
    <row r="428" spans="1:44" x14ac:dyDescent="0.2">
      <c r="A428">
        <f>ROW(Source!A385)</f>
        <v>385</v>
      </c>
      <c r="B428">
        <v>86327838</v>
      </c>
      <c r="C428">
        <v>86327825</v>
      </c>
      <c r="D428">
        <v>121548</v>
      </c>
      <c r="E428">
        <v>1</v>
      </c>
      <c r="F428">
        <v>1</v>
      </c>
      <c r="G428">
        <v>1</v>
      </c>
      <c r="H428">
        <v>1</v>
      </c>
      <c r="I428" t="s">
        <v>40</v>
      </c>
      <c r="J428" t="s">
        <v>6</v>
      </c>
      <c r="K428" t="s">
        <v>626</v>
      </c>
      <c r="L428">
        <v>608254</v>
      </c>
      <c r="N428">
        <v>1013</v>
      </c>
      <c r="O428" t="s">
        <v>627</v>
      </c>
      <c r="P428" t="s">
        <v>627</v>
      </c>
      <c r="Q428">
        <v>1</v>
      </c>
      <c r="X428">
        <v>0.09</v>
      </c>
      <c r="Y428">
        <v>0</v>
      </c>
      <c r="Z428">
        <v>0</v>
      </c>
      <c r="AA428">
        <v>0</v>
      </c>
      <c r="AB428">
        <v>0</v>
      </c>
      <c r="AC428">
        <v>0</v>
      </c>
      <c r="AD428">
        <v>1</v>
      </c>
      <c r="AE428">
        <v>2</v>
      </c>
      <c r="AF428" t="s">
        <v>6</v>
      </c>
      <c r="AG428">
        <v>0.09</v>
      </c>
      <c r="AH428">
        <v>2</v>
      </c>
      <c r="AI428">
        <v>86327827</v>
      </c>
      <c r="AJ428">
        <v>511</v>
      </c>
      <c r="AK428">
        <v>0</v>
      </c>
      <c r="AL428">
        <v>0</v>
      </c>
      <c r="AM428">
        <v>0</v>
      </c>
      <c r="AN428">
        <v>0</v>
      </c>
      <c r="AO428">
        <v>0</v>
      </c>
      <c r="AP428">
        <v>0</v>
      </c>
      <c r="AQ428">
        <v>0</v>
      </c>
      <c r="AR428">
        <v>0</v>
      </c>
    </row>
    <row r="429" spans="1:44" x14ac:dyDescent="0.2">
      <c r="A429">
        <f>ROW(Source!A385)</f>
        <v>385</v>
      </c>
      <c r="B429">
        <v>86327839</v>
      </c>
      <c r="C429">
        <v>86327825</v>
      </c>
      <c r="D429">
        <v>27439488</v>
      </c>
      <c r="E429">
        <v>1</v>
      </c>
      <c r="F429">
        <v>1</v>
      </c>
      <c r="G429">
        <v>1</v>
      </c>
      <c r="H429">
        <v>2</v>
      </c>
      <c r="I429" t="s">
        <v>666</v>
      </c>
      <c r="J429" t="s">
        <v>667</v>
      </c>
      <c r="K429" t="s">
        <v>668</v>
      </c>
      <c r="L429">
        <v>1368</v>
      </c>
      <c r="N429">
        <v>1011</v>
      </c>
      <c r="O429" t="s">
        <v>137</v>
      </c>
      <c r="P429" t="s">
        <v>137</v>
      </c>
      <c r="Q429">
        <v>1</v>
      </c>
      <c r="X429">
        <v>0.09</v>
      </c>
      <c r="Y429">
        <v>0</v>
      </c>
      <c r="Z429">
        <v>113.81</v>
      </c>
      <c r="AA429">
        <v>13.61</v>
      </c>
      <c r="AB429">
        <v>0</v>
      </c>
      <c r="AC429">
        <v>0</v>
      </c>
      <c r="AD429">
        <v>1</v>
      </c>
      <c r="AE429">
        <v>0</v>
      </c>
      <c r="AF429" t="s">
        <v>6</v>
      </c>
      <c r="AG429">
        <v>0.09</v>
      </c>
      <c r="AH429">
        <v>2</v>
      </c>
      <c r="AI429">
        <v>86327828</v>
      </c>
      <c r="AJ429">
        <v>512</v>
      </c>
      <c r="AK429">
        <v>0</v>
      </c>
      <c r="AL429">
        <v>0</v>
      </c>
      <c r="AM429">
        <v>0</v>
      </c>
      <c r="AN429">
        <v>0</v>
      </c>
      <c r="AO429">
        <v>0</v>
      </c>
      <c r="AP429">
        <v>0</v>
      </c>
      <c r="AQ429">
        <v>0</v>
      </c>
      <c r="AR429">
        <v>0</v>
      </c>
    </row>
    <row r="430" spans="1:44" x14ac:dyDescent="0.2">
      <c r="A430">
        <f>ROW(Source!A385)</f>
        <v>385</v>
      </c>
      <c r="B430">
        <v>86327840</v>
      </c>
      <c r="C430">
        <v>86327825</v>
      </c>
      <c r="D430">
        <v>27441078</v>
      </c>
      <c r="E430">
        <v>1</v>
      </c>
      <c r="F430">
        <v>1</v>
      </c>
      <c r="G430">
        <v>1</v>
      </c>
      <c r="H430">
        <v>2</v>
      </c>
      <c r="I430" t="s">
        <v>669</v>
      </c>
      <c r="J430" t="s">
        <v>670</v>
      </c>
      <c r="K430" t="s">
        <v>671</v>
      </c>
      <c r="L430">
        <v>1368</v>
      </c>
      <c r="N430">
        <v>1011</v>
      </c>
      <c r="O430" t="s">
        <v>137</v>
      </c>
      <c r="P430" t="s">
        <v>137</v>
      </c>
      <c r="Q430">
        <v>1</v>
      </c>
      <c r="X430">
        <v>2.35</v>
      </c>
      <c r="Y430">
        <v>0</v>
      </c>
      <c r="Z430">
        <v>2.0699999999999998</v>
      </c>
      <c r="AA430">
        <v>0</v>
      </c>
      <c r="AB430">
        <v>0</v>
      </c>
      <c r="AC430">
        <v>0</v>
      </c>
      <c r="AD430">
        <v>1</v>
      </c>
      <c r="AE430">
        <v>0</v>
      </c>
      <c r="AF430" t="s">
        <v>6</v>
      </c>
      <c r="AG430">
        <v>2.35</v>
      </c>
      <c r="AH430">
        <v>2</v>
      </c>
      <c r="AI430">
        <v>86327829</v>
      </c>
      <c r="AJ430">
        <v>513</v>
      </c>
      <c r="AK430">
        <v>0</v>
      </c>
      <c r="AL430">
        <v>0</v>
      </c>
      <c r="AM430">
        <v>0</v>
      </c>
      <c r="AN430">
        <v>0</v>
      </c>
      <c r="AO430">
        <v>0</v>
      </c>
      <c r="AP430">
        <v>0</v>
      </c>
      <c r="AQ430">
        <v>0</v>
      </c>
      <c r="AR430">
        <v>0</v>
      </c>
    </row>
    <row r="431" spans="1:44" x14ac:dyDescent="0.2">
      <c r="A431">
        <f>ROW(Source!A385)</f>
        <v>385</v>
      </c>
      <c r="B431">
        <v>86327841</v>
      </c>
      <c r="C431">
        <v>86327825</v>
      </c>
      <c r="D431">
        <v>27441327</v>
      </c>
      <c r="E431">
        <v>1</v>
      </c>
      <c r="F431">
        <v>1</v>
      </c>
      <c r="G431">
        <v>1</v>
      </c>
      <c r="H431">
        <v>2</v>
      </c>
      <c r="I431" t="s">
        <v>637</v>
      </c>
      <c r="J431" t="s">
        <v>638</v>
      </c>
      <c r="K431" t="s">
        <v>639</v>
      </c>
      <c r="L431">
        <v>1368</v>
      </c>
      <c r="N431">
        <v>1011</v>
      </c>
      <c r="O431" t="s">
        <v>137</v>
      </c>
      <c r="P431" t="s">
        <v>137</v>
      </c>
      <c r="Q431">
        <v>1</v>
      </c>
      <c r="X431">
        <v>0.09</v>
      </c>
      <c r="Y431">
        <v>0</v>
      </c>
      <c r="Z431">
        <v>93.37</v>
      </c>
      <c r="AA431">
        <v>11.69</v>
      </c>
      <c r="AB431">
        <v>0</v>
      </c>
      <c r="AC431">
        <v>0</v>
      </c>
      <c r="AD431">
        <v>1</v>
      </c>
      <c r="AE431">
        <v>0</v>
      </c>
      <c r="AF431" t="s">
        <v>6</v>
      </c>
      <c r="AG431">
        <v>0.09</v>
      </c>
      <c r="AH431">
        <v>2</v>
      </c>
      <c r="AI431">
        <v>86327830</v>
      </c>
      <c r="AJ431">
        <v>514</v>
      </c>
      <c r="AK431">
        <v>0</v>
      </c>
      <c r="AL431">
        <v>0</v>
      </c>
      <c r="AM431">
        <v>0</v>
      </c>
      <c r="AN431">
        <v>0</v>
      </c>
      <c r="AO431">
        <v>0</v>
      </c>
      <c r="AP431">
        <v>0</v>
      </c>
      <c r="AQ431">
        <v>0</v>
      </c>
      <c r="AR431">
        <v>0</v>
      </c>
    </row>
    <row r="432" spans="1:44" x14ac:dyDescent="0.2">
      <c r="A432">
        <f>ROW(Source!A385)</f>
        <v>385</v>
      </c>
      <c r="B432">
        <v>86327842</v>
      </c>
      <c r="C432">
        <v>86327825</v>
      </c>
      <c r="D432">
        <v>27386613</v>
      </c>
      <c r="E432">
        <v>1</v>
      </c>
      <c r="F432">
        <v>1</v>
      </c>
      <c r="G432">
        <v>1</v>
      </c>
      <c r="H432">
        <v>3</v>
      </c>
      <c r="I432" t="s">
        <v>732</v>
      </c>
      <c r="J432" t="s">
        <v>733</v>
      </c>
      <c r="K432" t="s">
        <v>734</v>
      </c>
      <c r="L432">
        <v>1346</v>
      </c>
      <c r="N432">
        <v>1009</v>
      </c>
      <c r="O432" t="s">
        <v>305</v>
      </c>
      <c r="P432" t="s">
        <v>305</v>
      </c>
      <c r="Q432">
        <v>1</v>
      </c>
      <c r="X432">
        <v>0.2</v>
      </c>
      <c r="Y432">
        <v>25.8</v>
      </c>
      <c r="Z432">
        <v>0</v>
      </c>
      <c r="AA432">
        <v>0</v>
      </c>
      <c r="AB432">
        <v>0</v>
      </c>
      <c r="AC432">
        <v>0</v>
      </c>
      <c r="AD432">
        <v>1</v>
      </c>
      <c r="AE432">
        <v>0</v>
      </c>
      <c r="AF432" t="s">
        <v>6</v>
      </c>
      <c r="AG432">
        <v>0.2</v>
      </c>
      <c r="AH432">
        <v>3</v>
      </c>
      <c r="AI432">
        <v>-1</v>
      </c>
      <c r="AJ432" t="s">
        <v>6</v>
      </c>
      <c r="AK432">
        <v>4</v>
      </c>
      <c r="AL432">
        <v>-5.16</v>
      </c>
      <c r="AM432">
        <v>0</v>
      </c>
      <c r="AN432">
        <v>0</v>
      </c>
      <c r="AO432">
        <v>0</v>
      </c>
      <c r="AP432">
        <v>0</v>
      </c>
      <c r="AQ432">
        <v>0</v>
      </c>
      <c r="AR432">
        <v>1</v>
      </c>
    </row>
    <row r="433" spans="1:44" x14ac:dyDescent="0.2">
      <c r="A433">
        <f>ROW(Source!A385)</f>
        <v>385</v>
      </c>
      <c r="B433">
        <v>86327843</v>
      </c>
      <c r="C433">
        <v>86327825</v>
      </c>
      <c r="D433">
        <v>27407706</v>
      </c>
      <c r="E433">
        <v>1</v>
      </c>
      <c r="F433">
        <v>1</v>
      </c>
      <c r="G433">
        <v>1</v>
      </c>
      <c r="H433">
        <v>3</v>
      </c>
      <c r="I433" t="s">
        <v>735</v>
      </c>
      <c r="J433" t="s">
        <v>736</v>
      </c>
      <c r="K433" t="s">
        <v>737</v>
      </c>
      <c r="L433">
        <v>1339</v>
      </c>
      <c r="N433">
        <v>1007</v>
      </c>
      <c r="O433" t="s">
        <v>44</v>
      </c>
      <c r="P433" t="s">
        <v>44</v>
      </c>
      <c r="Q433">
        <v>1</v>
      </c>
      <c r="X433">
        <v>2.1000000000000001E-2</v>
      </c>
      <c r="Y433">
        <v>528.35</v>
      </c>
      <c r="Z433">
        <v>0</v>
      </c>
      <c r="AA433">
        <v>0</v>
      </c>
      <c r="AB433">
        <v>0</v>
      </c>
      <c r="AC433">
        <v>0</v>
      </c>
      <c r="AD433">
        <v>1</v>
      </c>
      <c r="AE433">
        <v>0</v>
      </c>
      <c r="AF433" t="s">
        <v>6</v>
      </c>
      <c r="AG433">
        <v>2.1000000000000001E-2</v>
      </c>
      <c r="AH433">
        <v>3</v>
      </c>
      <c r="AI433">
        <v>-1</v>
      </c>
      <c r="AJ433" t="s">
        <v>6</v>
      </c>
      <c r="AK433">
        <v>4</v>
      </c>
      <c r="AL433">
        <v>-11.095350000000002</v>
      </c>
      <c r="AM433">
        <v>0</v>
      </c>
      <c r="AN433">
        <v>0</v>
      </c>
      <c r="AO433">
        <v>0</v>
      </c>
      <c r="AP433">
        <v>0</v>
      </c>
      <c r="AQ433">
        <v>0</v>
      </c>
      <c r="AR433">
        <v>1</v>
      </c>
    </row>
    <row r="434" spans="1:44" x14ac:dyDescent="0.2">
      <c r="A434">
        <f>ROW(Source!A385)</f>
        <v>385</v>
      </c>
      <c r="B434">
        <v>86327844</v>
      </c>
      <c r="C434">
        <v>86327825</v>
      </c>
      <c r="D434">
        <v>27438980</v>
      </c>
      <c r="E434">
        <v>1</v>
      </c>
      <c r="F434">
        <v>1</v>
      </c>
      <c r="G434">
        <v>1</v>
      </c>
      <c r="H434">
        <v>3</v>
      </c>
      <c r="I434" t="s">
        <v>738</v>
      </c>
      <c r="J434" t="s">
        <v>739</v>
      </c>
      <c r="K434" t="s">
        <v>740</v>
      </c>
      <c r="L434">
        <v>1374</v>
      </c>
      <c r="N434">
        <v>1013</v>
      </c>
      <c r="O434" t="s">
        <v>741</v>
      </c>
      <c r="P434" t="s">
        <v>741</v>
      </c>
      <c r="Q434">
        <v>1</v>
      </c>
      <c r="X434">
        <v>2.9</v>
      </c>
      <c r="Y434">
        <v>1</v>
      </c>
      <c r="Z434">
        <v>0</v>
      </c>
      <c r="AA434">
        <v>0</v>
      </c>
      <c r="AB434">
        <v>0</v>
      </c>
      <c r="AC434">
        <v>0</v>
      </c>
      <c r="AD434">
        <v>1</v>
      </c>
      <c r="AE434">
        <v>0</v>
      </c>
      <c r="AF434" t="s">
        <v>6</v>
      </c>
      <c r="AG434">
        <v>2.9</v>
      </c>
      <c r="AH434">
        <v>3</v>
      </c>
      <c r="AI434">
        <v>-1</v>
      </c>
      <c r="AJ434" t="s">
        <v>6</v>
      </c>
      <c r="AK434">
        <v>4</v>
      </c>
      <c r="AL434">
        <v>-2.9</v>
      </c>
      <c r="AM434">
        <v>0</v>
      </c>
      <c r="AN434">
        <v>0</v>
      </c>
      <c r="AO434">
        <v>0</v>
      </c>
      <c r="AP434">
        <v>0</v>
      </c>
      <c r="AQ434">
        <v>0</v>
      </c>
      <c r="AR434">
        <v>1</v>
      </c>
    </row>
    <row r="435" spans="1:44" x14ac:dyDescent="0.2">
      <c r="A435">
        <f>ROW(Source!A398)</f>
        <v>398</v>
      </c>
      <c r="B435">
        <v>86327857</v>
      </c>
      <c r="C435">
        <v>86327851</v>
      </c>
      <c r="D435">
        <v>27493458</v>
      </c>
      <c r="E435">
        <v>1</v>
      </c>
      <c r="F435">
        <v>1</v>
      </c>
      <c r="G435">
        <v>1</v>
      </c>
      <c r="H435">
        <v>1</v>
      </c>
      <c r="I435" t="s">
        <v>685</v>
      </c>
      <c r="J435" t="s">
        <v>6</v>
      </c>
      <c r="K435" t="s">
        <v>686</v>
      </c>
      <c r="L435">
        <v>1369</v>
      </c>
      <c r="N435">
        <v>1013</v>
      </c>
      <c r="O435" t="s">
        <v>625</v>
      </c>
      <c r="P435" t="s">
        <v>625</v>
      </c>
      <c r="Q435">
        <v>1</v>
      </c>
      <c r="X435">
        <v>8.6999999999999993</v>
      </c>
      <c r="Y435">
        <v>0</v>
      </c>
      <c r="Z435">
        <v>0</v>
      </c>
      <c r="AA435">
        <v>0</v>
      </c>
      <c r="AB435">
        <v>8.6</v>
      </c>
      <c r="AC435">
        <v>0</v>
      </c>
      <c r="AD435">
        <v>1</v>
      </c>
      <c r="AE435">
        <v>1</v>
      </c>
      <c r="AF435" t="s">
        <v>6</v>
      </c>
      <c r="AG435">
        <v>8.6999999999999993</v>
      </c>
      <c r="AH435">
        <v>2</v>
      </c>
      <c r="AI435">
        <v>86327852</v>
      </c>
      <c r="AJ435">
        <v>521</v>
      </c>
      <c r="AK435">
        <v>0</v>
      </c>
      <c r="AL435">
        <v>0</v>
      </c>
      <c r="AM435">
        <v>0</v>
      </c>
      <c r="AN435">
        <v>0</v>
      </c>
      <c r="AO435">
        <v>0</v>
      </c>
      <c r="AP435">
        <v>0</v>
      </c>
      <c r="AQ435">
        <v>0</v>
      </c>
      <c r="AR435">
        <v>0</v>
      </c>
    </row>
    <row r="436" spans="1:44" x14ac:dyDescent="0.2">
      <c r="A436">
        <f>ROW(Source!A398)</f>
        <v>398</v>
      </c>
      <c r="B436">
        <v>86327858</v>
      </c>
      <c r="C436">
        <v>86327851</v>
      </c>
      <c r="D436">
        <v>27439746</v>
      </c>
      <c r="E436">
        <v>1</v>
      </c>
      <c r="F436">
        <v>1</v>
      </c>
      <c r="G436">
        <v>1</v>
      </c>
      <c r="H436">
        <v>2</v>
      </c>
      <c r="I436" t="s">
        <v>687</v>
      </c>
      <c r="J436" t="s">
        <v>688</v>
      </c>
      <c r="K436" t="s">
        <v>689</v>
      </c>
      <c r="L436">
        <v>1368</v>
      </c>
      <c r="N436">
        <v>1011</v>
      </c>
      <c r="O436" t="s">
        <v>137</v>
      </c>
      <c r="P436" t="s">
        <v>137</v>
      </c>
      <c r="Q436">
        <v>1</v>
      </c>
      <c r="X436">
        <v>0.31</v>
      </c>
      <c r="Y436">
        <v>0</v>
      </c>
      <c r="Z436">
        <v>32.5</v>
      </c>
      <c r="AA436">
        <v>0</v>
      </c>
      <c r="AB436">
        <v>0</v>
      </c>
      <c r="AC436">
        <v>0</v>
      </c>
      <c r="AD436">
        <v>1</v>
      </c>
      <c r="AE436">
        <v>0</v>
      </c>
      <c r="AF436" t="s">
        <v>6</v>
      </c>
      <c r="AG436">
        <v>0.31</v>
      </c>
      <c r="AH436">
        <v>2</v>
      </c>
      <c r="AI436">
        <v>86327853</v>
      </c>
      <c r="AJ436">
        <v>522</v>
      </c>
      <c r="AK436">
        <v>0</v>
      </c>
      <c r="AL436">
        <v>0</v>
      </c>
      <c r="AM436">
        <v>0</v>
      </c>
      <c r="AN436">
        <v>0</v>
      </c>
      <c r="AO436">
        <v>0</v>
      </c>
      <c r="AP436">
        <v>0</v>
      </c>
      <c r="AQ436">
        <v>0</v>
      </c>
      <c r="AR436">
        <v>0</v>
      </c>
    </row>
    <row r="437" spans="1:44" x14ac:dyDescent="0.2">
      <c r="A437">
        <f>ROW(Source!A398)</f>
        <v>398</v>
      </c>
      <c r="B437">
        <v>86327859</v>
      </c>
      <c r="C437">
        <v>86327851</v>
      </c>
      <c r="D437">
        <v>27441078</v>
      </c>
      <c r="E437">
        <v>1</v>
      </c>
      <c r="F437">
        <v>1</v>
      </c>
      <c r="G437">
        <v>1</v>
      </c>
      <c r="H437">
        <v>2</v>
      </c>
      <c r="I437" t="s">
        <v>669</v>
      </c>
      <c r="J437" t="s">
        <v>670</v>
      </c>
      <c r="K437" t="s">
        <v>671</v>
      </c>
      <c r="L437">
        <v>1368</v>
      </c>
      <c r="N437">
        <v>1011</v>
      </c>
      <c r="O437" t="s">
        <v>137</v>
      </c>
      <c r="P437" t="s">
        <v>137</v>
      </c>
      <c r="Q437">
        <v>1</v>
      </c>
      <c r="X437">
        <v>3.96</v>
      </c>
      <c r="Y437">
        <v>0</v>
      </c>
      <c r="Z437">
        <v>2.0699999999999998</v>
      </c>
      <c r="AA437">
        <v>0</v>
      </c>
      <c r="AB437">
        <v>0</v>
      </c>
      <c r="AC437">
        <v>0</v>
      </c>
      <c r="AD437">
        <v>1</v>
      </c>
      <c r="AE437">
        <v>0</v>
      </c>
      <c r="AF437" t="s">
        <v>6</v>
      </c>
      <c r="AG437">
        <v>3.96</v>
      </c>
      <c r="AH437">
        <v>2</v>
      </c>
      <c r="AI437">
        <v>86327854</v>
      </c>
      <c r="AJ437">
        <v>523</v>
      </c>
      <c r="AK437">
        <v>0</v>
      </c>
      <c r="AL437">
        <v>0</v>
      </c>
      <c r="AM437">
        <v>0</v>
      </c>
      <c r="AN437">
        <v>0</v>
      </c>
      <c r="AO437">
        <v>0</v>
      </c>
      <c r="AP437">
        <v>0</v>
      </c>
      <c r="AQ437">
        <v>0</v>
      </c>
      <c r="AR437">
        <v>0</v>
      </c>
    </row>
    <row r="438" spans="1:44" x14ac:dyDescent="0.2">
      <c r="A438">
        <f>ROW(Source!A398)</f>
        <v>398</v>
      </c>
      <c r="B438">
        <v>86327860</v>
      </c>
      <c r="C438">
        <v>86327851</v>
      </c>
      <c r="D438">
        <v>27372302</v>
      </c>
      <c r="E438">
        <v>1</v>
      </c>
      <c r="F438">
        <v>1</v>
      </c>
      <c r="G438">
        <v>1</v>
      </c>
      <c r="H438">
        <v>3</v>
      </c>
      <c r="I438" t="s">
        <v>745</v>
      </c>
      <c r="J438" t="s">
        <v>746</v>
      </c>
      <c r="K438" t="s">
        <v>747</v>
      </c>
      <c r="L438">
        <v>1346</v>
      </c>
      <c r="N438">
        <v>1009</v>
      </c>
      <c r="O438" t="s">
        <v>305</v>
      </c>
      <c r="P438" t="s">
        <v>305</v>
      </c>
      <c r="Q438">
        <v>1</v>
      </c>
      <c r="X438">
        <v>0</v>
      </c>
      <c r="Y438">
        <v>0</v>
      </c>
      <c r="Z438">
        <v>0</v>
      </c>
      <c r="AA438">
        <v>0</v>
      </c>
      <c r="AB438">
        <v>0</v>
      </c>
      <c r="AC438">
        <v>1</v>
      </c>
      <c r="AD438">
        <v>0</v>
      </c>
      <c r="AE438">
        <v>0</v>
      </c>
      <c r="AF438" t="s">
        <v>6</v>
      </c>
      <c r="AG438">
        <v>0</v>
      </c>
      <c r="AH438">
        <v>3</v>
      </c>
      <c r="AI438">
        <v>-1</v>
      </c>
      <c r="AJ438" t="s">
        <v>6</v>
      </c>
      <c r="AK438">
        <v>0</v>
      </c>
      <c r="AL438">
        <v>0</v>
      </c>
      <c r="AM438">
        <v>0</v>
      </c>
      <c r="AN438">
        <v>0</v>
      </c>
      <c r="AO438">
        <v>0</v>
      </c>
      <c r="AP438">
        <v>0</v>
      </c>
      <c r="AQ438">
        <v>0</v>
      </c>
      <c r="AR438">
        <v>0</v>
      </c>
    </row>
    <row r="439" spans="1:44" x14ac:dyDescent="0.2">
      <c r="A439">
        <f>ROW(Source!A398)</f>
        <v>398</v>
      </c>
      <c r="B439">
        <v>86327861</v>
      </c>
      <c r="C439">
        <v>86327851</v>
      </c>
      <c r="D439">
        <v>27378431</v>
      </c>
      <c r="E439">
        <v>1</v>
      </c>
      <c r="F439">
        <v>1</v>
      </c>
      <c r="G439">
        <v>1</v>
      </c>
      <c r="H439">
        <v>3</v>
      </c>
      <c r="I439" t="s">
        <v>748</v>
      </c>
      <c r="J439" t="s">
        <v>749</v>
      </c>
      <c r="K439" t="s">
        <v>750</v>
      </c>
      <c r="L439">
        <v>1348</v>
      </c>
      <c r="N439">
        <v>1009</v>
      </c>
      <c r="O439" t="s">
        <v>33</v>
      </c>
      <c r="P439" t="s">
        <v>33</v>
      </c>
      <c r="Q439">
        <v>1000</v>
      </c>
      <c r="X439">
        <v>0</v>
      </c>
      <c r="Y439">
        <v>0</v>
      </c>
      <c r="Z439">
        <v>0</v>
      </c>
      <c r="AA439">
        <v>0</v>
      </c>
      <c r="AB439">
        <v>0</v>
      </c>
      <c r="AC439">
        <v>1</v>
      </c>
      <c r="AD439">
        <v>0</v>
      </c>
      <c r="AE439">
        <v>0</v>
      </c>
      <c r="AF439" t="s">
        <v>6</v>
      </c>
      <c r="AG439">
        <v>0</v>
      </c>
      <c r="AH439">
        <v>3</v>
      </c>
      <c r="AI439">
        <v>-1</v>
      </c>
      <c r="AJ439" t="s">
        <v>6</v>
      </c>
      <c r="AK439">
        <v>0</v>
      </c>
      <c r="AL439">
        <v>0</v>
      </c>
      <c r="AM439">
        <v>0</v>
      </c>
      <c r="AN439">
        <v>0</v>
      </c>
      <c r="AO439">
        <v>0</v>
      </c>
      <c r="AP439">
        <v>0</v>
      </c>
      <c r="AQ439">
        <v>0</v>
      </c>
      <c r="AR439">
        <v>0</v>
      </c>
    </row>
    <row r="440" spans="1:44" x14ac:dyDescent="0.2">
      <c r="A440">
        <f>ROW(Source!A399)</f>
        <v>399</v>
      </c>
      <c r="B440">
        <v>86327857</v>
      </c>
      <c r="C440">
        <v>86327851</v>
      </c>
      <c r="D440">
        <v>27493458</v>
      </c>
      <c r="E440">
        <v>1</v>
      </c>
      <c r="F440">
        <v>1</v>
      </c>
      <c r="G440">
        <v>1</v>
      </c>
      <c r="H440">
        <v>1</v>
      </c>
      <c r="I440" t="s">
        <v>685</v>
      </c>
      <c r="J440" t="s">
        <v>6</v>
      </c>
      <c r="K440" t="s">
        <v>686</v>
      </c>
      <c r="L440">
        <v>1369</v>
      </c>
      <c r="N440">
        <v>1013</v>
      </c>
      <c r="O440" t="s">
        <v>625</v>
      </c>
      <c r="P440" t="s">
        <v>625</v>
      </c>
      <c r="Q440">
        <v>1</v>
      </c>
      <c r="X440">
        <v>8.6999999999999993</v>
      </c>
      <c r="Y440">
        <v>0</v>
      </c>
      <c r="Z440">
        <v>0</v>
      </c>
      <c r="AA440">
        <v>0</v>
      </c>
      <c r="AB440">
        <v>8.6</v>
      </c>
      <c r="AC440">
        <v>0</v>
      </c>
      <c r="AD440">
        <v>1</v>
      </c>
      <c r="AE440">
        <v>1</v>
      </c>
      <c r="AF440" t="s">
        <v>6</v>
      </c>
      <c r="AG440">
        <v>8.6999999999999993</v>
      </c>
      <c r="AH440">
        <v>2</v>
      </c>
      <c r="AI440">
        <v>86327852</v>
      </c>
      <c r="AJ440">
        <v>526</v>
      </c>
      <c r="AK440">
        <v>0</v>
      </c>
      <c r="AL440">
        <v>0</v>
      </c>
      <c r="AM440">
        <v>0</v>
      </c>
      <c r="AN440">
        <v>0</v>
      </c>
      <c r="AO440">
        <v>0</v>
      </c>
      <c r="AP440">
        <v>0</v>
      </c>
      <c r="AQ440">
        <v>0</v>
      </c>
      <c r="AR440">
        <v>0</v>
      </c>
    </row>
    <row r="441" spans="1:44" x14ac:dyDescent="0.2">
      <c r="A441">
        <f>ROW(Source!A399)</f>
        <v>399</v>
      </c>
      <c r="B441">
        <v>86327858</v>
      </c>
      <c r="C441">
        <v>86327851</v>
      </c>
      <c r="D441">
        <v>27439746</v>
      </c>
      <c r="E441">
        <v>1</v>
      </c>
      <c r="F441">
        <v>1</v>
      </c>
      <c r="G441">
        <v>1</v>
      </c>
      <c r="H441">
        <v>2</v>
      </c>
      <c r="I441" t="s">
        <v>687</v>
      </c>
      <c r="J441" t="s">
        <v>688</v>
      </c>
      <c r="K441" t="s">
        <v>689</v>
      </c>
      <c r="L441">
        <v>1368</v>
      </c>
      <c r="N441">
        <v>1011</v>
      </c>
      <c r="O441" t="s">
        <v>137</v>
      </c>
      <c r="P441" t="s">
        <v>137</v>
      </c>
      <c r="Q441">
        <v>1</v>
      </c>
      <c r="X441">
        <v>0.31</v>
      </c>
      <c r="Y441">
        <v>0</v>
      </c>
      <c r="Z441">
        <v>32.5</v>
      </c>
      <c r="AA441">
        <v>0</v>
      </c>
      <c r="AB441">
        <v>0</v>
      </c>
      <c r="AC441">
        <v>0</v>
      </c>
      <c r="AD441">
        <v>1</v>
      </c>
      <c r="AE441">
        <v>0</v>
      </c>
      <c r="AF441" t="s">
        <v>6</v>
      </c>
      <c r="AG441">
        <v>0.31</v>
      </c>
      <c r="AH441">
        <v>2</v>
      </c>
      <c r="AI441">
        <v>86327853</v>
      </c>
      <c r="AJ441">
        <v>527</v>
      </c>
      <c r="AK441">
        <v>0</v>
      </c>
      <c r="AL441">
        <v>0</v>
      </c>
      <c r="AM441">
        <v>0</v>
      </c>
      <c r="AN441">
        <v>0</v>
      </c>
      <c r="AO441">
        <v>0</v>
      </c>
      <c r="AP441">
        <v>0</v>
      </c>
      <c r="AQ441">
        <v>0</v>
      </c>
      <c r="AR441">
        <v>0</v>
      </c>
    </row>
    <row r="442" spans="1:44" x14ac:dyDescent="0.2">
      <c r="A442">
        <f>ROW(Source!A399)</f>
        <v>399</v>
      </c>
      <c r="B442">
        <v>86327859</v>
      </c>
      <c r="C442">
        <v>86327851</v>
      </c>
      <c r="D442">
        <v>27441078</v>
      </c>
      <c r="E442">
        <v>1</v>
      </c>
      <c r="F442">
        <v>1</v>
      </c>
      <c r="G442">
        <v>1</v>
      </c>
      <c r="H442">
        <v>2</v>
      </c>
      <c r="I442" t="s">
        <v>669</v>
      </c>
      <c r="J442" t="s">
        <v>670</v>
      </c>
      <c r="K442" t="s">
        <v>671</v>
      </c>
      <c r="L442">
        <v>1368</v>
      </c>
      <c r="N442">
        <v>1011</v>
      </c>
      <c r="O442" t="s">
        <v>137</v>
      </c>
      <c r="P442" t="s">
        <v>137</v>
      </c>
      <c r="Q442">
        <v>1</v>
      </c>
      <c r="X442">
        <v>3.96</v>
      </c>
      <c r="Y442">
        <v>0</v>
      </c>
      <c r="Z442">
        <v>2.0699999999999998</v>
      </c>
      <c r="AA442">
        <v>0</v>
      </c>
      <c r="AB442">
        <v>0</v>
      </c>
      <c r="AC442">
        <v>0</v>
      </c>
      <c r="AD442">
        <v>1</v>
      </c>
      <c r="AE442">
        <v>0</v>
      </c>
      <c r="AF442" t="s">
        <v>6</v>
      </c>
      <c r="AG442">
        <v>3.96</v>
      </c>
      <c r="AH442">
        <v>2</v>
      </c>
      <c r="AI442">
        <v>86327854</v>
      </c>
      <c r="AJ442">
        <v>528</v>
      </c>
      <c r="AK442">
        <v>0</v>
      </c>
      <c r="AL442">
        <v>0</v>
      </c>
      <c r="AM442">
        <v>0</v>
      </c>
      <c r="AN442">
        <v>0</v>
      </c>
      <c r="AO442">
        <v>0</v>
      </c>
      <c r="AP442">
        <v>0</v>
      </c>
      <c r="AQ442">
        <v>0</v>
      </c>
      <c r="AR442">
        <v>0</v>
      </c>
    </row>
    <row r="443" spans="1:44" x14ac:dyDescent="0.2">
      <c r="A443">
        <f>ROW(Source!A399)</f>
        <v>399</v>
      </c>
      <c r="B443">
        <v>86327860</v>
      </c>
      <c r="C443">
        <v>86327851</v>
      </c>
      <c r="D443">
        <v>27372302</v>
      </c>
      <c r="E443">
        <v>1</v>
      </c>
      <c r="F443">
        <v>1</v>
      </c>
      <c r="G443">
        <v>1</v>
      </c>
      <c r="H443">
        <v>3</v>
      </c>
      <c r="I443" t="s">
        <v>745</v>
      </c>
      <c r="J443" t="s">
        <v>746</v>
      </c>
      <c r="K443" t="s">
        <v>747</v>
      </c>
      <c r="L443">
        <v>1346</v>
      </c>
      <c r="N443">
        <v>1009</v>
      </c>
      <c r="O443" t="s">
        <v>305</v>
      </c>
      <c r="P443" t="s">
        <v>305</v>
      </c>
      <c r="Q443">
        <v>1</v>
      </c>
      <c r="X443">
        <v>0</v>
      </c>
      <c r="Y443">
        <v>0</v>
      </c>
      <c r="Z443">
        <v>0</v>
      </c>
      <c r="AA443">
        <v>0</v>
      </c>
      <c r="AB443">
        <v>0</v>
      </c>
      <c r="AC443">
        <v>1</v>
      </c>
      <c r="AD443">
        <v>0</v>
      </c>
      <c r="AE443">
        <v>0</v>
      </c>
      <c r="AF443" t="s">
        <v>6</v>
      </c>
      <c r="AG443">
        <v>0</v>
      </c>
      <c r="AH443">
        <v>3</v>
      </c>
      <c r="AI443">
        <v>-1</v>
      </c>
      <c r="AJ443" t="s">
        <v>6</v>
      </c>
      <c r="AK443">
        <v>0</v>
      </c>
      <c r="AL443">
        <v>0</v>
      </c>
      <c r="AM443">
        <v>0</v>
      </c>
      <c r="AN443">
        <v>0</v>
      </c>
      <c r="AO443">
        <v>0</v>
      </c>
      <c r="AP443">
        <v>0</v>
      </c>
      <c r="AQ443">
        <v>0</v>
      </c>
      <c r="AR443">
        <v>0</v>
      </c>
    </row>
    <row r="444" spans="1:44" x14ac:dyDescent="0.2">
      <c r="A444">
        <f>ROW(Source!A399)</f>
        <v>399</v>
      </c>
      <c r="B444">
        <v>86327861</v>
      </c>
      <c r="C444">
        <v>86327851</v>
      </c>
      <c r="D444">
        <v>27378431</v>
      </c>
      <c r="E444">
        <v>1</v>
      </c>
      <c r="F444">
        <v>1</v>
      </c>
      <c r="G444">
        <v>1</v>
      </c>
      <c r="H444">
        <v>3</v>
      </c>
      <c r="I444" t="s">
        <v>748</v>
      </c>
      <c r="J444" t="s">
        <v>749</v>
      </c>
      <c r="K444" t="s">
        <v>750</v>
      </c>
      <c r="L444">
        <v>1348</v>
      </c>
      <c r="N444">
        <v>1009</v>
      </c>
      <c r="O444" t="s">
        <v>33</v>
      </c>
      <c r="P444" t="s">
        <v>33</v>
      </c>
      <c r="Q444">
        <v>1000</v>
      </c>
      <c r="X444">
        <v>0</v>
      </c>
      <c r="Y444">
        <v>0</v>
      </c>
      <c r="Z444">
        <v>0</v>
      </c>
      <c r="AA444">
        <v>0</v>
      </c>
      <c r="AB444">
        <v>0</v>
      </c>
      <c r="AC444">
        <v>1</v>
      </c>
      <c r="AD444">
        <v>0</v>
      </c>
      <c r="AE444">
        <v>0</v>
      </c>
      <c r="AF444" t="s">
        <v>6</v>
      </c>
      <c r="AG444">
        <v>0</v>
      </c>
      <c r="AH444">
        <v>3</v>
      </c>
      <c r="AI444">
        <v>-1</v>
      </c>
      <c r="AJ444" t="s">
        <v>6</v>
      </c>
      <c r="AK444">
        <v>0</v>
      </c>
      <c r="AL444">
        <v>0</v>
      </c>
      <c r="AM444">
        <v>0</v>
      </c>
      <c r="AN444">
        <v>0</v>
      </c>
      <c r="AO444">
        <v>0</v>
      </c>
      <c r="AP444">
        <v>0</v>
      </c>
      <c r="AQ444">
        <v>0</v>
      </c>
      <c r="AR444">
        <v>0</v>
      </c>
    </row>
    <row r="445" spans="1:44" x14ac:dyDescent="0.2">
      <c r="A445">
        <f>ROW(Source!A404)</f>
        <v>404</v>
      </c>
      <c r="B445">
        <v>86327868</v>
      </c>
      <c r="C445">
        <v>86327864</v>
      </c>
      <c r="D445">
        <v>27493458</v>
      </c>
      <c r="E445">
        <v>1</v>
      </c>
      <c r="F445">
        <v>1</v>
      </c>
      <c r="G445">
        <v>1</v>
      </c>
      <c r="H445">
        <v>1</v>
      </c>
      <c r="I445" t="s">
        <v>685</v>
      </c>
      <c r="J445" t="s">
        <v>6</v>
      </c>
      <c r="K445" t="s">
        <v>686</v>
      </c>
      <c r="L445">
        <v>1369</v>
      </c>
      <c r="N445">
        <v>1013</v>
      </c>
      <c r="O445" t="s">
        <v>625</v>
      </c>
      <c r="P445" t="s">
        <v>625</v>
      </c>
      <c r="Q445">
        <v>1</v>
      </c>
      <c r="X445">
        <v>0.82</v>
      </c>
      <c r="Y445">
        <v>0</v>
      </c>
      <c r="Z445">
        <v>0</v>
      </c>
      <c r="AA445">
        <v>0</v>
      </c>
      <c r="AB445">
        <v>8.6</v>
      </c>
      <c r="AC445">
        <v>0</v>
      </c>
      <c r="AD445">
        <v>1</v>
      </c>
      <c r="AE445">
        <v>1</v>
      </c>
      <c r="AF445" t="s">
        <v>542</v>
      </c>
      <c r="AG445">
        <v>11.479999999999999</v>
      </c>
      <c r="AH445">
        <v>2</v>
      </c>
      <c r="AI445">
        <v>86327865</v>
      </c>
      <c r="AJ445">
        <v>531</v>
      </c>
      <c r="AK445">
        <v>0</v>
      </c>
      <c r="AL445">
        <v>0</v>
      </c>
      <c r="AM445">
        <v>0</v>
      </c>
      <c r="AN445">
        <v>0</v>
      </c>
      <c r="AO445">
        <v>0</v>
      </c>
      <c r="AP445">
        <v>0</v>
      </c>
      <c r="AQ445">
        <v>0</v>
      </c>
      <c r="AR445">
        <v>0</v>
      </c>
    </row>
    <row r="446" spans="1:44" x14ac:dyDescent="0.2">
      <c r="A446">
        <f>ROW(Source!A404)</f>
        <v>404</v>
      </c>
      <c r="B446">
        <v>86327869</v>
      </c>
      <c r="C446">
        <v>86327864</v>
      </c>
      <c r="D446">
        <v>27439746</v>
      </c>
      <c r="E446">
        <v>1</v>
      </c>
      <c r="F446">
        <v>1</v>
      </c>
      <c r="G446">
        <v>1</v>
      </c>
      <c r="H446">
        <v>2</v>
      </c>
      <c r="I446" t="s">
        <v>687</v>
      </c>
      <c r="J446" t="s">
        <v>688</v>
      </c>
      <c r="K446" t="s">
        <v>689</v>
      </c>
      <c r="L446">
        <v>1368</v>
      </c>
      <c r="N446">
        <v>1011</v>
      </c>
      <c r="O446" t="s">
        <v>137</v>
      </c>
      <c r="P446" t="s">
        <v>137</v>
      </c>
      <c r="Q446">
        <v>1</v>
      </c>
      <c r="X446">
        <v>0.03</v>
      </c>
      <c r="Y446">
        <v>0</v>
      </c>
      <c r="Z446">
        <v>32.5</v>
      </c>
      <c r="AA446">
        <v>0</v>
      </c>
      <c r="AB446">
        <v>0</v>
      </c>
      <c r="AC446">
        <v>0</v>
      </c>
      <c r="AD446">
        <v>1</v>
      </c>
      <c r="AE446">
        <v>0</v>
      </c>
      <c r="AF446" t="s">
        <v>542</v>
      </c>
      <c r="AG446">
        <v>0.42</v>
      </c>
      <c r="AH446">
        <v>2</v>
      </c>
      <c r="AI446">
        <v>86327866</v>
      </c>
      <c r="AJ446">
        <v>532</v>
      </c>
      <c r="AK446">
        <v>0</v>
      </c>
      <c r="AL446">
        <v>0</v>
      </c>
      <c r="AM446">
        <v>0</v>
      </c>
      <c r="AN446">
        <v>0</v>
      </c>
      <c r="AO446">
        <v>0</v>
      </c>
      <c r="AP446">
        <v>0</v>
      </c>
      <c r="AQ446">
        <v>0</v>
      </c>
      <c r="AR446">
        <v>0</v>
      </c>
    </row>
    <row r="447" spans="1:44" x14ac:dyDescent="0.2">
      <c r="A447">
        <f>ROW(Source!A404)</f>
        <v>404</v>
      </c>
      <c r="B447">
        <v>86327870</v>
      </c>
      <c r="C447">
        <v>86327864</v>
      </c>
      <c r="D447">
        <v>27441078</v>
      </c>
      <c r="E447">
        <v>1</v>
      </c>
      <c r="F447">
        <v>1</v>
      </c>
      <c r="G447">
        <v>1</v>
      </c>
      <c r="H447">
        <v>2</v>
      </c>
      <c r="I447" t="s">
        <v>669</v>
      </c>
      <c r="J447" t="s">
        <v>670</v>
      </c>
      <c r="K447" t="s">
        <v>671</v>
      </c>
      <c r="L447">
        <v>1368</v>
      </c>
      <c r="N447">
        <v>1011</v>
      </c>
      <c r="O447" t="s">
        <v>137</v>
      </c>
      <c r="P447" t="s">
        <v>137</v>
      </c>
      <c r="Q447">
        <v>1</v>
      </c>
      <c r="X447">
        <v>0.35</v>
      </c>
      <c r="Y447">
        <v>0</v>
      </c>
      <c r="Z447">
        <v>2.0699999999999998</v>
      </c>
      <c r="AA447">
        <v>0</v>
      </c>
      <c r="AB447">
        <v>0</v>
      </c>
      <c r="AC447">
        <v>0</v>
      </c>
      <c r="AD447">
        <v>1</v>
      </c>
      <c r="AE447">
        <v>0</v>
      </c>
      <c r="AF447" t="s">
        <v>542</v>
      </c>
      <c r="AG447">
        <v>4.8999999999999995</v>
      </c>
      <c r="AH447">
        <v>2</v>
      </c>
      <c r="AI447">
        <v>86327867</v>
      </c>
      <c r="AJ447">
        <v>533</v>
      </c>
      <c r="AK447">
        <v>0</v>
      </c>
      <c r="AL447">
        <v>0</v>
      </c>
      <c r="AM447">
        <v>0</v>
      </c>
      <c r="AN447">
        <v>0</v>
      </c>
      <c r="AO447">
        <v>0</v>
      </c>
      <c r="AP447">
        <v>0</v>
      </c>
      <c r="AQ447">
        <v>0</v>
      </c>
      <c r="AR447">
        <v>0</v>
      </c>
    </row>
    <row r="448" spans="1:44" x14ac:dyDescent="0.2">
      <c r="A448">
        <f>ROW(Source!A404)</f>
        <v>404</v>
      </c>
      <c r="B448">
        <v>86327871</v>
      </c>
      <c r="C448">
        <v>86327864</v>
      </c>
      <c r="D448">
        <v>27372302</v>
      </c>
      <c r="E448">
        <v>1</v>
      </c>
      <c r="F448">
        <v>1</v>
      </c>
      <c r="G448">
        <v>1</v>
      </c>
      <c r="H448">
        <v>3</v>
      </c>
      <c r="I448" t="s">
        <v>745</v>
      </c>
      <c r="J448" t="s">
        <v>746</v>
      </c>
      <c r="K448" t="s">
        <v>747</v>
      </c>
      <c r="L448">
        <v>1346</v>
      </c>
      <c r="N448">
        <v>1009</v>
      </c>
      <c r="O448" t="s">
        <v>305</v>
      </c>
      <c r="P448" t="s">
        <v>305</v>
      </c>
      <c r="Q448">
        <v>1</v>
      </c>
      <c r="X448">
        <v>0</v>
      </c>
      <c r="Y448">
        <v>0</v>
      </c>
      <c r="Z448">
        <v>0</v>
      </c>
      <c r="AA448">
        <v>0</v>
      </c>
      <c r="AB448">
        <v>0</v>
      </c>
      <c r="AC448">
        <v>1</v>
      </c>
      <c r="AD448">
        <v>0</v>
      </c>
      <c r="AE448">
        <v>0</v>
      </c>
      <c r="AF448" t="s">
        <v>542</v>
      </c>
      <c r="AG448">
        <v>0</v>
      </c>
      <c r="AH448">
        <v>3</v>
      </c>
      <c r="AI448">
        <v>-1</v>
      </c>
      <c r="AJ448" t="s">
        <v>6</v>
      </c>
      <c r="AK448">
        <v>0</v>
      </c>
      <c r="AL448">
        <v>0</v>
      </c>
      <c r="AM448">
        <v>0</v>
      </c>
      <c r="AN448">
        <v>0</v>
      </c>
      <c r="AO448">
        <v>0</v>
      </c>
      <c r="AP448">
        <v>0</v>
      </c>
      <c r="AQ448">
        <v>0</v>
      </c>
      <c r="AR448">
        <v>0</v>
      </c>
    </row>
    <row r="449" spans="1:44" x14ac:dyDescent="0.2">
      <c r="A449">
        <f>ROW(Source!A404)</f>
        <v>404</v>
      </c>
      <c r="B449">
        <v>86327872</v>
      </c>
      <c r="C449">
        <v>86327864</v>
      </c>
      <c r="D449">
        <v>27378431</v>
      </c>
      <c r="E449">
        <v>1</v>
      </c>
      <c r="F449">
        <v>1</v>
      </c>
      <c r="G449">
        <v>1</v>
      </c>
      <c r="H449">
        <v>3</v>
      </c>
      <c r="I449" t="s">
        <v>748</v>
      </c>
      <c r="J449" t="s">
        <v>749</v>
      </c>
      <c r="K449" t="s">
        <v>750</v>
      </c>
      <c r="L449">
        <v>1348</v>
      </c>
      <c r="N449">
        <v>1009</v>
      </c>
      <c r="O449" t="s">
        <v>33</v>
      </c>
      <c r="P449" t="s">
        <v>33</v>
      </c>
      <c r="Q449">
        <v>1000</v>
      </c>
      <c r="X449">
        <v>0</v>
      </c>
      <c r="Y449">
        <v>0</v>
      </c>
      <c r="Z449">
        <v>0</v>
      </c>
      <c r="AA449">
        <v>0</v>
      </c>
      <c r="AB449">
        <v>0</v>
      </c>
      <c r="AC449">
        <v>1</v>
      </c>
      <c r="AD449">
        <v>0</v>
      </c>
      <c r="AE449">
        <v>0</v>
      </c>
      <c r="AF449" t="s">
        <v>542</v>
      </c>
      <c r="AG449">
        <v>0</v>
      </c>
      <c r="AH449">
        <v>3</v>
      </c>
      <c r="AI449">
        <v>-1</v>
      </c>
      <c r="AJ449" t="s">
        <v>6</v>
      </c>
      <c r="AK449">
        <v>0</v>
      </c>
      <c r="AL449">
        <v>0</v>
      </c>
      <c r="AM449">
        <v>0</v>
      </c>
      <c r="AN449">
        <v>0</v>
      </c>
      <c r="AO449">
        <v>0</v>
      </c>
      <c r="AP449">
        <v>0</v>
      </c>
      <c r="AQ449">
        <v>0</v>
      </c>
      <c r="AR449">
        <v>0</v>
      </c>
    </row>
    <row r="450" spans="1:44" x14ac:dyDescent="0.2">
      <c r="A450">
        <f>ROW(Source!A405)</f>
        <v>405</v>
      </c>
      <c r="B450">
        <v>86327868</v>
      </c>
      <c r="C450">
        <v>86327864</v>
      </c>
      <c r="D450">
        <v>27493458</v>
      </c>
      <c r="E450">
        <v>1</v>
      </c>
      <c r="F450">
        <v>1</v>
      </c>
      <c r="G450">
        <v>1</v>
      </c>
      <c r="H450">
        <v>1</v>
      </c>
      <c r="I450" t="s">
        <v>685</v>
      </c>
      <c r="J450" t="s">
        <v>6</v>
      </c>
      <c r="K450" t="s">
        <v>686</v>
      </c>
      <c r="L450">
        <v>1369</v>
      </c>
      <c r="N450">
        <v>1013</v>
      </c>
      <c r="O450" t="s">
        <v>625</v>
      </c>
      <c r="P450" t="s">
        <v>625</v>
      </c>
      <c r="Q450">
        <v>1</v>
      </c>
      <c r="X450">
        <v>0.82</v>
      </c>
      <c r="Y450">
        <v>0</v>
      </c>
      <c r="Z450">
        <v>0</v>
      </c>
      <c r="AA450">
        <v>0</v>
      </c>
      <c r="AB450">
        <v>8.6</v>
      </c>
      <c r="AC450">
        <v>0</v>
      </c>
      <c r="AD450">
        <v>1</v>
      </c>
      <c r="AE450">
        <v>1</v>
      </c>
      <c r="AF450" t="s">
        <v>542</v>
      </c>
      <c r="AG450">
        <v>11.479999999999999</v>
      </c>
      <c r="AH450">
        <v>2</v>
      </c>
      <c r="AI450">
        <v>86327865</v>
      </c>
      <c r="AJ450">
        <v>534</v>
      </c>
      <c r="AK450">
        <v>0</v>
      </c>
      <c r="AL450">
        <v>0</v>
      </c>
      <c r="AM450">
        <v>0</v>
      </c>
      <c r="AN450">
        <v>0</v>
      </c>
      <c r="AO450">
        <v>0</v>
      </c>
      <c r="AP450">
        <v>0</v>
      </c>
      <c r="AQ450">
        <v>0</v>
      </c>
      <c r="AR450">
        <v>0</v>
      </c>
    </row>
    <row r="451" spans="1:44" x14ac:dyDescent="0.2">
      <c r="A451">
        <f>ROW(Source!A405)</f>
        <v>405</v>
      </c>
      <c r="B451">
        <v>86327869</v>
      </c>
      <c r="C451">
        <v>86327864</v>
      </c>
      <c r="D451">
        <v>27439746</v>
      </c>
      <c r="E451">
        <v>1</v>
      </c>
      <c r="F451">
        <v>1</v>
      </c>
      <c r="G451">
        <v>1</v>
      </c>
      <c r="H451">
        <v>2</v>
      </c>
      <c r="I451" t="s">
        <v>687</v>
      </c>
      <c r="J451" t="s">
        <v>688</v>
      </c>
      <c r="K451" t="s">
        <v>689</v>
      </c>
      <c r="L451">
        <v>1368</v>
      </c>
      <c r="N451">
        <v>1011</v>
      </c>
      <c r="O451" t="s">
        <v>137</v>
      </c>
      <c r="P451" t="s">
        <v>137</v>
      </c>
      <c r="Q451">
        <v>1</v>
      </c>
      <c r="X451">
        <v>0.03</v>
      </c>
      <c r="Y451">
        <v>0</v>
      </c>
      <c r="Z451">
        <v>32.5</v>
      </c>
      <c r="AA451">
        <v>0</v>
      </c>
      <c r="AB451">
        <v>0</v>
      </c>
      <c r="AC451">
        <v>0</v>
      </c>
      <c r="AD451">
        <v>1</v>
      </c>
      <c r="AE451">
        <v>0</v>
      </c>
      <c r="AF451" t="s">
        <v>542</v>
      </c>
      <c r="AG451">
        <v>0.42</v>
      </c>
      <c r="AH451">
        <v>2</v>
      </c>
      <c r="AI451">
        <v>86327866</v>
      </c>
      <c r="AJ451">
        <v>535</v>
      </c>
      <c r="AK451">
        <v>0</v>
      </c>
      <c r="AL451">
        <v>0</v>
      </c>
      <c r="AM451">
        <v>0</v>
      </c>
      <c r="AN451">
        <v>0</v>
      </c>
      <c r="AO451">
        <v>0</v>
      </c>
      <c r="AP451">
        <v>0</v>
      </c>
      <c r="AQ451">
        <v>0</v>
      </c>
      <c r="AR451">
        <v>0</v>
      </c>
    </row>
    <row r="452" spans="1:44" x14ac:dyDescent="0.2">
      <c r="A452">
        <f>ROW(Source!A405)</f>
        <v>405</v>
      </c>
      <c r="B452">
        <v>86327870</v>
      </c>
      <c r="C452">
        <v>86327864</v>
      </c>
      <c r="D452">
        <v>27441078</v>
      </c>
      <c r="E452">
        <v>1</v>
      </c>
      <c r="F452">
        <v>1</v>
      </c>
      <c r="G452">
        <v>1</v>
      </c>
      <c r="H452">
        <v>2</v>
      </c>
      <c r="I452" t="s">
        <v>669</v>
      </c>
      <c r="J452" t="s">
        <v>670</v>
      </c>
      <c r="K452" t="s">
        <v>671</v>
      </c>
      <c r="L452">
        <v>1368</v>
      </c>
      <c r="N452">
        <v>1011</v>
      </c>
      <c r="O452" t="s">
        <v>137</v>
      </c>
      <c r="P452" t="s">
        <v>137</v>
      </c>
      <c r="Q452">
        <v>1</v>
      </c>
      <c r="X452">
        <v>0.35</v>
      </c>
      <c r="Y452">
        <v>0</v>
      </c>
      <c r="Z452">
        <v>2.0699999999999998</v>
      </c>
      <c r="AA452">
        <v>0</v>
      </c>
      <c r="AB452">
        <v>0</v>
      </c>
      <c r="AC452">
        <v>0</v>
      </c>
      <c r="AD452">
        <v>1</v>
      </c>
      <c r="AE452">
        <v>0</v>
      </c>
      <c r="AF452" t="s">
        <v>542</v>
      </c>
      <c r="AG452">
        <v>4.8999999999999995</v>
      </c>
      <c r="AH452">
        <v>2</v>
      </c>
      <c r="AI452">
        <v>86327867</v>
      </c>
      <c r="AJ452">
        <v>536</v>
      </c>
      <c r="AK452">
        <v>0</v>
      </c>
      <c r="AL452">
        <v>0</v>
      </c>
      <c r="AM452">
        <v>0</v>
      </c>
      <c r="AN452">
        <v>0</v>
      </c>
      <c r="AO452">
        <v>0</v>
      </c>
      <c r="AP452">
        <v>0</v>
      </c>
      <c r="AQ452">
        <v>0</v>
      </c>
      <c r="AR452">
        <v>0</v>
      </c>
    </row>
    <row r="453" spans="1:44" x14ac:dyDescent="0.2">
      <c r="A453">
        <f>ROW(Source!A405)</f>
        <v>405</v>
      </c>
      <c r="B453">
        <v>86327871</v>
      </c>
      <c r="C453">
        <v>86327864</v>
      </c>
      <c r="D453">
        <v>27372302</v>
      </c>
      <c r="E453">
        <v>1</v>
      </c>
      <c r="F453">
        <v>1</v>
      </c>
      <c r="G453">
        <v>1</v>
      </c>
      <c r="H453">
        <v>3</v>
      </c>
      <c r="I453" t="s">
        <v>745</v>
      </c>
      <c r="J453" t="s">
        <v>746</v>
      </c>
      <c r="K453" t="s">
        <v>747</v>
      </c>
      <c r="L453">
        <v>1346</v>
      </c>
      <c r="N453">
        <v>1009</v>
      </c>
      <c r="O453" t="s">
        <v>305</v>
      </c>
      <c r="P453" t="s">
        <v>305</v>
      </c>
      <c r="Q453">
        <v>1</v>
      </c>
      <c r="X453">
        <v>0</v>
      </c>
      <c r="Y453">
        <v>0</v>
      </c>
      <c r="Z453">
        <v>0</v>
      </c>
      <c r="AA453">
        <v>0</v>
      </c>
      <c r="AB453">
        <v>0</v>
      </c>
      <c r="AC453">
        <v>1</v>
      </c>
      <c r="AD453">
        <v>0</v>
      </c>
      <c r="AE453">
        <v>0</v>
      </c>
      <c r="AF453" t="s">
        <v>542</v>
      </c>
      <c r="AG453">
        <v>0</v>
      </c>
      <c r="AH453">
        <v>3</v>
      </c>
      <c r="AI453">
        <v>-1</v>
      </c>
      <c r="AJ453" t="s">
        <v>6</v>
      </c>
      <c r="AK453">
        <v>0</v>
      </c>
      <c r="AL453">
        <v>0</v>
      </c>
      <c r="AM453">
        <v>0</v>
      </c>
      <c r="AN453">
        <v>0</v>
      </c>
      <c r="AO453">
        <v>0</v>
      </c>
      <c r="AP453">
        <v>0</v>
      </c>
      <c r="AQ453">
        <v>0</v>
      </c>
      <c r="AR453">
        <v>0</v>
      </c>
    </row>
    <row r="454" spans="1:44" x14ac:dyDescent="0.2">
      <c r="A454">
        <f>ROW(Source!A405)</f>
        <v>405</v>
      </c>
      <c r="B454">
        <v>86327872</v>
      </c>
      <c r="C454">
        <v>86327864</v>
      </c>
      <c r="D454">
        <v>27378431</v>
      </c>
      <c r="E454">
        <v>1</v>
      </c>
      <c r="F454">
        <v>1</v>
      </c>
      <c r="G454">
        <v>1</v>
      </c>
      <c r="H454">
        <v>3</v>
      </c>
      <c r="I454" t="s">
        <v>748</v>
      </c>
      <c r="J454" t="s">
        <v>749</v>
      </c>
      <c r="K454" t="s">
        <v>750</v>
      </c>
      <c r="L454">
        <v>1348</v>
      </c>
      <c r="N454">
        <v>1009</v>
      </c>
      <c r="O454" t="s">
        <v>33</v>
      </c>
      <c r="P454" t="s">
        <v>33</v>
      </c>
      <c r="Q454">
        <v>1000</v>
      </c>
      <c r="X454">
        <v>0</v>
      </c>
      <c r="Y454">
        <v>0</v>
      </c>
      <c r="Z454">
        <v>0</v>
      </c>
      <c r="AA454">
        <v>0</v>
      </c>
      <c r="AB454">
        <v>0</v>
      </c>
      <c r="AC454">
        <v>1</v>
      </c>
      <c r="AD454">
        <v>0</v>
      </c>
      <c r="AE454">
        <v>0</v>
      </c>
      <c r="AF454" t="s">
        <v>542</v>
      </c>
      <c r="AG454">
        <v>0</v>
      </c>
      <c r="AH454">
        <v>3</v>
      </c>
      <c r="AI454">
        <v>-1</v>
      </c>
      <c r="AJ454" t="s">
        <v>6</v>
      </c>
      <c r="AK454">
        <v>0</v>
      </c>
      <c r="AL454">
        <v>0</v>
      </c>
      <c r="AM454">
        <v>0</v>
      </c>
      <c r="AN454">
        <v>0</v>
      </c>
      <c r="AO454">
        <v>0</v>
      </c>
      <c r="AP454">
        <v>0</v>
      </c>
      <c r="AQ454">
        <v>0</v>
      </c>
      <c r="AR454">
        <v>0</v>
      </c>
    </row>
  </sheetData>
  <printOptions gridLines="1"/>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x14ac:dyDescent="0.2"/>
  <cols>
    <col min="1" max="256" width="9.140625" customWidth="1"/>
  </cols>
  <sheetData/>
  <printOptions gridLines="1"/>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26"/>
  <sheetViews>
    <sheetView workbookViewId="0">
      <selection sqref="A1:G1"/>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303" t="s">
        <v>792</v>
      </c>
      <c r="B1" s="303"/>
      <c r="C1" s="303"/>
      <c r="D1" s="303"/>
      <c r="E1" s="303"/>
      <c r="F1" s="303"/>
      <c r="G1" s="303"/>
    </row>
    <row r="3" spans="1:255" x14ac:dyDescent="0.2">
      <c r="A3" s="20" t="s">
        <v>799</v>
      </c>
      <c r="B3" s="19"/>
      <c r="C3" s="307"/>
      <c r="D3" s="308"/>
      <c r="E3" s="308"/>
      <c r="F3" s="308"/>
      <c r="G3" s="308"/>
      <c r="BR3" s="22">
        <f>C3</f>
        <v>0</v>
      </c>
      <c r="IU3" s="23"/>
    </row>
    <row r="4" spans="1:255" x14ac:dyDescent="0.2">
      <c r="A4" s="20" t="s">
        <v>801</v>
      </c>
      <c r="B4" s="19"/>
      <c r="C4" s="309"/>
      <c r="D4" s="310"/>
      <c r="E4" s="310"/>
      <c r="F4" s="310"/>
      <c r="G4" s="310"/>
      <c r="BR4" s="22">
        <f>C4</f>
        <v>0</v>
      </c>
      <c r="IU4" s="23"/>
    </row>
    <row r="5" spans="1:255" x14ac:dyDescent="0.2">
      <c r="A5" s="20" t="s">
        <v>803</v>
      </c>
      <c r="B5" s="19"/>
      <c r="C5" s="311"/>
      <c r="D5" s="312"/>
      <c r="E5" s="312"/>
      <c r="F5" s="312"/>
      <c r="G5" s="312"/>
      <c r="BR5" s="22">
        <f>C5</f>
        <v>0</v>
      </c>
      <c r="IU5" s="23"/>
    </row>
    <row r="6" spans="1:255" x14ac:dyDescent="0.2">
      <c r="A6" s="313"/>
      <c r="B6" s="313"/>
      <c r="C6" s="313"/>
      <c r="D6" s="313"/>
      <c r="E6" s="313"/>
      <c r="F6" s="313"/>
      <c r="G6" s="313"/>
    </row>
    <row r="7" spans="1:255" ht="18.75" x14ac:dyDescent="0.3">
      <c r="A7" s="314" t="s">
        <v>1077</v>
      </c>
      <c r="B7" s="314"/>
      <c r="C7" s="314"/>
      <c r="D7" s="314"/>
      <c r="E7" s="314"/>
      <c r="F7" s="314"/>
      <c r="G7" s="314"/>
    </row>
    <row r="8" spans="1:255" x14ac:dyDescent="0.2">
      <c r="A8" s="315"/>
      <c r="B8" s="315"/>
      <c r="C8" s="315"/>
      <c r="D8" s="315"/>
      <c r="E8" s="315"/>
      <c r="F8" s="315"/>
      <c r="G8" s="315"/>
    </row>
    <row r="9" spans="1:255" x14ac:dyDescent="0.2">
      <c r="A9" s="315" t="s">
        <v>8</v>
      </c>
      <c r="B9" s="315"/>
      <c r="C9" s="315"/>
      <c r="D9" s="315"/>
      <c r="E9" s="315"/>
      <c r="F9" s="315"/>
      <c r="G9" s="315"/>
    </row>
    <row r="10" spans="1:255" ht="47.25" x14ac:dyDescent="0.25">
      <c r="A10" s="14" t="s">
        <v>805</v>
      </c>
      <c r="B10" s="316" t="s">
        <v>5</v>
      </c>
      <c r="C10" s="316"/>
      <c r="D10" s="316"/>
      <c r="E10" s="316"/>
      <c r="F10" s="316"/>
      <c r="G10" s="316"/>
      <c r="BS10" s="199"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1078</v>
      </c>
    </row>
    <row r="13" spans="1:255" x14ac:dyDescent="0.2">
      <c r="A13" s="14" t="s">
        <v>821</v>
      </c>
    </row>
    <row r="14" spans="1:255" x14ac:dyDescent="0.2">
      <c r="A14" s="200" t="s">
        <v>1013</v>
      </c>
      <c r="B14" s="200" t="s">
        <v>1015</v>
      </c>
      <c r="C14" s="200" t="s">
        <v>1018</v>
      </c>
      <c r="D14" s="200" t="s">
        <v>1020</v>
      </c>
      <c r="E14" s="200" t="s">
        <v>1023</v>
      </c>
      <c r="F14" s="200" t="s">
        <v>1025</v>
      </c>
      <c r="G14" s="200" t="s">
        <v>1027</v>
      </c>
      <c r="H14" s="200" t="s">
        <v>1029</v>
      </c>
      <c r="I14" s="201" t="s">
        <v>991</v>
      </c>
    </row>
    <row r="15" spans="1:255" x14ac:dyDescent="0.2">
      <c r="A15" s="202" t="s">
        <v>1014</v>
      </c>
      <c r="B15" s="202" t="s">
        <v>1016</v>
      </c>
      <c r="C15" s="202" t="s">
        <v>1079</v>
      </c>
      <c r="D15" s="202" t="s">
        <v>1021</v>
      </c>
      <c r="E15" s="202" t="s">
        <v>1024</v>
      </c>
      <c r="F15" s="202" t="s">
        <v>1026</v>
      </c>
      <c r="G15" s="202" t="s">
        <v>1028</v>
      </c>
      <c r="H15" s="202" t="s">
        <v>1030</v>
      </c>
      <c r="I15" s="203" t="s">
        <v>859</v>
      </c>
    </row>
    <row r="16" spans="1:255" x14ac:dyDescent="0.2">
      <c r="A16" s="202"/>
      <c r="B16" s="202" t="s">
        <v>1017</v>
      </c>
      <c r="C16" s="202"/>
      <c r="D16" s="202" t="s">
        <v>1022</v>
      </c>
      <c r="E16" s="202"/>
      <c r="F16" s="202"/>
      <c r="G16" s="202" t="s">
        <v>1026</v>
      </c>
      <c r="H16" s="202" t="s">
        <v>1031</v>
      </c>
      <c r="I16" s="203"/>
    </row>
    <row r="17" spans="1:255" x14ac:dyDescent="0.2">
      <c r="A17" s="200">
        <v>1</v>
      </c>
      <c r="B17" s="200">
        <v>2</v>
      </c>
      <c r="C17" s="200">
        <v>3</v>
      </c>
      <c r="D17" s="200">
        <v>4</v>
      </c>
      <c r="E17" s="200">
        <v>5</v>
      </c>
      <c r="F17" s="200">
        <v>6</v>
      </c>
      <c r="G17" s="200">
        <v>7</v>
      </c>
      <c r="H17" s="200">
        <v>8</v>
      </c>
      <c r="I17" s="201">
        <v>9</v>
      </c>
    </row>
    <row r="18" spans="1:255" x14ac:dyDescent="0.2">
      <c r="A18" s="210"/>
      <c r="B18" s="210" t="s">
        <v>1080</v>
      </c>
      <c r="C18" s="210"/>
      <c r="D18" s="210"/>
      <c r="E18" s="210"/>
      <c r="F18" s="210"/>
      <c r="G18" s="207"/>
      <c r="H18" s="207"/>
      <c r="I18" s="207"/>
    </row>
    <row r="19" spans="1:255" s="43" customFormat="1" ht="24" x14ac:dyDescent="0.2">
      <c r="A19" s="211">
        <v>1</v>
      </c>
      <c r="B19" s="212" t="s">
        <v>623</v>
      </c>
      <c r="C19" s="212" t="s">
        <v>624</v>
      </c>
      <c r="D19" s="212" t="s">
        <v>625</v>
      </c>
      <c r="E19" s="213">
        <f t="shared" ref="E19:E29" si="0">O19</f>
        <v>1144.8372075</v>
      </c>
      <c r="F19" s="214">
        <f>ROUND( 7.87, 2 )</f>
        <v>7.87</v>
      </c>
      <c r="G19" s="214">
        <f t="shared" ref="G19:G29" si="1">ROUND(E19*F19,2)</f>
        <v>9009.8700000000008</v>
      </c>
      <c r="H19" s="215" t="s">
        <v>1081</v>
      </c>
      <c r="I19" s="215" t="s">
        <v>1034</v>
      </c>
      <c r="N19" s="204"/>
      <c r="O19" s="204">
        <f t="shared" ref="O19:O29" si="2">SUM(P19:IV19)</f>
        <v>1144.8372075</v>
      </c>
      <c r="P19" s="204">
        <f>SmtRes!CX1</f>
        <v>116.72054625</v>
      </c>
      <c r="Q19" s="204">
        <f>SmtRes!CX93</f>
        <v>550.46578124999996</v>
      </c>
      <c r="R19" s="204">
        <f>SmtRes!CX109</f>
        <v>121.38588</v>
      </c>
      <c r="S19" s="204">
        <f>SmtRes!CX367</f>
        <v>356.26499999999999</v>
      </c>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row>
    <row r="20" spans="1:255" s="43" customFormat="1" ht="24" x14ac:dyDescent="0.2">
      <c r="A20" s="211">
        <v>2</v>
      </c>
      <c r="B20" s="212" t="s">
        <v>672</v>
      </c>
      <c r="C20" s="212" t="s">
        <v>673</v>
      </c>
      <c r="D20" s="212" t="s">
        <v>625</v>
      </c>
      <c r="E20" s="213">
        <f t="shared" si="0"/>
        <v>15.152835600000001</v>
      </c>
      <c r="F20" s="214">
        <f>ROUND( 8.01, 2 )</f>
        <v>8.01</v>
      </c>
      <c r="G20" s="214">
        <f t="shared" si="1"/>
        <v>121.37</v>
      </c>
      <c r="H20" s="215" t="s">
        <v>1087</v>
      </c>
      <c r="I20" s="215" t="s">
        <v>1034</v>
      </c>
      <c r="N20" s="204"/>
      <c r="O20" s="204">
        <f t="shared" si="2"/>
        <v>15.152835600000001</v>
      </c>
      <c r="P20" s="204">
        <f>SmtRes!CX305</f>
        <v>3.1586645999999998</v>
      </c>
      <c r="Q20" s="204">
        <f>SmtRes!CX321</f>
        <v>3.5976864000000002</v>
      </c>
      <c r="R20" s="204">
        <f>SmtRes!CX435</f>
        <v>6.9642846</v>
      </c>
      <c r="S20" s="204">
        <f>SmtRes!CX449</f>
        <v>1.4321999999999999</v>
      </c>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row>
    <row r="21" spans="1:255" s="43" customFormat="1" ht="24" x14ac:dyDescent="0.2">
      <c r="A21" s="211">
        <v>3</v>
      </c>
      <c r="B21" s="212" t="s">
        <v>685</v>
      </c>
      <c r="C21" s="212" t="s">
        <v>686</v>
      </c>
      <c r="D21" s="212" t="s">
        <v>625</v>
      </c>
      <c r="E21" s="213" t="e">
        <f t="shared" si="0"/>
        <v>#REF!</v>
      </c>
      <c r="F21" s="214">
        <f>ROUND( 8.6, 2 )</f>
        <v>8.6</v>
      </c>
      <c r="G21" s="214" t="e">
        <f t="shared" si="1"/>
        <v>#REF!</v>
      </c>
      <c r="H21" s="215" t="s">
        <v>1089</v>
      </c>
      <c r="I21" s="215" t="s">
        <v>1034</v>
      </c>
      <c r="N21" s="204"/>
      <c r="O21" s="204" t="e">
        <f t="shared" si="2"/>
        <v>#REF!</v>
      </c>
      <c r="P21" s="204" t="e">
        <f>SmtRes!CX351</f>
        <v>#REF!</v>
      </c>
      <c r="Q21" s="204" t="e">
        <f>SmtRes!CX361</f>
        <v>#REF!</v>
      </c>
      <c r="R21" s="204" t="e">
        <f>SmtRes!CX521</f>
        <v>#REF!</v>
      </c>
      <c r="S21" s="204" t="e">
        <f>SmtRes!CX531</f>
        <v>#REF!</v>
      </c>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row>
    <row r="22" spans="1:255" s="43" customFormat="1" ht="24" x14ac:dyDescent="0.2">
      <c r="A22" s="211">
        <v>4</v>
      </c>
      <c r="B22" s="212" t="s">
        <v>647</v>
      </c>
      <c r="C22" s="212" t="s">
        <v>648</v>
      </c>
      <c r="D22" s="212" t="s">
        <v>625</v>
      </c>
      <c r="E22" s="213">
        <f t="shared" si="0"/>
        <v>349.22787374999996</v>
      </c>
      <c r="F22" s="214">
        <f>ROUND( 8.71, 2 )</f>
        <v>8.7100000000000009</v>
      </c>
      <c r="G22" s="214">
        <f t="shared" si="1"/>
        <v>3041.77</v>
      </c>
      <c r="H22" s="215" t="s">
        <v>1084</v>
      </c>
      <c r="I22" s="215" t="s">
        <v>1034</v>
      </c>
      <c r="N22" s="204"/>
      <c r="O22" s="204">
        <f t="shared" si="2"/>
        <v>349.22787374999996</v>
      </c>
      <c r="P22" s="204">
        <f>SmtRes!CX41</f>
        <v>10.38996</v>
      </c>
      <c r="Q22" s="204">
        <f>SmtRes!CX67</f>
        <v>22.65598125</v>
      </c>
      <c r="R22" s="204">
        <f>SmtRes!CX153</f>
        <v>19.492593750000001</v>
      </c>
      <c r="S22" s="204">
        <f>SmtRes!CX179</f>
        <v>1.576722</v>
      </c>
      <c r="T22" s="204">
        <f>SmtRes!CX205</f>
        <v>29.0244465</v>
      </c>
      <c r="U22" s="204">
        <f>SmtRes!CX231</f>
        <v>129.61127024999999</v>
      </c>
      <c r="V22" s="204">
        <f>SmtRes!CX417</f>
        <v>136.4769</v>
      </c>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row>
    <row r="23" spans="1:255" s="43" customFormat="1" ht="24" x14ac:dyDescent="0.2">
      <c r="A23" s="211">
        <v>5</v>
      </c>
      <c r="B23" s="212" t="s">
        <v>674</v>
      </c>
      <c r="C23" s="212" t="s">
        <v>675</v>
      </c>
      <c r="D23" s="212" t="s">
        <v>625</v>
      </c>
      <c r="E23" s="213" t="e">
        <f t="shared" si="0"/>
        <v>#REF!</v>
      </c>
      <c r="F23" s="214">
        <f>ROUND( 9.15, 2 )</f>
        <v>9.15</v>
      </c>
      <c r="G23" s="214" t="e">
        <f t="shared" si="1"/>
        <v>#REF!</v>
      </c>
      <c r="H23" s="215" t="s">
        <v>1088</v>
      </c>
      <c r="I23" s="215" t="s">
        <v>1034</v>
      </c>
      <c r="N23" s="204"/>
      <c r="O23" s="204" t="e">
        <f t="shared" si="2"/>
        <v>#REF!</v>
      </c>
      <c r="P23" s="204" t="e">
        <f>SmtRes!CX335</f>
        <v>#REF!</v>
      </c>
      <c r="Q23" s="204" t="e">
        <f>SmtRes!CX475</f>
        <v>#REF!</v>
      </c>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row>
    <row r="24" spans="1:255" s="43" customFormat="1" ht="24" x14ac:dyDescent="0.2">
      <c r="A24" s="211">
        <v>6</v>
      </c>
      <c r="B24" s="212" t="s">
        <v>698</v>
      </c>
      <c r="C24" s="212" t="s">
        <v>699</v>
      </c>
      <c r="D24" s="212" t="s">
        <v>625</v>
      </c>
      <c r="E24" s="213" t="e">
        <f t="shared" si="0"/>
        <v>#REF!</v>
      </c>
      <c r="F24" s="214">
        <f>ROUND( 9.48, 2 )</f>
        <v>9.48</v>
      </c>
      <c r="G24" s="214" t="e">
        <f t="shared" si="1"/>
        <v>#REF!</v>
      </c>
      <c r="H24" s="215" t="s">
        <v>1086</v>
      </c>
      <c r="I24" s="215" t="s">
        <v>1034</v>
      </c>
      <c r="N24" s="204"/>
      <c r="O24" s="204" t="e">
        <f t="shared" si="2"/>
        <v>#REF!</v>
      </c>
      <c r="P24" s="204" t="e">
        <f>SmtRes!CX491</f>
        <v>#REF!</v>
      </c>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row>
    <row r="25" spans="1:255" s="43" customFormat="1" ht="24" x14ac:dyDescent="0.2">
      <c r="A25" s="211">
        <v>7</v>
      </c>
      <c r="B25" s="212" t="s">
        <v>693</v>
      </c>
      <c r="C25" s="212" t="s">
        <v>694</v>
      </c>
      <c r="D25" s="212" t="s">
        <v>625</v>
      </c>
      <c r="E25" s="213">
        <f t="shared" si="0"/>
        <v>1.7400249999999999</v>
      </c>
      <c r="F25" s="214">
        <f>ROUND( 10.3, 2 )</f>
        <v>10.3</v>
      </c>
      <c r="G25" s="214">
        <f t="shared" si="1"/>
        <v>17.920000000000002</v>
      </c>
      <c r="H25" s="215" t="s">
        <v>1090</v>
      </c>
      <c r="I25" s="215" t="s">
        <v>1034</v>
      </c>
      <c r="N25" s="204"/>
      <c r="O25" s="204">
        <f t="shared" si="2"/>
        <v>1.7400249999999999</v>
      </c>
      <c r="P25" s="204">
        <f>SmtRes!CX465</f>
        <v>1.7400249999999999</v>
      </c>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row>
    <row r="26" spans="1:255" s="43" customFormat="1" ht="24" x14ac:dyDescent="0.2">
      <c r="A26" s="211">
        <v>8</v>
      </c>
      <c r="B26" s="212" t="s">
        <v>664</v>
      </c>
      <c r="C26" s="212" t="s">
        <v>665</v>
      </c>
      <c r="D26" s="212" t="s">
        <v>625</v>
      </c>
      <c r="E26" s="213">
        <f t="shared" si="0"/>
        <v>24.6448</v>
      </c>
      <c r="F26" s="214">
        <f>ROUND( 9.48, 2 )</f>
        <v>9.48</v>
      </c>
      <c r="G26" s="214">
        <f t="shared" si="1"/>
        <v>233.63</v>
      </c>
      <c r="H26" s="215" t="s">
        <v>1086</v>
      </c>
      <c r="I26" s="215" t="s">
        <v>1034</v>
      </c>
      <c r="N26" s="204"/>
      <c r="O26" s="204">
        <f t="shared" si="2"/>
        <v>24.6448</v>
      </c>
      <c r="P26" s="204">
        <f>SmtRes!CX265</f>
        <v>11.0016</v>
      </c>
      <c r="Q26" s="204">
        <f>SmtRes!CX285</f>
        <v>3.2528000000000001</v>
      </c>
      <c r="R26" s="204">
        <f>SmtRes!CX499</f>
        <v>10.3904</v>
      </c>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row>
    <row r="27" spans="1:255" s="43" customFormat="1" ht="24" x14ac:dyDescent="0.2">
      <c r="A27" s="211">
        <v>9</v>
      </c>
      <c r="B27" s="212" t="s">
        <v>655</v>
      </c>
      <c r="C27" s="212" t="s">
        <v>656</v>
      </c>
      <c r="D27" s="212" t="s">
        <v>625</v>
      </c>
      <c r="E27" s="213">
        <f t="shared" si="0"/>
        <v>1.1832</v>
      </c>
      <c r="F27" s="214">
        <f>ROUND( 9.6, 2 )</f>
        <v>9.6</v>
      </c>
      <c r="G27" s="214">
        <f t="shared" si="1"/>
        <v>11.36</v>
      </c>
      <c r="H27" s="215" t="s">
        <v>1085</v>
      </c>
      <c r="I27" s="215" t="s">
        <v>1034</v>
      </c>
      <c r="N27" s="204"/>
      <c r="O27" s="204">
        <f t="shared" si="2"/>
        <v>1.1832</v>
      </c>
      <c r="P27" s="204">
        <f>SmtRes!CX257</f>
        <v>1.1832</v>
      </c>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row>
    <row r="28" spans="1:255" s="43" customFormat="1" ht="24" x14ac:dyDescent="0.2">
      <c r="A28" s="211">
        <v>10</v>
      </c>
      <c r="B28" s="212" t="s">
        <v>640</v>
      </c>
      <c r="C28" s="212" t="s">
        <v>641</v>
      </c>
      <c r="D28" s="212" t="s">
        <v>625</v>
      </c>
      <c r="E28" s="213">
        <f t="shared" si="0"/>
        <v>1790.7006380549999</v>
      </c>
      <c r="F28" s="214">
        <f>ROUND( 11.92, 2 )</f>
        <v>11.92</v>
      </c>
      <c r="G28" s="214">
        <f t="shared" si="1"/>
        <v>21345.15</v>
      </c>
      <c r="H28" s="215" t="s">
        <v>1083</v>
      </c>
      <c r="I28" s="215" t="s">
        <v>1034</v>
      </c>
      <c r="N28" s="204"/>
      <c r="O28" s="204">
        <f t="shared" si="2"/>
        <v>1790.7006380549999</v>
      </c>
      <c r="P28" s="204">
        <f>SmtRes!CX17</f>
        <v>23.415636825</v>
      </c>
      <c r="Q28" s="204">
        <f>SmtRes!CX29</f>
        <v>129.90178120499999</v>
      </c>
      <c r="R28" s="204">
        <f>SmtRes!CX127</f>
        <v>35.767172700000003</v>
      </c>
      <c r="S28" s="204">
        <f>SmtRes!CX139</f>
        <v>547.26209212499998</v>
      </c>
      <c r="T28" s="204">
        <f>SmtRes!CX385</f>
        <v>286.47980497499998</v>
      </c>
      <c r="U28" s="204">
        <f>SmtRes!CX399</f>
        <v>767.87415022499999</v>
      </c>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row>
    <row r="29" spans="1:255" s="43" customFormat="1" ht="12" x14ac:dyDescent="0.2">
      <c r="A29" s="211">
        <v>11</v>
      </c>
      <c r="B29" s="212" t="s">
        <v>40</v>
      </c>
      <c r="C29" s="212" t="s">
        <v>626</v>
      </c>
      <c r="D29" s="212" t="s">
        <v>627</v>
      </c>
      <c r="E29" s="213" t="e">
        <f t="shared" si="0"/>
        <v>#REF!</v>
      </c>
      <c r="F29" s="214">
        <f>ROUND( 0, 2 )</f>
        <v>0</v>
      </c>
      <c r="G29" s="214" t="e">
        <f t="shared" si="1"/>
        <v>#REF!</v>
      </c>
      <c r="H29" s="218" t="s">
        <v>1082</v>
      </c>
      <c r="I29" s="218" t="s">
        <v>1034</v>
      </c>
      <c r="N29" s="204"/>
      <c r="O29" s="204" t="e">
        <f t="shared" si="2"/>
        <v>#REF!</v>
      </c>
      <c r="P29" s="204">
        <f>SmtRes!CX2</f>
        <v>37.777824000000003</v>
      </c>
      <c r="Q29" s="204">
        <f>SmtRes!CX18</f>
        <v>0.191912</v>
      </c>
      <c r="R29" s="204">
        <f>SmtRes!CX30</f>
        <v>1.0415160000000001</v>
      </c>
      <c r="S29" s="204">
        <f>SmtRes!CX42</f>
        <v>4.3666559999999999</v>
      </c>
      <c r="T29" s="204">
        <f>SmtRes!CX68</f>
        <v>9.6863200000000003</v>
      </c>
      <c r="U29" s="204">
        <f>SmtRes!CX94</f>
        <v>178.16399999999999</v>
      </c>
      <c r="V29" s="204">
        <f>SmtRes!CX110</f>
        <v>41.906995199999997</v>
      </c>
      <c r="W29" s="204">
        <f>SmtRes!CX128</f>
        <v>0.34054719999999999</v>
      </c>
      <c r="X29" s="204">
        <f>SmtRes!CX140</f>
        <v>5.0973300000000004</v>
      </c>
      <c r="Y29" s="204">
        <f>SmtRes!CX154</f>
        <v>8.2059487999999998</v>
      </c>
      <c r="Z29" s="204">
        <f>SmtRes!CX180</f>
        <v>0.6626592</v>
      </c>
      <c r="AA29" s="204">
        <f>SmtRes!CX206</f>
        <v>12.0630132</v>
      </c>
      <c r="AB29" s="204">
        <f>SmtRes!CX232</f>
        <v>54.184283999999998</v>
      </c>
      <c r="AC29" s="204">
        <f>SmtRes!CX266</f>
        <v>6.4799999999999996E-2</v>
      </c>
      <c r="AD29" s="204">
        <f>SmtRes!CX286</f>
        <v>4.9399999999999999E-2</v>
      </c>
      <c r="AE29" s="204">
        <f>SmtRes!CX306</f>
        <v>2.5285120000000001E-2</v>
      </c>
      <c r="AF29" s="204">
        <f>SmtRes!CX322</f>
        <v>7.8776319999999997E-2</v>
      </c>
      <c r="AG29" s="204" t="e">
        <f>SmtRes!CX336</f>
        <v>#REF!</v>
      </c>
      <c r="AH29" s="204">
        <f>SmtRes!CX368</f>
        <v>123.94368</v>
      </c>
      <c r="AI29" s="204">
        <f>SmtRes!CX386</f>
        <v>1.546902</v>
      </c>
      <c r="AJ29" s="204">
        <f>SmtRes!CX400</f>
        <v>4.2384215999999997</v>
      </c>
      <c r="AK29" s="204">
        <f>SmtRes!CX418</f>
        <v>56.125439999999998</v>
      </c>
      <c r="AL29" s="204">
        <f>SmtRes!CX436</f>
        <v>5.5749119999999999E-2</v>
      </c>
      <c r="AM29" s="204">
        <f>SmtRes!CX450</f>
        <v>3.1359999999999999E-2</v>
      </c>
      <c r="AN29" s="204" t="e">
        <f>SmtRes!CX476</f>
        <v>#REF!</v>
      </c>
      <c r="AO29" s="204">
        <f>SmtRes!CX500</f>
        <v>6.1199999999999997E-2</v>
      </c>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row>
    <row r="30" spans="1:255" x14ac:dyDescent="0.2">
      <c r="A30" s="219"/>
      <c r="B30" s="219"/>
      <c r="C30" s="220" t="s">
        <v>546</v>
      </c>
      <c r="D30" s="219"/>
      <c r="E30" s="219"/>
      <c r="F30" s="219"/>
      <c r="G30" s="221" t="e">
        <f>ROUND(SUM(G19:G29),2)</f>
        <v>#REF!</v>
      </c>
      <c r="H30" s="219"/>
      <c r="I30" s="219"/>
      <c r="J30" s="23"/>
      <c r="K30" s="197" t="e">
        <f>G30</f>
        <v>#REF!</v>
      </c>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row>
    <row r="31" spans="1:255" x14ac:dyDescent="0.2">
      <c r="A31" s="32"/>
      <c r="B31" s="52"/>
      <c r="C31" s="52"/>
      <c r="D31" s="52"/>
      <c r="E31" s="52"/>
      <c r="F31" s="52"/>
      <c r="G31" s="222"/>
      <c r="H31" s="52"/>
      <c r="I31" s="222"/>
    </row>
    <row r="32" spans="1:255" x14ac:dyDescent="0.2">
      <c r="A32" s="210"/>
      <c r="B32" s="210" t="s">
        <v>1091</v>
      </c>
      <c r="C32" s="210"/>
      <c r="D32" s="210"/>
      <c r="E32" s="210"/>
      <c r="F32" s="210"/>
      <c r="G32" s="207"/>
      <c r="H32" s="207"/>
      <c r="I32" s="207"/>
    </row>
    <row r="33" spans="1:255" s="43" customFormat="1" ht="24" x14ac:dyDescent="0.2">
      <c r="A33" s="211">
        <v>12</v>
      </c>
      <c r="B33" s="212" t="s">
        <v>652</v>
      </c>
      <c r="C33" s="212" t="s">
        <v>654</v>
      </c>
      <c r="D33" s="212" t="s">
        <v>137</v>
      </c>
      <c r="E33" s="213">
        <f t="shared" ref="E33:E51" si="3">O33</f>
        <v>63.052892</v>
      </c>
      <c r="F33" s="214">
        <f>ROUND( 91.69, 2 )</f>
        <v>91.69</v>
      </c>
      <c r="G33" s="214">
        <f t="shared" ref="G33:G51" si="4">ROUND(E33*F33,2)</f>
        <v>5781.32</v>
      </c>
      <c r="H33" s="215" t="s">
        <v>1099</v>
      </c>
      <c r="I33" s="215" t="s">
        <v>1034</v>
      </c>
      <c r="N33" s="204"/>
      <c r="O33" s="204">
        <f t="shared" ref="O33:O51" si="5">SUM(P33:IV33)</f>
        <v>63.052892</v>
      </c>
      <c r="P33" s="204">
        <f>SmtRes!CX155</f>
        <v>8.2059487999999998</v>
      </c>
      <c r="Q33" s="204">
        <f>SmtRes!CX181</f>
        <v>0.6626592</v>
      </c>
      <c r="R33" s="204">
        <f>SmtRes!CX233</f>
        <v>54.184283999999998</v>
      </c>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row>
    <row r="34" spans="1:255" s="43" customFormat="1" ht="36" x14ac:dyDescent="0.2">
      <c r="A34" s="211">
        <v>13</v>
      </c>
      <c r="B34" s="212" t="s">
        <v>628</v>
      </c>
      <c r="C34" s="212" t="s">
        <v>643</v>
      </c>
      <c r="D34" s="212" t="s">
        <v>137</v>
      </c>
      <c r="E34" s="213">
        <f t="shared" si="3"/>
        <v>9.8823311999999994</v>
      </c>
      <c r="F34" s="214">
        <f>ROUND( 115.64, 2 )</f>
        <v>115.64</v>
      </c>
      <c r="G34" s="214">
        <f t="shared" si="4"/>
        <v>1142.79</v>
      </c>
      <c r="H34" s="215" t="s">
        <v>1097</v>
      </c>
      <c r="I34" s="215" t="s">
        <v>1034</v>
      </c>
      <c r="N34" s="204"/>
      <c r="O34" s="204">
        <f t="shared" si="5"/>
        <v>9.8823311999999994</v>
      </c>
      <c r="P34" s="204">
        <f>SmtRes!CX19</f>
        <v>0.15019199999999999</v>
      </c>
      <c r="Q34" s="204">
        <f>SmtRes!CX31</f>
        <v>0.83321279999999998</v>
      </c>
      <c r="R34" s="204">
        <f>SmtRes!CX129</f>
        <v>0.26651520000000001</v>
      </c>
      <c r="S34" s="204">
        <f>SmtRes!CX141</f>
        <v>4.0778639999999999</v>
      </c>
      <c r="T34" s="204">
        <f>SmtRes!CX387</f>
        <v>1.2375216</v>
      </c>
      <c r="U34" s="204">
        <f>SmtRes!CX401</f>
        <v>3.3170256</v>
      </c>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row>
    <row r="35" spans="1:255" s="43" customFormat="1" ht="36" x14ac:dyDescent="0.2">
      <c r="A35" s="211">
        <v>14</v>
      </c>
      <c r="B35" s="212" t="s">
        <v>666</v>
      </c>
      <c r="C35" s="212" t="s">
        <v>668</v>
      </c>
      <c r="D35" s="212" t="s">
        <v>137</v>
      </c>
      <c r="E35" s="213">
        <f t="shared" si="3"/>
        <v>0.1754</v>
      </c>
      <c r="F35" s="214">
        <f>ROUND( 113.81, 2 )</f>
        <v>113.81</v>
      </c>
      <c r="G35" s="214">
        <f t="shared" si="4"/>
        <v>19.96</v>
      </c>
      <c r="H35" s="215" t="s">
        <v>1102</v>
      </c>
      <c r="I35" s="215" t="s">
        <v>1034</v>
      </c>
      <c r="N35" s="204"/>
      <c r="O35" s="204">
        <f t="shared" si="5"/>
        <v>0.1754</v>
      </c>
      <c r="P35" s="204">
        <f>SmtRes!CX267</f>
        <v>6.4799999999999996E-2</v>
      </c>
      <c r="Q35" s="204">
        <f>SmtRes!CX287</f>
        <v>4.9399999999999999E-2</v>
      </c>
      <c r="R35" s="204">
        <f>SmtRes!CX501</f>
        <v>6.1199999999999997E-2</v>
      </c>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row>
    <row r="36" spans="1:255" s="43" customFormat="1" ht="48" x14ac:dyDescent="0.2">
      <c r="A36" s="211">
        <v>15</v>
      </c>
      <c r="B36" s="212" t="s">
        <v>631</v>
      </c>
      <c r="C36" s="212" t="s">
        <v>645</v>
      </c>
      <c r="D36" s="212" t="s">
        <v>137</v>
      </c>
      <c r="E36" s="213">
        <f t="shared" si="3"/>
        <v>2.5742976</v>
      </c>
      <c r="F36" s="214">
        <f>ROUND( 112.67, 2 )</f>
        <v>112.67</v>
      </c>
      <c r="G36" s="214">
        <f t="shared" si="4"/>
        <v>290.05</v>
      </c>
      <c r="H36" s="215" t="s">
        <v>1094</v>
      </c>
      <c r="I36" s="215" t="s">
        <v>1034</v>
      </c>
      <c r="N36" s="204"/>
      <c r="O36" s="204">
        <f t="shared" si="5"/>
        <v>2.5742976</v>
      </c>
      <c r="P36" s="204">
        <f>SmtRes!CX20</f>
        <v>4.172E-2</v>
      </c>
      <c r="Q36" s="204">
        <f>SmtRes!CX32</f>
        <v>0.20830319999999999</v>
      </c>
      <c r="R36" s="204">
        <f>SmtRes!CX130</f>
        <v>7.4032000000000001E-2</v>
      </c>
      <c r="S36" s="204">
        <f>SmtRes!CX142</f>
        <v>1.019466</v>
      </c>
      <c r="T36" s="204">
        <f>SmtRes!CX388</f>
        <v>0.3093804</v>
      </c>
      <c r="U36" s="204">
        <f>SmtRes!CX402</f>
        <v>0.92139599999999999</v>
      </c>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row>
    <row r="37" spans="1:255" s="43" customFormat="1" ht="36" x14ac:dyDescent="0.2">
      <c r="A37" s="211">
        <v>16</v>
      </c>
      <c r="B37" s="212" t="s">
        <v>631</v>
      </c>
      <c r="C37" s="212" t="s">
        <v>633</v>
      </c>
      <c r="D37" s="212" t="s">
        <v>137</v>
      </c>
      <c r="E37" s="213">
        <f t="shared" si="3"/>
        <v>35.404275200000001</v>
      </c>
      <c r="F37" s="214">
        <f>ROUND( 112.67, 2 )</f>
        <v>112.67</v>
      </c>
      <c r="G37" s="214">
        <f t="shared" si="4"/>
        <v>3989</v>
      </c>
      <c r="H37" s="215" t="s">
        <v>1094</v>
      </c>
      <c r="I37" s="215" t="s">
        <v>1034</v>
      </c>
      <c r="N37" s="204"/>
      <c r="O37" s="204">
        <f t="shared" si="5"/>
        <v>35.404275200000001</v>
      </c>
      <c r="P37" s="204">
        <f>SmtRes!CX4</f>
        <v>3.2980640000000001</v>
      </c>
      <c r="Q37" s="204">
        <f>SmtRes!CX96</f>
        <v>15.554</v>
      </c>
      <c r="R37" s="204">
        <f>SmtRes!CX112</f>
        <v>3.6585472000000001</v>
      </c>
      <c r="S37" s="204">
        <f>SmtRes!CX308</f>
        <v>3.7184000000000002E-3</v>
      </c>
      <c r="T37" s="204">
        <f>SmtRes!CX324</f>
        <v>1.40672E-2</v>
      </c>
      <c r="U37" s="204">
        <f>SmtRes!CX370</f>
        <v>12.862080000000001</v>
      </c>
      <c r="V37" s="204">
        <f>SmtRes!CX438</f>
        <v>8.1983999999999998E-3</v>
      </c>
      <c r="W37" s="204">
        <f>SmtRes!CX452</f>
        <v>5.5999999999999999E-3</v>
      </c>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row>
    <row r="38" spans="1:255" s="43" customFormat="1" ht="12" x14ac:dyDescent="0.2">
      <c r="A38" s="211">
        <v>17</v>
      </c>
      <c r="B38" s="212" t="s">
        <v>676</v>
      </c>
      <c r="C38" s="212" t="s">
        <v>678</v>
      </c>
      <c r="D38" s="212" t="s">
        <v>137</v>
      </c>
      <c r="E38" s="213" t="e">
        <f t="shared" si="3"/>
        <v>#REF!</v>
      </c>
      <c r="F38" s="214">
        <f>ROUND( 88.42, 2 )</f>
        <v>88.42</v>
      </c>
      <c r="G38" s="214" t="e">
        <f t="shared" si="4"/>
        <v>#REF!</v>
      </c>
      <c r="H38" s="215" t="s">
        <v>1104</v>
      </c>
      <c r="I38" s="215" t="s">
        <v>1034</v>
      </c>
      <c r="N38" s="204"/>
      <c r="O38" s="204" t="e">
        <f t="shared" si="5"/>
        <v>#REF!</v>
      </c>
      <c r="P38" s="204" t="e">
        <f>SmtRes!CX337</f>
        <v>#REF!</v>
      </c>
      <c r="Q38" s="204" t="e">
        <f>SmtRes!CX477</f>
        <v>#REF!</v>
      </c>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row>
    <row r="39" spans="1:255" s="43" customFormat="1" ht="24" x14ac:dyDescent="0.2">
      <c r="A39" s="211">
        <v>18</v>
      </c>
      <c r="B39" s="212" t="s">
        <v>679</v>
      </c>
      <c r="C39" s="212" t="s">
        <v>681</v>
      </c>
      <c r="D39" s="212" t="s">
        <v>137</v>
      </c>
      <c r="E39" s="213" t="e">
        <f t="shared" si="3"/>
        <v>#REF!</v>
      </c>
      <c r="F39" s="214">
        <f>ROUND( 2.17, 2 )</f>
        <v>2.17</v>
      </c>
      <c r="G39" s="214" t="e">
        <f t="shared" si="4"/>
        <v>#REF!</v>
      </c>
      <c r="H39" s="215" t="s">
        <v>1105</v>
      </c>
      <c r="I39" s="215" t="s">
        <v>1034</v>
      </c>
      <c r="N39" s="204"/>
      <c r="O39" s="204" t="e">
        <f t="shared" si="5"/>
        <v>#REF!</v>
      </c>
      <c r="P39" s="204" t="e">
        <f>SmtRes!CX338</f>
        <v>#REF!</v>
      </c>
      <c r="Q39" s="204" t="e">
        <f>SmtRes!CX478</f>
        <v>#REF!</v>
      </c>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c r="HV39" s="204"/>
      <c r="HW39" s="204"/>
      <c r="HX39" s="204"/>
      <c r="HY39" s="204"/>
      <c r="HZ39" s="204"/>
      <c r="IA39" s="204"/>
      <c r="IB39" s="204"/>
      <c r="IC39" s="204"/>
      <c r="ID39" s="204"/>
      <c r="IE39" s="204"/>
      <c r="IF39" s="204"/>
      <c r="IG39" s="204"/>
      <c r="IH39" s="204"/>
      <c r="II39" s="204"/>
      <c r="IJ39" s="204"/>
      <c r="IK39" s="204"/>
      <c r="IL39" s="204"/>
      <c r="IM39" s="204"/>
      <c r="IN39" s="204"/>
      <c r="IO39" s="204"/>
      <c r="IP39" s="204"/>
      <c r="IQ39" s="204"/>
      <c r="IR39" s="204"/>
      <c r="IS39" s="204"/>
      <c r="IT39" s="204"/>
      <c r="IU39" s="204"/>
    </row>
    <row r="40" spans="1:255" s="43" customFormat="1" ht="24" x14ac:dyDescent="0.2">
      <c r="A40" s="211">
        <v>19</v>
      </c>
      <c r="B40" s="212" t="s">
        <v>700</v>
      </c>
      <c r="C40" s="212" t="s">
        <v>702</v>
      </c>
      <c r="D40" s="212" t="s">
        <v>137</v>
      </c>
      <c r="E40" s="213" t="e">
        <f t="shared" si="3"/>
        <v>#REF!</v>
      </c>
      <c r="F40" s="214">
        <f>ROUND( 6.62, 2 )</f>
        <v>6.62</v>
      </c>
      <c r="G40" s="214" t="e">
        <f t="shared" si="4"/>
        <v>#REF!</v>
      </c>
      <c r="H40" s="215" t="s">
        <v>1110</v>
      </c>
      <c r="I40" s="215" t="s">
        <v>1034</v>
      </c>
      <c r="N40" s="204"/>
      <c r="O40" s="204" t="e">
        <f t="shared" si="5"/>
        <v>#REF!</v>
      </c>
      <c r="P40" s="204" t="e">
        <f>SmtRes!CX492</f>
        <v>#REF!</v>
      </c>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c r="HV40" s="204"/>
      <c r="HW40" s="204"/>
      <c r="HX40" s="204"/>
      <c r="HY40" s="204"/>
      <c r="HZ40" s="204"/>
      <c r="IA40" s="204"/>
      <c r="IB40" s="204"/>
      <c r="IC40" s="204"/>
      <c r="ID40" s="204"/>
      <c r="IE40" s="204"/>
      <c r="IF40" s="204"/>
      <c r="IG40" s="204"/>
      <c r="IH40" s="204"/>
      <c r="II40" s="204"/>
      <c r="IJ40" s="204"/>
      <c r="IK40" s="204"/>
      <c r="IL40" s="204"/>
      <c r="IM40" s="204"/>
      <c r="IN40" s="204"/>
      <c r="IO40" s="204"/>
      <c r="IP40" s="204"/>
      <c r="IQ40" s="204"/>
      <c r="IR40" s="204"/>
      <c r="IS40" s="204"/>
      <c r="IT40" s="204"/>
      <c r="IU40" s="204"/>
    </row>
    <row r="41" spans="1:255" s="43" customFormat="1" ht="36" x14ac:dyDescent="0.2">
      <c r="A41" s="211">
        <v>20</v>
      </c>
      <c r="B41" s="212" t="s">
        <v>634</v>
      </c>
      <c r="C41" s="212" t="s">
        <v>636</v>
      </c>
      <c r="D41" s="212" t="s">
        <v>137</v>
      </c>
      <c r="E41" s="213">
        <f t="shared" si="3"/>
        <v>122.78156799999999</v>
      </c>
      <c r="F41" s="214">
        <f>ROUND( 56.1, 2 )</f>
        <v>56.1</v>
      </c>
      <c r="G41" s="214">
        <f t="shared" si="4"/>
        <v>6888.05</v>
      </c>
      <c r="H41" s="215" t="s">
        <v>1095</v>
      </c>
      <c r="I41" s="215" t="s">
        <v>1034</v>
      </c>
      <c r="N41" s="204"/>
      <c r="O41" s="204">
        <f t="shared" si="5"/>
        <v>122.78156799999999</v>
      </c>
      <c r="P41" s="204">
        <f>SmtRes!CX5</f>
        <v>11.99296</v>
      </c>
      <c r="Q41" s="204">
        <f>SmtRes!CX97</f>
        <v>56.56</v>
      </c>
      <c r="R41" s="204">
        <f>SmtRes!CX113</f>
        <v>13.303808</v>
      </c>
      <c r="S41" s="204">
        <f>SmtRes!CX371</f>
        <v>40.924799999999998</v>
      </c>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row>
    <row r="42" spans="1:255" s="43" customFormat="1" ht="12" x14ac:dyDescent="0.2">
      <c r="A42" s="211">
        <v>21</v>
      </c>
      <c r="B42" s="212" t="s">
        <v>657</v>
      </c>
      <c r="C42" s="212" t="s">
        <v>659</v>
      </c>
      <c r="D42" s="212" t="s">
        <v>660</v>
      </c>
      <c r="E42" s="213">
        <f t="shared" si="3"/>
        <v>0.42720000000000002</v>
      </c>
      <c r="F42" s="214">
        <f>ROUND( 52.5, 2 )</f>
        <v>52.5</v>
      </c>
      <c r="G42" s="214">
        <f t="shared" si="4"/>
        <v>22.43</v>
      </c>
      <c r="H42" s="215" t="s">
        <v>1100</v>
      </c>
      <c r="I42" s="215" t="s">
        <v>1034</v>
      </c>
      <c r="N42" s="204"/>
      <c r="O42" s="204">
        <f t="shared" si="5"/>
        <v>0.42720000000000002</v>
      </c>
      <c r="P42" s="204">
        <f>SmtRes!CX258</f>
        <v>0.42720000000000002</v>
      </c>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row>
    <row r="43" spans="1:255" s="43" customFormat="1" ht="24" x14ac:dyDescent="0.2">
      <c r="A43" s="211">
        <v>22</v>
      </c>
      <c r="B43" s="212" t="s">
        <v>695</v>
      </c>
      <c r="C43" s="212" t="s">
        <v>697</v>
      </c>
      <c r="D43" s="212" t="s">
        <v>137</v>
      </c>
      <c r="E43" s="213">
        <f t="shared" si="3"/>
        <v>0.86593750000000003</v>
      </c>
      <c r="F43" s="214">
        <f>ROUND( 7.51, 2 )</f>
        <v>7.51</v>
      </c>
      <c r="G43" s="214">
        <f t="shared" si="4"/>
        <v>6.5</v>
      </c>
      <c r="H43" s="215" t="s">
        <v>1109</v>
      </c>
      <c r="I43" s="215" t="s">
        <v>1034</v>
      </c>
      <c r="N43" s="204"/>
      <c r="O43" s="204">
        <f t="shared" si="5"/>
        <v>0.86593750000000003</v>
      </c>
      <c r="P43" s="204">
        <f>SmtRes!CX466</f>
        <v>0.86593750000000003</v>
      </c>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row>
    <row r="44" spans="1:255" s="43" customFormat="1" ht="48" x14ac:dyDescent="0.2">
      <c r="A44" s="211">
        <v>23</v>
      </c>
      <c r="B44" s="212" t="s">
        <v>687</v>
      </c>
      <c r="C44" s="212" t="s">
        <v>689</v>
      </c>
      <c r="D44" s="212" t="s">
        <v>137</v>
      </c>
      <c r="E44" s="213" t="e">
        <f t="shared" si="3"/>
        <v>#REF!</v>
      </c>
      <c r="F44" s="214">
        <f>ROUND( 32.5, 2 )</f>
        <v>32.5</v>
      </c>
      <c r="G44" s="214" t="e">
        <f t="shared" si="4"/>
        <v>#REF!</v>
      </c>
      <c r="H44" s="215" t="s">
        <v>1107</v>
      </c>
      <c r="I44" s="215" t="s">
        <v>1034</v>
      </c>
      <c r="N44" s="204"/>
      <c r="O44" s="204" t="e">
        <f t="shared" si="5"/>
        <v>#REF!</v>
      </c>
      <c r="P44" s="204" t="e">
        <f>SmtRes!CX352</f>
        <v>#REF!</v>
      </c>
      <c r="Q44" s="204" t="e">
        <f>SmtRes!CX362</f>
        <v>#REF!</v>
      </c>
      <c r="R44" s="204" t="e">
        <f>SmtRes!CX522</f>
        <v>#REF!</v>
      </c>
      <c r="S44" s="204" t="e">
        <f>SmtRes!CX532</f>
        <v>#REF!</v>
      </c>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row>
    <row r="45" spans="1:255" s="43" customFormat="1" ht="12" x14ac:dyDescent="0.2">
      <c r="A45" s="211">
        <v>24</v>
      </c>
      <c r="B45" s="212" t="s">
        <v>649</v>
      </c>
      <c r="C45" s="212" t="s">
        <v>651</v>
      </c>
      <c r="D45" s="212" t="s">
        <v>137</v>
      </c>
      <c r="E45" s="213">
        <f t="shared" si="3"/>
        <v>83.54231200000001</v>
      </c>
      <c r="F45" s="214">
        <f>ROUND( 1.83, 2 )</f>
        <v>1.83</v>
      </c>
      <c r="G45" s="214">
        <f t="shared" si="4"/>
        <v>152.88</v>
      </c>
      <c r="H45" s="215" t="s">
        <v>1098</v>
      </c>
      <c r="I45" s="215" t="s">
        <v>1034</v>
      </c>
      <c r="N45" s="204"/>
      <c r="O45" s="204">
        <f t="shared" si="5"/>
        <v>83.54231200000001</v>
      </c>
      <c r="P45" s="204">
        <f>SmtRes!CX44</f>
        <v>5.1582720000000002</v>
      </c>
      <c r="Q45" s="204">
        <f>SmtRes!CX70</f>
        <v>11.070080000000001</v>
      </c>
      <c r="R45" s="204">
        <f>SmtRes!CX156</f>
        <v>7.2633736000000004</v>
      </c>
      <c r="S45" s="204">
        <f>SmtRes!CX182</f>
        <v>0.7827904</v>
      </c>
      <c r="T45" s="204">
        <f>SmtRes!CX208</f>
        <v>8.3674079999999993</v>
      </c>
      <c r="U45" s="204">
        <f>SmtRes!CX234</f>
        <v>50.900388</v>
      </c>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row>
    <row r="46" spans="1:255" s="43" customFormat="1" ht="12" x14ac:dyDescent="0.2">
      <c r="A46" s="211">
        <v>25</v>
      </c>
      <c r="B46" s="212" t="s">
        <v>690</v>
      </c>
      <c r="C46" s="212" t="s">
        <v>692</v>
      </c>
      <c r="D46" s="212" t="s">
        <v>137</v>
      </c>
      <c r="E46" s="213">
        <f t="shared" si="3"/>
        <v>97.634879999999995</v>
      </c>
      <c r="F46" s="214">
        <f>ROUND( 0.5, 2 )</f>
        <v>0.5</v>
      </c>
      <c r="G46" s="214">
        <f t="shared" si="4"/>
        <v>48.82</v>
      </c>
      <c r="H46" s="215" t="s">
        <v>1108</v>
      </c>
      <c r="I46" s="215" t="s">
        <v>1034</v>
      </c>
      <c r="N46" s="204"/>
      <c r="O46" s="204">
        <f t="shared" si="5"/>
        <v>97.634879999999995</v>
      </c>
      <c r="P46" s="204">
        <f>SmtRes!CX420</f>
        <v>97.634879999999995</v>
      </c>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c r="HV46" s="204"/>
      <c r="HW46" s="204"/>
      <c r="HX46" s="204"/>
      <c r="HY46" s="204"/>
      <c r="HZ46" s="204"/>
      <c r="IA46" s="204"/>
      <c r="IB46" s="204"/>
      <c r="IC46" s="204"/>
      <c r="ID46" s="204"/>
      <c r="IE46" s="204"/>
      <c r="IF46" s="204"/>
      <c r="IG46" s="204"/>
      <c r="IH46" s="204"/>
      <c r="II46" s="204"/>
      <c r="IJ46" s="204"/>
      <c r="IK46" s="204"/>
      <c r="IL46" s="204"/>
      <c r="IM46" s="204"/>
      <c r="IN46" s="204"/>
      <c r="IO46" s="204"/>
      <c r="IP46" s="204"/>
      <c r="IQ46" s="204"/>
      <c r="IR46" s="204"/>
      <c r="IS46" s="204"/>
      <c r="IT46" s="204"/>
      <c r="IU46" s="204"/>
    </row>
    <row r="47" spans="1:255" s="43" customFormat="1" ht="12" x14ac:dyDescent="0.2">
      <c r="A47" s="211">
        <v>26</v>
      </c>
      <c r="B47" s="212" t="s">
        <v>669</v>
      </c>
      <c r="C47" s="212" t="s">
        <v>671</v>
      </c>
      <c r="D47" s="212" t="s">
        <v>137</v>
      </c>
      <c r="E47" s="213" t="e">
        <f t="shared" si="3"/>
        <v>#REF!</v>
      </c>
      <c r="F47" s="214">
        <f>ROUND( 2.07, 2 )</f>
        <v>2.0699999999999998</v>
      </c>
      <c r="G47" s="214" t="e">
        <f t="shared" si="4"/>
        <v>#REF!</v>
      </c>
      <c r="H47" s="215" t="s">
        <v>1103</v>
      </c>
      <c r="I47" s="215" t="s">
        <v>1034</v>
      </c>
      <c r="N47" s="204"/>
      <c r="O47" s="204" t="e">
        <f t="shared" si="5"/>
        <v>#REF!</v>
      </c>
      <c r="P47" s="204">
        <f>SmtRes!CX268</f>
        <v>1.6919999999999999</v>
      </c>
      <c r="Q47" s="204">
        <f>SmtRes!CX288</f>
        <v>0.54720000000000002</v>
      </c>
      <c r="R47" s="204" t="e">
        <f>SmtRes!CX353</f>
        <v>#REF!</v>
      </c>
      <c r="S47" s="204" t="e">
        <f>SmtRes!CX363</f>
        <v>#REF!</v>
      </c>
      <c r="T47" s="204">
        <f>SmtRes!CX502</f>
        <v>1.5980000000000001</v>
      </c>
      <c r="U47" s="204" t="e">
        <f>SmtRes!CX523</f>
        <v>#REF!</v>
      </c>
      <c r="V47" s="204" t="e">
        <f>SmtRes!CX533</f>
        <v>#REF!</v>
      </c>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c r="HV47" s="204"/>
      <c r="HW47" s="204"/>
      <c r="HX47" s="204"/>
      <c r="HY47" s="204"/>
      <c r="HZ47" s="204"/>
      <c r="IA47" s="204"/>
      <c r="IB47" s="204"/>
      <c r="IC47" s="204"/>
      <c r="ID47" s="204"/>
      <c r="IE47" s="204"/>
      <c r="IF47" s="204"/>
      <c r="IG47" s="204"/>
      <c r="IH47" s="204"/>
      <c r="II47" s="204"/>
      <c r="IJ47" s="204"/>
      <c r="IK47" s="204"/>
      <c r="IL47" s="204"/>
      <c r="IM47" s="204"/>
      <c r="IN47" s="204"/>
      <c r="IO47" s="204"/>
      <c r="IP47" s="204"/>
      <c r="IQ47" s="204"/>
      <c r="IR47" s="204"/>
      <c r="IS47" s="204"/>
      <c r="IT47" s="204"/>
      <c r="IU47" s="204"/>
    </row>
    <row r="48" spans="1:255" s="43" customFormat="1" ht="36" x14ac:dyDescent="0.2">
      <c r="A48" s="211">
        <v>27</v>
      </c>
      <c r="B48" s="212" t="s">
        <v>682</v>
      </c>
      <c r="C48" s="212" t="s">
        <v>684</v>
      </c>
      <c r="D48" s="212" t="s">
        <v>137</v>
      </c>
      <c r="E48" s="213" t="e">
        <f t="shared" si="3"/>
        <v>#REF!</v>
      </c>
      <c r="F48" s="214">
        <f>ROUND( 6.81, 2 )</f>
        <v>6.81</v>
      </c>
      <c r="G48" s="214" t="e">
        <f t="shared" si="4"/>
        <v>#REF!</v>
      </c>
      <c r="H48" s="215" t="s">
        <v>1106</v>
      </c>
      <c r="I48" s="215" t="s">
        <v>1034</v>
      </c>
      <c r="N48" s="204"/>
      <c r="O48" s="204" t="e">
        <f t="shared" si="5"/>
        <v>#REF!</v>
      </c>
      <c r="P48" s="204" t="e">
        <f>SmtRes!CX339</f>
        <v>#REF!</v>
      </c>
      <c r="Q48" s="204" t="e">
        <f>SmtRes!CX479</f>
        <v>#REF!</v>
      </c>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c r="HV48" s="204"/>
      <c r="HW48" s="204"/>
      <c r="HX48" s="204"/>
      <c r="HY48" s="204"/>
      <c r="HZ48" s="204"/>
      <c r="IA48" s="204"/>
      <c r="IB48" s="204"/>
      <c r="IC48" s="204"/>
      <c r="ID48" s="204"/>
      <c r="IE48" s="204"/>
      <c r="IF48" s="204"/>
      <c r="IG48" s="204"/>
      <c r="IH48" s="204"/>
      <c r="II48" s="204"/>
      <c r="IJ48" s="204"/>
      <c r="IK48" s="204"/>
      <c r="IL48" s="204"/>
      <c r="IM48" s="204"/>
      <c r="IN48" s="204"/>
      <c r="IO48" s="204"/>
      <c r="IP48" s="204"/>
      <c r="IQ48" s="204"/>
      <c r="IR48" s="204"/>
      <c r="IS48" s="204"/>
      <c r="IT48" s="204"/>
      <c r="IU48" s="204"/>
    </row>
    <row r="49" spans="1:255" s="43" customFormat="1" ht="24" x14ac:dyDescent="0.2">
      <c r="A49" s="211">
        <v>28</v>
      </c>
      <c r="B49" s="212" t="s">
        <v>637</v>
      </c>
      <c r="C49" s="212" t="s">
        <v>663</v>
      </c>
      <c r="D49" s="212" t="s">
        <v>660</v>
      </c>
      <c r="E49" s="213">
        <f t="shared" si="3"/>
        <v>1.2E-2</v>
      </c>
      <c r="F49" s="214">
        <f>ROUND( 85.94, 2 )</f>
        <v>85.94</v>
      </c>
      <c r="G49" s="214">
        <f t="shared" si="4"/>
        <v>1.03</v>
      </c>
      <c r="H49" s="215" t="s">
        <v>1101</v>
      </c>
      <c r="I49" s="215" t="s">
        <v>1034</v>
      </c>
      <c r="N49" s="204"/>
      <c r="O49" s="204">
        <f t="shared" si="5"/>
        <v>1.2E-2</v>
      </c>
      <c r="P49" s="204">
        <f>SmtRes!CX259</f>
        <v>1.2E-2</v>
      </c>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c r="HV49" s="204"/>
      <c r="HW49" s="204"/>
      <c r="HX49" s="204"/>
      <c r="HY49" s="204"/>
      <c r="HZ49" s="204"/>
      <c r="IA49" s="204"/>
      <c r="IB49" s="204"/>
      <c r="IC49" s="204"/>
      <c r="ID49" s="204"/>
      <c r="IE49" s="204"/>
      <c r="IF49" s="204"/>
      <c r="IG49" s="204"/>
      <c r="IH49" s="204"/>
      <c r="II49" s="204"/>
      <c r="IJ49" s="204"/>
      <c r="IK49" s="204"/>
      <c r="IL49" s="204"/>
      <c r="IM49" s="204"/>
      <c r="IN49" s="204"/>
      <c r="IO49" s="204"/>
      <c r="IP49" s="204"/>
      <c r="IQ49" s="204"/>
      <c r="IR49" s="204"/>
      <c r="IS49" s="204"/>
      <c r="IT49" s="204"/>
      <c r="IU49" s="204"/>
    </row>
    <row r="50" spans="1:255" s="43" customFormat="1" ht="24" x14ac:dyDescent="0.2">
      <c r="A50" s="211">
        <v>29</v>
      </c>
      <c r="B50" s="212" t="s">
        <v>637</v>
      </c>
      <c r="C50" s="212" t="s">
        <v>639</v>
      </c>
      <c r="D50" s="212" t="s">
        <v>137</v>
      </c>
      <c r="E50" s="213" t="e">
        <f t="shared" si="3"/>
        <v>#REF!</v>
      </c>
      <c r="F50" s="214">
        <f>ROUND( 93.37, 2 )</f>
        <v>93.37</v>
      </c>
      <c r="G50" s="214" t="e">
        <f t="shared" si="4"/>
        <v>#REF!</v>
      </c>
      <c r="H50" s="215" t="s">
        <v>1096</v>
      </c>
      <c r="I50" s="215" t="s">
        <v>1034</v>
      </c>
      <c r="N50" s="204"/>
      <c r="O50" s="204" t="e">
        <f t="shared" si="5"/>
        <v>#REF!</v>
      </c>
      <c r="P50" s="204">
        <f>SmtRes!CX6</f>
        <v>4.1225800000000001</v>
      </c>
      <c r="Q50" s="204">
        <f>SmtRes!CX21</f>
        <v>5.8408000000000002E-2</v>
      </c>
      <c r="R50" s="204">
        <f>SmtRes!CX33</f>
        <v>0.30088239999999999</v>
      </c>
      <c r="S50" s="204">
        <f>SmtRes!CX98</f>
        <v>19.442499999999999</v>
      </c>
      <c r="T50" s="204">
        <f>SmtRes!CX114</f>
        <v>4.5731840000000004</v>
      </c>
      <c r="U50" s="204">
        <f>SmtRes!CX131</f>
        <v>0.1036448</v>
      </c>
      <c r="V50" s="204">
        <f>SmtRes!CX143</f>
        <v>1.4725619999999999</v>
      </c>
      <c r="W50" s="204">
        <f>SmtRes!CX269</f>
        <v>6.4799999999999996E-2</v>
      </c>
      <c r="X50" s="204">
        <f>SmtRes!CX289</f>
        <v>4.9399999999999999E-2</v>
      </c>
      <c r="Y50" s="204">
        <f>SmtRes!CX309</f>
        <v>5.2057600000000002E-3</v>
      </c>
      <c r="Z50" s="204">
        <f>SmtRes!CX325</f>
        <v>1.9694079999999999E-2</v>
      </c>
      <c r="AA50" s="204" t="e">
        <f>SmtRes!CX340</f>
        <v>#REF!</v>
      </c>
      <c r="AB50" s="204">
        <f>SmtRes!CX372</f>
        <v>19.293119999999998</v>
      </c>
      <c r="AC50" s="204">
        <f>SmtRes!CX389</f>
        <v>0.44688280000000002</v>
      </c>
      <c r="AD50" s="204">
        <f>SmtRes!CX403</f>
        <v>1.2899544000000001</v>
      </c>
      <c r="AE50" s="204">
        <f>SmtRes!CX439</f>
        <v>1.147776E-2</v>
      </c>
      <c r="AF50" s="204">
        <f>SmtRes!CX453</f>
        <v>7.8399999999999997E-3</v>
      </c>
      <c r="AG50" s="204">
        <f>SmtRes!CX467</f>
        <v>4.1972500000000003E-2</v>
      </c>
      <c r="AH50" s="204" t="e">
        <f>SmtRes!CX480</f>
        <v>#REF!</v>
      </c>
      <c r="AI50" s="204" t="e">
        <f>SmtRes!CX493</f>
        <v>#REF!</v>
      </c>
      <c r="AJ50" s="204">
        <f>SmtRes!CX503</f>
        <v>6.1199999999999997E-2</v>
      </c>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c r="HV50" s="204"/>
      <c r="HW50" s="204"/>
      <c r="HX50" s="204"/>
      <c r="HY50" s="204"/>
      <c r="HZ50" s="204"/>
      <c r="IA50" s="204"/>
      <c r="IB50" s="204"/>
      <c r="IC50" s="204"/>
      <c r="ID50" s="204"/>
      <c r="IE50" s="204"/>
      <c r="IF50" s="204"/>
      <c r="IG50" s="204"/>
      <c r="IH50" s="204"/>
      <c r="II50" s="204"/>
      <c r="IJ50" s="204"/>
      <c r="IK50" s="204"/>
      <c r="IL50" s="204"/>
      <c r="IM50" s="204"/>
      <c r="IN50" s="204"/>
      <c r="IO50" s="204"/>
      <c r="IP50" s="204"/>
      <c r="IQ50" s="204"/>
      <c r="IR50" s="204"/>
      <c r="IS50" s="204"/>
      <c r="IT50" s="204"/>
      <c r="IU50" s="204"/>
    </row>
    <row r="51" spans="1:255" s="43" customFormat="1" ht="24" x14ac:dyDescent="0.2">
      <c r="A51" s="211">
        <v>30</v>
      </c>
      <c r="B51" s="212" t="s">
        <v>1092</v>
      </c>
      <c r="C51" s="212" t="s">
        <v>630</v>
      </c>
      <c r="D51" s="212" t="s">
        <v>137</v>
      </c>
      <c r="E51" s="213">
        <f t="shared" si="3"/>
        <v>306.03925576</v>
      </c>
      <c r="F51" s="214">
        <f>ROUND( 115.64, 2 )</f>
        <v>115.64</v>
      </c>
      <c r="G51" s="214">
        <f t="shared" si="4"/>
        <v>35390.379999999997</v>
      </c>
      <c r="H51" s="218" t="s">
        <v>1093</v>
      </c>
      <c r="I51" s="218" t="s">
        <v>1034</v>
      </c>
      <c r="N51" s="204"/>
      <c r="O51" s="204">
        <f t="shared" si="5"/>
        <v>306.03925576</v>
      </c>
      <c r="P51" s="204">
        <f>SmtRes!CX3</f>
        <v>22.486799999999999</v>
      </c>
      <c r="Q51" s="204">
        <f>SmtRes!CX43</f>
        <v>4.3666559999999999</v>
      </c>
      <c r="R51" s="204">
        <f>SmtRes!CX69</f>
        <v>9.6863200000000003</v>
      </c>
      <c r="S51" s="204">
        <f>SmtRes!CX95</f>
        <v>106.05</v>
      </c>
      <c r="T51" s="204">
        <f>SmtRes!CX111</f>
        <v>24.94464</v>
      </c>
      <c r="U51" s="204">
        <f>SmtRes!CX207</f>
        <v>12.0630132</v>
      </c>
      <c r="V51" s="204">
        <f>SmtRes!CX307</f>
        <v>2.1566720000000001E-2</v>
      </c>
      <c r="W51" s="204">
        <f>SmtRes!CX323</f>
        <v>6.4709119999999995E-2</v>
      </c>
      <c r="X51" s="204">
        <f>SmtRes!CX369</f>
        <v>70.156800000000004</v>
      </c>
      <c r="Y51" s="204">
        <f>SmtRes!CX419</f>
        <v>56.125439999999998</v>
      </c>
      <c r="Z51" s="204">
        <f>SmtRes!CX437</f>
        <v>4.7550719999999998E-2</v>
      </c>
      <c r="AA51" s="204">
        <f>SmtRes!CX451</f>
        <v>2.5760000000000002E-2</v>
      </c>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c r="HV51" s="204"/>
      <c r="HW51" s="204"/>
      <c r="HX51" s="204"/>
      <c r="HY51" s="204"/>
      <c r="HZ51" s="204"/>
      <c r="IA51" s="204"/>
      <c r="IB51" s="204"/>
      <c r="IC51" s="204"/>
      <c r="ID51" s="204"/>
      <c r="IE51" s="204"/>
      <c r="IF51" s="204"/>
      <c r="IG51" s="204"/>
      <c r="IH51" s="204"/>
      <c r="II51" s="204"/>
      <c r="IJ51" s="204"/>
      <c r="IK51" s="204"/>
      <c r="IL51" s="204"/>
      <c r="IM51" s="204"/>
      <c r="IN51" s="204"/>
      <c r="IO51" s="204"/>
      <c r="IP51" s="204"/>
      <c r="IQ51" s="204"/>
      <c r="IR51" s="204"/>
      <c r="IS51" s="204"/>
      <c r="IT51" s="204"/>
      <c r="IU51" s="204"/>
    </row>
    <row r="52" spans="1:255" x14ac:dyDescent="0.2">
      <c r="A52" s="207"/>
      <c r="B52" s="207"/>
      <c r="C52" s="208" t="s">
        <v>546</v>
      </c>
      <c r="D52" s="207"/>
      <c r="E52" s="207"/>
      <c r="F52" s="207"/>
      <c r="G52" s="209" t="e">
        <f>ROUND(SUM(G33:G51),2)</f>
        <v>#REF!</v>
      </c>
      <c r="H52" s="207"/>
      <c r="I52" s="207"/>
      <c r="J52" s="23"/>
      <c r="K52" s="23"/>
      <c r="L52" s="197" t="e">
        <f>G52</f>
        <v>#REF!</v>
      </c>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row>
    <row r="53" spans="1:255" x14ac:dyDescent="0.2">
      <c r="A53" s="210"/>
      <c r="B53" s="210" t="s">
        <v>1091</v>
      </c>
      <c r="C53" s="210"/>
      <c r="D53" s="210"/>
      <c r="E53" s="210"/>
      <c r="F53" s="210"/>
      <c r="G53" s="207"/>
      <c r="H53" s="207"/>
      <c r="I53" s="207"/>
    </row>
    <row r="54" spans="1:255" s="43" customFormat="1" ht="24" x14ac:dyDescent="0.2">
      <c r="A54" s="211">
        <v>31</v>
      </c>
      <c r="B54" s="212" t="s">
        <v>135</v>
      </c>
      <c r="C54" s="212" t="s">
        <v>136</v>
      </c>
      <c r="D54" s="212" t="s">
        <v>137</v>
      </c>
      <c r="E54" s="213" t="e">
        <f>O54</f>
        <v>#REF!</v>
      </c>
      <c r="F54" s="214">
        <f>ROUND( 105.9, 2 )</f>
        <v>105.9</v>
      </c>
      <c r="G54" s="214" t="e">
        <f>ROUND(E54*F54,2)</f>
        <v>#REF!</v>
      </c>
      <c r="H54" s="215" t="s">
        <v>1111</v>
      </c>
      <c r="I54" s="215" t="s">
        <v>1034</v>
      </c>
      <c r="N54" s="204"/>
      <c r="O54" s="204" t="e">
        <f>SUM(P54:IV54)</f>
        <v>#REF!</v>
      </c>
      <c r="P54" s="204" t="e">
        <f>Source!I82</f>
        <v>#REF!</v>
      </c>
      <c r="Q54" s="204" t="e">
        <f>Source!I271</f>
        <v>#REF!</v>
      </c>
      <c r="R54" s="204" t="e">
        <f>Source!I352</f>
        <v>#REF!</v>
      </c>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row>
    <row r="55" spans="1:255" x14ac:dyDescent="0.2">
      <c r="A55" s="219"/>
      <c r="B55" s="219"/>
      <c r="C55" s="220" t="s">
        <v>546</v>
      </c>
      <c r="D55" s="219"/>
      <c r="E55" s="219"/>
      <c r="F55" s="219"/>
      <c r="G55" s="221" t="e">
        <f>ROUND(SUM(G54:G54),2)</f>
        <v>#REF!</v>
      </c>
      <c r="H55" s="219"/>
      <c r="I55" s="219"/>
      <c r="J55" s="23"/>
      <c r="K55" s="23"/>
      <c r="L55" s="197" t="e">
        <f>G55</f>
        <v>#REF!</v>
      </c>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row>
    <row r="56" spans="1:255" x14ac:dyDescent="0.2">
      <c r="A56" s="32"/>
      <c r="B56" s="52"/>
      <c r="C56" s="52"/>
      <c r="D56" s="52"/>
      <c r="E56" s="52"/>
      <c r="F56" s="52"/>
      <c r="G56" s="222"/>
      <c r="H56" s="52"/>
      <c r="I56" s="222"/>
    </row>
    <row r="57" spans="1:255" x14ac:dyDescent="0.2">
      <c r="A57" s="210"/>
      <c r="B57" s="210" t="s">
        <v>1032</v>
      </c>
      <c r="C57" s="210"/>
      <c r="D57" s="210"/>
      <c r="E57" s="210"/>
      <c r="F57" s="210"/>
      <c r="G57" s="207"/>
      <c r="H57" s="207"/>
      <c r="I57" s="207"/>
    </row>
    <row r="58" spans="1:255" s="43" customFormat="1" ht="12" x14ac:dyDescent="0.2">
      <c r="A58" s="211">
        <v>32</v>
      </c>
      <c r="B58" s="212" t="s">
        <v>31</v>
      </c>
      <c r="C58" s="212" t="s">
        <v>32</v>
      </c>
      <c r="D58" s="212" t="s">
        <v>33</v>
      </c>
      <c r="E58" s="213">
        <f t="shared" ref="E58:E89" si="6">O58</f>
        <v>2.3970499999999999E-2</v>
      </c>
      <c r="F58" s="214">
        <f>ROUND( 8475, 2 )</f>
        <v>8475</v>
      </c>
      <c r="G58" s="214">
        <f t="shared" ref="G58:G89" si="7">ROUND(E58*F58,2)</f>
        <v>203.15</v>
      </c>
      <c r="H58" s="215" t="s">
        <v>1112</v>
      </c>
      <c r="I58" s="215" t="s">
        <v>1034</v>
      </c>
      <c r="N58" s="204"/>
      <c r="O58" s="204">
        <f t="shared" ref="O58:O89" si="8">SUM(P58:IV58)</f>
        <v>2.3970499999999999E-2</v>
      </c>
      <c r="P58" s="204">
        <f>Source!I30</f>
        <v>1.7734999999999997E-3</v>
      </c>
      <c r="Q58" s="204">
        <f>Source!I121</f>
        <v>8.3639999999999999E-3</v>
      </c>
      <c r="R58" s="204">
        <f>Source!I320</f>
        <v>1.3833E-2</v>
      </c>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c r="HV58" s="204"/>
      <c r="HW58" s="204"/>
      <c r="HX58" s="204"/>
      <c r="HY58" s="204"/>
      <c r="HZ58" s="204"/>
      <c r="IA58" s="204"/>
      <c r="IB58" s="204"/>
      <c r="IC58" s="204"/>
      <c r="ID58" s="204"/>
      <c r="IE58" s="204"/>
      <c r="IF58" s="204"/>
      <c r="IG58" s="204"/>
      <c r="IH58" s="204"/>
      <c r="II58" s="204"/>
      <c r="IJ58" s="204"/>
      <c r="IK58" s="204"/>
      <c r="IL58" s="204"/>
      <c r="IM58" s="204"/>
      <c r="IN58" s="204"/>
      <c r="IO58" s="204"/>
      <c r="IP58" s="204"/>
      <c r="IQ58" s="204"/>
      <c r="IR58" s="204"/>
      <c r="IS58" s="204"/>
      <c r="IT58" s="204"/>
      <c r="IU58" s="204"/>
    </row>
    <row r="59" spans="1:255" s="43" customFormat="1" ht="12" x14ac:dyDescent="0.2">
      <c r="A59" s="211">
        <v>33</v>
      </c>
      <c r="B59" s="212" t="s">
        <v>303</v>
      </c>
      <c r="C59" s="212" t="s">
        <v>304</v>
      </c>
      <c r="D59" s="212" t="s">
        <v>305</v>
      </c>
      <c r="E59" s="213">
        <f t="shared" si="6"/>
        <v>3.4043999999999999</v>
      </c>
      <c r="F59" s="214">
        <f>ROUND( 75.03, 2 )</f>
        <v>75.03</v>
      </c>
      <c r="G59" s="214">
        <f t="shared" si="7"/>
        <v>255.43</v>
      </c>
      <c r="H59" s="215" t="s">
        <v>1128</v>
      </c>
      <c r="I59" s="215" t="s">
        <v>1034</v>
      </c>
      <c r="N59" s="204"/>
      <c r="O59" s="204">
        <f t="shared" si="8"/>
        <v>3.4043999999999999</v>
      </c>
      <c r="P59" s="204">
        <f>Source!I225</f>
        <v>3.4043999999999999</v>
      </c>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c r="HV59" s="204"/>
      <c r="HW59" s="204"/>
      <c r="HX59" s="204"/>
      <c r="HY59" s="204"/>
      <c r="HZ59" s="204"/>
      <c r="IA59" s="204"/>
      <c r="IB59" s="204"/>
      <c r="IC59" s="204"/>
      <c r="ID59" s="204"/>
      <c r="IE59" s="204"/>
      <c r="IF59" s="204"/>
      <c r="IG59" s="204"/>
      <c r="IH59" s="204"/>
      <c r="II59" s="204"/>
      <c r="IJ59" s="204"/>
      <c r="IK59" s="204"/>
      <c r="IL59" s="204"/>
      <c r="IM59" s="204"/>
      <c r="IN59" s="204"/>
      <c r="IO59" s="204"/>
      <c r="IP59" s="204"/>
      <c r="IQ59" s="204"/>
      <c r="IR59" s="204"/>
      <c r="IS59" s="204"/>
      <c r="IT59" s="204"/>
      <c r="IU59" s="204"/>
    </row>
    <row r="60" spans="1:255" s="43" customFormat="1" ht="12" x14ac:dyDescent="0.2">
      <c r="A60" s="211">
        <v>34</v>
      </c>
      <c r="B60" s="212" t="s">
        <v>501</v>
      </c>
      <c r="C60" s="212" t="s">
        <v>502</v>
      </c>
      <c r="D60" s="212" t="s">
        <v>33</v>
      </c>
      <c r="E60" s="213">
        <f t="shared" si="6"/>
        <v>1.6299999999999997E-3</v>
      </c>
      <c r="F60" s="214">
        <f>ROUND( 10380, 2 )</f>
        <v>10380</v>
      </c>
      <c r="G60" s="214">
        <f t="shared" si="7"/>
        <v>16.920000000000002</v>
      </c>
      <c r="H60" s="215" t="s">
        <v>1149</v>
      </c>
      <c r="I60" s="215" t="s">
        <v>1034</v>
      </c>
      <c r="N60" s="204"/>
      <c r="O60" s="204">
        <f t="shared" si="8"/>
        <v>1.6299999999999997E-3</v>
      </c>
      <c r="P60" s="204">
        <f>Source!I370</f>
        <v>1.6299999999999997E-3</v>
      </c>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row>
    <row r="61" spans="1:255" s="43" customFormat="1" ht="36" x14ac:dyDescent="0.2">
      <c r="A61" s="211">
        <v>35</v>
      </c>
      <c r="B61" s="212" t="s">
        <v>206</v>
      </c>
      <c r="C61" s="212" t="s">
        <v>207</v>
      </c>
      <c r="D61" s="212" t="s">
        <v>208</v>
      </c>
      <c r="E61" s="213">
        <f t="shared" si="6"/>
        <v>46.4</v>
      </c>
      <c r="F61" s="214">
        <f>ROUND( 6.26, 2 )</f>
        <v>6.26</v>
      </c>
      <c r="G61" s="214">
        <f t="shared" si="7"/>
        <v>290.45999999999998</v>
      </c>
      <c r="H61" s="215" t="s">
        <v>1123</v>
      </c>
      <c r="I61" s="215" t="s">
        <v>1034</v>
      </c>
      <c r="N61" s="204"/>
      <c r="O61" s="204">
        <f t="shared" si="8"/>
        <v>46.4</v>
      </c>
      <c r="P61" s="204">
        <f>Source!I127</f>
        <v>46.4</v>
      </c>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c r="HV61" s="204"/>
      <c r="HW61" s="204"/>
      <c r="HX61" s="204"/>
      <c r="HY61" s="204"/>
      <c r="HZ61" s="204"/>
      <c r="IA61" s="204"/>
      <c r="IB61" s="204"/>
      <c r="IC61" s="204"/>
      <c r="ID61" s="204"/>
      <c r="IE61" s="204"/>
      <c r="IF61" s="204"/>
      <c r="IG61" s="204"/>
      <c r="IH61" s="204"/>
      <c r="II61" s="204"/>
      <c r="IJ61" s="204"/>
      <c r="IK61" s="204"/>
      <c r="IL61" s="204"/>
      <c r="IM61" s="204"/>
      <c r="IN61" s="204"/>
      <c r="IO61" s="204"/>
      <c r="IP61" s="204"/>
      <c r="IQ61" s="204"/>
      <c r="IR61" s="204"/>
      <c r="IS61" s="204"/>
      <c r="IT61" s="204"/>
      <c r="IU61" s="204"/>
    </row>
    <row r="62" spans="1:255" s="43" customFormat="1" ht="24" x14ac:dyDescent="0.2">
      <c r="A62" s="211">
        <v>36</v>
      </c>
      <c r="B62" s="212" t="s">
        <v>421</v>
      </c>
      <c r="C62" s="212" t="s">
        <v>422</v>
      </c>
      <c r="D62" s="212" t="s">
        <v>423</v>
      </c>
      <c r="E62" s="213">
        <f t="shared" si="6"/>
        <v>6.3684000000000003</v>
      </c>
      <c r="F62" s="214">
        <f>ROUND( 183.59, 2 )</f>
        <v>183.59</v>
      </c>
      <c r="G62" s="214">
        <f t="shared" si="7"/>
        <v>1169.17</v>
      </c>
      <c r="H62" s="215" t="s">
        <v>1140</v>
      </c>
      <c r="I62" s="215" t="s">
        <v>1034</v>
      </c>
      <c r="N62" s="204"/>
      <c r="O62" s="204">
        <f t="shared" si="8"/>
        <v>6.3684000000000003</v>
      </c>
      <c r="P62" s="204">
        <f>Source!I318</f>
        <v>6.3684000000000003</v>
      </c>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c r="IP62" s="204"/>
      <c r="IQ62" s="204"/>
      <c r="IR62" s="204"/>
      <c r="IS62" s="204"/>
      <c r="IT62" s="204"/>
      <c r="IU62" s="204"/>
    </row>
    <row r="63" spans="1:255" s="43" customFormat="1" ht="24" x14ac:dyDescent="0.2">
      <c r="A63" s="211">
        <v>37</v>
      </c>
      <c r="B63" s="212" t="s">
        <v>472</v>
      </c>
      <c r="C63" s="212" t="s">
        <v>473</v>
      </c>
      <c r="D63" s="212" t="s">
        <v>103</v>
      </c>
      <c r="E63" s="213">
        <f t="shared" si="6"/>
        <v>1200.5999999999999</v>
      </c>
      <c r="F63" s="214">
        <f>ROUND( 0.28, 2 )</f>
        <v>0.28000000000000003</v>
      </c>
      <c r="G63" s="214">
        <f t="shared" si="7"/>
        <v>336.17</v>
      </c>
      <c r="H63" s="215" t="s">
        <v>1146</v>
      </c>
      <c r="I63" s="215" t="s">
        <v>1034</v>
      </c>
      <c r="N63" s="204"/>
      <c r="O63" s="204">
        <f t="shared" si="8"/>
        <v>1200.5999999999999</v>
      </c>
      <c r="P63" s="204">
        <f>Source!I350</f>
        <v>1200.5999999999999</v>
      </c>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c r="IP63" s="204"/>
      <c r="IQ63" s="204"/>
      <c r="IR63" s="204"/>
      <c r="IS63" s="204"/>
      <c r="IT63" s="204"/>
      <c r="IU63" s="204"/>
    </row>
    <row r="64" spans="1:255" s="43" customFormat="1" ht="24" x14ac:dyDescent="0.2">
      <c r="A64" s="211">
        <v>38</v>
      </c>
      <c r="B64" s="212" t="s">
        <v>107</v>
      </c>
      <c r="C64" s="212" t="s">
        <v>108</v>
      </c>
      <c r="D64" s="212" t="s">
        <v>103</v>
      </c>
      <c r="E64" s="213">
        <f t="shared" si="6"/>
        <v>570.423</v>
      </c>
      <c r="F64" s="214">
        <f>ROUND( 0.24, 2 )</f>
        <v>0.24</v>
      </c>
      <c r="G64" s="214">
        <f t="shared" si="7"/>
        <v>136.9</v>
      </c>
      <c r="H64" s="215" t="s">
        <v>1120</v>
      </c>
      <c r="I64" s="215" t="s">
        <v>1034</v>
      </c>
      <c r="N64" s="204"/>
      <c r="O64" s="204">
        <f t="shared" si="8"/>
        <v>570.423</v>
      </c>
      <c r="P64" s="204">
        <f>Source!I56</f>
        <v>27.36</v>
      </c>
      <c r="Q64" s="204">
        <f>Source!I76</f>
        <v>52.95</v>
      </c>
      <c r="R64" s="204">
        <f>Source!I157</f>
        <v>59.405999999999999</v>
      </c>
      <c r="S64" s="204">
        <f>Source!I177</f>
        <v>4.1520000000000001</v>
      </c>
      <c r="T64" s="204">
        <f>Source!I197</f>
        <v>74.709000000000003</v>
      </c>
      <c r="U64" s="204">
        <f>Source!I217</f>
        <v>351.846</v>
      </c>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c r="IP64" s="204"/>
      <c r="IQ64" s="204"/>
      <c r="IR64" s="204"/>
      <c r="IS64" s="204"/>
      <c r="IT64" s="204"/>
      <c r="IU64" s="204"/>
    </row>
    <row r="65" spans="1:255" s="43" customFormat="1" ht="24" x14ac:dyDescent="0.2">
      <c r="A65" s="211">
        <v>39</v>
      </c>
      <c r="B65" s="212" t="s">
        <v>112</v>
      </c>
      <c r="C65" s="212" t="s">
        <v>113</v>
      </c>
      <c r="D65" s="212" t="s">
        <v>103</v>
      </c>
      <c r="E65" s="213">
        <f t="shared" si="6"/>
        <v>570.423</v>
      </c>
      <c r="F65" s="214">
        <f>ROUND( 0.3, 2 )</f>
        <v>0.3</v>
      </c>
      <c r="G65" s="214">
        <f t="shared" si="7"/>
        <v>171.13</v>
      </c>
      <c r="H65" s="215" t="s">
        <v>1121</v>
      </c>
      <c r="I65" s="215" t="s">
        <v>1034</v>
      </c>
      <c r="N65" s="204"/>
      <c r="O65" s="204">
        <f t="shared" si="8"/>
        <v>570.423</v>
      </c>
      <c r="P65" s="204">
        <f>Source!I58</f>
        <v>27.36</v>
      </c>
      <c r="Q65" s="204">
        <f>Source!I78</f>
        <v>52.95</v>
      </c>
      <c r="R65" s="204">
        <f>Source!I159</f>
        <v>59.405999999999999</v>
      </c>
      <c r="S65" s="204">
        <f>Source!I179</f>
        <v>4.1520000000000001</v>
      </c>
      <c r="T65" s="204">
        <f>Source!I199</f>
        <v>74.709000000000003</v>
      </c>
      <c r="U65" s="204">
        <f>Source!I219</f>
        <v>351.846</v>
      </c>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c r="HV65" s="204"/>
      <c r="HW65" s="204"/>
      <c r="HX65" s="204"/>
      <c r="HY65" s="204"/>
      <c r="HZ65" s="204"/>
      <c r="IA65" s="204"/>
      <c r="IB65" s="204"/>
      <c r="IC65" s="204"/>
      <c r="ID65" s="204"/>
      <c r="IE65" s="204"/>
      <c r="IF65" s="204"/>
      <c r="IG65" s="204"/>
      <c r="IH65" s="204"/>
      <c r="II65" s="204"/>
      <c r="IJ65" s="204"/>
      <c r="IK65" s="204"/>
      <c r="IL65" s="204"/>
      <c r="IM65" s="204"/>
      <c r="IN65" s="204"/>
      <c r="IO65" s="204"/>
      <c r="IP65" s="204"/>
      <c r="IQ65" s="204"/>
      <c r="IR65" s="204"/>
      <c r="IS65" s="204"/>
      <c r="IT65" s="204"/>
      <c r="IU65" s="204"/>
    </row>
    <row r="66" spans="1:255" s="43" customFormat="1" ht="24" x14ac:dyDescent="0.2">
      <c r="A66" s="211">
        <v>40</v>
      </c>
      <c r="B66" s="212" t="s">
        <v>101</v>
      </c>
      <c r="C66" s="212" t="s">
        <v>102</v>
      </c>
      <c r="D66" s="212" t="s">
        <v>103</v>
      </c>
      <c r="E66" s="213">
        <f t="shared" si="6"/>
        <v>1093.3107500000001</v>
      </c>
      <c r="F66" s="214">
        <f>ROUND( 0.24, 2 )</f>
        <v>0.24</v>
      </c>
      <c r="G66" s="214">
        <f t="shared" si="7"/>
        <v>262.39</v>
      </c>
      <c r="H66" s="215" t="s">
        <v>1120</v>
      </c>
      <c r="I66" s="215" t="s">
        <v>1034</v>
      </c>
      <c r="N66" s="204"/>
      <c r="O66" s="204">
        <f t="shared" si="8"/>
        <v>1093.3107500000001</v>
      </c>
      <c r="P66" s="204">
        <f>Source!I54</f>
        <v>52.44</v>
      </c>
      <c r="Q66" s="204">
        <f>Source!I74</f>
        <v>101.4875</v>
      </c>
      <c r="R66" s="204">
        <f>Source!I155</f>
        <v>113.86150000000002</v>
      </c>
      <c r="S66" s="204">
        <f>Source!I175</f>
        <v>7.9580000000000011</v>
      </c>
      <c r="T66" s="204">
        <f>Source!I195</f>
        <v>143.19225</v>
      </c>
      <c r="U66" s="204">
        <f>Source!I215</f>
        <v>674.37149999999997</v>
      </c>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row>
    <row r="67" spans="1:255" s="43" customFormat="1" ht="24" x14ac:dyDescent="0.2">
      <c r="A67" s="211">
        <v>41</v>
      </c>
      <c r="B67" s="212" t="s">
        <v>76</v>
      </c>
      <c r="C67" s="212" t="s">
        <v>77</v>
      </c>
      <c r="D67" s="212" t="s">
        <v>78</v>
      </c>
      <c r="E67" s="213">
        <f t="shared" si="6"/>
        <v>18.59</v>
      </c>
      <c r="F67" s="214">
        <f>ROUND( 87.58, 2 )</f>
        <v>87.58</v>
      </c>
      <c r="G67" s="214">
        <f t="shared" si="7"/>
        <v>1628.11</v>
      </c>
      <c r="H67" s="215" t="s">
        <v>1116</v>
      </c>
      <c r="I67" s="215" t="s">
        <v>1034</v>
      </c>
      <c r="N67" s="204"/>
      <c r="O67" s="204">
        <f t="shared" si="8"/>
        <v>18.59</v>
      </c>
      <c r="P67" s="204">
        <f>Source!I46</f>
        <v>6.84</v>
      </c>
      <c r="Q67" s="204">
        <f>Source!I66</f>
        <v>11.75</v>
      </c>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c r="IP67" s="204"/>
      <c r="IQ67" s="204"/>
      <c r="IR67" s="204"/>
      <c r="IS67" s="204"/>
      <c r="IT67" s="204"/>
      <c r="IU67" s="204"/>
    </row>
    <row r="68" spans="1:255" s="43" customFormat="1" ht="24" x14ac:dyDescent="0.2">
      <c r="A68" s="211">
        <v>42</v>
      </c>
      <c r="B68" s="212" t="s">
        <v>76</v>
      </c>
      <c r="C68" s="212" t="s">
        <v>245</v>
      </c>
      <c r="D68" s="212" t="s">
        <v>78</v>
      </c>
      <c r="E68" s="213">
        <f t="shared" si="6"/>
        <v>9.6549999999999994</v>
      </c>
      <c r="F68" s="214">
        <f>ROUND( 87.58, 2 )</f>
        <v>87.58</v>
      </c>
      <c r="G68" s="214">
        <f t="shared" si="7"/>
        <v>845.58</v>
      </c>
      <c r="H68" s="215" t="s">
        <v>1116</v>
      </c>
      <c r="I68" s="215" t="s">
        <v>1034</v>
      </c>
      <c r="N68" s="204"/>
      <c r="O68" s="204">
        <f t="shared" si="8"/>
        <v>9.6549999999999994</v>
      </c>
      <c r="P68" s="204">
        <f>Source!I147</f>
        <v>8.7899999999999991</v>
      </c>
      <c r="Q68" s="204">
        <f>Source!I167</f>
        <v>0.86499999999999999</v>
      </c>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c r="HV68" s="204"/>
      <c r="HW68" s="204"/>
      <c r="HX68" s="204"/>
      <c r="HY68" s="204"/>
      <c r="HZ68" s="204"/>
      <c r="IA68" s="204"/>
      <c r="IB68" s="204"/>
      <c r="IC68" s="204"/>
      <c r="ID68" s="204"/>
      <c r="IE68" s="204"/>
      <c r="IF68" s="204"/>
      <c r="IG68" s="204"/>
      <c r="IH68" s="204"/>
      <c r="II68" s="204"/>
      <c r="IJ68" s="204"/>
      <c r="IK68" s="204"/>
      <c r="IL68" s="204"/>
      <c r="IM68" s="204"/>
      <c r="IN68" s="204"/>
      <c r="IO68" s="204"/>
      <c r="IP68" s="204"/>
      <c r="IQ68" s="204"/>
      <c r="IR68" s="204"/>
      <c r="IS68" s="204"/>
      <c r="IT68" s="204"/>
      <c r="IU68" s="204"/>
    </row>
    <row r="69" spans="1:255" s="43" customFormat="1" ht="24" x14ac:dyDescent="0.2">
      <c r="A69" s="211">
        <v>43</v>
      </c>
      <c r="B69" s="212" t="s">
        <v>76</v>
      </c>
      <c r="C69" s="212" t="s">
        <v>286</v>
      </c>
      <c r="D69" s="212" t="s">
        <v>78</v>
      </c>
      <c r="E69" s="213">
        <f t="shared" si="6"/>
        <v>50.55</v>
      </c>
      <c r="F69" s="214">
        <f>ROUND( 87.58, 2 )</f>
        <v>87.58</v>
      </c>
      <c r="G69" s="214">
        <f t="shared" si="7"/>
        <v>4427.17</v>
      </c>
      <c r="H69" s="215" t="s">
        <v>1116</v>
      </c>
      <c r="I69" s="215" t="s">
        <v>1034</v>
      </c>
      <c r="N69" s="204"/>
      <c r="O69" s="204">
        <f t="shared" si="8"/>
        <v>50.55</v>
      </c>
      <c r="P69" s="204">
        <f>Source!I207</f>
        <v>50.55</v>
      </c>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c r="HV69" s="204"/>
      <c r="HW69" s="204"/>
      <c r="HX69" s="204"/>
      <c r="HY69" s="204"/>
      <c r="HZ69" s="204"/>
      <c r="IA69" s="204"/>
      <c r="IB69" s="204"/>
      <c r="IC69" s="204"/>
      <c r="ID69" s="204"/>
      <c r="IE69" s="204"/>
      <c r="IF69" s="204"/>
      <c r="IG69" s="204"/>
      <c r="IH69" s="204"/>
      <c r="II69" s="204"/>
      <c r="IJ69" s="204"/>
      <c r="IK69" s="204"/>
      <c r="IL69" s="204"/>
      <c r="IM69" s="204"/>
      <c r="IN69" s="204"/>
      <c r="IO69" s="204"/>
      <c r="IP69" s="204"/>
      <c r="IQ69" s="204"/>
      <c r="IR69" s="204"/>
      <c r="IS69" s="204"/>
      <c r="IT69" s="204"/>
      <c r="IU69" s="204"/>
    </row>
    <row r="70" spans="1:255" s="43" customFormat="1" ht="24" x14ac:dyDescent="0.2">
      <c r="A70" s="211">
        <v>44</v>
      </c>
      <c r="B70" s="212" t="s">
        <v>76</v>
      </c>
      <c r="C70" s="212" t="s">
        <v>271</v>
      </c>
      <c r="D70" s="212" t="s">
        <v>78</v>
      </c>
      <c r="E70" s="213">
        <f t="shared" si="6"/>
        <v>5.7160000000000002</v>
      </c>
      <c r="F70" s="214">
        <f>ROUND( 87.58, 2 )</f>
        <v>87.58</v>
      </c>
      <c r="G70" s="214">
        <f t="shared" si="7"/>
        <v>500.61</v>
      </c>
      <c r="H70" s="215" t="s">
        <v>1116</v>
      </c>
      <c r="I70" s="215" t="s">
        <v>1034</v>
      </c>
      <c r="N70" s="204"/>
      <c r="O70" s="204">
        <f t="shared" si="8"/>
        <v>5.7160000000000002</v>
      </c>
      <c r="P70" s="204">
        <f>Source!I187</f>
        <v>5.7160000000000002</v>
      </c>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c r="HV70" s="204"/>
      <c r="HW70" s="204"/>
      <c r="HX70" s="204"/>
      <c r="HY70" s="204"/>
      <c r="HZ70" s="204"/>
      <c r="IA70" s="204"/>
      <c r="IB70" s="204"/>
      <c r="IC70" s="204"/>
      <c r="ID70" s="204"/>
      <c r="IE70" s="204"/>
      <c r="IF70" s="204"/>
      <c r="IG70" s="204"/>
      <c r="IH70" s="204"/>
      <c r="II70" s="204"/>
      <c r="IJ70" s="204"/>
      <c r="IK70" s="204"/>
      <c r="IL70" s="204"/>
      <c r="IM70" s="204"/>
      <c r="IN70" s="204"/>
      <c r="IO70" s="204"/>
      <c r="IP70" s="204"/>
      <c r="IQ70" s="204"/>
      <c r="IR70" s="204"/>
      <c r="IS70" s="204"/>
      <c r="IT70" s="204"/>
      <c r="IU70" s="204"/>
    </row>
    <row r="71" spans="1:255" s="43" customFormat="1" ht="24" x14ac:dyDescent="0.2">
      <c r="A71" s="211">
        <v>45</v>
      </c>
      <c r="B71" s="212" t="s">
        <v>82</v>
      </c>
      <c r="C71" s="212" t="s">
        <v>83</v>
      </c>
      <c r="D71" s="212" t="s">
        <v>78</v>
      </c>
      <c r="E71" s="213">
        <f t="shared" si="6"/>
        <v>18.59</v>
      </c>
      <c r="F71" s="214">
        <f>ROUND( 56.57, 2 )</f>
        <v>56.57</v>
      </c>
      <c r="G71" s="214">
        <f t="shared" si="7"/>
        <v>1051.6400000000001</v>
      </c>
      <c r="H71" s="215" t="s">
        <v>1117</v>
      </c>
      <c r="I71" s="215" t="s">
        <v>1034</v>
      </c>
      <c r="N71" s="204"/>
      <c r="O71" s="204">
        <f t="shared" si="8"/>
        <v>18.59</v>
      </c>
      <c r="P71" s="204">
        <f>Source!I48</f>
        <v>6.84</v>
      </c>
      <c r="Q71" s="204">
        <f>Source!I68</f>
        <v>11.75</v>
      </c>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04"/>
      <c r="EI71" s="204"/>
      <c r="EJ71" s="204"/>
      <c r="EK71" s="204"/>
      <c r="EL71" s="204"/>
      <c r="EM71" s="204"/>
      <c r="EN71" s="204"/>
      <c r="EO71" s="204"/>
      <c r="EP71" s="204"/>
      <c r="EQ71" s="204"/>
      <c r="ER71" s="204"/>
      <c r="ES71" s="204"/>
      <c r="ET71" s="204"/>
      <c r="EU71" s="204"/>
      <c r="EV71" s="204"/>
      <c r="EW71" s="204"/>
      <c r="EX71" s="204"/>
      <c r="EY71" s="204"/>
      <c r="EZ71" s="204"/>
      <c r="FA71" s="204"/>
      <c r="FB71" s="204"/>
      <c r="FC71" s="204"/>
      <c r="FD71" s="204"/>
      <c r="FE71" s="204"/>
      <c r="FF71" s="204"/>
      <c r="FG71" s="204"/>
      <c r="FH71" s="204"/>
      <c r="FI71" s="204"/>
      <c r="FJ71" s="204"/>
      <c r="FK71" s="204"/>
      <c r="FL71" s="204"/>
      <c r="FM71" s="204"/>
      <c r="FN71" s="204"/>
      <c r="FO71" s="204"/>
      <c r="FP71" s="204"/>
      <c r="FQ71" s="204"/>
      <c r="FR71" s="204"/>
      <c r="FS71" s="204"/>
      <c r="FT71" s="204"/>
      <c r="FU71" s="204"/>
      <c r="FV71" s="204"/>
      <c r="FW71" s="204"/>
      <c r="FX71" s="204"/>
      <c r="FY71" s="204"/>
      <c r="FZ71" s="204"/>
      <c r="GA71" s="204"/>
      <c r="GB71" s="204"/>
      <c r="GC71" s="204"/>
      <c r="GD71" s="204"/>
      <c r="GE71" s="204"/>
      <c r="GF71" s="204"/>
      <c r="GG71" s="204"/>
      <c r="GH71" s="204"/>
      <c r="GI71" s="204"/>
      <c r="GJ71" s="204"/>
      <c r="GK71" s="204"/>
      <c r="GL71" s="204"/>
      <c r="GM71" s="204"/>
      <c r="GN71" s="204"/>
      <c r="GO71" s="204"/>
      <c r="GP71" s="204"/>
      <c r="GQ71" s="204"/>
      <c r="GR71" s="204"/>
      <c r="GS71" s="204"/>
      <c r="GT71" s="204"/>
      <c r="GU71" s="204"/>
      <c r="GV71" s="204"/>
      <c r="GW71" s="204"/>
      <c r="GX71" s="204"/>
      <c r="GY71" s="204"/>
      <c r="GZ71" s="204"/>
      <c r="HA71" s="204"/>
      <c r="HB71" s="204"/>
      <c r="HC71" s="204"/>
      <c r="HD71" s="204"/>
      <c r="HE71" s="204"/>
      <c r="HF71" s="204"/>
      <c r="HG71" s="204"/>
      <c r="HH71" s="204"/>
      <c r="HI71" s="204"/>
      <c r="HJ71" s="204"/>
      <c r="HK71" s="204"/>
      <c r="HL71" s="204"/>
      <c r="HM71" s="204"/>
      <c r="HN71" s="204"/>
      <c r="HO71" s="204"/>
      <c r="HP71" s="204"/>
      <c r="HQ71" s="204"/>
      <c r="HR71" s="204"/>
      <c r="HS71" s="204"/>
      <c r="HT71" s="204"/>
      <c r="HU71" s="204"/>
      <c r="HV71" s="204"/>
      <c r="HW71" s="204"/>
      <c r="HX71" s="204"/>
      <c r="HY71" s="204"/>
      <c r="HZ71" s="204"/>
      <c r="IA71" s="204"/>
      <c r="IB71" s="204"/>
      <c r="IC71" s="204"/>
      <c r="ID71" s="204"/>
      <c r="IE71" s="204"/>
      <c r="IF71" s="204"/>
      <c r="IG71" s="204"/>
      <c r="IH71" s="204"/>
      <c r="II71" s="204"/>
      <c r="IJ71" s="204"/>
      <c r="IK71" s="204"/>
      <c r="IL71" s="204"/>
      <c r="IM71" s="204"/>
      <c r="IN71" s="204"/>
      <c r="IO71" s="204"/>
      <c r="IP71" s="204"/>
      <c r="IQ71" s="204"/>
      <c r="IR71" s="204"/>
      <c r="IS71" s="204"/>
      <c r="IT71" s="204"/>
      <c r="IU71" s="204"/>
    </row>
    <row r="72" spans="1:255" s="43" customFormat="1" ht="24" x14ac:dyDescent="0.2">
      <c r="A72" s="211">
        <v>46</v>
      </c>
      <c r="B72" s="212" t="s">
        <v>82</v>
      </c>
      <c r="C72" s="212" t="s">
        <v>247</v>
      </c>
      <c r="D72" s="212" t="s">
        <v>78</v>
      </c>
      <c r="E72" s="213">
        <f t="shared" si="6"/>
        <v>9.6549999999999994</v>
      </c>
      <c r="F72" s="214">
        <f>ROUND( 56.57, 2 )</f>
        <v>56.57</v>
      </c>
      <c r="G72" s="214">
        <f t="shared" si="7"/>
        <v>546.17999999999995</v>
      </c>
      <c r="H72" s="215" t="s">
        <v>1117</v>
      </c>
      <c r="I72" s="215" t="s">
        <v>1034</v>
      </c>
      <c r="N72" s="204"/>
      <c r="O72" s="204">
        <f t="shared" si="8"/>
        <v>9.6549999999999994</v>
      </c>
      <c r="P72" s="204">
        <f>Source!I149</f>
        <v>8.7899999999999991</v>
      </c>
      <c r="Q72" s="204">
        <f>Source!I169</f>
        <v>0.86499999999999999</v>
      </c>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04"/>
      <c r="EI72" s="204"/>
      <c r="EJ72" s="204"/>
      <c r="EK72" s="204"/>
      <c r="EL72" s="204"/>
      <c r="EM72" s="204"/>
      <c r="EN72" s="204"/>
      <c r="EO72" s="204"/>
      <c r="EP72" s="204"/>
      <c r="EQ72" s="204"/>
      <c r="ER72" s="204"/>
      <c r="ES72" s="204"/>
      <c r="ET72" s="204"/>
      <c r="EU72" s="204"/>
      <c r="EV72" s="204"/>
      <c r="EW72" s="204"/>
      <c r="EX72" s="204"/>
      <c r="EY72" s="204"/>
      <c r="EZ72" s="204"/>
      <c r="FA72" s="204"/>
      <c r="FB72" s="204"/>
      <c r="FC72" s="204"/>
      <c r="FD72" s="204"/>
      <c r="FE72" s="204"/>
      <c r="FF72" s="204"/>
      <c r="FG72" s="204"/>
      <c r="FH72" s="204"/>
      <c r="FI72" s="204"/>
      <c r="FJ72" s="204"/>
      <c r="FK72" s="204"/>
      <c r="FL72" s="204"/>
      <c r="FM72" s="204"/>
      <c r="FN72" s="204"/>
      <c r="FO72" s="204"/>
      <c r="FP72" s="204"/>
      <c r="FQ72" s="204"/>
      <c r="FR72" s="204"/>
      <c r="FS72" s="204"/>
      <c r="FT72" s="204"/>
      <c r="FU72" s="204"/>
      <c r="FV72" s="204"/>
      <c r="FW72" s="204"/>
      <c r="FX72" s="204"/>
      <c r="FY72" s="204"/>
      <c r="FZ72" s="204"/>
      <c r="GA72" s="204"/>
      <c r="GB72" s="204"/>
      <c r="GC72" s="204"/>
      <c r="GD72" s="204"/>
      <c r="GE72" s="204"/>
      <c r="GF72" s="204"/>
      <c r="GG72" s="204"/>
      <c r="GH72" s="204"/>
      <c r="GI72" s="204"/>
      <c r="GJ72" s="204"/>
      <c r="GK72" s="204"/>
      <c r="GL72" s="204"/>
      <c r="GM72" s="204"/>
      <c r="GN72" s="204"/>
      <c r="GO72" s="204"/>
      <c r="GP72" s="204"/>
      <c r="GQ72" s="204"/>
      <c r="GR72" s="204"/>
      <c r="GS72" s="204"/>
      <c r="GT72" s="204"/>
      <c r="GU72" s="204"/>
      <c r="GV72" s="204"/>
      <c r="GW72" s="204"/>
      <c r="GX72" s="204"/>
      <c r="GY72" s="204"/>
      <c r="GZ72" s="204"/>
      <c r="HA72" s="204"/>
      <c r="HB72" s="204"/>
      <c r="HC72" s="204"/>
      <c r="HD72" s="204"/>
      <c r="HE72" s="204"/>
      <c r="HF72" s="204"/>
      <c r="HG72" s="204"/>
      <c r="HH72" s="204"/>
      <c r="HI72" s="204"/>
      <c r="HJ72" s="204"/>
      <c r="HK72" s="204"/>
      <c r="HL72" s="204"/>
      <c r="HM72" s="204"/>
      <c r="HN72" s="204"/>
      <c r="HO72" s="204"/>
      <c r="HP72" s="204"/>
      <c r="HQ72" s="204"/>
      <c r="HR72" s="204"/>
      <c r="HS72" s="204"/>
      <c r="HT72" s="204"/>
      <c r="HU72" s="204"/>
      <c r="HV72" s="204"/>
      <c r="HW72" s="204"/>
      <c r="HX72" s="204"/>
      <c r="HY72" s="204"/>
      <c r="HZ72" s="204"/>
      <c r="IA72" s="204"/>
      <c r="IB72" s="204"/>
      <c r="IC72" s="204"/>
      <c r="ID72" s="204"/>
      <c r="IE72" s="204"/>
      <c r="IF72" s="204"/>
      <c r="IG72" s="204"/>
      <c r="IH72" s="204"/>
      <c r="II72" s="204"/>
      <c r="IJ72" s="204"/>
      <c r="IK72" s="204"/>
      <c r="IL72" s="204"/>
      <c r="IM72" s="204"/>
      <c r="IN72" s="204"/>
      <c r="IO72" s="204"/>
      <c r="IP72" s="204"/>
      <c r="IQ72" s="204"/>
      <c r="IR72" s="204"/>
      <c r="IS72" s="204"/>
      <c r="IT72" s="204"/>
      <c r="IU72" s="204"/>
    </row>
    <row r="73" spans="1:255" s="43" customFormat="1" ht="24" x14ac:dyDescent="0.2">
      <c r="A73" s="211">
        <v>47</v>
      </c>
      <c r="B73" s="212" t="s">
        <v>82</v>
      </c>
      <c r="C73" s="212" t="s">
        <v>288</v>
      </c>
      <c r="D73" s="212" t="s">
        <v>78</v>
      </c>
      <c r="E73" s="213">
        <f t="shared" si="6"/>
        <v>50.55</v>
      </c>
      <c r="F73" s="214">
        <f>ROUND( 56.57, 2 )</f>
        <v>56.57</v>
      </c>
      <c r="G73" s="214">
        <f t="shared" si="7"/>
        <v>2859.61</v>
      </c>
      <c r="H73" s="215" t="s">
        <v>1117</v>
      </c>
      <c r="I73" s="215" t="s">
        <v>1034</v>
      </c>
      <c r="N73" s="204"/>
      <c r="O73" s="204">
        <f t="shared" si="8"/>
        <v>50.55</v>
      </c>
      <c r="P73" s="204">
        <f>Source!I209</f>
        <v>50.55</v>
      </c>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204"/>
      <c r="EU73" s="204"/>
      <c r="EV73" s="204"/>
      <c r="EW73" s="204"/>
      <c r="EX73" s="204"/>
      <c r="EY73" s="204"/>
      <c r="EZ73" s="204"/>
      <c r="FA73" s="204"/>
      <c r="FB73" s="204"/>
      <c r="FC73" s="204"/>
      <c r="FD73" s="204"/>
      <c r="FE73" s="204"/>
      <c r="FF73" s="204"/>
      <c r="FG73" s="204"/>
      <c r="FH73" s="204"/>
      <c r="FI73" s="204"/>
      <c r="FJ73" s="204"/>
      <c r="FK73" s="204"/>
      <c r="FL73" s="204"/>
      <c r="FM73" s="204"/>
      <c r="FN73" s="204"/>
      <c r="FO73" s="204"/>
      <c r="FP73" s="204"/>
      <c r="FQ73" s="204"/>
      <c r="FR73" s="204"/>
      <c r="FS73" s="204"/>
      <c r="FT73" s="204"/>
      <c r="FU73" s="204"/>
      <c r="FV73" s="204"/>
      <c r="FW73" s="204"/>
      <c r="FX73" s="204"/>
      <c r="FY73" s="204"/>
      <c r="FZ73" s="204"/>
      <c r="GA73" s="204"/>
      <c r="GB73" s="204"/>
      <c r="GC73" s="204"/>
      <c r="GD73" s="204"/>
      <c r="GE73" s="204"/>
      <c r="GF73" s="204"/>
      <c r="GG73" s="204"/>
      <c r="GH73" s="204"/>
      <c r="GI73" s="204"/>
      <c r="GJ73" s="204"/>
      <c r="GK73" s="204"/>
      <c r="GL73" s="204"/>
      <c r="GM73" s="204"/>
      <c r="GN73" s="204"/>
      <c r="GO73" s="204"/>
      <c r="GP73" s="204"/>
      <c r="GQ73" s="204"/>
      <c r="GR73" s="204"/>
      <c r="GS73" s="204"/>
      <c r="GT73" s="204"/>
      <c r="GU73" s="204"/>
      <c r="GV73" s="204"/>
      <c r="GW73" s="204"/>
      <c r="GX73" s="204"/>
      <c r="GY73" s="204"/>
      <c r="GZ73" s="204"/>
      <c r="HA73" s="204"/>
      <c r="HB73" s="204"/>
      <c r="HC73" s="204"/>
      <c r="HD73" s="204"/>
      <c r="HE73" s="204"/>
      <c r="HF73" s="204"/>
      <c r="HG73" s="204"/>
      <c r="HH73" s="204"/>
      <c r="HI73" s="204"/>
      <c r="HJ73" s="204"/>
      <c r="HK73" s="204"/>
      <c r="HL73" s="204"/>
      <c r="HM73" s="204"/>
      <c r="HN73" s="204"/>
      <c r="HO73" s="204"/>
      <c r="HP73" s="204"/>
      <c r="HQ73" s="204"/>
      <c r="HR73" s="204"/>
      <c r="HS73" s="204"/>
      <c r="HT73" s="204"/>
      <c r="HU73" s="204"/>
      <c r="HV73" s="204"/>
      <c r="HW73" s="204"/>
      <c r="HX73" s="204"/>
      <c r="HY73" s="204"/>
      <c r="HZ73" s="204"/>
      <c r="IA73" s="204"/>
      <c r="IB73" s="204"/>
      <c r="IC73" s="204"/>
      <c r="ID73" s="204"/>
      <c r="IE73" s="204"/>
      <c r="IF73" s="204"/>
      <c r="IG73" s="204"/>
      <c r="IH73" s="204"/>
      <c r="II73" s="204"/>
      <c r="IJ73" s="204"/>
      <c r="IK73" s="204"/>
      <c r="IL73" s="204"/>
      <c r="IM73" s="204"/>
      <c r="IN73" s="204"/>
      <c r="IO73" s="204"/>
      <c r="IP73" s="204"/>
      <c r="IQ73" s="204"/>
      <c r="IR73" s="204"/>
      <c r="IS73" s="204"/>
      <c r="IT73" s="204"/>
      <c r="IU73" s="204"/>
    </row>
    <row r="74" spans="1:255" s="43" customFormat="1" ht="24" x14ac:dyDescent="0.2">
      <c r="A74" s="211">
        <v>48</v>
      </c>
      <c r="B74" s="212" t="s">
        <v>82</v>
      </c>
      <c r="C74" s="212" t="s">
        <v>273</v>
      </c>
      <c r="D74" s="212" t="s">
        <v>78</v>
      </c>
      <c r="E74" s="213">
        <f t="shared" si="6"/>
        <v>5.7160000000000002</v>
      </c>
      <c r="F74" s="214">
        <f>ROUND( 56.57, 2 )</f>
        <v>56.57</v>
      </c>
      <c r="G74" s="214">
        <f t="shared" si="7"/>
        <v>323.35000000000002</v>
      </c>
      <c r="H74" s="215" t="s">
        <v>1117</v>
      </c>
      <c r="I74" s="215" t="s">
        <v>1034</v>
      </c>
      <c r="N74" s="204"/>
      <c r="O74" s="204">
        <f t="shared" si="8"/>
        <v>5.7160000000000002</v>
      </c>
      <c r="P74" s="204">
        <f>Source!I189</f>
        <v>5.7160000000000002</v>
      </c>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c r="FL74" s="204"/>
      <c r="FM74" s="204"/>
      <c r="FN74" s="204"/>
      <c r="FO74" s="204"/>
      <c r="FP74" s="204"/>
      <c r="FQ74" s="204"/>
      <c r="FR74" s="204"/>
      <c r="FS74" s="204"/>
      <c r="FT74" s="204"/>
      <c r="FU74" s="204"/>
      <c r="FV74" s="204"/>
      <c r="FW74" s="204"/>
      <c r="FX74" s="204"/>
      <c r="FY74" s="204"/>
      <c r="FZ74" s="204"/>
      <c r="GA74" s="204"/>
      <c r="GB74" s="204"/>
      <c r="GC74" s="204"/>
      <c r="GD74" s="204"/>
      <c r="GE74" s="204"/>
      <c r="GF74" s="204"/>
      <c r="GG74" s="204"/>
      <c r="GH74" s="204"/>
      <c r="GI74" s="204"/>
      <c r="GJ74" s="204"/>
      <c r="GK74" s="204"/>
      <c r="GL74" s="204"/>
      <c r="GM74" s="204"/>
      <c r="GN74" s="204"/>
      <c r="GO74" s="204"/>
      <c r="GP74" s="204"/>
      <c r="GQ74" s="204"/>
      <c r="GR74" s="204"/>
      <c r="GS74" s="204"/>
      <c r="GT74" s="204"/>
      <c r="GU74" s="204"/>
      <c r="GV74" s="204"/>
      <c r="GW74" s="204"/>
      <c r="GX74" s="204"/>
      <c r="GY74" s="204"/>
      <c r="GZ74" s="204"/>
      <c r="HA74" s="204"/>
      <c r="HB74" s="204"/>
      <c r="HC74" s="204"/>
      <c r="HD74" s="204"/>
      <c r="HE74" s="204"/>
      <c r="HF74" s="204"/>
      <c r="HG74" s="204"/>
      <c r="HH74" s="204"/>
      <c r="HI74" s="204"/>
      <c r="HJ74" s="204"/>
      <c r="HK74" s="204"/>
      <c r="HL74" s="204"/>
      <c r="HM74" s="204"/>
      <c r="HN74" s="204"/>
      <c r="HO74" s="204"/>
      <c r="HP74" s="204"/>
      <c r="HQ74" s="204"/>
      <c r="HR74" s="204"/>
      <c r="HS74" s="204"/>
      <c r="HT74" s="204"/>
      <c r="HU74" s="204"/>
      <c r="HV74" s="204"/>
      <c r="HW74" s="204"/>
      <c r="HX74" s="204"/>
      <c r="HY74" s="204"/>
      <c r="HZ74" s="204"/>
      <c r="IA74" s="204"/>
      <c r="IB74" s="204"/>
      <c r="IC74" s="204"/>
      <c r="ID74" s="204"/>
      <c r="IE74" s="204"/>
      <c r="IF74" s="204"/>
      <c r="IG74" s="204"/>
      <c r="IH74" s="204"/>
      <c r="II74" s="204"/>
      <c r="IJ74" s="204"/>
      <c r="IK74" s="204"/>
      <c r="IL74" s="204"/>
      <c r="IM74" s="204"/>
      <c r="IN74" s="204"/>
      <c r="IO74" s="204"/>
      <c r="IP74" s="204"/>
      <c r="IQ74" s="204"/>
      <c r="IR74" s="204"/>
      <c r="IS74" s="204"/>
      <c r="IT74" s="204"/>
      <c r="IU74" s="204"/>
    </row>
    <row r="75" spans="1:255" s="43" customFormat="1" ht="24" x14ac:dyDescent="0.2">
      <c r="A75" s="211">
        <v>49</v>
      </c>
      <c r="B75" s="212" t="s">
        <v>461</v>
      </c>
      <c r="C75" s="212" t="s">
        <v>462</v>
      </c>
      <c r="D75" s="212" t="s">
        <v>78</v>
      </c>
      <c r="E75" s="213">
        <f t="shared" si="6"/>
        <v>87.637500000000003</v>
      </c>
      <c r="F75" s="214">
        <f>ROUND( 9.38, 2 )</f>
        <v>9.3800000000000008</v>
      </c>
      <c r="G75" s="214">
        <f t="shared" si="7"/>
        <v>822.04</v>
      </c>
      <c r="H75" s="215" t="s">
        <v>1144</v>
      </c>
      <c r="I75" s="215" t="s">
        <v>1034</v>
      </c>
      <c r="N75" s="204"/>
      <c r="O75" s="204">
        <f t="shared" si="8"/>
        <v>87.637500000000003</v>
      </c>
      <c r="P75" s="204">
        <f>Source!I344</f>
        <v>87.637500000000003</v>
      </c>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row>
    <row r="76" spans="1:255" s="43" customFormat="1" ht="24" x14ac:dyDescent="0.2">
      <c r="A76" s="211">
        <v>50</v>
      </c>
      <c r="B76" s="212" t="s">
        <v>466</v>
      </c>
      <c r="C76" s="212" t="s">
        <v>467</v>
      </c>
      <c r="D76" s="212" t="s">
        <v>78</v>
      </c>
      <c r="E76" s="213">
        <f t="shared" si="6"/>
        <v>87.637500000000003</v>
      </c>
      <c r="F76" s="214">
        <f>ROUND( 61.4, 2 )</f>
        <v>61.4</v>
      </c>
      <c r="G76" s="214">
        <f t="shared" si="7"/>
        <v>5380.94</v>
      </c>
      <c r="H76" s="215" t="s">
        <v>1145</v>
      </c>
      <c r="I76" s="215" t="s">
        <v>1034</v>
      </c>
      <c r="N76" s="204"/>
      <c r="O76" s="204">
        <f t="shared" si="8"/>
        <v>87.637500000000003</v>
      </c>
      <c r="P76" s="204">
        <f>Source!I346</f>
        <v>87.637500000000003</v>
      </c>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c r="FL76" s="204"/>
      <c r="FM76" s="204"/>
      <c r="FN76" s="204"/>
      <c r="FO76" s="204"/>
      <c r="FP76" s="204"/>
      <c r="FQ76" s="204"/>
      <c r="FR76" s="204"/>
      <c r="FS76" s="204"/>
      <c r="FT76" s="204"/>
      <c r="FU76" s="204"/>
      <c r="FV76" s="204"/>
      <c r="FW76" s="204"/>
      <c r="FX76" s="204"/>
      <c r="FY76" s="204"/>
      <c r="FZ76" s="204"/>
      <c r="GA76" s="204"/>
      <c r="GB76" s="204"/>
      <c r="GC76" s="204"/>
      <c r="GD76" s="204"/>
      <c r="GE76" s="204"/>
      <c r="GF76" s="204"/>
      <c r="GG76" s="204"/>
      <c r="GH76" s="204"/>
      <c r="GI76" s="204"/>
      <c r="GJ76" s="204"/>
      <c r="GK76" s="204"/>
      <c r="GL76" s="204"/>
      <c r="GM76" s="204"/>
      <c r="GN76" s="204"/>
      <c r="GO76" s="204"/>
      <c r="GP76" s="204"/>
      <c r="GQ76" s="204"/>
      <c r="GR76" s="204"/>
      <c r="GS76" s="204"/>
      <c r="GT76" s="204"/>
      <c r="GU76" s="204"/>
      <c r="GV76" s="204"/>
      <c r="GW76" s="204"/>
      <c r="GX76" s="204"/>
      <c r="GY76" s="204"/>
      <c r="GZ76" s="204"/>
      <c r="HA76" s="204"/>
      <c r="HB76" s="204"/>
      <c r="HC76" s="204"/>
      <c r="HD76" s="204"/>
      <c r="HE76" s="204"/>
      <c r="HF76" s="204"/>
      <c r="HG76" s="204"/>
      <c r="HH76" s="204"/>
      <c r="HI76" s="204"/>
      <c r="HJ76" s="204"/>
      <c r="HK76" s="204"/>
      <c r="HL76" s="204"/>
      <c r="HM76" s="204"/>
      <c r="HN76" s="204"/>
      <c r="HO76" s="204"/>
      <c r="HP76" s="204"/>
      <c r="HQ76" s="204"/>
      <c r="HR76" s="204"/>
      <c r="HS76" s="204"/>
      <c r="HT76" s="204"/>
      <c r="HU76" s="204"/>
      <c r="HV76" s="204"/>
      <c r="HW76" s="204"/>
      <c r="HX76" s="204"/>
      <c r="HY76" s="204"/>
      <c r="HZ76" s="204"/>
      <c r="IA76" s="204"/>
      <c r="IB76" s="204"/>
      <c r="IC76" s="204"/>
      <c r="ID76" s="204"/>
      <c r="IE76" s="204"/>
      <c r="IF76" s="204"/>
      <c r="IG76" s="204"/>
      <c r="IH76" s="204"/>
      <c r="II76" s="204"/>
      <c r="IJ76" s="204"/>
      <c r="IK76" s="204"/>
      <c r="IL76" s="204"/>
      <c r="IM76" s="204"/>
      <c r="IN76" s="204"/>
      <c r="IO76" s="204"/>
      <c r="IP76" s="204"/>
      <c r="IQ76" s="204"/>
      <c r="IR76" s="204"/>
      <c r="IS76" s="204"/>
      <c r="IT76" s="204"/>
      <c r="IU76" s="204"/>
    </row>
    <row r="77" spans="1:255" s="43" customFormat="1" ht="36" x14ac:dyDescent="0.2">
      <c r="A77" s="211">
        <v>51</v>
      </c>
      <c r="B77" s="212" t="s">
        <v>42</v>
      </c>
      <c r="C77" s="212" t="s">
        <v>43</v>
      </c>
      <c r="D77" s="212" t="s">
        <v>44</v>
      </c>
      <c r="E77" s="213">
        <f t="shared" si="6"/>
        <v>0.81291924999999998</v>
      </c>
      <c r="F77" s="214">
        <f>ROUND( 1100, 2 )</f>
        <v>1100</v>
      </c>
      <c r="G77" s="214">
        <f t="shared" si="7"/>
        <v>894.21</v>
      </c>
      <c r="H77" s="215" t="s">
        <v>1113</v>
      </c>
      <c r="I77" s="215" t="s">
        <v>1034</v>
      </c>
      <c r="N77" s="204"/>
      <c r="O77" s="204">
        <f t="shared" si="8"/>
        <v>0.81291924999999998</v>
      </c>
      <c r="P77" s="204">
        <f>Source!I32</f>
        <v>6.0145499999999998E-2</v>
      </c>
      <c r="Q77" s="204">
        <f>Source!I123</f>
        <v>0.28365224999999999</v>
      </c>
      <c r="R77" s="204">
        <f>Source!I322</f>
        <v>0.46912150000000002</v>
      </c>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204"/>
      <c r="FL77" s="204"/>
      <c r="FM77" s="204"/>
      <c r="FN77" s="204"/>
      <c r="FO77" s="204"/>
      <c r="FP77" s="204"/>
      <c r="FQ77" s="204"/>
      <c r="FR77" s="204"/>
      <c r="FS77" s="204"/>
      <c r="FT77" s="204"/>
      <c r="FU77" s="204"/>
      <c r="FV77" s="204"/>
      <c r="FW77" s="204"/>
      <c r="FX77" s="204"/>
      <c r="FY77" s="204"/>
      <c r="FZ77" s="204"/>
      <c r="GA77" s="204"/>
      <c r="GB77" s="204"/>
      <c r="GC77" s="204"/>
      <c r="GD77" s="204"/>
      <c r="GE77" s="204"/>
      <c r="GF77" s="204"/>
      <c r="GG77" s="204"/>
      <c r="GH77" s="204"/>
      <c r="GI77" s="204"/>
      <c r="GJ77" s="204"/>
      <c r="GK77" s="204"/>
      <c r="GL77" s="204"/>
      <c r="GM77" s="204"/>
      <c r="GN77" s="204"/>
      <c r="GO77" s="204"/>
      <c r="GP77" s="204"/>
      <c r="GQ77" s="204"/>
      <c r="GR77" s="204"/>
      <c r="GS77" s="204"/>
      <c r="GT77" s="204"/>
      <c r="GU77" s="204"/>
      <c r="GV77" s="204"/>
      <c r="GW77" s="204"/>
      <c r="GX77" s="204"/>
      <c r="GY77" s="204"/>
      <c r="GZ77" s="204"/>
      <c r="HA77" s="204"/>
      <c r="HB77" s="204"/>
      <c r="HC77" s="204"/>
      <c r="HD77" s="204"/>
      <c r="HE77" s="204"/>
      <c r="HF77" s="204"/>
      <c r="HG77" s="204"/>
      <c r="HH77" s="204"/>
      <c r="HI77" s="204"/>
      <c r="HJ77" s="204"/>
      <c r="HK77" s="204"/>
      <c r="HL77" s="204"/>
      <c r="HM77" s="204"/>
      <c r="HN77" s="204"/>
      <c r="HO77" s="204"/>
      <c r="HP77" s="204"/>
      <c r="HQ77" s="204"/>
      <c r="HR77" s="204"/>
      <c r="HS77" s="204"/>
      <c r="HT77" s="204"/>
      <c r="HU77" s="204"/>
      <c r="HV77" s="204"/>
      <c r="HW77" s="204"/>
      <c r="HX77" s="204"/>
      <c r="HY77" s="204"/>
      <c r="HZ77" s="204"/>
      <c r="IA77" s="204"/>
      <c r="IB77" s="204"/>
      <c r="IC77" s="204"/>
      <c r="ID77" s="204"/>
      <c r="IE77" s="204"/>
      <c r="IF77" s="204"/>
      <c r="IG77" s="204"/>
      <c r="IH77" s="204"/>
      <c r="II77" s="204"/>
      <c r="IJ77" s="204"/>
      <c r="IK77" s="204"/>
      <c r="IL77" s="204"/>
      <c r="IM77" s="204"/>
      <c r="IN77" s="204"/>
      <c r="IO77" s="204"/>
      <c r="IP77" s="204"/>
      <c r="IQ77" s="204"/>
      <c r="IR77" s="204"/>
      <c r="IS77" s="204"/>
      <c r="IT77" s="204"/>
      <c r="IU77" s="204"/>
    </row>
    <row r="78" spans="1:255" s="43" customFormat="1" ht="36" x14ac:dyDescent="0.2">
      <c r="A78" s="211">
        <v>52</v>
      </c>
      <c r="B78" s="212" t="s">
        <v>212</v>
      </c>
      <c r="C78" s="212" t="s">
        <v>213</v>
      </c>
      <c r="D78" s="212" t="s">
        <v>44</v>
      </c>
      <c r="E78" s="213">
        <f t="shared" si="6"/>
        <v>3.6720000000000003E-2</v>
      </c>
      <c r="F78" s="214">
        <f>ROUND( 626.89, 2 )</f>
        <v>626.89</v>
      </c>
      <c r="G78" s="214">
        <f t="shared" si="7"/>
        <v>23.02</v>
      </c>
      <c r="H78" s="215" t="s">
        <v>1124</v>
      </c>
      <c r="I78" s="215" t="s">
        <v>1034</v>
      </c>
      <c r="N78" s="204"/>
      <c r="O78" s="204">
        <f t="shared" si="8"/>
        <v>3.6720000000000003E-2</v>
      </c>
      <c r="P78" s="204">
        <f>Source!I129</f>
        <v>3.6720000000000003E-2</v>
      </c>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204"/>
      <c r="FL78" s="204"/>
      <c r="FM78" s="204"/>
      <c r="FN78" s="204"/>
      <c r="FO78" s="204"/>
      <c r="FP78" s="204"/>
      <c r="FQ78" s="204"/>
      <c r="FR78" s="204"/>
      <c r="FS78" s="204"/>
      <c r="FT78" s="204"/>
      <c r="FU78" s="204"/>
      <c r="FV78" s="204"/>
      <c r="FW78" s="204"/>
      <c r="FX78" s="204"/>
      <c r="FY78" s="204"/>
      <c r="FZ78" s="204"/>
      <c r="GA78" s="204"/>
      <c r="GB78" s="204"/>
      <c r="GC78" s="204"/>
      <c r="GD78" s="204"/>
      <c r="GE78" s="204"/>
      <c r="GF78" s="204"/>
      <c r="GG78" s="204"/>
      <c r="GH78" s="204"/>
      <c r="GI78" s="204"/>
      <c r="GJ78" s="204"/>
      <c r="GK78" s="204"/>
      <c r="GL78" s="204"/>
      <c r="GM78" s="204"/>
      <c r="GN78" s="204"/>
      <c r="GO78" s="204"/>
      <c r="GP78" s="204"/>
      <c r="GQ78" s="204"/>
      <c r="GR78" s="204"/>
      <c r="GS78" s="204"/>
      <c r="GT78" s="204"/>
      <c r="GU78" s="204"/>
      <c r="GV78" s="204"/>
      <c r="GW78" s="204"/>
      <c r="GX78" s="204"/>
      <c r="GY78" s="204"/>
      <c r="GZ78" s="204"/>
      <c r="HA78" s="204"/>
      <c r="HB78" s="204"/>
      <c r="HC78" s="204"/>
      <c r="HD78" s="204"/>
      <c r="HE78" s="204"/>
      <c r="HF78" s="204"/>
      <c r="HG78" s="204"/>
      <c r="HH78" s="204"/>
      <c r="HI78" s="204"/>
      <c r="HJ78" s="204"/>
      <c r="HK78" s="204"/>
      <c r="HL78" s="204"/>
      <c r="HM78" s="204"/>
      <c r="HN78" s="204"/>
      <c r="HO78" s="204"/>
      <c r="HP78" s="204"/>
      <c r="HQ78" s="204"/>
      <c r="HR78" s="204"/>
      <c r="HS78" s="204"/>
      <c r="HT78" s="204"/>
      <c r="HU78" s="204"/>
      <c r="HV78" s="204"/>
      <c r="HW78" s="204"/>
      <c r="HX78" s="204"/>
      <c r="HY78" s="204"/>
      <c r="HZ78" s="204"/>
      <c r="IA78" s="204"/>
      <c r="IB78" s="204"/>
      <c r="IC78" s="204"/>
      <c r="ID78" s="204"/>
      <c r="IE78" s="204"/>
      <c r="IF78" s="204"/>
      <c r="IG78" s="204"/>
      <c r="IH78" s="204"/>
      <c r="II78" s="204"/>
      <c r="IJ78" s="204"/>
      <c r="IK78" s="204"/>
      <c r="IL78" s="204"/>
      <c r="IM78" s="204"/>
      <c r="IN78" s="204"/>
      <c r="IO78" s="204"/>
      <c r="IP78" s="204"/>
      <c r="IQ78" s="204"/>
      <c r="IR78" s="204"/>
      <c r="IS78" s="204"/>
      <c r="IT78" s="204"/>
      <c r="IU78" s="204"/>
    </row>
    <row r="79" spans="1:255" s="43" customFormat="1" ht="12" x14ac:dyDescent="0.2">
      <c r="A79" s="211">
        <v>53</v>
      </c>
      <c r="B79" s="212" t="s">
        <v>321</v>
      </c>
      <c r="C79" s="212" t="s">
        <v>328</v>
      </c>
      <c r="D79" s="212" t="s">
        <v>323</v>
      </c>
      <c r="E79" s="213">
        <f t="shared" si="6"/>
        <v>123.5</v>
      </c>
      <c r="F79" s="214">
        <f>ROUND( 7.93, 2 )</f>
        <v>7.93</v>
      </c>
      <c r="G79" s="214">
        <f t="shared" si="7"/>
        <v>979.36</v>
      </c>
      <c r="H79" s="215" t="s">
        <v>1130</v>
      </c>
      <c r="I79" s="215" t="s">
        <v>1034</v>
      </c>
      <c r="N79" s="204"/>
      <c r="O79" s="204">
        <f t="shared" si="8"/>
        <v>123.5</v>
      </c>
      <c r="P79" s="204">
        <f>Source!I233</f>
        <v>68.5</v>
      </c>
      <c r="Q79" s="204">
        <f>Source!I245</f>
        <v>18</v>
      </c>
      <c r="R79" s="204">
        <f>Source!I390</f>
        <v>37</v>
      </c>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04"/>
      <c r="EI79" s="204"/>
      <c r="EJ79" s="204"/>
      <c r="EK79" s="204"/>
      <c r="EL79" s="204"/>
      <c r="EM79" s="204"/>
      <c r="EN79" s="204"/>
      <c r="EO79" s="204"/>
      <c r="EP79" s="204"/>
      <c r="EQ79" s="204"/>
      <c r="ER79" s="204"/>
      <c r="ES79" s="204"/>
      <c r="ET79" s="204"/>
      <c r="EU79" s="204"/>
      <c r="EV79" s="204"/>
      <c r="EW79" s="204"/>
      <c r="EX79" s="204"/>
      <c r="EY79" s="204"/>
      <c r="EZ79" s="204"/>
      <c r="FA79" s="204"/>
      <c r="FB79" s="204"/>
      <c r="FC79" s="204"/>
      <c r="FD79" s="204"/>
      <c r="FE79" s="204"/>
      <c r="FF79" s="204"/>
      <c r="FG79" s="204"/>
      <c r="FH79" s="204"/>
      <c r="FI79" s="204"/>
      <c r="FJ79" s="204"/>
      <c r="FK79" s="204"/>
      <c r="FL79" s="204"/>
      <c r="FM79" s="204"/>
      <c r="FN79" s="204"/>
      <c r="FO79" s="204"/>
      <c r="FP79" s="204"/>
      <c r="FQ79" s="204"/>
      <c r="FR79" s="204"/>
      <c r="FS79" s="204"/>
      <c r="FT79" s="204"/>
      <c r="FU79" s="204"/>
      <c r="FV79" s="204"/>
      <c r="FW79" s="204"/>
      <c r="FX79" s="204"/>
      <c r="FY79" s="204"/>
      <c r="FZ79" s="204"/>
      <c r="GA79" s="204"/>
      <c r="GB79" s="204"/>
      <c r="GC79" s="204"/>
      <c r="GD79" s="204"/>
      <c r="GE79" s="204"/>
      <c r="GF79" s="204"/>
      <c r="GG79" s="204"/>
      <c r="GH79" s="204"/>
      <c r="GI79" s="204"/>
      <c r="GJ79" s="204"/>
      <c r="GK79" s="204"/>
      <c r="GL79" s="204"/>
      <c r="GM79" s="204"/>
      <c r="GN79" s="204"/>
      <c r="GO79" s="204"/>
      <c r="GP79" s="204"/>
      <c r="GQ79" s="204"/>
      <c r="GR79" s="204"/>
      <c r="GS79" s="204"/>
      <c r="GT79" s="204"/>
      <c r="GU79" s="204"/>
      <c r="GV79" s="204"/>
      <c r="GW79" s="204"/>
      <c r="GX79" s="204"/>
      <c r="GY79" s="204"/>
      <c r="GZ79" s="204"/>
      <c r="HA79" s="204"/>
      <c r="HB79" s="204"/>
      <c r="HC79" s="204"/>
      <c r="HD79" s="204"/>
      <c r="HE79" s="204"/>
      <c r="HF79" s="204"/>
      <c r="HG79" s="204"/>
      <c r="HH79" s="204"/>
      <c r="HI79" s="204"/>
      <c r="HJ79" s="204"/>
      <c r="HK79" s="204"/>
      <c r="HL79" s="204"/>
      <c r="HM79" s="204"/>
      <c r="HN79" s="204"/>
      <c r="HO79" s="204"/>
      <c r="HP79" s="204"/>
      <c r="HQ79" s="204"/>
      <c r="HR79" s="204"/>
      <c r="HS79" s="204"/>
      <c r="HT79" s="204"/>
      <c r="HU79" s="204"/>
      <c r="HV79" s="204"/>
      <c r="HW79" s="204"/>
      <c r="HX79" s="204"/>
      <c r="HY79" s="204"/>
      <c r="HZ79" s="204"/>
      <c r="IA79" s="204"/>
      <c r="IB79" s="204"/>
      <c r="IC79" s="204"/>
      <c r="ID79" s="204"/>
      <c r="IE79" s="204"/>
      <c r="IF79" s="204"/>
      <c r="IG79" s="204"/>
      <c r="IH79" s="204"/>
      <c r="II79" s="204"/>
      <c r="IJ79" s="204"/>
      <c r="IK79" s="204"/>
      <c r="IL79" s="204"/>
      <c r="IM79" s="204"/>
      <c r="IN79" s="204"/>
      <c r="IO79" s="204"/>
      <c r="IP79" s="204"/>
      <c r="IQ79" s="204"/>
      <c r="IR79" s="204"/>
      <c r="IS79" s="204"/>
      <c r="IT79" s="204"/>
      <c r="IU79" s="204"/>
    </row>
    <row r="80" spans="1:255" s="43" customFormat="1" ht="12" x14ac:dyDescent="0.2">
      <c r="A80" s="211">
        <v>54</v>
      </c>
      <c r="B80" s="212" t="s">
        <v>321</v>
      </c>
      <c r="C80" s="212" t="s">
        <v>528</v>
      </c>
      <c r="D80" s="212" t="s">
        <v>323</v>
      </c>
      <c r="E80" s="213">
        <f t="shared" si="6"/>
        <v>28</v>
      </c>
      <c r="F80" s="214">
        <f>ROUND( 7.93, 2 )</f>
        <v>7.93</v>
      </c>
      <c r="G80" s="214">
        <f t="shared" si="7"/>
        <v>222.04</v>
      </c>
      <c r="H80" s="215" t="s">
        <v>1130</v>
      </c>
      <c r="I80" s="215" t="s">
        <v>1034</v>
      </c>
      <c r="N80" s="204"/>
      <c r="O80" s="204">
        <f t="shared" si="8"/>
        <v>28</v>
      </c>
      <c r="P80" s="204">
        <f>Source!I388</f>
        <v>28</v>
      </c>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4"/>
      <c r="FL80" s="204"/>
      <c r="FM80" s="204"/>
      <c r="FN80" s="204"/>
      <c r="FO80" s="204"/>
      <c r="FP80" s="204"/>
      <c r="FQ80" s="204"/>
      <c r="FR80" s="204"/>
      <c r="FS80" s="204"/>
      <c r="FT80" s="204"/>
      <c r="FU80" s="204"/>
      <c r="FV80" s="204"/>
      <c r="FW80" s="204"/>
      <c r="FX80" s="204"/>
      <c r="FY80" s="204"/>
      <c r="FZ80" s="204"/>
      <c r="GA80" s="204"/>
      <c r="GB80" s="204"/>
      <c r="GC80" s="204"/>
      <c r="GD80" s="204"/>
      <c r="GE80" s="204"/>
      <c r="GF80" s="204"/>
      <c r="GG80" s="204"/>
      <c r="GH80" s="204"/>
      <c r="GI80" s="204"/>
      <c r="GJ80" s="204"/>
      <c r="GK80" s="204"/>
      <c r="GL80" s="204"/>
      <c r="GM80" s="204"/>
      <c r="GN80" s="204"/>
      <c r="GO80" s="204"/>
      <c r="GP80" s="204"/>
      <c r="GQ80" s="204"/>
      <c r="GR80" s="204"/>
      <c r="GS80" s="204"/>
      <c r="GT80" s="204"/>
      <c r="GU80" s="204"/>
      <c r="GV80" s="204"/>
      <c r="GW80" s="204"/>
      <c r="GX80" s="204"/>
      <c r="GY80" s="204"/>
      <c r="GZ80" s="204"/>
      <c r="HA80" s="204"/>
      <c r="HB80" s="204"/>
      <c r="HC80" s="204"/>
      <c r="HD80" s="204"/>
      <c r="HE80" s="204"/>
      <c r="HF80" s="204"/>
      <c r="HG80" s="204"/>
      <c r="HH80" s="204"/>
      <c r="HI80" s="204"/>
      <c r="HJ80" s="204"/>
      <c r="HK80" s="204"/>
      <c r="HL80" s="204"/>
      <c r="HM80" s="204"/>
      <c r="HN80" s="204"/>
      <c r="HO80" s="204"/>
      <c r="HP80" s="204"/>
      <c r="HQ80" s="204"/>
      <c r="HR80" s="204"/>
      <c r="HS80" s="204"/>
      <c r="HT80" s="204"/>
      <c r="HU80" s="204"/>
      <c r="HV80" s="204"/>
      <c r="HW80" s="204"/>
      <c r="HX80" s="204"/>
      <c r="HY80" s="204"/>
      <c r="HZ80" s="204"/>
      <c r="IA80" s="204"/>
      <c r="IB80" s="204"/>
      <c r="IC80" s="204"/>
      <c r="ID80" s="204"/>
      <c r="IE80" s="204"/>
      <c r="IF80" s="204"/>
      <c r="IG80" s="204"/>
      <c r="IH80" s="204"/>
      <c r="II80" s="204"/>
      <c r="IJ80" s="204"/>
      <c r="IK80" s="204"/>
      <c r="IL80" s="204"/>
      <c r="IM80" s="204"/>
      <c r="IN80" s="204"/>
      <c r="IO80" s="204"/>
      <c r="IP80" s="204"/>
      <c r="IQ80" s="204"/>
      <c r="IR80" s="204"/>
      <c r="IS80" s="204"/>
      <c r="IT80" s="204"/>
      <c r="IU80" s="204"/>
    </row>
    <row r="81" spans="1:255" s="43" customFormat="1" ht="12" x14ac:dyDescent="0.2">
      <c r="A81" s="211">
        <v>55</v>
      </c>
      <c r="B81" s="212" t="s">
        <v>321</v>
      </c>
      <c r="C81" s="212" t="s">
        <v>322</v>
      </c>
      <c r="D81" s="212" t="s">
        <v>323</v>
      </c>
      <c r="E81" s="213">
        <f t="shared" si="6"/>
        <v>72</v>
      </c>
      <c r="F81" s="214">
        <f>ROUND( 7.93, 2 )</f>
        <v>7.93</v>
      </c>
      <c r="G81" s="214">
        <f t="shared" si="7"/>
        <v>570.96</v>
      </c>
      <c r="H81" s="215" t="s">
        <v>1130</v>
      </c>
      <c r="I81" s="215" t="s">
        <v>1034</v>
      </c>
      <c r="N81" s="204"/>
      <c r="O81" s="204">
        <f t="shared" si="8"/>
        <v>72</v>
      </c>
      <c r="P81" s="204">
        <f>Source!I231</f>
        <v>57</v>
      </c>
      <c r="Q81" s="204">
        <f>Source!I243</f>
        <v>15</v>
      </c>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c r="HV81" s="204"/>
      <c r="HW81" s="204"/>
      <c r="HX81" s="204"/>
      <c r="HY81" s="204"/>
      <c r="HZ81" s="204"/>
      <c r="IA81" s="204"/>
      <c r="IB81" s="204"/>
      <c r="IC81" s="204"/>
      <c r="ID81" s="204"/>
      <c r="IE81" s="204"/>
      <c r="IF81" s="204"/>
      <c r="IG81" s="204"/>
      <c r="IH81" s="204"/>
      <c r="II81" s="204"/>
      <c r="IJ81" s="204"/>
      <c r="IK81" s="204"/>
      <c r="IL81" s="204"/>
      <c r="IM81" s="204"/>
      <c r="IN81" s="204"/>
      <c r="IO81" s="204"/>
      <c r="IP81" s="204"/>
      <c r="IQ81" s="204"/>
      <c r="IR81" s="204"/>
      <c r="IS81" s="204"/>
      <c r="IT81" s="204"/>
      <c r="IU81" s="204"/>
    </row>
    <row r="82" spans="1:255" s="43" customFormat="1" ht="48" x14ac:dyDescent="0.2">
      <c r="A82" s="211">
        <v>56</v>
      </c>
      <c r="B82" s="212" t="s">
        <v>331</v>
      </c>
      <c r="C82" s="212" t="s">
        <v>332</v>
      </c>
      <c r="D82" s="212" t="s">
        <v>333</v>
      </c>
      <c r="E82" s="213">
        <f t="shared" si="6"/>
        <v>13.999999999999998</v>
      </c>
      <c r="F82" s="214">
        <f>ROUND( 56.95, 2 )</f>
        <v>56.95</v>
      </c>
      <c r="G82" s="214">
        <f t="shared" si="7"/>
        <v>797.3</v>
      </c>
      <c r="H82" s="215" t="s">
        <v>1131</v>
      </c>
      <c r="I82" s="215" t="s">
        <v>1034</v>
      </c>
      <c r="N82" s="204"/>
      <c r="O82" s="204">
        <f t="shared" si="8"/>
        <v>13.999999999999998</v>
      </c>
      <c r="P82" s="204">
        <f>Source!I235</f>
        <v>7.1999999999999993</v>
      </c>
      <c r="Q82" s="204">
        <f>Source!I392</f>
        <v>6.7999999999999989</v>
      </c>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c r="HV82" s="204"/>
      <c r="HW82" s="204"/>
      <c r="HX82" s="204"/>
      <c r="HY82" s="204"/>
      <c r="HZ82" s="204"/>
      <c r="IA82" s="204"/>
      <c r="IB82" s="204"/>
      <c r="IC82" s="204"/>
      <c r="ID82" s="204"/>
      <c r="IE82" s="204"/>
      <c r="IF82" s="204"/>
      <c r="IG82" s="204"/>
      <c r="IH82" s="204"/>
      <c r="II82" s="204"/>
      <c r="IJ82" s="204"/>
      <c r="IK82" s="204"/>
      <c r="IL82" s="204"/>
      <c r="IM82" s="204"/>
      <c r="IN82" s="204"/>
      <c r="IO82" s="204"/>
      <c r="IP82" s="204"/>
      <c r="IQ82" s="204"/>
      <c r="IR82" s="204"/>
      <c r="IS82" s="204"/>
      <c r="IT82" s="204"/>
      <c r="IU82" s="204"/>
    </row>
    <row r="83" spans="1:255" s="43" customFormat="1" ht="48" x14ac:dyDescent="0.2">
      <c r="A83" s="211">
        <v>57</v>
      </c>
      <c r="B83" s="212" t="s">
        <v>349</v>
      </c>
      <c r="C83" s="212" t="s">
        <v>350</v>
      </c>
      <c r="D83" s="212" t="s">
        <v>333</v>
      </c>
      <c r="E83" s="213">
        <f t="shared" si="6"/>
        <v>1.9</v>
      </c>
      <c r="F83" s="214">
        <f>ROUND( 90, 2 )</f>
        <v>90</v>
      </c>
      <c r="G83" s="214">
        <f t="shared" si="7"/>
        <v>171</v>
      </c>
      <c r="H83" s="215" t="s">
        <v>1133</v>
      </c>
      <c r="I83" s="215" t="s">
        <v>1034</v>
      </c>
      <c r="N83" s="204"/>
      <c r="O83" s="204">
        <f t="shared" si="8"/>
        <v>1.9</v>
      </c>
      <c r="P83" s="204">
        <f>Source!I247</f>
        <v>1.9</v>
      </c>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04"/>
      <c r="EI83" s="204"/>
      <c r="EJ83" s="204"/>
      <c r="EK83" s="204"/>
      <c r="EL83" s="204"/>
      <c r="EM83" s="204"/>
      <c r="EN83" s="204"/>
      <c r="EO83" s="204"/>
      <c r="EP83" s="204"/>
      <c r="EQ83" s="204"/>
      <c r="ER83" s="204"/>
      <c r="ES83" s="204"/>
      <c r="ET83" s="204"/>
      <c r="EU83" s="204"/>
      <c r="EV83" s="204"/>
      <c r="EW83" s="204"/>
      <c r="EX83" s="204"/>
      <c r="EY83" s="204"/>
      <c r="EZ83" s="204"/>
      <c r="FA83" s="204"/>
      <c r="FB83" s="204"/>
      <c r="FC83" s="204"/>
      <c r="FD83" s="204"/>
      <c r="FE83" s="204"/>
      <c r="FF83" s="204"/>
      <c r="FG83" s="204"/>
      <c r="FH83" s="204"/>
      <c r="FI83" s="204"/>
      <c r="FJ83" s="204"/>
      <c r="FK83" s="204"/>
      <c r="FL83" s="204"/>
      <c r="FM83" s="204"/>
      <c r="FN83" s="204"/>
      <c r="FO83" s="204"/>
      <c r="FP83" s="204"/>
      <c r="FQ83" s="204"/>
      <c r="FR83" s="204"/>
      <c r="FS83" s="204"/>
      <c r="FT83" s="204"/>
      <c r="FU83" s="204"/>
      <c r="FV83" s="204"/>
      <c r="FW83" s="204"/>
      <c r="FX83" s="204"/>
      <c r="FY83" s="204"/>
      <c r="FZ83" s="204"/>
      <c r="GA83" s="204"/>
      <c r="GB83" s="204"/>
      <c r="GC83" s="204"/>
      <c r="GD83" s="204"/>
      <c r="GE83" s="204"/>
      <c r="GF83" s="204"/>
      <c r="GG83" s="204"/>
      <c r="GH83" s="204"/>
      <c r="GI83" s="204"/>
      <c r="GJ83" s="204"/>
      <c r="GK83" s="204"/>
      <c r="GL83" s="204"/>
      <c r="GM83" s="204"/>
      <c r="GN83" s="204"/>
      <c r="GO83" s="204"/>
      <c r="GP83" s="204"/>
      <c r="GQ83" s="204"/>
      <c r="GR83" s="204"/>
      <c r="GS83" s="204"/>
      <c r="GT83" s="204"/>
      <c r="GU83" s="204"/>
      <c r="GV83" s="204"/>
      <c r="GW83" s="204"/>
      <c r="GX83" s="204"/>
      <c r="GY83" s="204"/>
      <c r="GZ83" s="204"/>
      <c r="HA83" s="204"/>
      <c r="HB83" s="204"/>
      <c r="HC83" s="204"/>
      <c r="HD83" s="204"/>
      <c r="HE83" s="204"/>
      <c r="HF83" s="204"/>
      <c r="HG83" s="204"/>
      <c r="HH83" s="204"/>
      <c r="HI83" s="204"/>
      <c r="HJ83" s="204"/>
      <c r="HK83" s="204"/>
      <c r="HL83" s="204"/>
      <c r="HM83" s="204"/>
      <c r="HN83" s="204"/>
      <c r="HO83" s="204"/>
      <c r="HP83" s="204"/>
      <c r="HQ83" s="204"/>
      <c r="HR83" s="204"/>
      <c r="HS83" s="204"/>
      <c r="HT83" s="204"/>
      <c r="HU83" s="204"/>
      <c r="HV83" s="204"/>
      <c r="HW83" s="204"/>
      <c r="HX83" s="204"/>
      <c r="HY83" s="204"/>
      <c r="HZ83" s="204"/>
      <c r="IA83" s="204"/>
      <c r="IB83" s="204"/>
      <c r="IC83" s="204"/>
      <c r="ID83" s="204"/>
      <c r="IE83" s="204"/>
      <c r="IF83" s="204"/>
      <c r="IG83" s="204"/>
      <c r="IH83" s="204"/>
      <c r="II83" s="204"/>
      <c r="IJ83" s="204"/>
      <c r="IK83" s="204"/>
      <c r="IL83" s="204"/>
      <c r="IM83" s="204"/>
      <c r="IN83" s="204"/>
      <c r="IO83" s="204"/>
      <c r="IP83" s="204"/>
      <c r="IQ83" s="204"/>
      <c r="IR83" s="204"/>
      <c r="IS83" s="204"/>
      <c r="IT83" s="204"/>
      <c r="IU83" s="204"/>
    </row>
    <row r="84" spans="1:255" s="43" customFormat="1" ht="12" x14ac:dyDescent="0.2">
      <c r="A84" s="211">
        <v>58</v>
      </c>
      <c r="B84" s="212" t="s">
        <v>92</v>
      </c>
      <c r="C84" s="212" t="s">
        <v>93</v>
      </c>
      <c r="D84" s="212" t="s">
        <v>94</v>
      </c>
      <c r="E84" s="213">
        <f t="shared" si="6"/>
        <v>256.11992700000002</v>
      </c>
      <c r="F84" s="214">
        <f>ROUND( 4.69, 2 )</f>
        <v>4.6900000000000004</v>
      </c>
      <c r="G84" s="214">
        <f t="shared" si="7"/>
        <v>1201.2</v>
      </c>
      <c r="H84" s="215" t="s">
        <v>1119</v>
      </c>
      <c r="I84" s="215" t="s">
        <v>1034</v>
      </c>
      <c r="N84" s="204"/>
      <c r="O84" s="204">
        <f t="shared" si="8"/>
        <v>256.11992700000002</v>
      </c>
      <c r="P84" s="204">
        <f>Source!I52</f>
        <v>12.28464</v>
      </c>
      <c r="Q84" s="204">
        <f>Source!I72</f>
        <v>23.774550000000001</v>
      </c>
      <c r="R84" s="204">
        <f>Source!I153</f>
        <v>26.673293999999999</v>
      </c>
      <c r="S84" s="204">
        <f>Source!I173</f>
        <v>1.8642479999999999</v>
      </c>
      <c r="T84" s="204">
        <f>Source!I193</f>
        <v>33.544341000000003</v>
      </c>
      <c r="U84" s="204">
        <f>Source!I213</f>
        <v>157.97885400000001</v>
      </c>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204"/>
      <c r="GB84" s="20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c r="HV84" s="204"/>
      <c r="HW84" s="204"/>
      <c r="HX84" s="204"/>
      <c r="HY84" s="204"/>
      <c r="HZ84" s="204"/>
      <c r="IA84" s="204"/>
      <c r="IB84" s="204"/>
      <c r="IC84" s="204"/>
      <c r="ID84" s="204"/>
      <c r="IE84" s="204"/>
      <c r="IF84" s="204"/>
      <c r="IG84" s="204"/>
      <c r="IH84" s="204"/>
      <c r="II84" s="204"/>
      <c r="IJ84" s="204"/>
      <c r="IK84" s="204"/>
      <c r="IL84" s="204"/>
      <c r="IM84" s="204"/>
      <c r="IN84" s="204"/>
      <c r="IO84" s="204"/>
      <c r="IP84" s="204"/>
      <c r="IQ84" s="204"/>
      <c r="IR84" s="204"/>
      <c r="IS84" s="204"/>
      <c r="IT84" s="204"/>
      <c r="IU84" s="204"/>
    </row>
    <row r="85" spans="1:255" s="43" customFormat="1" ht="36" x14ac:dyDescent="0.2">
      <c r="A85" s="211">
        <v>59</v>
      </c>
      <c r="B85" s="212" t="s">
        <v>406</v>
      </c>
      <c r="C85" s="212" t="s">
        <v>407</v>
      </c>
      <c r="D85" s="212" t="s">
        <v>323</v>
      </c>
      <c r="E85" s="213" t="e">
        <f t="shared" si="6"/>
        <v>#REF!</v>
      </c>
      <c r="F85" s="214">
        <f>ROUND( 391.34, 2 )</f>
        <v>391.34</v>
      </c>
      <c r="G85" s="214" t="e">
        <f t="shared" si="7"/>
        <v>#REF!</v>
      </c>
      <c r="H85" s="215" t="s">
        <v>1139</v>
      </c>
      <c r="I85" s="215" t="s">
        <v>1034</v>
      </c>
      <c r="N85" s="204"/>
      <c r="O85" s="204" t="e">
        <f t="shared" si="8"/>
        <v>#REF!</v>
      </c>
      <c r="P85" s="204" t="e">
        <f>Source!I277</f>
        <v>#REF!</v>
      </c>
      <c r="Q85" s="204" t="e">
        <f>Source!I402</f>
        <v>#REF!</v>
      </c>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204"/>
      <c r="GB85" s="20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c r="HV85" s="204"/>
      <c r="HW85" s="204"/>
      <c r="HX85" s="204"/>
      <c r="HY85" s="204"/>
      <c r="HZ85" s="204"/>
      <c r="IA85" s="204"/>
      <c r="IB85" s="204"/>
      <c r="IC85" s="204"/>
      <c r="ID85" s="204"/>
      <c r="IE85" s="204"/>
      <c r="IF85" s="204"/>
      <c r="IG85" s="204"/>
      <c r="IH85" s="204"/>
      <c r="II85" s="204"/>
      <c r="IJ85" s="204"/>
      <c r="IK85" s="204"/>
      <c r="IL85" s="204"/>
      <c r="IM85" s="204"/>
      <c r="IN85" s="204"/>
      <c r="IO85" s="204"/>
      <c r="IP85" s="204"/>
      <c r="IQ85" s="204"/>
      <c r="IR85" s="204"/>
      <c r="IS85" s="204"/>
      <c r="IT85" s="204"/>
      <c r="IU85" s="204"/>
    </row>
    <row r="86" spans="1:255" s="43" customFormat="1" ht="36" x14ac:dyDescent="0.2">
      <c r="A86" s="211">
        <v>60</v>
      </c>
      <c r="B86" s="212" t="s">
        <v>433</v>
      </c>
      <c r="C86" s="212" t="s">
        <v>434</v>
      </c>
      <c r="D86" s="212" t="s">
        <v>33</v>
      </c>
      <c r="E86" s="213">
        <f t="shared" si="6"/>
        <v>9.6707000000000001</v>
      </c>
      <c r="F86" s="214">
        <f>ROUND( 5243.33, 2 )</f>
        <v>5243.33</v>
      </c>
      <c r="G86" s="214">
        <f t="shared" si="7"/>
        <v>50706.67</v>
      </c>
      <c r="H86" s="215" t="s">
        <v>1141</v>
      </c>
      <c r="I86" s="215" t="s">
        <v>1034</v>
      </c>
      <c r="N86" s="204"/>
      <c r="O86" s="204">
        <f t="shared" si="8"/>
        <v>9.6707000000000001</v>
      </c>
      <c r="P86" s="204">
        <f>Source!I326</f>
        <v>3.0669499999999998</v>
      </c>
      <c r="Q86" s="204">
        <f>Source!I338</f>
        <v>6.6037499999999998</v>
      </c>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204"/>
      <c r="GB86" s="204"/>
      <c r="GC86" s="204"/>
      <c r="GD86" s="204"/>
      <c r="GE86" s="204"/>
      <c r="GF86" s="204"/>
      <c r="GG86" s="204"/>
      <c r="GH86" s="204"/>
      <c r="GI86" s="204"/>
      <c r="GJ86" s="204"/>
      <c r="GK86" s="204"/>
      <c r="GL86" s="204"/>
      <c r="GM86" s="204"/>
      <c r="GN86" s="204"/>
      <c r="GO86" s="204"/>
      <c r="GP86" s="204"/>
      <c r="GQ86" s="204"/>
      <c r="GR86" s="204"/>
      <c r="GS86" s="204"/>
      <c r="GT86" s="204"/>
      <c r="GU86" s="204"/>
      <c r="GV86" s="204"/>
      <c r="GW86" s="204"/>
      <c r="GX86" s="204"/>
      <c r="GY86" s="204"/>
      <c r="GZ86" s="204"/>
      <c r="HA86" s="204"/>
      <c r="HB86" s="204"/>
      <c r="HC86" s="204"/>
      <c r="HD86" s="204"/>
      <c r="HE86" s="204"/>
      <c r="HF86" s="204"/>
      <c r="HG86" s="204"/>
      <c r="HH86" s="204"/>
      <c r="HI86" s="204"/>
      <c r="HJ86" s="204"/>
      <c r="HK86" s="204"/>
      <c r="HL86" s="204"/>
      <c r="HM86" s="204"/>
      <c r="HN86" s="204"/>
      <c r="HO86" s="204"/>
      <c r="HP86" s="204"/>
      <c r="HQ86" s="204"/>
      <c r="HR86" s="204"/>
      <c r="HS86" s="204"/>
      <c r="HT86" s="204"/>
      <c r="HU86" s="204"/>
      <c r="HV86" s="204"/>
      <c r="HW86" s="204"/>
      <c r="HX86" s="204"/>
      <c r="HY86" s="204"/>
      <c r="HZ86" s="204"/>
      <c r="IA86" s="204"/>
      <c r="IB86" s="204"/>
      <c r="IC86" s="204"/>
      <c r="ID86" s="204"/>
      <c r="IE86" s="204"/>
      <c r="IF86" s="204"/>
      <c r="IG86" s="204"/>
      <c r="IH86" s="204"/>
      <c r="II86" s="204"/>
      <c r="IJ86" s="204"/>
      <c r="IK86" s="204"/>
      <c r="IL86" s="204"/>
      <c r="IM86" s="204"/>
      <c r="IN86" s="204"/>
      <c r="IO86" s="204"/>
      <c r="IP86" s="204"/>
      <c r="IQ86" s="204"/>
      <c r="IR86" s="204"/>
      <c r="IS86" s="204"/>
      <c r="IT86" s="204"/>
      <c r="IU86" s="204"/>
    </row>
    <row r="87" spans="1:255" s="43" customFormat="1" ht="24" x14ac:dyDescent="0.2">
      <c r="A87" s="211">
        <v>61</v>
      </c>
      <c r="B87" s="212" t="s">
        <v>54</v>
      </c>
      <c r="C87" s="212" t="s">
        <v>55</v>
      </c>
      <c r="D87" s="212" t="s">
        <v>33</v>
      </c>
      <c r="E87" s="213">
        <f t="shared" si="6"/>
        <v>2.4390000000000001</v>
      </c>
      <c r="F87" s="214">
        <f>ROUND( 5081.62, 2 )</f>
        <v>5081.62</v>
      </c>
      <c r="G87" s="214">
        <f t="shared" si="7"/>
        <v>12394.07</v>
      </c>
      <c r="H87" s="215" t="s">
        <v>1114</v>
      </c>
      <c r="I87" s="215" t="s">
        <v>1034</v>
      </c>
      <c r="N87" s="204"/>
      <c r="O87" s="204">
        <f t="shared" si="8"/>
        <v>2.4390000000000001</v>
      </c>
      <c r="P87" s="204">
        <f>Source!I36</f>
        <v>0.3725</v>
      </c>
      <c r="Q87" s="204">
        <f>Source!I40</f>
        <v>2.0665</v>
      </c>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204"/>
      <c r="GB87" s="204"/>
      <c r="GC87" s="204"/>
      <c r="GD87" s="204"/>
      <c r="GE87" s="204"/>
      <c r="GF87" s="204"/>
      <c r="GG87" s="204"/>
      <c r="GH87" s="204"/>
      <c r="GI87" s="204"/>
      <c r="GJ87" s="204"/>
      <c r="GK87" s="204"/>
      <c r="GL87" s="204"/>
      <c r="GM87" s="204"/>
      <c r="GN87" s="204"/>
      <c r="GO87" s="204"/>
      <c r="GP87" s="204"/>
      <c r="GQ87" s="204"/>
      <c r="GR87" s="204"/>
      <c r="GS87" s="204"/>
      <c r="GT87" s="204"/>
      <c r="GU87" s="204"/>
      <c r="GV87" s="204"/>
      <c r="GW87" s="204"/>
      <c r="GX87" s="204"/>
      <c r="GY87" s="204"/>
      <c r="GZ87" s="204"/>
      <c r="HA87" s="204"/>
      <c r="HB87" s="204"/>
      <c r="HC87" s="204"/>
      <c r="HD87" s="204"/>
      <c r="HE87" s="204"/>
      <c r="HF87" s="204"/>
      <c r="HG87" s="204"/>
      <c r="HH87" s="204"/>
      <c r="HI87" s="204"/>
      <c r="HJ87" s="204"/>
      <c r="HK87" s="204"/>
      <c r="HL87" s="204"/>
      <c r="HM87" s="204"/>
      <c r="HN87" s="204"/>
      <c r="HO87" s="204"/>
      <c r="HP87" s="204"/>
      <c r="HQ87" s="204"/>
      <c r="HR87" s="204"/>
      <c r="HS87" s="204"/>
      <c r="HT87" s="204"/>
      <c r="HU87" s="204"/>
      <c r="HV87" s="204"/>
      <c r="HW87" s="204"/>
      <c r="HX87" s="204"/>
      <c r="HY87" s="204"/>
      <c r="HZ87" s="204"/>
      <c r="IA87" s="204"/>
      <c r="IB87" s="204"/>
      <c r="IC87" s="204"/>
      <c r="ID87" s="204"/>
      <c r="IE87" s="204"/>
      <c r="IF87" s="204"/>
      <c r="IG87" s="204"/>
      <c r="IH87" s="204"/>
      <c r="II87" s="204"/>
      <c r="IJ87" s="204"/>
      <c r="IK87" s="204"/>
      <c r="IL87" s="204"/>
      <c r="IM87" s="204"/>
      <c r="IN87" s="204"/>
      <c r="IO87" s="204"/>
      <c r="IP87" s="204"/>
      <c r="IQ87" s="204"/>
      <c r="IR87" s="204"/>
      <c r="IS87" s="204"/>
      <c r="IT87" s="204"/>
      <c r="IU87" s="204"/>
    </row>
    <row r="88" spans="1:255" s="43" customFormat="1" ht="24" x14ac:dyDescent="0.2">
      <c r="A88" s="211">
        <v>62</v>
      </c>
      <c r="B88" s="212" t="s">
        <v>226</v>
      </c>
      <c r="C88" s="212" t="s">
        <v>227</v>
      </c>
      <c r="D88" s="212" t="s">
        <v>33</v>
      </c>
      <c r="E88" s="213">
        <f t="shared" si="6"/>
        <v>10.773</v>
      </c>
      <c r="F88" s="214">
        <f>ROUND( 5132.9, 2 )</f>
        <v>5132.8999999999996</v>
      </c>
      <c r="G88" s="214">
        <f t="shared" si="7"/>
        <v>55296.73</v>
      </c>
      <c r="H88" s="215" t="s">
        <v>1126</v>
      </c>
      <c r="I88" s="215" t="s">
        <v>1034</v>
      </c>
      <c r="N88" s="204"/>
      <c r="O88" s="204">
        <f t="shared" si="8"/>
        <v>10.773</v>
      </c>
      <c r="P88" s="204">
        <f>Source!I135</f>
        <v>0.66100000000000003</v>
      </c>
      <c r="Q88" s="204">
        <f>Source!I139</f>
        <v>10.112</v>
      </c>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4"/>
      <c r="FX88" s="204"/>
      <c r="FY88" s="204"/>
      <c r="FZ88" s="204"/>
      <c r="GA88" s="204"/>
      <c r="GB88" s="204"/>
      <c r="GC88" s="204"/>
      <c r="GD88" s="204"/>
      <c r="GE88" s="204"/>
      <c r="GF88" s="204"/>
      <c r="GG88" s="204"/>
      <c r="GH88" s="204"/>
      <c r="GI88" s="204"/>
      <c r="GJ88" s="204"/>
      <c r="GK88" s="204"/>
      <c r="GL88" s="204"/>
      <c r="GM88" s="204"/>
      <c r="GN88" s="204"/>
      <c r="GO88" s="204"/>
      <c r="GP88" s="204"/>
      <c r="GQ88" s="204"/>
      <c r="GR88" s="204"/>
      <c r="GS88" s="204"/>
      <c r="GT88" s="204"/>
      <c r="GU88" s="204"/>
      <c r="GV88" s="204"/>
      <c r="GW88" s="204"/>
      <c r="GX88" s="204"/>
      <c r="GY88" s="204"/>
      <c r="GZ88" s="204"/>
      <c r="HA88" s="204"/>
      <c r="HB88" s="204"/>
      <c r="HC88" s="204"/>
      <c r="HD88" s="204"/>
      <c r="HE88" s="204"/>
      <c r="HF88" s="204"/>
      <c r="HG88" s="204"/>
      <c r="HH88" s="204"/>
      <c r="HI88" s="204"/>
      <c r="HJ88" s="204"/>
      <c r="HK88" s="204"/>
      <c r="HL88" s="204"/>
      <c r="HM88" s="204"/>
      <c r="HN88" s="204"/>
      <c r="HO88" s="204"/>
      <c r="HP88" s="204"/>
      <c r="HQ88" s="204"/>
      <c r="HR88" s="204"/>
      <c r="HS88" s="204"/>
      <c r="HT88" s="204"/>
      <c r="HU88" s="204"/>
      <c r="HV88" s="204"/>
      <c r="HW88" s="204"/>
      <c r="HX88" s="204"/>
      <c r="HY88" s="204"/>
      <c r="HZ88" s="204"/>
      <c r="IA88" s="204"/>
      <c r="IB88" s="204"/>
      <c r="IC88" s="204"/>
      <c r="ID88" s="204"/>
      <c r="IE88" s="204"/>
      <c r="IF88" s="204"/>
      <c r="IG88" s="204"/>
      <c r="IH88" s="204"/>
      <c r="II88" s="204"/>
      <c r="IJ88" s="204"/>
      <c r="IK88" s="204"/>
      <c r="IL88" s="204"/>
      <c r="IM88" s="204"/>
      <c r="IN88" s="204"/>
      <c r="IO88" s="204"/>
      <c r="IP88" s="204"/>
      <c r="IQ88" s="204"/>
      <c r="IR88" s="204"/>
      <c r="IS88" s="204"/>
      <c r="IT88" s="204"/>
      <c r="IU88" s="204"/>
    </row>
    <row r="89" spans="1:255" s="43" customFormat="1" ht="24" x14ac:dyDescent="0.2">
      <c r="A89" s="211">
        <v>63</v>
      </c>
      <c r="B89" s="212" t="s">
        <v>1092</v>
      </c>
      <c r="C89" s="212" t="s">
        <v>88</v>
      </c>
      <c r="D89" s="212" t="s">
        <v>44</v>
      </c>
      <c r="E89" s="213">
        <f t="shared" si="6"/>
        <v>183.3216875</v>
      </c>
      <c r="F89" s="214">
        <f>ROUND( 878.79, 2 )</f>
        <v>878.79</v>
      </c>
      <c r="G89" s="214">
        <f t="shared" si="7"/>
        <v>161101.26999999999</v>
      </c>
      <c r="H89" s="218" t="s">
        <v>1118</v>
      </c>
      <c r="I89" s="218" t="s">
        <v>1034</v>
      </c>
      <c r="N89" s="204"/>
      <c r="O89" s="204">
        <f t="shared" si="8"/>
        <v>183.3216875</v>
      </c>
      <c r="P89" s="204">
        <f>Source!I50</f>
        <v>6.9425999999999997</v>
      </c>
      <c r="Q89" s="204">
        <f>Source!I70</f>
        <v>11.926250000000001</v>
      </c>
      <c r="R89" s="204">
        <f>Source!I151</f>
        <v>8.9218499999999992</v>
      </c>
      <c r="S89" s="204">
        <f>Source!I171</f>
        <v>0.87797499999999995</v>
      </c>
      <c r="T89" s="204">
        <f>Source!I191</f>
        <v>9.1146999999999991</v>
      </c>
      <c r="U89" s="204">
        <f>Source!I211</f>
        <v>56.58625</v>
      </c>
      <c r="V89" s="204">
        <f>Source!I348</f>
        <v>88.952062499999997</v>
      </c>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c r="HV89" s="204"/>
      <c r="HW89" s="204"/>
      <c r="HX89" s="204"/>
      <c r="HY89" s="204"/>
      <c r="HZ89" s="204"/>
      <c r="IA89" s="204"/>
      <c r="IB89" s="204"/>
      <c r="IC89" s="204"/>
      <c r="ID89" s="204"/>
      <c r="IE89" s="204"/>
      <c r="IF89" s="204"/>
      <c r="IG89" s="204"/>
      <c r="IH89" s="204"/>
      <c r="II89" s="204"/>
      <c r="IJ89" s="204"/>
      <c r="IK89" s="204"/>
      <c r="IL89" s="204"/>
      <c r="IM89" s="204"/>
      <c r="IN89" s="204"/>
      <c r="IO89" s="204"/>
      <c r="IP89" s="204"/>
      <c r="IQ89" s="204"/>
      <c r="IR89" s="204"/>
      <c r="IS89" s="204"/>
      <c r="IT89" s="204"/>
      <c r="IU89" s="204"/>
    </row>
    <row r="90" spans="1:255" s="43" customFormat="1" ht="24" x14ac:dyDescent="0.2">
      <c r="A90" s="211">
        <v>64</v>
      </c>
      <c r="B90" s="212" t="s">
        <v>1092</v>
      </c>
      <c r="C90" s="212" t="s">
        <v>488</v>
      </c>
      <c r="D90" s="212" t="s">
        <v>33</v>
      </c>
      <c r="E90" s="213">
        <f t="shared" ref="E90:E109" si="9">O90</f>
        <v>4.7324999999999999E-2</v>
      </c>
      <c r="F90" s="214">
        <f>ROUND( 16366.06, 2 )</f>
        <v>16366.06</v>
      </c>
      <c r="G90" s="214">
        <f t="shared" ref="G90:G109" si="10">ROUND(E90*F90,2)</f>
        <v>774.52</v>
      </c>
      <c r="H90" s="218" t="s">
        <v>1148</v>
      </c>
      <c r="I90" s="218" t="s">
        <v>1034</v>
      </c>
      <c r="N90" s="204"/>
      <c r="O90" s="204">
        <f t="shared" ref="O90:O109" si="11">SUM(P90:IV90)</f>
        <v>4.7324999999999999E-2</v>
      </c>
      <c r="P90" s="204">
        <f>Source!I364</f>
        <v>4.7324999999999999E-2</v>
      </c>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c r="BR90" s="204"/>
      <c r="BS90" s="204"/>
      <c r="BT90" s="204"/>
      <c r="BU90" s="204"/>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c r="CY90" s="204"/>
      <c r="CZ90" s="204"/>
      <c r="DA90" s="204"/>
      <c r="DB90" s="204"/>
      <c r="DC90" s="204"/>
      <c r="DD90" s="204"/>
      <c r="DE90" s="204"/>
      <c r="DF90" s="204"/>
      <c r="DG90" s="204"/>
      <c r="DH90" s="204"/>
      <c r="DI90" s="204"/>
      <c r="DJ90" s="204"/>
      <c r="DK90" s="204"/>
      <c r="DL90" s="204"/>
      <c r="DM90" s="204"/>
      <c r="DN90" s="204"/>
      <c r="DO90" s="204"/>
      <c r="DP90" s="204"/>
      <c r="DQ90" s="204"/>
      <c r="DR90" s="204"/>
      <c r="DS90" s="204"/>
      <c r="DT90" s="204"/>
      <c r="DU90" s="204"/>
      <c r="DV90" s="204"/>
      <c r="DW90" s="204"/>
      <c r="DX90" s="204"/>
      <c r="DY90" s="204"/>
      <c r="DZ90" s="204"/>
      <c r="EA90" s="204"/>
      <c r="EB90" s="204"/>
      <c r="EC90" s="204"/>
      <c r="ED90" s="204"/>
      <c r="EE90" s="204"/>
      <c r="EF90" s="204"/>
      <c r="EG90" s="204"/>
      <c r="EH90" s="204"/>
      <c r="EI90" s="204"/>
      <c r="EJ90" s="204"/>
      <c r="EK90" s="204"/>
      <c r="EL90" s="204"/>
      <c r="EM90" s="204"/>
      <c r="EN90" s="204"/>
      <c r="EO90" s="204"/>
      <c r="EP90" s="204"/>
      <c r="EQ90" s="204"/>
      <c r="ER90" s="204"/>
      <c r="ES90" s="204"/>
      <c r="ET90" s="204"/>
      <c r="EU90" s="204"/>
      <c r="EV90" s="204"/>
      <c r="EW90" s="204"/>
      <c r="EX90" s="204"/>
      <c r="EY90" s="204"/>
      <c r="EZ90" s="204"/>
      <c r="FA90" s="204"/>
      <c r="FB90" s="204"/>
      <c r="FC90" s="204"/>
      <c r="FD90" s="204"/>
      <c r="FE90" s="204"/>
      <c r="FF90" s="204"/>
      <c r="FG90" s="204"/>
      <c r="FH90" s="204"/>
      <c r="FI90" s="204"/>
      <c r="FJ90" s="204"/>
      <c r="FK90" s="204"/>
      <c r="FL90" s="204"/>
      <c r="FM90" s="204"/>
      <c r="FN90" s="204"/>
      <c r="FO90" s="204"/>
      <c r="FP90" s="204"/>
      <c r="FQ90" s="204"/>
      <c r="FR90" s="204"/>
      <c r="FS90" s="204"/>
      <c r="FT90" s="204"/>
      <c r="FU90" s="204"/>
      <c r="FV90" s="204"/>
      <c r="FW90" s="204"/>
      <c r="FX90" s="204"/>
      <c r="FY90" s="204"/>
      <c r="FZ90" s="204"/>
      <c r="GA90" s="204"/>
      <c r="GB90" s="204"/>
      <c r="GC90" s="204"/>
      <c r="GD90" s="204"/>
      <c r="GE90" s="204"/>
      <c r="GF90" s="204"/>
      <c r="GG90" s="204"/>
      <c r="GH90" s="204"/>
      <c r="GI90" s="204"/>
      <c r="GJ90" s="204"/>
      <c r="GK90" s="204"/>
      <c r="GL90" s="204"/>
      <c r="GM90" s="204"/>
      <c r="GN90" s="204"/>
      <c r="GO90" s="204"/>
      <c r="GP90" s="204"/>
      <c r="GQ90" s="204"/>
      <c r="GR90" s="204"/>
      <c r="GS90" s="204"/>
      <c r="GT90" s="204"/>
      <c r="GU90" s="204"/>
      <c r="GV90" s="204"/>
      <c r="GW90" s="204"/>
      <c r="GX90" s="204"/>
      <c r="GY90" s="204"/>
      <c r="GZ90" s="204"/>
      <c r="HA90" s="204"/>
      <c r="HB90" s="204"/>
      <c r="HC90" s="204"/>
      <c r="HD90" s="204"/>
      <c r="HE90" s="204"/>
      <c r="HF90" s="204"/>
      <c r="HG90" s="204"/>
      <c r="HH90" s="204"/>
      <c r="HI90" s="204"/>
      <c r="HJ90" s="204"/>
      <c r="HK90" s="204"/>
      <c r="HL90" s="204"/>
      <c r="HM90" s="204"/>
      <c r="HN90" s="204"/>
      <c r="HO90" s="204"/>
      <c r="HP90" s="204"/>
      <c r="HQ90" s="204"/>
      <c r="HR90" s="204"/>
      <c r="HS90" s="204"/>
      <c r="HT90" s="204"/>
      <c r="HU90" s="204"/>
      <c r="HV90" s="204"/>
      <c r="HW90" s="204"/>
      <c r="HX90" s="204"/>
      <c r="HY90" s="204"/>
      <c r="HZ90" s="204"/>
      <c r="IA90" s="204"/>
      <c r="IB90" s="204"/>
      <c r="IC90" s="204"/>
      <c r="ID90" s="204"/>
      <c r="IE90" s="204"/>
      <c r="IF90" s="204"/>
      <c r="IG90" s="204"/>
      <c r="IH90" s="204"/>
      <c r="II90" s="204"/>
      <c r="IJ90" s="204"/>
      <c r="IK90" s="204"/>
      <c r="IL90" s="204"/>
      <c r="IM90" s="204"/>
      <c r="IN90" s="204"/>
      <c r="IO90" s="204"/>
      <c r="IP90" s="204"/>
      <c r="IQ90" s="204"/>
      <c r="IR90" s="204"/>
      <c r="IS90" s="204"/>
      <c r="IT90" s="204"/>
      <c r="IU90" s="204"/>
    </row>
    <row r="91" spans="1:255" s="43" customFormat="1" ht="24" x14ac:dyDescent="0.2">
      <c r="A91" s="211">
        <v>65</v>
      </c>
      <c r="B91" s="212" t="s">
        <v>1092</v>
      </c>
      <c r="C91" s="212" t="s">
        <v>533</v>
      </c>
      <c r="D91" s="212" t="s">
        <v>33</v>
      </c>
      <c r="E91" s="213">
        <f t="shared" si="9"/>
        <v>4.0800000000000003E-3</v>
      </c>
      <c r="F91" s="214">
        <f>ROUND( 11267.15, 2 )</f>
        <v>11267.15</v>
      </c>
      <c r="G91" s="214">
        <f t="shared" si="10"/>
        <v>45.97</v>
      </c>
      <c r="H91" s="218" t="s">
        <v>1151</v>
      </c>
      <c r="I91" s="218" t="s">
        <v>1034</v>
      </c>
      <c r="N91" s="204"/>
      <c r="O91" s="204">
        <f t="shared" si="11"/>
        <v>4.0800000000000003E-3</v>
      </c>
      <c r="P91" s="204">
        <f>Source!I394</f>
        <v>4.0800000000000003E-3</v>
      </c>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c r="DV91" s="204"/>
      <c r="DW91" s="204"/>
      <c r="DX91" s="204"/>
      <c r="DY91" s="204"/>
      <c r="DZ91" s="204"/>
      <c r="EA91" s="204"/>
      <c r="EB91" s="204"/>
      <c r="EC91" s="204"/>
      <c r="ED91" s="204"/>
      <c r="EE91" s="204"/>
      <c r="EF91" s="204"/>
      <c r="EG91" s="204"/>
      <c r="EH91" s="204"/>
      <c r="EI91" s="204"/>
      <c r="EJ91" s="204"/>
      <c r="EK91" s="204"/>
      <c r="EL91" s="204"/>
      <c r="EM91" s="204"/>
      <c r="EN91" s="204"/>
      <c r="EO91" s="204"/>
      <c r="EP91" s="204"/>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4"/>
      <c r="FM91" s="204"/>
      <c r="FN91" s="204"/>
      <c r="FO91" s="204"/>
      <c r="FP91" s="204"/>
      <c r="FQ91" s="204"/>
      <c r="FR91" s="204"/>
      <c r="FS91" s="204"/>
      <c r="FT91" s="204"/>
      <c r="FU91" s="204"/>
      <c r="FV91" s="204"/>
      <c r="FW91" s="204"/>
      <c r="FX91" s="204"/>
      <c r="FY91" s="204"/>
      <c r="FZ91" s="204"/>
      <c r="GA91" s="204"/>
      <c r="GB91" s="204"/>
      <c r="GC91" s="204"/>
      <c r="GD91" s="204"/>
      <c r="GE91" s="204"/>
      <c r="GF91" s="204"/>
      <c r="GG91" s="204"/>
      <c r="GH91" s="204"/>
      <c r="GI91" s="204"/>
      <c r="GJ91" s="204"/>
      <c r="GK91" s="204"/>
      <c r="GL91" s="204"/>
      <c r="GM91" s="204"/>
      <c r="GN91" s="204"/>
      <c r="GO91" s="204"/>
      <c r="GP91" s="204"/>
      <c r="GQ91" s="204"/>
      <c r="GR91" s="204"/>
      <c r="GS91" s="204"/>
      <c r="GT91" s="204"/>
      <c r="GU91" s="204"/>
      <c r="GV91" s="204"/>
      <c r="GW91" s="204"/>
      <c r="GX91" s="204"/>
      <c r="GY91" s="204"/>
      <c r="GZ91" s="204"/>
      <c r="HA91" s="204"/>
      <c r="HB91" s="204"/>
      <c r="HC91" s="204"/>
      <c r="HD91" s="204"/>
      <c r="HE91" s="204"/>
      <c r="HF91" s="204"/>
      <c r="HG91" s="204"/>
      <c r="HH91" s="204"/>
      <c r="HI91" s="204"/>
      <c r="HJ91" s="204"/>
      <c r="HK91" s="204"/>
      <c r="HL91" s="204"/>
      <c r="HM91" s="204"/>
      <c r="HN91" s="204"/>
      <c r="HO91" s="204"/>
      <c r="HP91" s="204"/>
      <c r="HQ91" s="204"/>
      <c r="HR91" s="204"/>
      <c r="HS91" s="204"/>
      <c r="HT91" s="204"/>
      <c r="HU91" s="204"/>
      <c r="HV91" s="204"/>
      <c r="HW91" s="204"/>
      <c r="HX91" s="204"/>
      <c r="HY91" s="204"/>
      <c r="HZ91" s="204"/>
      <c r="IA91" s="204"/>
      <c r="IB91" s="204"/>
      <c r="IC91" s="204"/>
      <c r="ID91" s="204"/>
      <c r="IE91" s="204"/>
      <c r="IF91" s="204"/>
      <c r="IG91" s="204"/>
      <c r="IH91" s="204"/>
      <c r="II91" s="204"/>
      <c r="IJ91" s="204"/>
      <c r="IK91" s="204"/>
      <c r="IL91" s="204"/>
      <c r="IM91" s="204"/>
      <c r="IN91" s="204"/>
      <c r="IO91" s="204"/>
      <c r="IP91" s="204"/>
      <c r="IQ91" s="204"/>
      <c r="IR91" s="204"/>
      <c r="IS91" s="204"/>
      <c r="IT91" s="204"/>
      <c r="IU91" s="204"/>
    </row>
    <row r="92" spans="1:255" s="43" customFormat="1" ht="24" x14ac:dyDescent="0.2">
      <c r="A92" s="211">
        <v>66</v>
      </c>
      <c r="B92" s="212" t="s">
        <v>1092</v>
      </c>
      <c r="C92" s="212" t="s">
        <v>492</v>
      </c>
      <c r="D92" s="212" t="s">
        <v>33</v>
      </c>
      <c r="E92" s="213">
        <f t="shared" si="9"/>
        <v>2.6949999999999999E-3</v>
      </c>
      <c r="F92" s="214">
        <f>ROUND( 14571.47, 2 )</f>
        <v>14571.47</v>
      </c>
      <c r="G92" s="214">
        <f t="shared" si="10"/>
        <v>39.270000000000003</v>
      </c>
      <c r="H92" s="218" t="s">
        <v>1147</v>
      </c>
      <c r="I92" s="218" t="s">
        <v>1034</v>
      </c>
      <c r="N92" s="204"/>
      <c r="O92" s="204">
        <f t="shared" si="11"/>
        <v>2.6949999999999999E-3</v>
      </c>
      <c r="P92" s="204">
        <f>Source!I366</f>
        <v>2.6949999999999999E-3</v>
      </c>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c r="DV92" s="204"/>
      <c r="DW92" s="204"/>
      <c r="DX92" s="204"/>
      <c r="DY92" s="204"/>
      <c r="DZ92" s="204"/>
      <c r="EA92" s="204"/>
      <c r="EB92" s="204"/>
      <c r="EC92" s="204"/>
      <c r="ED92" s="204"/>
      <c r="EE92" s="204"/>
      <c r="EF92" s="204"/>
      <c r="EG92" s="204"/>
      <c r="EH92" s="204"/>
      <c r="EI92" s="204"/>
      <c r="EJ92" s="204"/>
      <c r="EK92" s="204"/>
      <c r="EL92" s="204"/>
      <c r="EM92" s="204"/>
      <c r="EN92" s="204"/>
      <c r="EO92" s="204"/>
      <c r="EP92" s="204"/>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4"/>
      <c r="FM92" s="204"/>
      <c r="FN92" s="204"/>
      <c r="FO92" s="204"/>
      <c r="FP92" s="204"/>
      <c r="FQ92" s="204"/>
      <c r="FR92" s="204"/>
      <c r="FS92" s="204"/>
      <c r="FT92" s="204"/>
      <c r="FU92" s="204"/>
      <c r="FV92" s="204"/>
      <c r="FW92" s="204"/>
      <c r="FX92" s="204"/>
      <c r="FY92" s="204"/>
      <c r="FZ92" s="204"/>
      <c r="GA92" s="204"/>
      <c r="GB92" s="204"/>
      <c r="GC92" s="204"/>
      <c r="GD92" s="204"/>
      <c r="GE92" s="204"/>
      <c r="GF92" s="204"/>
      <c r="GG92" s="204"/>
      <c r="GH92" s="204"/>
      <c r="GI92" s="204"/>
      <c r="GJ92" s="204"/>
      <c r="GK92" s="204"/>
      <c r="GL92" s="204"/>
      <c r="GM92" s="204"/>
      <c r="GN92" s="204"/>
      <c r="GO92" s="204"/>
      <c r="GP92" s="204"/>
      <c r="GQ92" s="204"/>
      <c r="GR92" s="204"/>
      <c r="GS92" s="204"/>
      <c r="GT92" s="204"/>
      <c r="GU92" s="204"/>
      <c r="GV92" s="204"/>
      <c r="GW92" s="204"/>
      <c r="GX92" s="204"/>
      <c r="GY92" s="204"/>
      <c r="GZ92" s="204"/>
      <c r="HA92" s="204"/>
      <c r="HB92" s="204"/>
      <c r="HC92" s="204"/>
      <c r="HD92" s="204"/>
      <c r="HE92" s="204"/>
      <c r="HF92" s="204"/>
      <c r="HG92" s="204"/>
      <c r="HH92" s="204"/>
      <c r="HI92" s="204"/>
      <c r="HJ92" s="204"/>
      <c r="HK92" s="204"/>
      <c r="HL92" s="204"/>
      <c r="HM92" s="204"/>
      <c r="HN92" s="204"/>
      <c r="HO92" s="204"/>
      <c r="HP92" s="204"/>
      <c r="HQ92" s="204"/>
      <c r="HR92" s="204"/>
      <c r="HS92" s="204"/>
      <c r="HT92" s="204"/>
      <c r="HU92" s="204"/>
      <c r="HV92" s="204"/>
      <c r="HW92" s="204"/>
      <c r="HX92" s="204"/>
      <c r="HY92" s="204"/>
      <c r="HZ92" s="204"/>
      <c r="IA92" s="204"/>
      <c r="IB92" s="204"/>
      <c r="IC92" s="204"/>
      <c r="ID92" s="204"/>
      <c r="IE92" s="204"/>
      <c r="IF92" s="204"/>
      <c r="IG92" s="204"/>
      <c r="IH92" s="204"/>
      <c r="II92" s="204"/>
      <c r="IJ92" s="204"/>
      <c r="IK92" s="204"/>
      <c r="IL92" s="204"/>
      <c r="IM92" s="204"/>
      <c r="IN92" s="204"/>
      <c r="IO92" s="204"/>
      <c r="IP92" s="204"/>
      <c r="IQ92" s="204"/>
      <c r="IR92" s="204"/>
      <c r="IS92" s="204"/>
      <c r="IT92" s="204"/>
      <c r="IU92" s="204"/>
    </row>
    <row r="93" spans="1:255" s="43" customFormat="1" ht="24" x14ac:dyDescent="0.2">
      <c r="A93" s="211">
        <v>67</v>
      </c>
      <c r="B93" s="212" t="s">
        <v>1092</v>
      </c>
      <c r="C93" s="212" t="s">
        <v>481</v>
      </c>
      <c r="D93" s="212" t="s">
        <v>33</v>
      </c>
      <c r="E93" s="213">
        <f t="shared" si="9"/>
        <v>7.2108000000000005E-2</v>
      </c>
      <c r="F93" s="214">
        <f>ROUND( 14571.47, 2 )</f>
        <v>14571.47</v>
      </c>
      <c r="G93" s="214">
        <f t="shared" si="10"/>
        <v>1050.72</v>
      </c>
      <c r="H93" s="218" t="s">
        <v>1147</v>
      </c>
      <c r="I93" s="218" t="s">
        <v>1034</v>
      </c>
      <c r="N93" s="204"/>
      <c r="O93" s="204">
        <f t="shared" si="11"/>
        <v>7.2108000000000005E-2</v>
      </c>
      <c r="P93" s="204">
        <f>Source!I358</f>
        <v>7.2108000000000005E-2</v>
      </c>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04"/>
      <c r="EI93" s="204"/>
      <c r="EJ93" s="204"/>
      <c r="EK93" s="204"/>
      <c r="EL93" s="204"/>
      <c r="EM93" s="204"/>
      <c r="EN93" s="204"/>
      <c r="EO93" s="204"/>
      <c r="EP93" s="204"/>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4"/>
      <c r="FM93" s="204"/>
      <c r="FN93" s="204"/>
      <c r="FO93" s="204"/>
      <c r="FP93" s="204"/>
      <c r="FQ93" s="204"/>
      <c r="FR93" s="204"/>
      <c r="FS93" s="204"/>
      <c r="FT93" s="204"/>
      <c r="FU93" s="204"/>
      <c r="FV93" s="204"/>
      <c r="FW93" s="204"/>
      <c r="FX93" s="204"/>
      <c r="FY93" s="204"/>
      <c r="FZ93" s="204"/>
      <c r="GA93" s="204"/>
      <c r="GB93" s="204"/>
      <c r="GC93" s="204"/>
      <c r="GD93" s="204"/>
      <c r="GE93" s="204"/>
      <c r="GF93" s="204"/>
      <c r="GG93" s="204"/>
      <c r="GH93" s="204"/>
      <c r="GI93" s="204"/>
      <c r="GJ93" s="204"/>
      <c r="GK93" s="204"/>
      <c r="GL93" s="204"/>
      <c r="GM93" s="204"/>
      <c r="GN93" s="204"/>
      <c r="GO93" s="204"/>
      <c r="GP93" s="204"/>
      <c r="GQ93" s="204"/>
      <c r="GR93" s="204"/>
      <c r="GS93" s="204"/>
      <c r="GT93" s="204"/>
      <c r="GU93" s="204"/>
      <c r="GV93" s="204"/>
      <c r="GW93" s="204"/>
      <c r="GX93" s="204"/>
      <c r="GY93" s="204"/>
      <c r="GZ93" s="204"/>
      <c r="HA93" s="204"/>
      <c r="HB93" s="204"/>
      <c r="HC93" s="204"/>
      <c r="HD93" s="204"/>
      <c r="HE93" s="204"/>
      <c r="HF93" s="204"/>
      <c r="HG93" s="204"/>
      <c r="HH93" s="204"/>
      <c r="HI93" s="204"/>
      <c r="HJ93" s="204"/>
      <c r="HK93" s="204"/>
      <c r="HL93" s="204"/>
      <c r="HM93" s="204"/>
      <c r="HN93" s="204"/>
      <c r="HO93" s="204"/>
      <c r="HP93" s="204"/>
      <c r="HQ93" s="204"/>
      <c r="HR93" s="204"/>
      <c r="HS93" s="204"/>
      <c r="HT93" s="204"/>
      <c r="HU93" s="204"/>
      <c r="HV93" s="204"/>
      <c r="HW93" s="204"/>
      <c r="HX93" s="204"/>
      <c r="HY93" s="204"/>
      <c r="HZ93" s="204"/>
      <c r="IA93" s="204"/>
      <c r="IB93" s="204"/>
      <c r="IC93" s="204"/>
      <c r="ID93" s="204"/>
      <c r="IE93" s="204"/>
      <c r="IF93" s="204"/>
      <c r="IG93" s="204"/>
      <c r="IH93" s="204"/>
      <c r="II93" s="204"/>
      <c r="IJ93" s="204"/>
      <c r="IK93" s="204"/>
      <c r="IL93" s="204"/>
      <c r="IM93" s="204"/>
      <c r="IN93" s="204"/>
      <c r="IO93" s="204"/>
      <c r="IP93" s="204"/>
      <c r="IQ93" s="204"/>
      <c r="IR93" s="204"/>
      <c r="IS93" s="204"/>
      <c r="IT93" s="204"/>
      <c r="IU93" s="204"/>
    </row>
    <row r="94" spans="1:255" s="43" customFormat="1" ht="36" x14ac:dyDescent="0.2">
      <c r="A94" s="211">
        <v>68</v>
      </c>
      <c r="B94" s="212" t="s">
        <v>1092</v>
      </c>
      <c r="C94" s="212" t="s">
        <v>361</v>
      </c>
      <c r="D94" s="212" t="s">
        <v>33</v>
      </c>
      <c r="E94" s="213">
        <f t="shared" si="9"/>
        <v>0.14529999999999998</v>
      </c>
      <c r="F94" s="214">
        <f>ROUND( 14744.52, 2 )</f>
        <v>14744.52</v>
      </c>
      <c r="G94" s="214">
        <f t="shared" si="10"/>
        <v>2142.38</v>
      </c>
      <c r="H94" s="218" t="s">
        <v>1134</v>
      </c>
      <c r="I94" s="218" t="s">
        <v>1034</v>
      </c>
      <c r="N94" s="204"/>
      <c r="O94" s="204">
        <f t="shared" si="11"/>
        <v>0.14529999999999998</v>
      </c>
      <c r="P94" s="204">
        <f>Source!I255</f>
        <v>1.9699999999999999E-2</v>
      </c>
      <c r="Q94" s="204">
        <f>Source!I263</f>
        <v>0.12559999999999999</v>
      </c>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04"/>
      <c r="EI94" s="204"/>
      <c r="EJ94" s="204"/>
      <c r="EK94" s="204"/>
      <c r="EL94" s="204"/>
      <c r="EM94" s="204"/>
      <c r="EN94" s="204"/>
      <c r="EO94" s="204"/>
      <c r="EP94" s="204"/>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4"/>
      <c r="FM94" s="204"/>
      <c r="FN94" s="204"/>
      <c r="FO94" s="204"/>
      <c r="FP94" s="204"/>
      <c r="FQ94" s="204"/>
      <c r="FR94" s="204"/>
      <c r="FS94" s="204"/>
      <c r="FT94" s="204"/>
      <c r="FU94" s="204"/>
      <c r="FV94" s="204"/>
      <c r="FW94" s="204"/>
      <c r="FX94" s="204"/>
      <c r="FY94" s="204"/>
      <c r="FZ94" s="204"/>
      <c r="GA94" s="204"/>
      <c r="GB94" s="204"/>
      <c r="GC94" s="204"/>
      <c r="GD94" s="204"/>
      <c r="GE94" s="204"/>
      <c r="GF94" s="204"/>
      <c r="GG94" s="204"/>
      <c r="GH94" s="204"/>
      <c r="GI94" s="204"/>
      <c r="GJ94" s="204"/>
      <c r="GK94" s="204"/>
      <c r="GL94" s="204"/>
      <c r="GM94" s="204"/>
      <c r="GN94" s="204"/>
      <c r="GO94" s="204"/>
      <c r="GP94" s="204"/>
      <c r="GQ94" s="204"/>
      <c r="GR94" s="204"/>
      <c r="GS94" s="204"/>
      <c r="GT94" s="204"/>
      <c r="GU94" s="204"/>
      <c r="GV94" s="204"/>
      <c r="GW94" s="204"/>
      <c r="GX94" s="204"/>
      <c r="GY94" s="204"/>
      <c r="GZ94" s="204"/>
      <c r="HA94" s="204"/>
      <c r="HB94" s="204"/>
      <c r="HC94" s="204"/>
      <c r="HD94" s="204"/>
      <c r="HE94" s="204"/>
      <c r="HF94" s="204"/>
      <c r="HG94" s="204"/>
      <c r="HH94" s="204"/>
      <c r="HI94" s="204"/>
      <c r="HJ94" s="204"/>
      <c r="HK94" s="204"/>
      <c r="HL94" s="204"/>
      <c r="HM94" s="204"/>
      <c r="HN94" s="204"/>
      <c r="HO94" s="204"/>
      <c r="HP94" s="204"/>
      <c r="HQ94" s="204"/>
      <c r="HR94" s="204"/>
      <c r="HS94" s="204"/>
      <c r="HT94" s="204"/>
      <c r="HU94" s="204"/>
      <c r="HV94" s="204"/>
      <c r="HW94" s="204"/>
      <c r="HX94" s="204"/>
      <c r="HY94" s="204"/>
      <c r="HZ94" s="204"/>
      <c r="IA94" s="204"/>
      <c r="IB94" s="204"/>
      <c r="IC94" s="204"/>
      <c r="ID94" s="204"/>
      <c r="IE94" s="204"/>
      <c r="IF94" s="204"/>
      <c r="IG94" s="204"/>
      <c r="IH94" s="204"/>
      <c r="II94" s="204"/>
      <c r="IJ94" s="204"/>
      <c r="IK94" s="204"/>
      <c r="IL94" s="204"/>
      <c r="IM94" s="204"/>
      <c r="IN94" s="204"/>
      <c r="IO94" s="204"/>
      <c r="IP94" s="204"/>
      <c r="IQ94" s="204"/>
      <c r="IR94" s="204"/>
      <c r="IS94" s="204"/>
      <c r="IT94" s="204"/>
      <c r="IU94" s="204"/>
    </row>
    <row r="95" spans="1:255" s="43" customFormat="1" ht="36" x14ac:dyDescent="0.2">
      <c r="A95" s="211">
        <v>69</v>
      </c>
      <c r="B95" s="212" t="s">
        <v>1092</v>
      </c>
      <c r="C95" s="212" t="s">
        <v>366</v>
      </c>
      <c r="D95" s="212" t="s">
        <v>33</v>
      </c>
      <c r="E95" s="213">
        <f t="shared" si="9"/>
        <v>1.35E-2</v>
      </c>
      <c r="F95" s="214">
        <f>ROUND( 30529.92, 2 )</f>
        <v>30529.919999999998</v>
      </c>
      <c r="G95" s="214">
        <f t="shared" si="10"/>
        <v>412.15</v>
      </c>
      <c r="H95" s="223" t="s">
        <v>1135</v>
      </c>
      <c r="I95" s="223" t="s">
        <v>1034</v>
      </c>
      <c r="N95" s="204"/>
      <c r="O95" s="204">
        <f t="shared" si="11"/>
        <v>1.35E-2</v>
      </c>
      <c r="P95" s="204">
        <f>Source!I257</f>
        <v>1.35E-2</v>
      </c>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204"/>
      <c r="FL95" s="204"/>
      <c r="FM95" s="204"/>
      <c r="FN95" s="204"/>
      <c r="FO95" s="204"/>
      <c r="FP95" s="204"/>
      <c r="FQ95" s="204"/>
      <c r="FR95" s="204"/>
      <c r="FS95" s="204"/>
      <c r="FT95" s="204"/>
      <c r="FU95" s="204"/>
      <c r="FV95" s="204"/>
      <c r="FW95" s="204"/>
      <c r="FX95" s="204"/>
      <c r="FY95" s="204"/>
      <c r="FZ95" s="204"/>
      <c r="GA95" s="204"/>
      <c r="GB95" s="204"/>
      <c r="GC95" s="204"/>
      <c r="GD95" s="204"/>
      <c r="GE95" s="204"/>
      <c r="GF95" s="204"/>
      <c r="GG95" s="204"/>
      <c r="GH95" s="204"/>
      <c r="GI95" s="204"/>
      <c r="GJ95" s="204"/>
      <c r="GK95" s="204"/>
      <c r="GL95" s="204"/>
      <c r="GM95" s="204"/>
      <c r="GN95" s="204"/>
      <c r="GO95" s="204"/>
      <c r="GP95" s="204"/>
      <c r="GQ95" s="204"/>
      <c r="GR95" s="204"/>
      <c r="GS95" s="204"/>
      <c r="GT95" s="204"/>
      <c r="GU95" s="204"/>
      <c r="GV95" s="204"/>
      <c r="GW95" s="204"/>
      <c r="GX95" s="204"/>
      <c r="GY95" s="204"/>
      <c r="GZ95" s="204"/>
      <c r="HA95" s="204"/>
      <c r="HB95" s="204"/>
      <c r="HC95" s="204"/>
      <c r="HD95" s="204"/>
      <c r="HE95" s="204"/>
      <c r="HF95" s="204"/>
      <c r="HG95" s="204"/>
      <c r="HH95" s="204"/>
      <c r="HI95" s="204"/>
      <c r="HJ95" s="204"/>
      <c r="HK95" s="204"/>
      <c r="HL95" s="204"/>
      <c r="HM95" s="204"/>
      <c r="HN95" s="204"/>
      <c r="HO95" s="204"/>
      <c r="HP95" s="204"/>
      <c r="HQ95" s="204"/>
      <c r="HR95" s="204"/>
      <c r="HS95" s="204"/>
      <c r="HT95" s="204"/>
      <c r="HU95" s="204"/>
      <c r="HV95" s="204"/>
      <c r="HW95" s="204"/>
      <c r="HX95" s="204"/>
      <c r="HY95" s="204"/>
      <c r="HZ95" s="204"/>
      <c r="IA95" s="204"/>
      <c r="IB95" s="204"/>
      <c r="IC95" s="204"/>
      <c r="ID95" s="204"/>
      <c r="IE95" s="204"/>
      <c r="IF95" s="204"/>
      <c r="IG95" s="204"/>
      <c r="IH95" s="204"/>
      <c r="II95" s="204"/>
      <c r="IJ95" s="204"/>
      <c r="IK95" s="204"/>
      <c r="IL95" s="204"/>
      <c r="IM95" s="204"/>
      <c r="IN95" s="204"/>
      <c r="IO95" s="204"/>
      <c r="IP95" s="204"/>
      <c r="IQ95" s="204"/>
      <c r="IR95" s="204"/>
      <c r="IS95" s="204"/>
      <c r="IT95" s="204"/>
      <c r="IU95" s="204"/>
    </row>
    <row r="96" spans="1:255" s="43" customFormat="1" ht="12" x14ac:dyDescent="0.2">
      <c r="A96" s="211">
        <v>70</v>
      </c>
      <c r="B96" s="212" t="s">
        <v>1092</v>
      </c>
      <c r="C96" s="212" t="s">
        <v>72</v>
      </c>
      <c r="D96" s="212" t="s">
        <v>33</v>
      </c>
      <c r="E96" s="213">
        <f t="shared" si="9"/>
        <v>0.3092975</v>
      </c>
      <c r="F96" s="214">
        <f>ROUND( 1696.01, 2 )</f>
        <v>1696.01</v>
      </c>
      <c r="G96" s="214">
        <f t="shared" si="10"/>
        <v>524.57000000000005</v>
      </c>
      <c r="H96" s="218" t="s">
        <v>1115</v>
      </c>
      <c r="I96" s="218" t="s">
        <v>1034</v>
      </c>
      <c r="N96" s="204"/>
      <c r="O96" s="204">
        <f t="shared" si="11"/>
        <v>0.3092975</v>
      </c>
      <c r="P96" s="204">
        <f>Source!I44</f>
        <v>9.5759999999999994E-3</v>
      </c>
      <c r="Q96" s="204">
        <f>Source!I64</f>
        <v>1.85325E-2</v>
      </c>
      <c r="R96" s="204">
        <f>Source!I145</f>
        <v>2.0792000000000001E-2</v>
      </c>
      <c r="S96" s="204">
        <f>Source!I165</f>
        <v>1.4532499999999999E-3</v>
      </c>
      <c r="T96" s="204">
        <f>Source!I185</f>
        <v>2.6148250000000001E-2</v>
      </c>
      <c r="U96" s="204">
        <f>Source!I205</f>
        <v>0.12317550000000001</v>
      </c>
      <c r="V96" s="204">
        <f>Source!I342</f>
        <v>0.10962</v>
      </c>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row>
    <row r="97" spans="1:255" s="43" customFormat="1" ht="36" x14ac:dyDescent="0.2">
      <c r="A97" s="211">
        <v>71</v>
      </c>
      <c r="B97" s="212" t="s">
        <v>1092</v>
      </c>
      <c r="C97" s="212" t="s">
        <v>118</v>
      </c>
      <c r="D97" s="212" t="s">
        <v>33</v>
      </c>
      <c r="E97" s="213">
        <f t="shared" si="9"/>
        <v>4.5205999999999996E-2</v>
      </c>
      <c r="F97" s="214">
        <f>ROUND( 10633.86, 2 )</f>
        <v>10633.86</v>
      </c>
      <c r="G97" s="214">
        <f t="shared" si="10"/>
        <v>480.71</v>
      </c>
      <c r="H97" s="218" t="s">
        <v>1122</v>
      </c>
      <c r="I97" s="218" t="s">
        <v>1034</v>
      </c>
      <c r="N97" s="204"/>
      <c r="O97" s="204">
        <f t="shared" si="11"/>
        <v>4.5205999999999996E-2</v>
      </c>
      <c r="P97" s="204">
        <f>Source!I60</f>
        <v>2.16825E-3</v>
      </c>
      <c r="Q97" s="204">
        <f>Source!I80</f>
        <v>4.1962500000000003E-3</v>
      </c>
      <c r="R97" s="204">
        <f>Source!I161</f>
        <v>4.7080000000000004E-3</v>
      </c>
      <c r="S97" s="204">
        <f>Source!I181</f>
        <v>3.2899999999999997E-4</v>
      </c>
      <c r="T97" s="204">
        <f>Source!I201</f>
        <v>5.9207499999999998E-3</v>
      </c>
      <c r="U97" s="204">
        <f>Source!I221</f>
        <v>2.7883749999999999E-2</v>
      </c>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04"/>
      <c r="EI97" s="204"/>
      <c r="EJ97" s="204"/>
      <c r="EK97" s="204"/>
      <c r="EL97" s="204"/>
      <c r="EM97" s="204"/>
      <c r="EN97" s="204"/>
      <c r="EO97" s="204"/>
      <c r="EP97" s="204"/>
      <c r="EQ97" s="204"/>
      <c r="ER97" s="204"/>
      <c r="ES97" s="204"/>
      <c r="ET97" s="204"/>
      <c r="EU97" s="204"/>
      <c r="EV97" s="204"/>
      <c r="EW97" s="204"/>
      <c r="EX97" s="204"/>
      <c r="EY97" s="204"/>
      <c r="EZ97" s="204"/>
      <c r="FA97" s="204"/>
      <c r="FB97" s="204"/>
      <c r="FC97" s="204"/>
      <c r="FD97" s="204"/>
      <c r="FE97" s="204"/>
      <c r="FF97" s="204"/>
      <c r="FG97" s="204"/>
      <c r="FH97" s="204"/>
      <c r="FI97" s="204"/>
      <c r="FJ97" s="204"/>
      <c r="FK97" s="204"/>
      <c r="FL97" s="204"/>
      <c r="FM97" s="204"/>
      <c r="FN97" s="204"/>
      <c r="FO97" s="204"/>
      <c r="FP97" s="204"/>
      <c r="FQ97" s="204"/>
      <c r="FR97" s="204"/>
      <c r="FS97" s="204"/>
      <c r="FT97" s="204"/>
      <c r="FU97" s="204"/>
      <c r="FV97" s="204"/>
      <c r="FW97" s="204"/>
      <c r="FX97" s="204"/>
      <c r="FY97" s="204"/>
      <c r="FZ97" s="204"/>
      <c r="GA97" s="204"/>
      <c r="GB97" s="204"/>
      <c r="GC97" s="204"/>
      <c r="GD97" s="204"/>
      <c r="GE97" s="204"/>
      <c r="GF97" s="204"/>
      <c r="GG97" s="204"/>
      <c r="GH97" s="204"/>
      <c r="GI97" s="204"/>
      <c r="GJ97" s="204"/>
      <c r="GK97" s="204"/>
      <c r="GL97" s="204"/>
      <c r="GM97" s="204"/>
      <c r="GN97" s="204"/>
      <c r="GO97" s="204"/>
      <c r="GP97" s="204"/>
      <c r="GQ97" s="204"/>
      <c r="GR97" s="204"/>
      <c r="GS97" s="204"/>
      <c r="GT97" s="204"/>
      <c r="GU97" s="204"/>
      <c r="GV97" s="204"/>
      <c r="GW97" s="204"/>
      <c r="GX97" s="204"/>
      <c r="GY97" s="204"/>
      <c r="GZ97" s="204"/>
      <c r="HA97" s="204"/>
      <c r="HB97" s="204"/>
      <c r="HC97" s="204"/>
      <c r="HD97" s="204"/>
      <c r="HE97" s="204"/>
      <c r="HF97" s="204"/>
      <c r="HG97" s="204"/>
      <c r="HH97" s="204"/>
      <c r="HI97" s="204"/>
      <c r="HJ97" s="204"/>
      <c r="HK97" s="204"/>
      <c r="HL97" s="204"/>
      <c r="HM97" s="204"/>
      <c r="HN97" s="204"/>
      <c r="HO97" s="204"/>
      <c r="HP97" s="204"/>
      <c r="HQ97" s="204"/>
      <c r="HR97" s="204"/>
      <c r="HS97" s="204"/>
      <c r="HT97" s="204"/>
      <c r="HU97" s="204"/>
      <c r="HV97" s="204"/>
      <c r="HW97" s="204"/>
      <c r="HX97" s="204"/>
      <c r="HY97" s="204"/>
      <c r="HZ97" s="204"/>
      <c r="IA97" s="204"/>
      <c r="IB97" s="204"/>
      <c r="IC97" s="204"/>
      <c r="ID97" s="204"/>
      <c r="IE97" s="204"/>
      <c r="IF97" s="204"/>
      <c r="IG97" s="204"/>
      <c r="IH97" s="204"/>
      <c r="II97" s="204"/>
      <c r="IJ97" s="204"/>
      <c r="IK97" s="204"/>
      <c r="IL97" s="204"/>
      <c r="IM97" s="204"/>
      <c r="IN97" s="204"/>
      <c r="IO97" s="204"/>
      <c r="IP97" s="204"/>
      <c r="IQ97" s="204"/>
      <c r="IR97" s="204"/>
      <c r="IS97" s="204"/>
      <c r="IT97" s="204"/>
      <c r="IU97" s="204"/>
    </row>
    <row r="98" spans="1:255" s="43" customFormat="1" ht="24" x14ac:dyDescent="0.2">
      <c r="A98" s="211">
        <v>72</v>
      </c>
      <c r="B98" s="212" t="s">
        <v>1092</v>
      </c>
      <c r="C98" s="212" t="s">
        <v>237</v>
      </c>
      <c r="D98" s="212" t="s">
        <v>33</v>
      </c>
      <c r="E98" s="213">
        <f t="shared" si="9"/>
        <v>1.8450000000000001E-3</v>
      </c>
      <c r="F98" s="214">
        <f>ROUND( 18322.43, 2 )</f>
        <v>18322.43</v>
      </c>
      <c r="G98" s="214">
        <f t="shared" si="10"/>
        <v>33.799999999999997</v>
      </c>
      <c r="H98" s="223" t="s">
        <v>1127</v>
      </c>
      <c r="I98" s="223" t="s">
        <v>1034</v>
      </c>
      <c r="N98" s="204"/>
      <c r="O98" s="204">
        <f t="shared" si="11"/>
        <v>1.8450000000000001E-3</v>
      </c>
      <c r="P98" s="204">
        <f>Source!I141</f>
        <v>1.8450000000000001E-3</v>
      </c>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4"/>
      <c r="BD98" s="204"/>
      <c r="BE98" s="204"/>
      <c r="BF98" s="204"/>
      <c r="BG98" s="204"/>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04"/>
      <c r="EI98" s="204"/>
      <c r="EJ98" s="204"/>
      <c r="EK98" s="204"/>
      <c r="EL98" s="204"/>
      <c r="EM98" s="204"/>
      <c r="EN98" s="204"/>
      <c r="EO98" s="204"/>
      <c r="EP98" s="204"/>
      <c r="EQ98" s="204"/>
      <c r="ER98" s="204"/>
      <c r="ES98" s="204"/>
      <c r="ET98" s="204"/>
      <c r="EU98" s="204"/>
      <c r="EV98" s="204"/>
      <c r="EW98" s="204"/>
      <c r="EX98" s="204"/>
      <c r="EY98" s="204"/>
      <c r="EZ98" s="204"/>
      <c r="FA98" s="204"/>
      <c r="FB98" s="204"/>
      <c r="FC98" s="204"/>
      <c r="FD98" s="204"/>
      <c r="FE98" s="204"/>
      <c r="FF98" s="204"/>
      <c r="FG98" s="204"/>
      <c r="FH98" s="204"/>
      <c r="FI98" s="204"/>
      <c r="FJ98" s="204"/>
      <c r="FK98" s="204"/>
      <c r="FL98" s="204"/>
      <c r="FM98" s="204"/>
      <c r="FN98" s="204"/>
      <c r="FO98" s="204"/>
      <c r="FP98" s="204"/>
      <c r="FQ98" s="204"/>
      <c r="FR98" s="204"/>
      <c r="FS98" s="204"/>
      <c r="FT98" s="204"/>
      <c r="FU98" s="204"/>
      <c r="FV98" s="204"/>
      <c r="FW98" s="204"/>
      <c r="FX98" s="204"/>
      <c r="FY98" s="204"/>
      <c r="FZ98" s="204"/>
      <c r="GA98" s="204"/>
      <c r="GB98" s="204"/>
      <c r="GC98" s="204"/>
      <c r="GD98" s="204"/>
      <c r="GE98" s="204"/>
      <c r="GF98" s="204"/>
      <c r="GG98" s="204"/>
      <c r="GH98" s="204"/>
      <c r="GI98" s="204"/>
      <c r="GJ98" s="204"/>
      <c r="GK98" s="204"/>
      <c r="GL98" s="204"/>
      <c r="GM98" s="204"/>
      <c r="GN98" s="204"/>
      <c r="GO98" s="204"/>
      <c r="GP98" s="204"/>
      <c r="GQ98" s="204"/>
      <c r="GR98" s="204"/>
      <c r="GS98" s="204"/>
      <c r="GT98" s="204"/>
      <c r="GU98" s="204"/>
      <c r="GV98" s="204"/>
      <c r="GW98" s="204"/>
      <c r="GX98" s="204"/>
      <c r="GY98" s="204"/>
      <c r="GZ98" s="204"/>
      <c r="HA98" s="204"/>
      <c r="HB98" s="204"/>
      <c r="HC98" s="204"/>
      <c r="HD98" s="204"/>
      <c r="HE98" s="204"/>
      <c r="HF98" s="204"/>
      <c r="HG98" s="204"/>
      <c r="HH98" s="204"/>
      <c r="HI98" s="204"/>
      <c r="HJ98" s="204"/>
      <c r="HK98" s="204"/>
      <c r="HL98" s="204"/>
      <c r="HM98" s="204"/>
      <c r="HN98" s="204"/>
      <c r="HO98" s="204"/>
      <c r="HP98" s="204"/>
      <c r="HQ98" s="204"/>
      <c r="HR98" s="204"/>
      <c r="HS98" s="204"/>
      <c r="HT98" s="204"/>
      <c r="HU98" s="204"/>
      <c r="HV98" s="204"/>
      <c r="HW98" s="204"/>
      <c r="HX98" s="204"/>
      <c r="HY98" s="204"/>
      <c r="HZ98" s="204"/>
      <c r="IA98" s="204"/>
      <c r="IB98" s="204"/>
      <c r="IC98" s="204"/>
      <c r="ID98" s="204"/>
      <c r="IE98" s="204"/>
      <c r="IF98" s="204"/>
      <c r="IG98" s="204"/>
      <c r="IH98" s="204"/>
      <c r="II98" s="204"/>
      <c r="IJ98" s="204"/>
      <c r="IK98" s="204"/>
      <c r="IL98" s="204"/>
      <c r="IM98" s="204"/>
      <c r="IN98" s="204"/>
      <c r="IO98" s="204"/>
      <c r="IP98" s="204"/>
      <c r="IQ98" s="204"/>
      <c r="IR98" s="204"/>
      <c r="IS98" s="204"/>
      <c r="IT98" s="204"/>
      <c r="IU98" s="204"/>
    </row>
    <row r="99" spans="1:255" s="43" customFormat="1" ht="12" x14ac:dyDescent="0.2">
      <c r="A99" s="211">
        <v>73</v>
      </c>
      <c r="B99" s="212" t="s">
        <v>1092</v>
      </c>
      <c r="C99" s="212" t="s">
        <v>524</v>
      </c>
      <c r="D99" s="212" t="s">
        <v>44</v>
      </c>
      <c r="E99" s="213" t="e">
        <f t="shared" si="9"/>
        <v>#REF!</v>
      </c>
      <c r="F99" s="214">
        <f>ROUND( 459.1, 2 )</f>
        <v>459.1</v>
      </c>
      <c r="G99" s="214" t="e">
        <f t="shared" si="10"/>
        <v>#REF!</v>
      </c>
      <c r="H99" s="218" t="s">
        <v>1125</v>
      </c>
      <c r="I99" s="218" t="s">
        <v>1034</v>
      </c>
      <c r="N99" s="204"/>
      <c r="O99" s="204" t="e">
        <f t="shared" si="11"/>
        <v>#REF!</v>
      </c>
      <c r="P99" s="204" t="e">
        <f>Source!I382</f>
        <v>#REF!</v>
      </c>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04"/>
      <c r="EI99" s="204"/>
      <c r="EJ99" s="204"/>
      <c r="EK99" s="204"/>
      <c r="EL99" s="204"/>
      <c r="EM99" s="204"/>
      <c r="EN99" s="204"/>
      <c r="EO99" s="204"/>
      <c r="EP99" s="204"/>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04"/>
      <c r="FM99" s="204"/>
      <c r="FN99" s="204"/>
      <c r="FO99" s="204"/>
      <c r="FP99" s="204"/>
      <c r="FQ99" s="204"/>
      <c r="FR99" s="204"/>
      <c r="FS99" s="204"/>
      <c r="FT99" s="204"/>
      <c r="FU99" s="204"/>
      <c r="FV99" s="204"/>
      <c r="FW99" s="204"/>
      <c r="FX99" s="204"/>
      <c r="FY99" s="204"/>
      <c r="FZ99" s="204"/>
      <c r="GA99" s="204"/>
      <c r="GB99" s="204"/>
      <c r="GC99" s="204"/>
      <c r="GD99" s="204"/>
      <c r="GE99" s="204"/>
      <c r="GF99" s="204"/>
      <c r="GG99" s="204"/>
      <c r="GH99" s="204"/>
      <c r="GI99" s="204"/>
      <c r="GJ99" s="204"/>
      <c r="GK99" s="204"/>
      <c r="GL99" s="204"/>
      <c r="GM99" s="204"/>
      <c r="GN99" s="204"/>
      <c r="GO99" s="204"/>
      <c r="GP99" s="204"/>
      <c r="GQ99" s="204"/>
      <c r="GR99" s="204"/>
      <c r="GS99" s="204"/>
      <c r="GT99" s="204"/>
      <c r="GU99" s="204"/>
      <c r="GV99" s="204"/>
      <c r="GW99" s="204"/>
      <c r="GX99" s="204"/>
      <c r="GY99" s="204"/>
      <c r="GZ99" s="204"/>
      <c r="HA99" s="204"/>
      <c r="HB99" s="204"/>
      <c r="HC99" s="204"/>
      <c r="HD99" s="204"/>
      <c r="HE99" s="204"/>
      <c r="HF99" s="204"/>
      <c r="HG99" s="204"/>
      <c r="HH99" s="204"/>
      <c r="HI99" s="204"/>
      <c r="HJ99" s="204"/>
      <c r="HK99" s="204"/>
      <c r="HL99" s="204"/>
      <c r="HM99" s="204"/>
      <c r="HN99" s="204"/>
      <c r="HO99" s="204"/>
      <c r="HP99" s="204"/>
      <c r="HQ99" s="204"/>
      <c r="HR99" s="204"/>
      <c r="HS99" s="204"/>
      <c r="HT99" s="204"/>
      <c r="HU99" s="204"/>
      <c r="HV99" s="204"/>
      <c r="HW99" s="204"/>
      <c r="HX99" s="204"/>
      <c r="HY99" s="204"/>
      <c r="HZ99" s="204"/>
      <c r="IA99" s="204"/>
      <c r="IB99" s="204"/>
      <c r="IC99" s="204"/>
      <c r="ID99" s="204"/>
      <c r="IE99" s="204"/>
      <c r="IF99" s="204"/>
      <c r="IG99" s="204"/>
      <c r="IH99" s="204"/>
      <c r="II99" s="204"/>
      <c r="IJ99" s="204"/>
      <c r="IK99" s="204"/>
      <c r="IL99" s="204"/>
      <c r="IM99" s="204"/>
      <c r="IN99" s="204"/>
      <c r="IO99" s="204"/>
      <c r="IP99" s="204"/>
      <c r="IQ99" s="204"/>
      <c r="IR99" s="204"/>
      <c r="IS99" s="204"/>
      <c r="IT99" s="204"/>
      <c r="IU99" s="204"/>
    </row>
    <row r="100" spans="1:255" s="43" customFormat="1" ht="24" x14ac:dyDescent="0.2">
      <c r="A100" s="211">
        <v>74</v>
      </c>
      <c r="B100" s="212" t="s">
        <v>1092</v>
      </c>
      <c r="C100" s="212" t="s">
        <v>218</v>
      </c>
      <c r="D100" s="212" t="s">
        <v>44</v>
      </c>
      <c r="E100" s="213">
        <f t="shared" si="9"/>
        <v>4.2431999999999999</v>
      </c>
      <c r="F100" s="214">
        <f>ROUND( 459.1, 2 )</f>
        <v>459.1</v>
      </c>
      <c r="G100" s="214">
        <f t="shared" si="10"/>
        <v>1948.05</v>
      </c>
      <c r="H100" s="218" t="s">
        <v>1125</v>
      </c>
      <c r="I100" s="218" t="s">
        <v>1034</v>
      </c>
      <c r="N100" s="204"/>
      <c r="O100" s="204">
        <f t="shared" si="11"/>
        <v>4.2431999999999999</v>
      </c>
      <c r="P100" s="204">
        <f>Source!I131</f>
        <v>4.2431999999999999</v>
      </c>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4"/>
      <c r="BD100" s="204"/>
      <c r="BE100" s="204"/>
      <c r="BF100" s="204"/>
      <c r="BG100" s="204"/>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4"/>
      <c r="EP100" s="204"/>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04"/>
      <c r="FM100" s="204"/>
      <c r="FN100" s="204"/>
      <c r="FO100" s="204"/>
      <c r="FP100" s="204"/>
      <c r="FQ100" s="204"/>
      <c r="FR100" s="204"/>
      <c r="FS100" s="204"/>
      <c r="FT100" s="204"/>
      <c r="FU100" s="204"/>
      <c r="FV100" s="204"/>
      <c r="FW100" s="204"/>
      <c r="FX100" s="204"/>
      <c r="FY100" s="204"/>
      <c r="FZ100" s="204"/>
      <c r="GA100" s="204"/>
      <c r="GB100" s="204"/>
      <c r="GC100" s="204"/>
      <c r="GD100" s="204"/>
      <c r="GE100" s="204"/>
      <c r="GF100" s="204"/>
      <c r="GG100" s="204"/>
      <c r="GH100" s="204"/>
      <c r="GI100" s="204"/>
      <c r="GJ100" s="204"/>
      <c r="GK100" s="204"/>
      <c r="GL100" s="204"/>
      <c r="GM100" s="204"/>
      <c r="GN100" s="204"/>
      <c r="GO100" s="204"/>
      <c r="GP100" s="204"/>
      <c r="GQ100" s="204"/>
      <c r="GR100" s="204"/>
      <c r="GS100" s="204"/>
      <c r="GT100" s="204"/>
      <c r="GU100" s="204"/>
      <c r="GV100" s="204"/>
      <c r="GW100" s="204"/>
      <c r="GX100" s="204"/>
      <c r="GY100" s="204"/>
      <c r="GZ100" s="204"/>
      <c r="HA100" s="204"/>
      <c r="HB100" s="204"/>
      <c r="HC100" s="204"/>
      <c r="HD100" s="204"/>
      <c r="HE100" s="204"/>
      <c r="HF100" s="204"/>
      <c r="HG100" s="204"/>
      <c r="HH100" s="204"/>
      <c r="HI100" s="204"/>
      <c r="HJ100" s="204"/>
      <c r="HK100" s="204"/>
      <c r="HL100" s="204"/>
      <c r="HM100" s="204"/>
      <c r="HN100" s="204"/>
      <c r="HO100" s="204"/>
      <c r="HP100" s="204"/>
      <c r="HQ100" s="204"/>
      <c r="HR100" s="204"/>
      <c r="HS100" s="204"/>
      <c r="HT100" s="204"/>
      <c r="HU100" s="204"/>
      <c r="HV100" s="204"/>
      <c r="HW100" s="204"/>
      <c r="HX100" s="204"/>
      <c r="HY100" s="204"/>
      <c r="HZ100" s="204"/>
      <c r="IA100" s="204"/>
      <c r="IB100" s="204"/>
      <c r="IC100" s="204"/>
      <c r="ID100" s="204"/>
      <c r="IE100" s="204"/>
      <c r="IF100" s="204"/>
      <c r="IG100" s="204"/>
      <c r="IH100" s="204"/>
      <c r="II100" s="204"/>
      <c r="IJ100" s="204"/>
      <c r="IK100" s="204"/>
      <c r="IL100" s="204"/>
      <c r="IM100" s="204"/>
      <c r="IN100" s="204"/>
      <c r="IO100" s="204"/>
      <c r="IP100" s="204"/>
      <c r="IQ100" s="204"/>
      <c r="IR100" s="204"/>
      <c r="IS100" s="204"/>
      <c r="IT100" s="204"/>
      <c r="IU100" s="204"/>
    </row>
    <row r="101" spans="1:255" s="43" customFormat="1" ht="36" x14ac:dyDescent="0.2">
      <c r="A101" s="211">
        <v>75</v>
      </c>
      <c r="B101" s="212" t="s">
        <v>1092</v>
      </c>
      <c r="C101" s="212" t="s">
        <v>448</v>
      </c>
      <c r="D101" s="212" t="s">
        <v>33</v>
      </c>
      <c r="E101" s="213">
        <f t="shared" si="9"/>
        <v>0.24</v>
      </c>
      <c r="F101" s="214">
        <f>ROUND( 12829.31, 2 )</f>
        <v>12829.31</v>
      </c>
      <c r="G101" s="214">
        <f t="shared" si="10"/>
        <v>3079.03</v>
      </c>
      <c r="H101" s="218" t="s">
        <v>1143</v>
      </c>
      <c r="I101" s="218" t="s">
        <v>1034</v>
      </c>
      <c r="N101" s="204"/>
      <c r="O101" s="204">
        <f t="shared" si="11"/>
        <v>0.24</v>
      </c>
      <c r="P101" s="204">
        <f>Source!I332</f>
        <v>0.24</v>
      </c>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4"/>
      <c r="EP101" s="204"/>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04"/>
      <c r="FM101" s="204"/>
      <c r="FN101" s="204"/>
      <c r="FO101" s="204"/>
      <c r="FP101" s="204"/>
      <c r="FQ101" s="204"/>
      <c r="FR101" s="204"/>
      <c r="FS101" s="204"/>
      <c r="FT101" s="204"/>
      <c r="FU101" s="204"/>
      <c r="FV101" s="204"/>
      <c r="FW101" s="204"/>
      <c r="FX101" s="204"/>
      <c r="FY101" s="204"/>
      <c r="FZ101" s="204"/>
      <c r="GA101" s="204"/>
      <c r="GB101" s="204"/>
      <c r="GC101" s="204"/>
      <c r="GD101" s="204"/>
      <c r="GE101" s="204"/>
      <c r="GF101" s="204"/>
      <c r="GG101" s="204"/>
      <c r="GH101" s="204"/>
      <c r="GI101" s="204"/>
      <c r="GJ101" s="204"/>
      <c r="GK101" s="204"/>
      <c r="GL101" s="204"/>
      <c r="GM101" s="204"/>
      <c r="GN101" s="204"/>
      <c r="GO101" s="204"/>
      <c r="GP101" s="204"/>
      <c r="GQ101" s="204"/>
      <c r="GR101" s="204"/>
      <c r="GS101" s="204"/>
      <c r="GT101" s="204"/>
      <c r="GU101" s="204"/>
      <c r="GV101" s="204"/>
      <c r="GW101" s="204"/>
      <c r="GX101" s="204"/>
      <c r="GY101" s="204"/>
      <c r="GZ101" s="204"/>
      <c r="HA101" s="204"/>
      <c r="HB101" s="204"/>
      <c r="HC101" s="204"/>
      <c r="HD101" s="204"/>
      <c r="HE101" s="204"/>
      <c r="HF101" s="204"/>
      <c r="HG101" s="204"/>
      <c r="HH101" s="204"/>
      <c r="HI101" s="204"/>
      <c r="HJ101" s="204"/>
      <c r="HK101" s="204"/>
      <c r="HL101" s="204"/>
      <c r="HM101" s="204"/>
      <c r="HN101" s="204"/>
      <c r="HO101" s="204"/>
      <c r="HP101" s="204"/>
      <c r="HQ101" s="204"/>
      <c r="HR101" s="204"/>
      <c r="HS101" s="204"/>
      <c r="HT101" s="204"/>
      <c r="HU101" s="204"/>
      <c r="HV101" s="204"/>
      <c r="HW101" s="204"/>
      <c r="HX101" s="204"/>
      <c r="HY101" s="204"/>
      <c r="HZ101" s="204"/>
      <c r="IA101" s="204"/>
      <c r="IB101" s="204"/>
      <c r="IC101" s="204"/>
      <c r="ID101" s="204"/>
      <c r="IE101" s="204"/>
      <c r="IF101" s="204"/>
      <c r="IG101" s="204"/>
      <c r="IH101" s="204"/>
      <c r="II101" s="204"/>
      <c r="IJ101" s="204"/>
      <c r="IK101" s="204"/>
      <c r="IL101" s="204"/>
      <c r="IM101" s="204"/>
      <c r="IN101" s="204"/>
      <c r="IO101" s="204"/>
      <c r="IP101" s="204"/>
      <c r="IQ101" s="204"/>
      <c r="IR101" s="204"/>
      <c r="IS101" s="204"/>
      <c r="IT101" s="204"/>
      <c r="IU101" s="204"/>
    </row>
    <row r="102" spans="1:255" s="43" customFormat="1" ht="12" x14ac:dyDescent="0.2">
      <c r="A102" s="211">
        <v>76</v>
      </c>
      <c r="B102" s="212" t="s">
        <v>1092</v>
      </c>
      <c r="C102" s="212" t="s">
        <v>317</v>
      </c>
      <c r="D102" s="212" t="s">
        <v>33</v>
      </c>
      <c r="E102" s="213">
        <f t="shared" si="9"/>
        <v>5.1932499999999999E-3</v>
      </c>
      <c r="F102" s="214">
        <f>ROUND( 10559.12, 2 )</f>
        <v>10559.12</v>
      </c>
      <c r="G102" s="214">
        <f t="shared" si="10"/>
        <v>54.84</v>
      </c>
      <c r="H102" s="218" t="s">
        <v>1129</v>
      </c>
      <c r="I102" s="218" t="s">
        <v>1034</v>
      </c>
      <c r="N102" s="204"/>
      <c r="O102" s="204">
        <f t="shared" si="11"/>
        <v>5.1932499999999999E-3</v>
      </c>
      <c r="P102" s="204">
        <f>Source!I229</f>
        <v>1.5874999999999999E-3</v>
      </c>
      <c r="Q102" s="204">
        <f>Source!I241</f>
        <v>4.1800000000000002E-4</v>
      </c>
      <c r="R102" s="204">
        <f>Source!I253</f>
        <v>1.9924999999999999E-4</v>
      </c>
      <c r="S102" s="204">
        <f>Source!I261</f>
        <v>7.5350000000000005E-4</v>
      </c>
      <c r="T102" s="204">
        <f>Source!I356</f>
        <v>4.3899999999999999E-4</v>
      </c>
      <c r="U102" s="204">
        <f>Source!I362</f>
        <v>2.9999999999999997E-4</v>
      </c>
      <c r="V102" s="204">
        <f>Source!I386</f>
        <v>1.4959999999999999E-3</v>
      </c>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row>
    <row r="103" spans="1:255" s="43" customFormat="1" ht="36" x14ac:dyDescent="0.2">
      <c r="A103" s="211">
        <v>77</v>
      </c>
      <c r="B103" s="212" t="s">
        <v>1092</v>
      </c>
      <c r="C103" s="212" t="s">
        <v>439</v>
      </c>
      <c r="D103" s="212" t="s">
        <v>33</v>
      </c>
      <c r="E103" s="213">
        <f t="shared" si="9"/>
        <v>1.35755</v>
      </c>
      <c r="F103" s="214">
        <f>ROUND( 14346.51, 2 )</f>
        <v>14346.51</v>
      </c>
      <c r="G103" s="214">
        <f t="shared" si="10"/>
        <v>19476.099999999999</v>
      </c>
      <c r="H103" s="218" t="s">
        <v>1142</v>
      </c>
      <c r="I103" s="218" t="s">
        <v>1034</v>
      </c>
      <c r="N103" s="204"/>
      <c r="O103" s="204">
        <f t="shared" si="11"/>
        <v>1.35755</v>
      </c>
      <c r="P103" s="204">
        <f>Source!I328</f>
        <v>2.3E-3</v>
      </c>
      <c r="Q103" s="204">
        <f>Source!I334</f>
        <v>1.3552500000000001</v>
      </c>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row>
    <row r="104" spans="1:255" s="43" customFormat="1" ht="36" x14ac:dyDescent="0.2">
      <c r="A104" s="211">
        <v>78</v>
      </c>
      <c r="B104" s="212" t="s">
        <v>1092</v>
      </c>
      <c r="C104" s="212" t="s">
        <v>453</v>
      </c>
      <c r="D104" s="212" t="s">
        <v>33</v>
      </c>
      <c r="E104" s="213">
        <f t="shared" si="9"/>
        <v>2.775E-2</v>
      </c>
      <c r="F104" s="214">
        <f>ROUND( 14346.51, 2 )</f>
        <v>14346.51</v>
      </c>
      <c r="G104" s="214">
        <f t="shared" si="10"/>
        <v>398.12</v>
      </c>
      <c r="H104" s="218" t="s">
        <v>1142</v>
      </c>
      <c r="I104" s="218" t="s">
        <v>1034</v>
      </c>
      <c r="N104" s="204"/>
      <c r="O104" s="204">
        <f t="shared" si="11"/>
        <v>2.775E-2</v>
      </c>
      <c r="P104" s="204">
        <f>Source!I336</f>
        <v>2.775E-2</v>
      </c>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row>
    <row r="105" spans="1:255" s="43" customFormat="1" ht="12" x14ac:dyDescent="0.2">
      <c r="A105" s="211">
        <v>79</v>
      </c>
      <c r="B105" s="212" t="s">
        <v>1092</v>
      </c>
      <c r="C105" s="212" t="s">
        <v>507</v>
      </c>
      <c r="D105" s="212" t="s">
        <v>33</v>
      </c>
      <c r="E105" s="213">
        <f t="shared" si="9"/>
        <v>4.0750000000000001E-2</v>
      </c>
      <c r="F105" s="214">
        <f>ROUND( 15447.19, 2 )</f>
        <v>15447.19</v>
      </c>
      <c r="G105" s="214">
        <f t="shared" si="10"/>
        <v>629.47</v>
      </c>
      <c r="H105" s="218" t="s">
        <v>1150</v>
      </c>
      <c r="I105" s="218" t="s">
        <v>1034</v>
      </c>
      <c r="N105" s="204"/>
      <c r="O105" s="204">
        <f t="shared" si="11"/>
        <v>4.0750000000000001E-2</v>
      </c>
      <c r="P105" s="204">
        <f>Source!I372</f>
        <v>4.0750000000000001E-2</v>
      </c>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c r="BA105" s="204"/>
      <c r="BB105" s="204"/>
      <c r="BC105" s="204"/>
      <c r="BD105" s="204"/>
      <c r="BE105" s="204"/>
      <c r="BF105" s="204"/>
      <c r="BG105" s="204"/>
      <c r="BH105" s="204"/>
      <c r="BI105" s="204"/>
      <c r="BJ105" s="204"/>
      <c r="BK105" s="204"/>
      <c r="BL105" s="204"/>
      <c r="BM105" s="204"/>
      <c r="BN105" s="204"/>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c r="DV105" s="204"/>
      <c r="DW105" s="204"/>
      <c r="DX105" s="204"/>
      <c r="DY105" s="204"/>
      <c r="DZ105" s="204"/>
      <c r="EA105" s="204"/>
      <c r="EB105" s="204"/>
      <c r="EC105" s="204"/>
      <c r="ED105" s="204"/>
      <c r="EE105" s="204"/>
      <c r="EF105" s="204"/>
      <c r="EG105" s="204"/>
      <c r="EH105" s="204"/>
      <c r="EI105" s="204"/>
      <c r="EJ105" s="204"/>
      <c r="EK105" s="204"/>
      <c r="EL105" s="204"/>
      <c r="EM105" s="204"/>
      <c r="EN105" s="204"/>
      <c r="EO105" s="204"/>
      <c r="EP105" s="204"/>
      <c r="EQ105" s="204"/>
      <c r="ER105" s="204"/>
      <c r="ES105" s="204"/>
      <c r="ET105" s="204"/>
      <c r="EU105" s="204"/>
      <c r="EV105" s="204"/>
      <c r="EW105" s="204"/>
      <c r="EX105" s="204"/>
      <c r="EY105" s="204"/>
      <c r="EZ105" s="204"/>
      <c r="FA105" s="204"/>
      <c r="FB105" s="204"/>
      <c r="FC105" s="204"/>
      <c r="FD105" s="204"/>
      <c r="FE105" s="204"/>
      <c r="FF105" s="204"/>
      <c r="FG105" s="204"/>
      <c r="FH105" s="204"/>
      <c r="FI105" s="204"/>
      <c r="FJ105" s="204"/>
      <c r="FK105" s="204"/>
      <c r="FL105" s="204"/>
      <c r="FM105" s="204"/>
      <c r="FN105" s="204"/>
      <c r="FO105" s="204"/>
      <c r="FP105" s="204"/>
      <c r="FQ105" s="204"/>
      <c r="FR105" s="204"/>
      <c r="FS105" s="204"/>
      <c r="FT105" s="204"/>
      <c r="FU105" s="204"/>
      <c r="FV105" s="204"/>
      <c r="FW105" s="204"/>
      <c r="FX105" s="204"/>
      <c r="FY105" s="204"/>
      <c r="FZ105" s="204"/>
      <c r="GA105" s="204"/>
      <c r="GB105" s="204"/>
      <c r="GC105" s="204"/>
      <c r="GD105" s="204"/>
      <c r="GE105" s="204"/>
      <c r="GF105" s="204"/>
      <c r="GG105" s="204"/>
      <c r="GH105" s="204"/>
      <c r="GI105" s="204"/>
      <c r="GJ105" s="204"/>
      <c r="GK105" s="204"/>
      <c r="GL105" s="204"/>
      <c r="GM105" s="204"/>
      <c r="GN105" s="204"/>
      <c r="GO105" s="204"/>
      <c r="GP105" s="204"/>
      <c r="GQ105" s="204"/>
      <c r="GR105" s="204"/>
      <c r="GS105" s="204"/>
      <c r="GT105" s="204"/>
      <c r="GU105" s="204"/>
      <c r="GV105" s="204"/>
      <c r="GW105" s="204"/>
      <c r="GX105" s="204"/>
      <c r="GY105" s="204"/>
      <c r="GZ105" s="204"/>
      <c r="HA105" s="204"/>
      <c r="HB105" s="204"/>
      <c r="HC105" s="204"/>
      <c r="HD105" s="204"/>
      <c r="HE105" s="204"/>
      <c r="HF105" s="204"/>
      <c r="HG105" s="204"/>
      <c r="HH105" s="204"/>
      <c r="HI105" s="204"/>
      <c r="HJ105" s="204"/>
      <c r="HK105" s="204"/>
      <c r="HL105" s="204"/>
      <c r="HM105" s="204"/>
      <c r="HN105" s="204"/>
      <c r="HO105" s="204"/>
      <c r="HP105" s="204"/>
      <c r="HQ105" s="204"/>
      <c r="HR105" s="204"/>
      <c r="HS105" s="204"/>
      <c r="HT105" s="204"/>
      <c r="HU105" s="204"/>
      <c r="HV105" s="204"/>
      <c r="HW105" s="204"/>
      <c r="HX105" s="204"/>
      <c r="HY105" s="204"/>
      <c r="HZ105" s="204"/>
      <c r="IA105" s="204"/>
      <c r="IB105" s="204"/>
      <c r="IC105" s="204"/>
      <c r="ID105" s="204"/>
      <c r="IE105" s="204"/>
      <c r="IF105" s="204"/>
      <c r="IG105" s="204"/>
      <c r="IH105" s="204"/>
      <c r="II105" s="204"/>
      <c r="IJ105" s="204"/>
      <c r="IK105" s="204"/>
      <c r="IL105" s="204"/>
      <c r="IM105" s="204"/>
      <c r="IN105" s="204"/>
      <c r="IO105" s="204"/>
      <c r="IP105" s="204"/>
      <c r="IQ105" s="204"/>
      <c r="IR105" s="204"/>
      <c r="IS105" s="204"/>
      <c r="IT105" s="204"/>
      <c r="IU105" s="204"/>
    </row>
    <row r="106" spans="1:255" s="43" customFormat="1" ht="24" x14ac:dyDescent="0.2">
      <c r="A106" s="211">
        <v>80</v>
      </c>
      <c r="B106" s="212" t="s">
        <v>1092</v>
      </c>
      <c r="C106" s="212" t="s">
        <v>338</v>
      </c>
      <c r="D106" s="212" t="s">
        <v>44</v>
      </c>
      <c r="E106" s="213">
        <f t="shared" si="9"/>
        <v>3.3408E-2</v>
      </c>
      <c r="F106" s="214">
        <f>ROUND( 586.71, 2 )</f>
        <v>586.71</v>
      </c>
      <c r="G106" s="214">
        <f t="shared" si="10"/>
        <v>19.600000000000001</v>
      </c>
      <c r="H106" s="218" t="s">
        <v>1132</v>
      </c>
      <c r="I106" s="218" t="s">
        <v>1034</v>
      </c>
      <c r="N106" s="204"/>
      <c r="O106" s="204">
        <f t="shared" si="11"/>
        <v>3.3408E-2</v>
      </c>
      <c r="P106" s="204">
        <f>Source!I237</f>
        <v>1.5138E-2</v>
      </c>
      <c r="Q106" s="204">
        <f>Source!I249</f>
        <v>3.9899999999999996E-3</v>
      </c>
      <c r="R106" s="204">
        <f>Source!I396</f>
        <v>1.4279999999999999E-2</v>
      </c>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4"/>
      <c r="AY106" s="204"/>
      <c r="AZ106" s="204"/>
      <c r="BA106" s="204"/>
      <c r="BB106" s="204"/>
      <c r="BC106" s="204"/>
      <c r="BD106" s="204"/>
      <c r="BE106" s="204"/>
      <c r="BF106" s="204"/>
      <c r="BG106" s="204"/>
      <c r="BH106" s="204"/>
      <c r="BI106" s="204"/>
      <c r="BJ106" s="204"/>
      <c r="BK106" s="204"/>
      <c r="BL106" s="204"/>
      <c r="BM106" s="204"/>
      <c r="BN106" s="204"/>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c r="DV106" s="204"/>
      <c r="DW106" s="204"/>
      <c r="DX106" s="204"/>
      <c r="DY106" s="204"/>
      <c r="DZ106" s="204"/>
      <c r="EA106" s="204"/>
      <c r="EB106" s="204"/>
      <c r="EC106" s="204"/>
      <c r="ED106" s="204"/>
      <c r="EE106" s="204"/>
      <c r="EF106" s="204"/>
      <c r="EG106" s="204"/>
      <c r="EH106" s="204"/>
      <c r="EI106" s="204"/>
      <c r="EJ106" s="204"/>
      <c r="EK106" s="204"/>
      <c r="EL106" s="204"/>
      <c r="EM106" s="204"/>
      <c r="EN106" s="204"/>
      <c r="EO106" s="204"/>
      <c r="EP106" s="204"/>
      <c r="EQ106" s="204"/>
      <c r="ER106" s="204"/>
      <c r="ES106" s="204"/>
      <c r="ET106" s="204"/>
      <c r="EU106" s="204"/>
      <c r="EV106" s="204"/>
      <c r="EW106" s="204"/>
      <c r="EX106" s="204"/>
      <c r="EY106" s="204"/>
      <c r="EZ106" s="204"/>
      <c r="FA106" s="204"/>
      <c r="FB106" s="204"/>
      <c r="FC106" s="204"/>
      <c r="FD106" s="204"/>
      <c r="FE106" s="204"/>
      <c r="FF106" s="204"/>
      <c r="FG106" s="204"/>
      <c r="FH106" s="204"/>
      <c r="FI106" s="204"/>
      <c r="FJ106" s="204"/>
      <c r="FK106" s="204"/>
      <c r="FL106" s="204"/>
      <c r="FM106" s="204"/>
      <c r="FN106" s="204"/>
      <c r="FO106" s="204"/>
      <c r="FP106" s="204"/>
      <c r="FQ106" s="204"/>
      <c r="FR106" s="204"/>
      <c r="FS106" s="204"/>
      <c r="FT106" s="204"/>
      <c r="FU106" s="204"/>
      <c r="FV106" s="204"/>
      <c r="FW106" s="204"/>
      <c r="FX106" s="204"/>
      <c r="FY106" s="204"/>
      <c r="FZ106" s="204"/>
      <c r="GA106" s="204"/>
      <c r="GB106" s="204"/>
      <c r="GC106" s="204"/>
      <c r="GD106" s="204"/>
      <c r="GE106" s="204"/>
      <c r="GF106" s="204"/>
      <c r="GG106" s="204"/>
      <c r="GH106" s="204"/>
      <c r="GI106" s="204"/>
      <c r="GJ106" s="204"/>
      <c r="GK106" s="204"/>
      <c r="GL106" s="204"/>
      <c r="GM106" s="204"/>
      <c r="GN106" s="204"/>
      <c r="GO106" s="204"/>
      <c r="GP106" s="204"/>
      <c r="GQ106" s="204"/>
      <c r="GR106" s="204"/>
      <c r="GS106" s="204"/>
      <c r="GT106" s="204"/>
      <c r="GU106" s="204"/>
      <c r="GV106" s="204"/>
      <c r="GW106" s="204"/>
      <c r="GX106" s="204"/>
      <c r="GY106" s="204"/>
      <c r="GZ106" s="204"/>
      <c r="HA106" s="204"/>
      <c r="HB106" s="204"/>
      <c r="HC106" s="204"/>
      <c r="HD106" s="204"/>
      <c r="HE106" s="204"/>
      <c r="HF106" s="204"/>
      <c r="HG106" s="204"/>
      <c r="HH106" s="204"/>
      <c r="HI106" s="204"/>
      <c r="HJ106" s="204"/>
      <c r="HK106" s="204"/>
      <c r="HL106" s="204"/>
      <c r="HM106" s="204"/>
      <c r="HN106" s="204"/>
      <c r="HO106" s="204"/>
      <c r="HP106" s="204"/>
      <c r="HQ106" s="204"/>
      <c r="HR106" s="204"/>
      <c r="HS106" s="204"/>
      <c r="HT106" s="204"/>
      <c r="HU106" s="204"/>
      <c r="HV106" s="204"/>
      <c r="HW106" s="204"/>
      <c r="HX106" s="204"/>
      <c r="HY106" s="204"/>
      <c r="HZ106" s="204"/>
      <c r="IA106" s="204"/>
      <c r="IB106" s="204"/>
      <c r="IC106" s="204"/>
      <c r="ID106" s="204"/>
      <c r="IE106" s="204"/>
      <c r="IF106" s="204"/>
      <c r="IG106" s="204"/>
      <c r="IH106" s="204"/>
      <c r="II106" s="204"/>
      <c r="IJ106" s="204"/>
      <c r="IK106" s="204"/>
      <c r="IL106" s="204"/>
      <c r="IM106" s="204"/>
      <c r="IN106" s="204"/>
      <c r="IO106" s="204"/>
      <c r="IP106" s="204"/>
      <c r="IQ106" s="204"/>
      <c r="IR106" s="204"/>
      <c r="IS106" s="204"/>
      <c r="IT106" s="204"/>
      <c r="IU106" s="204"/>
    </row>
    <row r="107" spans="1:255" s="43" customFormat="1" ht="12" x14ac:dyDescent="0.2">
      <c r="A107" s="211">
        <v>81</v>
      </c>
      <c r="B107" s="212" t="s">
        <v>1092</v>
      </c>
      <c r="C107" s="212" t="s">
        <v>402</v>
      </c>
      <c r="D107" s="212" t="s">
        <v>33</v>
      </c>
      <c r="E107" s="213" t="e">
        <f t="shared" si="9"/>
        <v>#REF!</v>
      </c>
      <c r="F107" s="214">
        <f>ROUND( 18003.77, 2 )</f>
        <v>18003.77</v>
      </c>
      <c r="G107" s="214" t="e">
        <f t="shared" si="10"/>
        <v>#REF!</v>
      </c>
      <c r="H107" s="218" t="s">
        <v>1138</v>
      </c>
      <c r="I107" s="218" t="s">
        <v>1034</v>
      </c>
      <c r="N107" s="204"/>
      <c r="O107" s="204" t="e">
        <f t="shared" si="11"/>
        <v>#REF!</v>
      </c>
      <c r="P107" s="204" t="e">
        <f>Source!I275</f>
        <v>#REF!</v>
      </c>
      <c r="Q107" s="204" t="e">
        <f>Source!I400</f>
        <v>#REF!</v>
      </c>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c r="BM107" s="204"/>
      <c r="BN107" s="204"/>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c r="DV107" s="204"/>
      <c r="DW107" s="204"/>
      <c r="DX107" s="204"/>
      <c r="DY107" s="204"/>
      <c r="DZ107" s="204"/>
      <c r="EA107" s="204"/>
      <c r="EB107" s="204"/>
      <c r="EC107" s="204"/>
      <c r="ED107" s="204"/>
      <c r="EE107" s="204"/>
      <c r="EF107" s="204"/>
      <c r="EG107" s="204"/>
      <c r="EH107" s="204"/>
      <c r="EI107" s="204"/>
      <c r="EJ107" s="204"/>
      <c r="EK107" s="204"/>
      <c r="EL107" s="204"/>
      <c r="EM107" s="204"/>
      <c r="EN107" s="204"/>
      <c r="EO107" s="204"/>
      <c r="EP107" s="204"/>
      <c r="EQ107" s="204"/>
      <c r="ER107" s="204"/>
      <c r="ES107" s="204"/>
      <c r="ET107" s="204"/>
      <c r="EU107" s="204"/>
      <c r="EV107" s="204"/>
      <c r="EW107" s="204"/>
      <c r="EX107" s="204"/>
      <c r="EY107" s="204"/>
      <c r="EZ107" s="204"/>
      <c r="FA107" s="204"/>
      <c r="FB107" s="204"/>
      <c r="FC107" s="204"/>
      <c r="FD107" s="204"/>
      <c r="FE107" s="204"/>
      <c r="FF107" s="204"/>
      <c r="FG107" s="204"/>
      <c r="FH107" s="204"/>
      <c r="FI107" s="204"/>
      <c r="FJ107" s="204"/>
      <c r="FK107" s="204"/>
      <c r="FL107" s="204"/>
      <c r="FM107" s="204"/>
      <c r="FN107" s="204"/>
      <c r="FO107" s="204"/>
      <c r="FP107" s="204"/>
      <c r="FQ107" s="204"/>
      <c r="FR107" s="204"/>
      <c r="FS107" s="204"/>
      <c r="FT107" s="204"/>
      <c r="FU107" s="204"/>
      <c r="FV107" s="204"/>
      <c r="FW107" s="204"/>
      <c r="FX107" s="204"/>
      <c r="FY107" s="204"/>
      <c r="FZ107" s="204"/>
      <c r="GA107" s="204"/>
      <c r="GB107" s="204"/>
      <c r="GC107" s="204"/>
      <c r="GD107" s="204"/>
      <c r="GE107" s="204"/>
      <c r="GF107" s="204"/>
      <c r="GG107" s="204"/>
      <c r="GH107" s="204"/>
      <c r="GI107" s="204"/>
      <c r="GJ107" s="204"/>
      <c r="GK107" s="204"/>
      <c r="GL107" s="204"/>
      <c r="GM107" s="204"/>
      <c r="GN107" s="204"/>
      <c r="GO107" s="204"/>
      <c r="GP107" s="204"/>
      <c r="GQ107" s="204"/>
      <c r="GR107" s="204"/>
      <c r="GS107" s="204"/>
      <c r="GT107" s="204"/>
      <c r="GU107" s="204"/>
      <c r="GV107" s="204"/>
      <c r="GW107" s="204"/>
      <c r="GX107" s="204"/>
      <c r="GY107" s="204"/>
      <c r="GZ107" s="204"/>
      <c r="HA107" s="204"/>
      <c r="HB107" s="204"/>
      <c r="HC107" s="204"/>
      <c r="HD107" s="204"/>
      <c r="HE107" s="204"/>
      <c r="HF107" s="204"/>
      <c r="HG107" s="204"/>
      <c r="HH107" s="204"/>
      <c r="HI107" s="204"/>
      <c r="HJ107" s="204"/>
      <c r="HK107" s="204"/>
      <c r="HL107" s="204"/>
      <c r="HM107" s="204"/>
      <c r="HN107" s="204"/>
      <c r="HO107" s="204"/>
      <c r="HP107" s="204"/>
      <c r="HQ107" s="204"/>
      <c r="HR107" s="204"/>
      <c r="HS107" s="204"/>
      <c r="HT107" s="204"/>
      <c r="HU107" s="204"/>
      <c r="HV107" s="204"/>
      <c r="HW107" s="204"/>
      <c r="HX107" s="204"/>
      <c r="HY107" s="204"/>
      <c r="HZ107" s="204"/>
      <c r="IA107" s="204"/>
      <c r="IB107" s="204"/>
      <c r="IC107" s="204"/>
      <c r="ID107" s="204"/>
      <c r="IE107" s="204"/>
      <c r="IF107" s="204"/>
      <c r="IG107" s="204"/>
      <c r="IH107" s="204"/>
      <c r="II107" s="204"/>
      <c r="IJ107" s="204"/>
      <c r="IK107" s="204"/>
      <c r="IL107" s="204"/>
      <c r="IM107" s="204"/>
      <c r="IN107" s="204"/>
      <c r="IO107" s="204"/>
      <c r="IP107" s="204"/>
      <c r="IQ107" s="204"/>
      <c r="IR107" s="204"/>
      <c r="IS107" s="204"/>
      <c r="IT107" s="204"/>
      <c r="IU107" s="204"/>
    </row>
    <row r="108" spans="1:255" s="43" customFormat="1" ht="12" x14ac:dyDescent="0.2">
      <c r="A108" s="211">
        <v>82</v>
      </c>
      <c r="B108" s="212" t="s">
        <v>1092</v>
      </c>
      <c r="C108" s="212" t="s">
        <v>384</v>
      </c>
      <c r="D108" s="212" t="s">
        <v>33</v>
      </c>
      <c r="E108" s="213" t="e">
        <f t="shared" si="9"/>
        <v>#REF!</v>
      </c>
      <c r="F108" s="214">
        <f>ROUND( 6156.33, 2 )</f>
        <v>6156.33</v>
      </c>
      <c r="G108" s="214" t="e">
        <f t="shared" si="10"/>
        <v>#REF!</v>
      </c>
      <c r="H108" s="218" t="s">
        <v>1136</v>
      </c>
      <c r="I108" s="218" t="s">
        <v>1034</v>
      </c>
      <c r="N108" s="204"/>
      <c r="O108" s="204" t="e">
        <f t="shared" si="11"/>
        <v>#REF!</v>
      </c>
      <c r="P108" s="204" t="e">
        <f>Source!I267</f>
        <v>#REF!</v>
      </c>
      <c r="Q108" s="204" t="e">
        <f>Source!I376</f>
        <v>#REF!</v>
      </c>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B108" s="204"/>
      <c r="BC108" s="204"/>
      <c r="BD108" s="204"/>
      <c r="BE108" s="204"/>
      <c r="BF108" s="204"/>
      <c r="BG108" s="204"/>
      <c r="BH108" s="204"/>
      <c r="BI108" s="204"/>
      <c r="BJ108" s="204"/>
      <c r="BK108" s="204"/>
      <c r="BL108" s="204"/>
      <c r="BM108" s="204"/>
      <c r="BN108" s="204"/>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c r="EG108" s="204"/>
      <c r="EH108" s="204"/>
      <c r="EI108" s="204"/>
      <c r="EJ108" s="204"/>
      <c r="EK108" s="204"/>
      <c r="EL108" s="204"/>
      <c r="EM108" s="204"/>
      <c r="EN108" s="204"/>
      <c r="EO108" s="204"/>
      <c r="EP108" s="204"/>
      <c r="EQ108" s="204"/>
      <c r="ER108" s="204"/>
      <c r="ES108" s="204"/>
      <c r="ET108" s="204"/>
      <c r="EU108" s="204"/>
      <c r="EV108" s="204"/>
      <c r="EW108" s="204"/>
      <c r="EX108" s="204"/>
      <c r="EY108" s="204"/>
      <c r="EZ108" s="204"/>
      <c r="FA108" s="204"/>
      <c r="FB108" s="204"/>
      <c r="FC108" s="204"/>
      <c r="FD108" s="204"/>
      <c r="FE108" s="204"/>
      <c r="FF108" s="204"/>
      <c r="FG108" s="204"/>
      <c r="FH108" s="204"/>
      <c r="FI108" s="204"/>
      <c r="FJ108" s="204"/>
      <c r="FK108" s="204"/>
      <c r="FL108" s="204"/>
      <c r="FM108" s="204"/>
      <c r="FN108" s="204"/>
      <c r="FO108" s="204"/>
      <c r="FP108" s="204"/>
      <c r="FQ108" s="204"/>
      <c r="FR108" s="204"/>
      <c r="FS108" s="204"/>
      <c r="FT108" s="204"/>
      <c r="FU108" s="204"/>
      <c r="FV108" s="204"/>
      <c r="FW108" s="204"/>
      <c r="FX108" s="204"/>
      <c r="FY108" s="204"/>
      <c r="FZ108" s="204"/>
      <c r="GA108" s="204"/>
      <c r="GB108" s="204"/>
      <c r="GC108" s="204"/>
      <c r="GD108" s="204"/>
      <c r="GE108" s="204"/>
      <c r="GF108" s="204"/>
      <c r="GG108" s="204"/>
      <c r="GH108" s="204"/>
      <c r="GI108" s="204"/>
      <c r="GJ108" s="204"/>
      <c r="GK108" s="204"/>
      <c r="GL108" s="204"/>
      <c r="GM108" s="204"/>
      <c r="GN108" s="204"/>
      <c r="GO108" s="204"/>
      <c r="GP108" s="204"/>
      <c r="GQ108" s="204"/>
      <c r="GR108" s="204"/>
      <c r="GS108" s="204"/>
      <c r="GT108" s="204"/>
      <c r="GU108" s="204"/>
      <c r="GV108" s="204"/>
      <c r="GW108" s="204"/>
      <c r="GX108" s="204"/>
      <c r="GY108" s="204"/>
      <c r="GZ108" s="204"/>
      <c r="HA108" s="204"/>
      <c r="HB108" s="204"/>
      <c r="HC108" s="204"/>
      <c r="HD108" s="204"/>
      <c r="HE108" s="204"/>
      <c r="HF108" s="204"/>
      <c r="HG108" s="204"/>
      <c r="HH108" s="204"/>
      <c r="HI108" s="204"/>
      <c r="HJ108" s="204"/>
      <c r="HK108" s="204"/>
      <c r="HL108" s="204"/>
      <c r="HM108" s="204"/>
      <c r="HN108" s="204"/>
      <c r="HO108" s="204"/>
      <c r="HP108" s="204"/>
      <c r="HQ108" s="204"/>
      <c r="HR108" s="204"/>
      <c r="HS108" s="204"/>
      <c r="HT108" s="204"/>
      <c r="HU108" s="204"/>
      <c r="HV108" s="204"/>
      <c r="HW108" s="204"/>
      <c r="HX108" s="204"/>
      <c r="HY108" s="204"/>
      <c r="HZ108" s="204"/>
      <c r="IA108" s="204"/>
      <c r="IB108" s="204"/>
      <c r="IC108" s="204"/>
      <c r="ID108" s="204"/>
      <c r="IE108" s="204"/>
      <c r="IF108" s="204"/>
      <c r="IG108" s="204"/>
      <c r="IH108" s="204"/>
      <c r="II108" s="204"/>
      <c r="IJ108" s="204"/>
      <c r="IK108" s="204"/>
      <c r="IL108" s="204"/>
      <c r="IM108" s="204"/>
      <c r="IN108" s="204"/>
      <c r="IO108" s="204"/>
      <c r="IP108" s="204"/>
      <c r="IQ108" s="204"/>
      <c r="IR108" s="204"/>
      <c r="IS108" s="204"/>
      <c r="IT108" s="204"/>
      <c r="IU108" s="204"/>
    </row>
    <row r="109" spans="1:255" s="43" customFormat="1" ht="12" x14ac:dyDescent="0.2">
      <c r="A109" s="211">
        <v>83</v>
      </c>
      <c r="B109" s="212" t="s">
        <v>1092</v>
      </c>
      <c r="C109" s="212" t="s">
        <v>389</v>
      </c>
      <c r="D109" s="212" t="s">
        <v>33</v>
      </c>
      <c r="E109" s="213" t="e">
        <f t="shared" si="9"/>
        <v>#REF!</v>
      </c>
      <c r="F109" s="214">
        <f>ROUND( 14313, 2 )</f>
        <v>14313</v>
      </c>
      <c r="G109" s="214" t="e">
        <f t="shared" si="10"/>
        <v>#REF!</v>
      </c>
      <c r="H109" s="218" t="s">
        <v>1137</v>
      </c>
      <c r="I109" s="218" t="s">
        <v>1034</v>
      </c>
      <c r="N109" s="204"/>
      <c r="O109" s="204" t="e">
        <f t="shared" si="11"/>
        <v>#REF!</v>
      </c>
      <c r="P109" s="204" t="e">
        <f>Source!I269</f>
        <v>#REF!</v>
      </c>
      <c r="Q109" s="204" t="e">
        <f>Source!I378</f>
        <v>#REF!</v>
      </c>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c r="BA109" s="204"/>
      <c r="BB109" s="204"/>
      <c r="BC109" s="204"/>
      <c r="BD109" s="204"/>
      <c r="BE109" s="204"/>
      <c r="BF109" s="204"/>
      <c r="BG109" s="204"/>
      <c r="BH109" s="204"/>
      <c r="BI109" s="204"/>
      <c r="BJ109" s="204"/>
      <c r="BK109" s="204"/>
      <c r="BL109" s="204"/>
      <c r="BM109" s="204"/>
      <c r="BN109" s="204"/>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c r="DV109" s="204"/>
      <c r="DW109" s="204"/>
      <c r="DX109" s="204"/>
      <c r="DY109" s="204"/>
      <c r="DZ109" s="204"/>
      <c r="EA109" s="204"/>
      <c r="EB109" s="204"/>
      <c r="EC109" s="204"/>
      <c r="ED109" s="204"/>
      <c r="EE109" s="204"/>
      <c r="EF109" s="204"/>
      <c r="EG109" s="204"/>
      <c r="EH109" s="204"/>
      <c r="EI109" s="204"/>
      <c r="EJ109" s="204"/>
      <c r="EK109" s="204"/>
      <c r="EL109" s="204"/>
      <c r="EM109" s="204"/>
      <c r="EN109" s="204"/>
      <c r="EO109" s="204"/>
      <c r="EP109" s="204"/>
      <c r="EQ109" s="204"/>
      <c r="ER109" s="204"/>
      <c r="ES109" s="204"/>
      <c r="ET109" s="204"/>
      <c r="EU109" s="204"/>
      <c r="EV109" s="204"/>
      <c r="EW109" s="204"/>
      <c r="EX109" s="204"/>
      <c r="EY109" s="204"/>
      <c r="EZ109" s="204"/>
      <c r="FA109" s="204"/>
      <c r="FB109" s="204"/>
      <c r="FC109" s="204"/>
      <c r="FD109" s="204"/>
      <c r="FE109" s="204"/>
      <c r="FF109" s="204"/>
      <c r="FG109" s="204"/>
      <c r="FH109" s="204"/>
      <c r="FI109" s="204"/>
      <c r="FJ109" s="204"/>
      <c r="FK109" s="204"/>
      <c r="FL109" s="204"/>
      <c r="FM109" s="204"/>
      <c r="FN109" s="204"/>
      <c r="FO109" s="204"/>
      <c r="FP109" s="204"/>
      <c r="FQ109" s="204"/>
      <c r="FR109" s="204"/>
      <c r="FS109" s="204"/>
      <c r="FT109" s="204"/>
      <c r="FU109" s="204"/>
      <c r="FV109" s="204"/>
      <c r="FW109" s="204"/>
      <c r="FX109" s="204"/>
      <c r="FY109" s="204"/>
      <c r="FZ109" s="204"/>
      <c r="GA109" s="204"/>
      <c r="GB109" s="204"/>
      <c r="GC109" s="204"/>
      <c r="GD109" s="204"/>
      <c r="GE109" s="204"/>
      <c r="GF109" s="204"/>
      <c r="GG109" s="204"/>
      <c r="GH109" s="204"/>
      <c r="GI109" s="204"/>
      <c r="GJ109" s="204"/>
      <c r="GK109" s="204"/>
      <c r="GL109" s="204"/>
      <c r="GM109" s="204"/>
      <c r="GN109" s="204"/>
      <c r="GO109" s="204"/>
      <c r="GP109" s="204"/>
      <c r="GQ109" s="204"/>
      <c r="GR109" s="204"/>
      <c r="GS109" s="204"/>
      <c r="GT109" s="204"/>
      <c r="GU109" s="204"/>
      <c r="GV109" s="204"/>
      <c r="GW109" s="204"/>
      <c r="GX109" s="204"/>
      <c r="GY109" s="204"/>
      <c r="GZ109" s="204"/>
      <c r="HA109" s="204"/>
      <c r="HB109" s="204"/>
      <c r="HC109" s="204"/>
      <c r="HD109" s="204"/>
      <c r="HE109" s="204"/>
      <c r="HF109" s="204"/>
      <c r="HG109" s="204"/>
      <c r="HH109" s="204"/>
      <c r="HI109" s="204"/>
      <c r="HJ109" s="204"/>
      <c r="HK109" s="204"/>
      <c r="HL109" s="204"/>
      <c r="HM109" s="204"/>
      <c r="HN109" s="204"/>
      <c r="HO109" s="204"/>
      <c r="HP109" s="204"/>
      <c r="HQ109" s="204"/>
      <c r="HR109" s="204"/>
      <c r="HS109" s="204"/>
      <c r="HT109" s="204"/>
      <c r="HU109" s="204"/>
      <c r="HV109" s="204"/>
      <c r="HW109" s="204"/>
      <c r="HX109" s="204"/>
      <c r="HY109" s="204"/>
      <c r="HZ109" s="204"/>
      <c r="IA109" s="204"/>
      <c r="IB109" s="204"/>
      <c r="IC109" s="204"/>
      <c r="ID109" s="204"/>
      <c r="IE109" s="204"/>
      <c r="IF109" s="204"/>
      <c r="IG109" s="204"/>
      <c r="IH109" s="204"/>
      <c r="II109" s="204"/>
      <c r="IJ109" s="204"/>
      <c r="IK109" s="204"/>
      <c r="IL109" s="204"/>
      <c r="IM109" s="204"/>
      <c r="IN109" s="204"/>
      <c r="IO109" s="204"/>
      <c r="IP109" s="204"/>
      <c r="IQ109" s="204"/>
      <c r="IR109" s="204"/>
      <c r="IS109" s="204"/>
      <c r="IT109" s="204"/>
      <c r="IU109" s="204"/>
    </row>
    <row r="110" spans="1:255" x14ac:dyDescent="0.2">
      <c r="A110" s="207"/>
      <c r="B110" s="207"/>
      <c r="C110" s="208" t="s">
        <v>546</v>
      </c>
      <c r="D110" s="207"/>
      <c r="E110" s="207"/>
      <c r="F110" s="207"/>
      <c r="G110" s="209" t="e">
        <f>ROUND(SUM(G58:G109),2)</f>
        <v>#REF!</v>
      </c>
      <c r="H110" s="207"/>
      <c r="I110" s="207"/>
      <c r="J110" s="23"/>
      <c r="K110" s="23"/>
      <c r="L110" s="23"/>
      <c r="M110" s="197" t="e">
        <f>G110</f>
        <v>#REF!</v>
      </c>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row>
    <row r="112" spans="1:255" x14ac:dyDescent="0.2">
      <c r="C112" s="205" t="s">
        <v>194</v>
      </c>
      <c r="G112" s="206" t="e">
        <f>ROUND(SUM(K18:K112) + SUM(L18:L112) + SUM(M18:M112),2)</f>
        <v>#REF!</v>
      </c>
    </row>
    <row r="113" spans="1:255" x14ac:dyDescent="0.2">
      <c r="C113" s="224" t="s">
        <v>1152</v>
      </c>
      <c r="G113" s="206"/>
    </row>
    <row r="114" spans="1:255" x14ac:dyDescent="0.2">
      <c r="C114" s="224" t="s">
        <v>831</v>
      </c>
      <c r="G114" s="206" t="e">
        <f>ROUND(SUM(K18:K114),2)</f>
        <v>#REF!</v>
      </c>
    </row>
    <row r="115" spans="1:255" x14ac:dyDescent="0.2">
      <c r="C115" s="224" t="s">
        <v>904</v>
      </c>
      <c r="G115" s="206" t="e">
        <f>ROUND(SUM(L18:L115),2)</f>
        <v>#REF!</v>
      </c>
    </row>
    <row r="116" spans="1:255" x14ac:dyDescent="0.2">
      <c r="C116" s="224" t="s">
        <v>1153</v>
      </c>
      <c r="G116" s="206" t="e">
        <f>ROUND(SUM(M18:M116),2)</f>
        <v>#REF!</v>
      </c>
    </row>
    <row r="118" spans="1:255" x14ac:dyDescent="0.2">
      <c r="A118" s="192" t="s">
        <v>802</v>
      </c>
      <c r="B118" s="192"/>
      <c r="C118" s="198" t="s">
        <v>998</v>
      </c>
      <c r="D118" s="193"/>
      <c r="E118" s="193"/>
      <c r="F118" s="321" t="s">
        <v>999</v>
      </c>
      <c r="G118" s="321"/>
      <c r="BY118" s="194" t="str">
        <f>C118</f>
        <v>Руководитель ПТС ООО "ОСУ-2"</v>
      </c>
      <c r="BZ118" s="194" t="str">
        <f>F118</f>
        <v>Когтев В.И.</v>
      </c>
      <c r="IU118" s="23"/>
    </row>
    <row r="119" spans="1:255" s="217" customFormat="1" ht="11.25" x14ac:dyDescent="0.2">
      <c r="A119" s="216"/>
      <c r="B119" s="216"/>
      <c r="C119" s="322" t="s">
        <v>994</v>
      </c>
      <c r="D119" s="322"/>
      <c r="E119" s="322"/>
      <c r="F119" s="322" t="s">
        <v>995</v>
      </c>
      <c r="G119" s="322"/>
    </row>
    <row r="120" spans="1:255" x14ac:dyDescent="0.2">
      <c r="A120" s="18"/>
      <c r="B120" s="18"/>
      <c r="C120" s="18"/>
      <c r="D120" s="11"/>
      <c r="E120" s="18"/>
      <c r="F120" s="18"/>
      <c r="G120" s="18"/>
    </row>
    <row r="121" spans="1:255" ht="22.5" x14ac:dyDescent="0.2">
      <c r="A121" s="192" t="s">
        <v>1000</v>
      </c>
      <c r="B121" s="192"/>
      <c r="C121" s="198" t="s">
        <v>1009</v>
      </c>
      <c r="D121" s="193"/>
      <c r="E121" s="193"/>
      <c r="F121" s="321" t="s">
        <v>1002</v>
      </c>
      <c r="G121" s="321"/>
      <c r="BY121" s="194" t="str">
        <f>C121</f>
        <v>Ведущий инженер-сметчик СРС ООО "ОДСК"</v>
      </c>
      <c r="BZ121" s="194" t="str">
        <f>F121</f>
        <v>Зимарина О.Ю.</v>
      </c>
      <c r="IU121" s="23"/>
    </row>
    <row r="122" spans="1:255" s="217" customFormat="1" ht="11.25" x14ac:dyDescent="0.2">
      <c r="A122" s="216"/>
      <c r="B122" s="216"/>
      <c r="C122" s="322" t="s">
        <v>994</v>
      </c>
      <c r="D122" s="322"/>
      <c r="E122" s="322"/>
      <c r="F122" s="322" t="s">
        <v>995</v>
      </c>
      <c r="G122" s="322"/>
    </row>
    <row r="123" spans="1:255" x14ac:dyDescent="0.2">
      <c r="A123" s="18"/>
      <c r="B123" s="18"/>
      <c r="C123" s="18"/>
      <c r="D123" s="11"/>
      <c r="E123" s="18"/>
      <c r="F123" s="18"/>
      <c r="G123" s="18"/>
    </row>
    <row r="124" spans="1:255" ht="22.5" x14ac:dyDescent="0.2">
      <c r="A124" s="192" t="s">
        <v>1003</v>
      </c>
      <c r="B124" s="192"/>
      <c r="C124" s="198" t="s">
        <v>1004</v>
      </c>
      <c r="D124" s="193"/>
      <c r="E124" s="193"/>
      <c r="F124" s="321" t="s">
        <v>1005</v>
      </c>
      <c r="G124" s="321"/>
      <c r="BY124" s="194" t="str">
        <f>C124</f>
        <v>Главный инженер-сметчик СРС ООО "ОДСК"</v>
      </c>
      <c r="BZ124" s="194" t="str">
        <f>F124</f>
        <v>Полшведкина А.Н.</v>
      </c>
      <c r="IU124" s="23"/>
    </row>
    <row r="125" spans="1:255" s="217" customFormat="1" ht="11.25" x14ac:dyDescent="0.2">
      <c r="A125" s="216"/>
      <c r="B125" s="216"/>
      <c r="C125" s="322" t="s">
        <v>994</v>
      </c>
      <c r="D125" s="322"/>
      <c r="E125" s="322"/>
      <c r="F125" s="322" t="s">
        <v>995</v>
      </c>
      <c r="G125" s="322"/>
    </row>
    <row r="126" spans="1:255" x14ac:dyDescent="0.2">
      <c r="A126" s="18"/>
      <c r="B126" s="18"/>
      <c r="C126" s="18"/>
      <c r="D126" s="11"/>
      <c r="E126" s="18"/>
      <c r="F126" s="18"/>
      <c r="G126" s="18"/>
    </row>
  </sheetData>
  <sortState ref="A58:IU109">
    <sortCondition ref="B58"/>
    <sortCondition ref="C58"/>
  </sortState>
  <mergeCells count="18">
    <mergeCell ref="F121:G121"/>
    <mergeCell ref="C122:E122"/>
    <mergeCell ref="F122:G122"/>
    <mergeCell ref="F124:G124"/>
    <mergeCell ref="C125:E125"/>
    <mergeCell ref="F125:G125"/>
    <mergeCell ref="A8:G8"/>
    <mergeCell ref="A9:G9"/>
    <mergeCell ref="B10:G10"/>
    <mergeCell ref="F118:G118"/>
    <mergeCell ref="C119:E119"/>
    <mergeCell ref="F119:G119"/>
    <mergeCell ref="A7:G7"/>
    <mergeCell ref="A1:G1"/>
    <mergeCell ref="C3:G3"/>
    <mergeCell ref="C4:G4"/>
    <mergeCell ref="C5:G5"/>
    <mergeCell ref="A6:G6"/>
  </mergeCells>
  <pageMargins left="0.7" right="0.7" top="0.75" bottom="0.75" header="0.3" footer="0.3"/>
  <pageSetup paperSize="9" orientation="portrait" r:id="rId1"/>
  <headerFooter>
    <oddFooter>&amp;R&amp;P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84"/>
  <sheetViews>
    <sheetView workbookViewId="0">
      <selection activeCell="E20" sqref="E20"/>
    </sheetView>
  </sheetViews>
  <sheetFormatPr defaultRowHeight="12.75" x14ac:dyDescent="0.2"/>
  <cols>
    <col min="1" max="1" width="6.7109375" customWidth="1"/>
    <col min="2" max="2" width="10.7109375" customWidth="1"/>
    <col min="3" max="3" width="33.7109375" customWidth="1"/>
    <col min="4" max="7" width="8.7109375" customWidth="1"/>
    <col min="8" max="8" width="70.7109375" customWidth="1"/>
    <col min="9" max="9" width="8.7109375" customWidth="1"/>
    <col min="11" max="69" width="0" hidden="1" customWidth="1"/>
    <col min="70" max="70" width="66.7109375" hidden="1" customWidth="1"/>
    <col min="71" max="71" width="76.7109375" hidden="1" customWidth="1"/>
    <col min="72" max="76" width="0" hidden="1" customWidth="1"/>
    <col min="77" max="77" width="34.7109375" hidden="1" customWidth="1"/>
    <col min="78" max="78" width="17.7109375" hidden="1" customWidth="1"/>
    <col min="79" max="256" width="0" hidden="1" customWidth="1"/>
  </cols>
  <sheetData>
    <row r="1" spans="1:255" s="15" customFormat="1" ht="11.25" x14ac:dyDescent="0.2">
      <c r="A1" s="303" t="s">
        <v>792</v>
      </c>
      <c r="B1" s="303"/>
      <c r="C1" s="303"/>
      <c r="D1" s="303"/>
      <c r="E1" s="303"/>
      <c r="F1" s="303"/>
      <c r="G1" s="303"/>
    </row>
    <row r="3" spans="1:255" x14ac:dyDescent="0.2">
      <c r="A3" s="20" t="s">
        <v>799</v>
      </c>
      <c r="B3" s="19"/>
      <c r="C3" s="307"/>
      <c r="D3" s="308"/>
      <c r="E3" s="308"/>
      <c r="F3" s="308"/>
      <c r="G3" s="308"/>
      <c r="BR3" s="22">
        <f>C3</f>
        <v>0</v>
      </c>
      <c r="IU3" s="23"/>
    </row>
    <row r="4" spans="1:255" x14ac:dyDescent="0.2">
      <c r="A4" s="20" t="s">
        <v>801</v>
      </c>
      <c r="B4" s="19"/>
      <c r="C4" s="309"/>
      <c r="D4" s="310"/>
      <c r="E4" s="310"/>
      <c r="F4" s="310"/>
      <c r="G4" s="310"/>
      <c r="BR4" s="22">
        <f>C4</f>
        <v>0</v>
      </c>
      <c r="IU4" s="23"/>
    </row>
    <row r="5" spans="1:255" x14ac:dyDescent="0.2">
      <c r="A5" s="20" t="s">
        <v>803</v>
      </c>
      <c r="B5" s="19"/>
      <c r="C5" s="311"/>
      <c r="D5" s="312"/>
      <c r="E5" s="312"/>
      <c r="F5" s="312"/>
      <c r="G5" s="312"/>
      <c r="BR5" s="22">
        <f>C5</f>
        <v>0</v>
      </c>
      <c r="IU5" s="23"/>
    </row>
    <row r="6" spans="1:255" x14ac:dyDescent="0.2">
      <c r="A6" s="313"/>
      <c r="B6" s="313"/>
      <c r="C6" s="313"/>
      <c r="D6" s="313"/>
      <c r="E6" s="313"/>
      <c r="F6" s="313"/>
      <c r="G6" s="313"/>
    </row>
    <row r="7" spans="1:255" ht="18.75" x14ac:dyDescent="0.3">
      <c r="A7" s="314" t="s">
        <v>1011</v>
      </c>
      <c r="B7" s="314"/>
      <c r="C7" s="314"/>
      <c r="D7" s="314"/>
      <c r="E7" s="314"/>
      <c r="F7" s="314"/>
      <c r="G7" s="314"/>
    </row>
    <row r="8" spans="1:255" x14ac:dyDescent="0.2">
      <c r="A8" s="315" t="s">
        <v>1012</v>
      </c>
      <c r="B8" s="315"/>
      <c r="C8" s="315"/>
      <c r="D8" s="315"/>
      <c r="E8" s="315"/>
      <c r="F8" s="315"/>
      <c r="G8" s="315"/>
    </row>
    <row r="9" spans="1:255" x14ac:dyDescent="0.2">
      <c r="A9" s="315" t="s">
        <v>8</v>
      </c>
      <c r="B9" s="315"/>
      <c r="C9" s="315"/>
      <c r="D9" s="315"/>
      <c r="E9" s="315"/>
      <c r="F9" s="315"/>
      <c r="G9" s="315"/>
    </row>
    <row r="10" spans="1:255" ht="47.25" x14ac:dyDescent="0.25">
      <c r="A10" s="14" t="s">
        <v>805</v>
      </c>
      <c r="B10" s="316" t="s">
        <v>5</v>
      </c>
      <c r="C10" s="316"/>
      <c r="D10" s="316"/>
      <c r="E10" s="316"/>
      <c r="F10" s="316"/>
      <c r="G10" s="316"/>
      <c r="BS10" s="199" t="str">
        <f>B10</f>
        <v>Комплекс из 2-х многоквартирных домов, расположенных по адресу г.Орел, б-р Молодежи, участок 2а. 1-й этап строительства - многоквартирный дом корпус 2 (поз.1)</v>
      </c>
      <c r="IU10" s="23"/>
    </row>
    <row r="12" spans="1:255" x14ac:dyDescent="0.2">
      <c r="A12" s="14" t="s">
        <v>820</v>
      </c>
    </row>
    <row r="13" spans="1:255" x14ac:dyDescent="0.2">
      <c r="A13" s="14" t="s">
        <v>821</v>
      </c>
    </row>
    <row r="14" spans="1:255" x14ac:dyDescent="0.2">
      <c r="A14" s="200" t="s">
        <v>1013</v>
      </c>
      <c r="B14" s="200" t="s">
        <v>1015</v>
      </c>
      <c r="C14" s="200" t="s">
        <v>1018</v>
      </c>
      <c r="D14" s="200" t="s">
        <v>1020</v>
      </c>
      <c r="E14" s="200" t="s">
        <v>1023</v>
      </c>
      <c r="F14" s="200" t="s">
        <v>1025</v>
      </c>
      <c r="G14" s="200" t="s">
        <v>1027</v>
      </c>
      <c r="H14" s="200" t="s">
        <v>1029</v>
      </c>
      <c r="I14" s="201" t="s">
        <v>991</v>
      </c>
    </row>
    <row r="15" spans="1:255" x14ac:dyDescent="0.2">
      <c r="A15" s="202" t="s">
        <v>1014</v>
      </c>
      <c r="B15" s="202" t="s">
        <v>1016</v>
      </c>
      <c r="C15" s="202" t="s">
        <v>1019</v>
      </c>
      <c r="D15" s="202" t="s">
        <v>1021</v>
      </c>
      <c r="E15" s="202" t="s">
        <v>1024</v>
      </c>
      <c r="F15" s="202" t="s">
        <v>1026</v>
      </c>
      <c r="G15" s="202" t="s">
        <v>1028</v>
      </c>
      <c r="H15" s="202" t="s">
        <v>1030</v>
      </c>
      <c r="I15" s="203" t="s">
        <v>859</v>
      </c>
    </row>
    <row r="16" spans="1:255" x14ac:dyDescent="0.2">
      <c r="A16" s="202"/>
      <c r="B16" s="202" t="s">
        <v>1017</v>
      </c>
      <c r="C16" s="202"/>
      <c r="D16" s="202" t="s">
        <v>1022</v>
      </c>
      <c r="E16" s="202"/>
      <c r="F16" s="202"/>
      <c r="G16" s="202" t="s">
        <v>1026</v>
      </c>
      <c r="H16" s="202" t="s">
        <v>1031</v>
      </c>
      <c r="I16" s="203"/>
    </row>
    <row r="17" spans="1:255" x14ac:dyDescent="0.2">
      <c r="A17" s="200">
        <v>1</v>
      </c>
      <c r="B17" s="200">
        <v>2</v>
      </c>
      <c r="C17" s="200">
        <v>3</v>
      </c>
      <c r="D17" s="200">
        <v>4</v>
      </c>
      <c r="E17" s="200">
        <v>5</v>
      </c>
      <c r="F17" s="200">
        <v>6</v>
      </c>
      <c r="G17" s="200">
        <v>7</v>
      </c>
      <c r="H17" s="200">
        <v>8</v>
      </c>
      <c r="I17" s="201">
        <v>9</v>
      </c>
    </row>
    <row r="18" spans="1:255" x14ac:dyDescent="0.2">
      <c r="A18" s="210"/>
      <c r="B18" s="210" t="s">
        <v>1032</v>
      </c>
      <c r="C18" s="210"/>
      <c r="D18" s="210"/>
      <c r="E18" s="210"/>
      <c r="F18" s="210"/>
      <c r="G18" s="207"/>
      <c r="H18" s="207"/>
      <c r="I18" s="207"/>
    </row>
    <row r="19" spans="1:255" s="43" customFormat="1" ht="36" x14ac:dyDescent="0.2">
      <c r="A19" s="211">
        <v>1</v>
      </c>
      <c r="B19" s="212" t="s">
        <v>406</v>
      </c>
      <c r="C19" s="212" t="s">
        <v>407</v>
      </c>
      <c r="D19" s="212" t="s">
        <v>323</v>
      </c>
      <c r="E19" s="213" t="e">
        <f t="shared" ref="E19:E50" si="0">O19</f>
        <v>#REF!</v>
      </c>
      <c r="F19" s="214">
        <f>ROUND( 311.81 * 7.56, 2 )</f>
        <v>2357.2800000000002</v>
      </c>
      <c r="G19" s="214" t="e">
        <f t="shared" ref="G19:G50" si="1">ROUND(E19*F19,2)</f>
        <v>#REF!</v>
      </c>
      <c r="H19" s="215" t="s">
        <v>1063</v>
      </c>
      <c r="I19" s="215" t="s">
        <v>1034</v>
      </c>
      <c r="N19" s="204"/>
      <c r="O19" s="204" t="e">
        <f t="shared" ref="O19:O50" si="2">SUM(P19:IV19)</f>
        <v>#REF!</v>
      </c>
      <c r="P19" s="204" t="e">
        <f>Source!I278</f>
        <v>#REF!</v>
      </c>
      <c r="Q19" s="204" t="e">
        <f>Source!I403</f>
        <v>#REF!</v>
      </c>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04"/>
      <c r="EI19" s="204"/>
      <c r="EJ19" s="204"/>
      <c r="EK19" s="204"/>
      <c r="EL19" s="204"/>
      <c r="EM19" s="204"/>
      <c r="EN19" s="204"/>
      <c r="EO19" s="204"/>
      <c r="EP19" s="204"/>
      <c r="EQ19" s="204"/>
      <c r="ER19" s="204"/>
      <c r="ES19" s="204"/>
      <c r="ET19" s="204"/>
      <c r="EU19" s="204"/>
      <c r="EV19" s="204"/>
      <c r="EW19" s="204"/>
      <c r="EX19" s="204"/>
      <c r="EY19" s="204"/>
      <c r="EZ19" s="204"/>
      <c r="FA19" s="204"/>
      <c r="FB19" s="204"/>
      <c r="FC19" s="204"/>
      <c r="FD19" s="204"/>
      <c r="FE19" s="204"/>
      <c r="FF19" s="204"/>
      <c r="FG19" s="204"/>
      <c r="FH19" s="204"/>
      <c r="FI19" s="204"/>
      <c r="FJ19" s="204"/>
      <c r="FK19" s="204"/>
      <c r="FL19" s="204"/>
      <c r="FM19" s="204"/>
      <c r="FN19" s="204"/>
      <c r="FO19" s="204"/>
      <c r="FP19" s="204"/>
      <c r="FQ19" s="204"/>
      <c r="FR19" s="204"/>
      <c r="FS19" s="204"/>
      <c r="FT19" s="204"/>
      <c r="FU19" s="204"/>
      <c r="FV19" s="204"/>
      <c r="FW19" s="204"/>
      <c r="FX19" s="204"/>
      <c r="FY19" s="204"/>
      <c r="FZ19" s="204"/>
      <c r="GA19" s="204"/>
      <c r="GB19" s="204"/>
      <c r="GC19" s="204"/>
      <c r="GD19" s="204"/>
      <c r="GE19" s="204"/>
      <c r="GF19" s="204"/>
      <c r="GG19" s="204"/>
      <c r="GH19" s="204"/>
      <c r="GI19" s="204"/>
      <c r="GJ19" s="204"/>
      <c r="GK19" s="204"/>
      <c r="GL19" s="204"/>
      <c r="GM19" s="204"/>
      <c r="GN19" s="204"/>
      <c r="GO19" s="204"/>
      <c r="GP19" s="204"/>
      <c r="GQ19" s="204"/>
      <c r="GR19" s="204"/>
      <c r="GS19" s="204"/>
      <c r="GT19" s="204"/>
      <c r="GU19" s="204"/>
      <c r="GV19" s="204"/>
      <c r="GW19" s="204"/>
      <c r="GX19" s="204"/>
      <c r="GY19" s="204"/>
      <c r="GZ19" s="204"/>
      <c r="HA19" s="204"/>
      <c r="HB19" s="204"/>
      <c r="HC19" s="204"/>
      <c r="HD19" s="204"/>
      <c r="HE19" s="204"/>
      <c r="HF19" s="204"/>
      <c r="HG19" s="204"/>
      <c r="HH19" s="204"/>
      <c r="HI19" s="204"/>
      <c r="HJ19" s="204"/>
      <c r="HK19" s="204"/>
      <c r="HL19" s="204"/>
      <c r="HM19" s="204"/>
      <c r="HN19" s="204"/>
      <c r="HO19" s="204"/>
      <c r="HP19" s="204"/>
      <c r="HQ19" s="204"/>
      <c r="HR19" s="204"/>
      <c r="HS19" s="204"/>
      <c r="HT19" s="204"/>
      <c r="HU19" s="204"/>
      <c r="HV19" s="204"/>
      <c r="HW19" s="204"/>
      <c r="HX19" s="204"/>
      <c r="HY19" s="204"/>
      <c r="HZ19" s="204"/>
      <c r="IA19" s="204"/>
      <c r="IB19" s="204"/>
      <c r="IC19" s="204"/>
      <c r="ID19" s="204"/>
      <c r="IE19" s="204"/>
      <c r="IF19" s="204"/>
      <c r="IG19" s="204"/>
      <c r="IH19" s="204"/>
      <c r="II19" s="204"/>
      <c r="IJ19" s="204"/>
      <c r="IK19" s="204"/>
      <c r="IL19" s="204"/>
      <c r="IM19" s="204"/>
      <c r="IN19" s="204"/>
      <c r="IO19" s="204"/>
      <c r="IP19" s="204"/>
      <c r="IQ19" s="204"/>
      <c r="IR19" s="204"/>
      <c r="IS19" s="204"/>
      <c r="IT19" s="204"/>
      <c r="IU19" s="204"/>
    </row>
    <row r="20" spans="1:255" s="43" customFormat="1" ht="24" x14ac:dyDescent="0.2">
      <c r="A20" s="211">
        <v>2</v>
      </c>
      <c r="B20" s="212" t="s">
        <v>87</v>
      </c>
      <c r="C20" s="212" t="s">
        <v>88</v>
      </c>
      <c r="D20" s="212" t="s">
        <v>44</v>
      </c>
      <c r="E20" s="213">
        <f t="shared" si="0"/>
        <v>183.3216875</v>
      </c>
      <c r="F20" s="214">
        <f>ROUND( 975 * 7.56, 2 )</f>
        <v>7371</v>
      </c>
      <c r="G20" s="214">
        <f t="shared" si="1"/>
        <v>1351264.16</v>
      </c>
      <c r="H20" s="215" t="s">
        <v>1040</v>
      </c>
      <c r="I20" s="215" t="s">
        <v>1034</v>
      </c>
      <c r="N20" s="204"/>
      <c r="O20" s="204">
        <f t="shared" si="2"/>
        <v>183.3216875</v>
      </c>
      <c r="P20" s="204">
        <f>Source!I51</f>
        <v>6.9425999999999997</v>
      </c>
      <c r="Q20" s="204">
        <f>Source!I71</f>
        <v>11.926250000000001</v>
      </c>
      <c r="R20" s="204">
        <f>Source!I152</f>
        <v>8.9218499999999992</v>
      </c>
      <c r="S20" s="204">
        <f>Source!I172</f>
        <v>0.87797499999999995</v>
      </c>
      <c r="T20" s="204">
        <f>Source!I192</f>
        <v>9.1146999999999991</v>
      </c>
      <c r="U20" s="204">
        <f>Source!I212</f>
        <v>56.58625</v>
      </c>
      <c r="V20" s="204">
        <f>Source!I349</f>
        <v>88.952062499999997</v>
      </c>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row>
    <row r="21" spans="1:255" s="43" customFormat="1" ht="24" x14ac:dyDescent="0.2">
      <c r="A21" s="211">
        <v>3</v>
      </c>
      <c r="B21" s="212" t="s">
        <v>487</v>
      </c>
      <c r="C21" s="212" t="s">
        <v>488</v>
      </c>
      <c r="D21" s="212" t="s">
        <v>33</v>
      </c>
      <c r="E21" s="213">
        <f t="shared" si="0"/>
        <v>4.7324999999999999E-2</v>
      </c>
      <c r="F21" s="214">
        <f>ROUND( 17910.76 * 7.56, 2 )</f>
        <v>135405.35</v>
      </c>
      <c r="G21" s="214">
        <f t="shared" si="1"/>
        <v>6408.06</v>
      </c>
      <c r="H21" s="215" t="s">
        <v>1072</v>
      </c>
      <c r="I21" s="215" t="s">
        <v>1034</v>
      </c>
      <c r="N21" s="204"/>
      <c r="O21" s="204">
        <f t="shared" si="2"/>
        <v>4.7324999999999999E-2</v>
      </c>
      <c r="P21" s="204">
        <f>Source!I365</f>
        <v>4.7324999999999999E-2</v>
      </c>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row>
    <row r="22" spans="1:255" s="43" customFormat="1" ht="24" x14ac:dyDescent="0.2">
      <c r="A22" s="211">
        <v>4</v>
      </c>
      <c r="B22" s="212" t="s">
        <v>31</v>
      </c>
      <c r="C22" s="212" t="s">
        <v>32</v>
      </c>
      <c r="D22" s="212" t="s">
        <v>33</v>
      </c>
      <c r="E22" s="213">
        <f t="shared" si="0"/>
        <v>2.3970499999999999E-2</v>
      </c>
      <c r="F22" s="214">
        <f>ROUND( 9962.53 * 7.56, 2 )</f>
        <v>75316.73</v>
      </c>
      <c r="G22" s="214">
        <f t="shared" si="1"/>
        <v>1805.38</v>
      </c>
      <c r="H22" s="215" t="s">
        <v>1033</v>
      </c>
      <c r="I22" s="215" t="s">
        <v>1034</v>
      </c>
      <c r="N22" s="204"/>
      <c r="O22" s="204">
        <f t="shared" si="2"/>
        <v>2.3970499999999999E-2</v>
      </c>
      <c r="P22" s="204">
        <f>Source!I31</f>
        <v>1.7734999999999997E-3</v>
      </c>
      <c r="Q22" s="204">
        <f>Source!I122</f>
        <v>8.3639999999999999E-3</v>
      </c>
      <c r="R22" s="204">
        <f>Source!I321</f>
        <v>1.3833E-2</v>
      </c>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row>
    <row r="23" spans="1:255" s="43" customFormat="1" ht="24" x14ac:dyDescent="0.2">
      <c r="A23" s="211">
        <v>5</v>
      </c>
      <c r="B23" s="212" t="s">
        <v>532</v>
      </c>
      <c r="C23" s="212" t="s">
        <v>533</v>
      </c>
      <c r="D23" s="212" t="s">
        <v>33</v>
      </c>
      <c r="E23" s="213">
        <f t="shared" si="0"/>
        <v>4.0800000000000003E-3</v>
      </c>
      <c r="F23" s="214">
        <f>ROUND( 11805.72 * 7.56, 2 )</f>
        <v>89251.24</v>
      </c>
      <c r="G23" s="214">
        <f t="shared" si="1"/>
        <v>364.15</v>
      </c>
      <c r="H23" s="215" t="s">
        <v>1075</v>
      </c>
      <c r="I23" s="215" t="s">
        <v>1034</v>
      </c>
      <c r="N23" s="204"/>
      <c r="O23" s="204">
        <f t="shared" si="2"/>
        <v>4.0800000000000003E-3</v>
      </c>
      <c r="P23" s="204">
        <f>Source!I395</f>
        <v>4.0800000000000003E-3</v>
      </c>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row>
    <row r="24" spans="1:255" s="43" customFormat="1" ht="36" x14ac:dyDescent="0.2">
      <c r="A24" s="211">
        <v>6</v>
      </c>
      <c r="B24" s="212" t="s">
        <v>42</v>
      </c>
      <c r="C24" s="212" t="s">
        <v>43</v>
      </c>
      <c r="D24" s="212" t="s">
        <v>44</v>
      </c>
      <c r="E24" s="213">
        <f t="shared" si="0"/>
        <v>0.81291924999999998</v>
      </c>
      <c r="F24" s="214">
        <f>ROUND( 2338.63 * 7.56, 2 )</f>
        <v>17680.04</v>
      </c>
      <c r="G24" s="214">
        <f t="shared" si="1"/>
        <v>14372.44</v>
      </c>
      <c r="H24" s="215" t="s">
        <v>1035</v>
      </c>
      <c r="I24" s="215" t="s">
        <v>1034</v>
      </c>
      <c r="N24" s="204"/>
      <c r="O24" s="204">
        <f t="shared" si="2"/>
        <v>0.81291924999999998</v>
      </c>
      <c r="P24" s="204">
        <f>Source!I33</f>
        <v>6.0145499999999998E-2</v>
      </c>
      <c r="Q24" s="204">
        <f>Source!I124</f>
        <v>0.28365224999999999</v>
      </c>
      <c r="R24" s="204">
        <f>Source!I323</f>
        <v>0.46912150000000002</v>
      </c>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row>
    <row r="25" spans="1:255" s="43" customFormat="1" ht="36" x14ac:dyDescent="0.2">
      <c r="A25" s="211">
        <v>7</v>
      </c>
      <c r="B25" s="212" t="s">
        <v>206</v>
      </c>
      <c r="C25" s="212" t="s">
        <v>207</v>
      </c>
      <c r="D25" s="212" t="s">
        <v>208</v>
      </c>
      <c r="E25" s="213">
        <f t="shared" si="0"/>
        <v>46.4</v>
      </c>
      <c r="F25" s="214">
        <f>ROUND( 9.93 * 7.56, 2 )</f>
        <v>75.069999999999993</v>
      </c>
      <c r="G25" s="214">
        <f t="shared" si="1"/>
        <v>3483.25</v>
      </c>
      <c r="H25" s="215" t="s">
        <v>1046</v>
      </c>
      <c r="I25" s="215" t="s">
        <v>1034</v>
      </c>
      <c r="N25" s="204"/>
      <c r="O25" s="204">
        <f t="shared" si="2"/>
        <v>46.4</v>
      </c>
      <c r="P25" s="204">
        <f>Source!I128</f>
        <v>46.4</v>
      </c>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row>
    <row r="26" spans="1:255" s="43" customFormat="1" ht="24" x14ac:dyDescent="0.2">
      <c r="A26" s="211">
        <v>8</v>
      </c>
      <c r="B26" s="212" t="s">
        <v>480</v>
      </c>
      <c r="C26" s="212" t="s">
        <v>492</v>
      </c>
      <c r="D26" s="212" t="s">
        <v>33</v>
      </c>
      <c r="E26" s="213">
        <f t="shared" si="0"/>
        <v>2.6949999999999999E-3</v>
      </c>
      <c r="F26" s="214">
        <f>ROUND( 15515.92 * 7.56, 2 )</f>
        <v>117300.36</v>
      </c>
      <c r="G26" s="214">
        <f t="shared" si="1"/>
        <v>316.12</v>
      </c>
      <c r="H26" s="215" t="s">
        <v>1071</v>
      </c>
      <c r="I26" s="215" t="s">
        <v>1034</v>
      </c>
      <c r="N26" s="204"/>
      <c r="O26" s="204">
        <f t="shared" si="2"/>
        <v>2.6949999999999999E-3</v>
      </c>
      <c r="P26" s="204">
        <f>Source!I367</f>
        <v>2.6949999999999999E-3</v>
      </c>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row>
    <row r="27" spans="1:255" s="43" customFormat="1" ht="24" x14ac:dyDescent="0.2">
      <c r="A27" s="211">
        <v>9</v>
      </c>
      <c r="B27" s="212" t="s">
        <v>480</v>
      </c>
      <c r="C27" s="212" t="s">
        <v>481</v>
      </c>
      <c r="D27" s="212" t="s">
        <v>33</v>
      </c>
      <c r="E27" s="213">
        <f t="shared" si="0"/>
        <v>7.2108000000000005E-2</v>
      </c>
      <c r="F27" s="214">
        <f>ROUND( 15515.92 * 7.56, 2 )</f>
        <v>117300.36</v>
      </c>
      <c r="G27" s="214">
        <f t="shared" si="1"/>
        <v>8458.2900000000009</v>
      </c>
      <c r="H27" s="215" t="s">
        <v>1071</v>
      </c>
      <c r="I27" s="215" t="s">
        <v>1034</v>
      </c>
      <c r="N27" s="204"/>
      <c r="O27" s="204">
        <f t="shared" si="2"/>
        <v>7.2108000000000005E-2</v>
      </c>
      <c r="P27" s="204">
        <f>Source!I359</f>
        <v>7.2108000000000005E-2</v>
      </c>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row>
    <row r="28" spans="1:255" s="43" customFormat="1" ht="24" x14ac:dyDescent="0.2">
      <c r="A28" s="211">
        <v>10</v>
      </c>
      <c r="B28" s="212" t="s">
        <v>54</v>
      </c>
      <c r="C28" s="212" t="s">
        <v>55</v>
      </c>
      <c r="D28" s="212" t="s">
        <v>33</v>
      </c>
      <c r="E28" s="213">
        <f t="shared" si="0"/>
        <v>2.4390000000000001</v>
      </c>
      <c r="F28" s="214">
        <f>ROUND( 7869.28 * 7.56, 2 )</f>
        <v>59491.76</v>
      </c>
      <c r="G28" s="214">
        <f t="shared" si="1"/>
        <v>145100.4</v>
      </c>
      <c r="H28" s="215" t="s">
        <v>1036</v>
      </c>
      <c r="I28" s="215" t="s">
        <v>1034</v>
      </c>
      <c r="N28" s="204"/>
      <c r="O28" s="204">
        <f t="shared" si="2"/>
        <v>2.4390000000000001</v>
      </c>
      <c r="P28" s="204">
        <f>Source!I37</f>
        <v>0.3725</v>
      </c>
      <c r="Q28" s="204">
        <f>Source!I41</f>
        <v>2.0665</v>
      </c>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row>
    <row r="29" spans="1:255" s="43" customFormat="1" ht="36" x14ac:dyDescent="0.2">
      <c r="A29" s="211">
        <v>11</v>
      </c>
      <c r="B29" s="212" t="s">
        <v>433</v>
      </c>
      <c r="C29" s="212" t="s">
        <v>434</v>
      </c>
      <c r="D29" s="212" t="s">
        <v>33</v>
      </c>
      <c r="E29" s="213">
        <f t="shared" si="0"/>
        <v>9.6707000000000001</v>
      </c>
      <c r="F29" s="214">
        <f>ROUND( 8286.68 * 7.56, 2 )</f>
        <v>62647.3</v>
      </c>
      <c r="G29" s="214">
        <f t="shared" si="1"/>
        <v>605843.24</v>
      </c>
      <c r="H29" s="215" t="s">
        <v>1065</v>
      </c>
      <c r="I29" s="215" t="s">
        <v>1034</v>
      </c>
      <c r="N29" s="204"/>
      <c r="O29" s="204">
        <f t="shared" si="2"/>
        <v>9.6707000000000001</v>
      </c>
      <c r="P29" s="204">
        <f>Source!I327</f>
        <v>3.0669499999999998</v>
      </c>
      <c r="Q29" s="204">
        <f>Source!I339</f>
        <v>6.6037499999999998</v>
      </c>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row>
    <row r="30" spans="1:255" s="43" customFormat="1" ht="24" x14ac:dyDescent="0.2">
      <c r="A30" s="211">
        <v>12</v>
      </c>
      <c r="B30" s="212" t="s">
        <v>226</v>
      </c>
      <c r="C30" s="212" t="s">
        <v>227</v>
      </c>
      <c r="D30" s="212" t="s">
        <v>33</v>
      </c>
      <c r="E30" s="213">
        <f t="shared" si="0"/>
        <v>10.773</v>
      </c>
      <c r="F30" s="214">
        <f>ROUND( 8230.68 * 7.56, 2 )</f>
        <v>62223.94</v>
      </c>
      <c r="G30" s="214">
        <f t="shared" si="1"/>
        <v>670338.51</v>
      </c>
      <c r="H30" s="215" t="s">
        <v>1049</v>
      </c>
      <c r="I30" s="215" t="s">
        <v>1034</v>
      </c>
      <c r="N30" s="204"/>
      <c r="O30" s="204">
        <f t="shared" si="2"/>
        <v>10.773</v>
      </c>
      <c r="P30" s="204">
        <f>Source!I136</f>
        <v>0.66100000000000003</v>
      </c>
      <c r="Q30" s="204">
        <f>Source!I140</f>
        <v>10.112</v>
      </c>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c r="HV30" s="204"/>
      <c r="HW30" s="204"/>
      <c r="HX30" s="204"/>
      <c r="HY30" s="204"/>
      <c r="HZ30" s="204"/>
      <c r="IA30" s="204"/>
      <c r="IB30" s="204"/>
      <c r="IC30" s="204"/>
      <c r="ID30" s="204"/>
      <c r="IE30" s="204"/>
      <c r="IF30" s="204"/>
      <c r="IG30" s="204"/>
      <c r="IH30" s="204"/>
      <c r="II30" s="204"/>
      <c r="IJ30" s="204"/>
      <c r="IK30" s="204"/>
      <c r="IL30" s="204"/>
      <c r="IM30" s="204"/>
      <c r="IN30" s="204"/>
      <c r="IO30" s="204"/>
      <c r="IP30" s="204"/>
      <c r="IQ30" s="204"/>
      <c r="IR30" s="204"/>
      <c r="IS30" s="204"/>
      <c r="IT30" s="204"/>
      <c r="IU30" s="204"/>
    </row>
    <row r="31" spans="1:255" s="43" customFormat="1" ht="36" x14ac:dyDescent="0.2">
      <c r="A31" s="211">
        <v>13</v>
      </c>
      <c r="B31" s="212" t="s">
        <v>360</v>
      </c>
      <c r="C31" s="212" t="s">
        <v>361</v>
      </c>
      <c r="D31" s="212" t="s">
        <v>33</v>
      </c>
      <c r="E31" s="213">
        <f t="shared" si="0"/>
        <v>0.14529999999999998</v>
      </c>
      <c r="F31" s="214">
        <f>ROUND( 15449.31 * 7.56, 2 )</f>
        <v>116796.78</v>
      </c>
      <c r="G31" s="214">
        <f t="shared" si="1"/>
        <v>16970.57</v>
      </c>
      <c r="H31" s="215" t="s">
        <v>1058</v>
      </c>
      <c r="I31" s="215" t="s">
        <v>1034</v>
      </c>
      <c r="N31" s="204"/>
      <c r="O31" s="204">
        <f t="shared" si="2"/>
        <v>0.14529999999999998</v>
      </c>
      <c r="P31" s="204">
        <f>Source!I256</f>
        <v>1.9699999999999999E-2</v>
      </c>
      <c r="Q31" s="204">
        <f>Source!I264</f>
        <v>0.12559999999999999</v>
      </c>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c r="HV31" s="204"/>
      <c r="HW31" s="204"/>
      <c r="HX31" s="204"/>
      <c r="HY31" s="204"/>
      <c r="HZ31" s="204"/>
      <c r="IA31" s="204"/>
      <c r="IB31" s="204"/>
      <c r="IC31" s="204"/>
      <c r="ID31" s="204"/>
      <c r="IE31" s="204"/>
      <c r="IF31" s="204"/>
      <c r="IG31" s="204"/>
      <c r="IH31" s="204"/>
      <c r="II31" s="204"/>
      <c r="IJ31" s="204"/>
      <c r="IK31" s="204"/>
      <c r="IL31" s="204"/>
      <c r="IM31" s="204"/>
      <c r="IN31" s="204"/>
      <c r="IO31" s="204"/>
      <c r="IP31" s="204"/>
      <c r="IQ31" s="204"/>
      <c r="IR31" s="204"/>
      <c r="IS31" s="204"/>
      <c r="IT31" s="204"/>
      <c r="IU31" s="204"/>
    </row>
    <row r="32" spans="1:255" s="43" customFormat="1" ht="36" x14ac:dyDescent="0.2">
      <c r="A32" s="211">
        <v>14</v>
      </c>
      <c r="B32" s="212" t="s">
        <v>365</v>
      </c>
      <c r="C32" s="212" t="s">
        <v>366</v>
      </c>
      <c r="D32" s="212" t="s">
        <v>33</v>
      </c>
      <c r="E32" s="213">
        <f t="shared" si="0"/>
        <v>1.35E-2</v>
      </c>
      <c r="F32" s="214">
        <f>ROUND( 30529.92 * 7.56, 2 )</f>
        <v>230806.2</v>
      </c>
      <c r="G32" s="214">
        <f t="shared" si="1"/>
        <v>3115.88</v>
      </c>
      <c r="H32" s="215" t="s">
        <v>1059</v>
      </c>
      <c r="I32" s="215" t="s">
        <v>1034</v>
      </c>
      <c r="N32" s="204"/>
      <c r="O32" s="204">
        <f t="shared" si="2"/>
        <v>1.35E-2</v>
      </c>
      <c r="P32" s="204">
        <f>Source!I258</f>
        <v>1.35E-2</v>
      </c>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c r="HV32" s="204"/>
      <c r="HW32" s="204"/>
      <c r="HX32" s="204"/>
      <c r="HY32" s="204"/>
      <c r="HZ32" s="204"/>
      <c r="IA32" s="204"/>
      <c r="IB32" s="204"/>
      <c r="IC32" s="204"/>
      <c r="ID32" s="204"/>
      <c r="IE32" s="204"/>
      <c r="IF32" s="204"/>
      <c r="IG32" s="204"/>
      <c r="IH32" s="204"/>
      <c r="II32" s="204"/>
      <c r="IJ32" s="204"/>
      <c r="IK32" s="204"/>
      <c r="IL32" s="204"/>
      <c r="IM32" s="204"/>
      <c r="IN32" s="204"/>
      <c r="IO32" s="204"/>
      <c r="IP32" s="204"/>
      <c r="IQ32" s="204"/>
      <c r="IR32" s="204"/>
      <c r="IS32" s="204"/>
      <c r="IT32" s="204"/>
      <c r="IU32" s="204"/>
    </row>
    <row r="33" spans="1:255" s="43" customFormat="1" ht="24" x14ac:dyDescent="0.2">
      <c r="A33" s="211">
        <v>15</v>
      </c>
      <c r="B33" s="212" t="s">
        <v>71</v>
      </c>
      <c r="C33" s="212" t="s">
        <v>72</v>
      </c>
      <c r="D33" s="212" t="s">
        <v>33</v>
      </c>
      <c r="E33" s="213">
        <f t="shared" si="0"/>
        <v>0.3092975</v>
      </c>
      <c r="F33" s="214">
        <f>ROUND( 11576.19 * 7.56, 2 )</f>
        <v>87516</v>
      </c>
      <c r="G33" s="214">
        <f t="shared" si="1"/>
        <v>27068.48</v>
      </c>
      <c r="H33" s="215" t="s">
        <v>1037</v>
      </c>
      <c r="I33" s="215" t="s">
        <v>1034</v>
      </c>
      <c r="N33" s="204"/>
      <c r="O33" s="204">
        <f t="shared" si="2"/>
        <v>0.3092975</v>
      </c>
      <c r="P33" s="204">
        <f>Source!I45</f>
        <v>9.5759999999999994E-3</v>
      </c>
      <c r="Q33" s="204">
        <f>Source!I65</f>
        <v>1.85325E-2</v>
      </c>
      <c r="R33" s="204">
        <f>Source!I146</f>
        <v>2.0792000000000001E-2</v>
      </c>
      <c r="S33" s="204">
        <f>Source!I166</f>
        <v>1.4532499999999999E-3</v>
      </c>
      <c r="T33" s="204">
        <f>Source!I186</f>
        <v>2.6148250000000001E-2</v>
      </c>
      <c r="U33" s="204">
        <f>Source!I206</f>
        <v>0.12317550000000001</v>
      </c>
      <c r="V33" s="204">
        <f>Source!I343</f>
        <v>0.10962</v>
      </c>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04"/>
      <c r="EI33" s="204"/>
      <c r="EJ33" s="204"/>
      <c r="EK33" s="204"/>
      <c r="EL33" s="204"/>
      <c r="EM33" s="204"/>
      <c r="EN33" s="204"/>
      <c r="EO33" s="204"/>
      <c r="EP33" s="204"/>
      <c r="EQ33" s="204"/>
      <c r="ER33" s="204"/>
      <c r="ES33" s="204"/>
      <c r="ET33" s="204"/>
      <c r="EU33" s="204"/>
      <c r="EV33" s="204"/>
      <c r="EW33" s="204"/>
      <c r="EX33" s="204"/>
      <c r="EY33" s="204"/>
      <c r="EZ33" s="204"/>
      <c r="FA33" s="204"/>
      <c r="FB33" s="204"/>
      <c r="FC33" s="204"/>
      <c r="FD33" s="204"/>
      <c r="FE33" s="204"/>
      <c r="FF33" s="204"/>
      <c r="FG33" s="204"/>
      <c r="FH33" s="204"/>
      <c r="FI33" s="204"/>
      <c r="FJ33" s="204"/>
      <c r="FK33" s="204"/>
      <c r="FL33" s="204"/>
      <c r="FM33" s="204"/>
      <c r="FN33" s="204"/>
      <c r="FO33" s="204"/>
      <c r="FP33" s="204"/>
      <c r="FQ33" s="204"/>
      <c r="FR33" s="204"/>
      <c r="FS33" s="204"/>
      <c r="FT33" s="204"/>
      <c r="FU33" s="204"/>
      <c r="FV33" s="204"/>
      <c r="FW33" s="204"/>
      <c r="FX33" s="204"/>
      <c r="FY33" s="204"/>
      <c r="FZ33" s="204"/>
      <c r="GA33" s="204"/>
      <c r="GB33" s="204"/>
      <c r="GC33" s="204"/>
      <c r="GD33" s="204"/>
      <c r="GE33" s="204"/>
      <c r="GF33" s="204"/>
      <c r="GG33" s="204"/>
      <c r="GH33" s="204"/>
      <c r="GI33" s="204"/>
      <c r="GJ33" s="204"/>
      <c r="GK33" s="204"/>
      <c r="GL33" s="204"/>
      <c r="GM33" s="204"/>
      <c r="GN33" s="204"/>
      <c r="GO33" s="204"/>
      <c r="GP33" s="204"/>
      <c r="GQ33" s="204"/>
      <c r="GR33" s="204"/>
      <c r="GS33" s="204"/>
      <c r="GT33" s="204"/>
      <c r="GU33" s="204"/>
      <c r="GV33" s="204"/>
      <c r="GW33" s="204"/>
      <c r="GX33" s="204"/>
      <c r="GY33" s="204"/>
      <c r="GZ33" s="204"/>
      <c r="HA33" s="204"/>
      <c r="HB33" s="204"/>
      <c r="HC33" s="204"/>
      <c r="HD33" s="204"/>
      <c r="HE33" s="204"/>
      <c r="HF33" s="204"/>
      <c r="HG33" s="204"/>
      <c r="HH33" s="204"/>
      <c r="HI33" s="204"/>
      <c r="HJ33" s="204"/>
      <c r="HK33" s="204"/>
      <c r="HL33" s="204"/>
      <c r="HM33" s="204"/>
      <c r="HN33" s="204"/>
      <c r="HO33" s="204"/>
      <c r="HP33" s="204"/>
      <c r="HQ33" s="204"/>
      <c r="HR33" s="204"/>
      <c r="HS33" s="204"/>
      <c r="HT33" s="204"/>
      <c r="HU33" s="204"/>
      <c r="HV33" s="204"/>
      <c r="HW33" s="204"/>
      <c r="HX33" s="204"/>
      <c r="HY33" s="204"/>
      <c r="HZ33" s="204"/>
      <c r="IA33" s="204"/>
      <c r="IB33" s="204"/>
      <c r="IC33" s="204"/>
      <c r="ID33" s="204"/>
      <c r="IE33" s="204"/>
      <c r="IF33" s="204"/>
      <c r="IG33" s="204"/>
      <c r="IH33" s="204"/>
      <c r="II33" s="204"/>
      <c r="IJ33" s="204"/>
      <c r="IK33" s="204"/>
      <c r="IL33" s="204"/>
      <c r="IM33" s="204"/>
      <c r="IN33" s="204"/>
      <c r="IO33" s="204"/>
      <c r="IP33" s="204"/>
      <c r="IQ33" s="204"/>
      <c r="IR33" s="204"/>
      <c r="IS33" s="204"/>
      <c r="IT33" s="204"/>
      <c r="IU33" s="204"/>
    </row>
    <row r="34" spans="1:255" s="43" customFormat="1" ht="24" x14ac:dyDescent="0.2">
      <c r="A34" s="211">
        <v>16</v>
      </c>
      <c r="B34" s="212" t="s">
        <v>303</v>
      </c>
      <c r="C34" s="212" t="s">
        <v>304</v>
      </c>
      <c r="D34" s="212" t="s">
        <v>305</v>
      </c>
      <c r="E34" s="213">
        <f t="shared" si="0"/>
        <v>3.4043999999999999</v>
      </c>
      <c r="F34" s="214">
        <f>ROUND( 27.8 * 7.56, 2 )</f>
        <v>210.17</v>
      </c>
      <c r="G34" s="214">
        <f t="shared" si="1"/>
        <v>715.5</v>
      </c>
      <c r="H34" s="215" t="s">
        <v>1051</v>
      </c>
      <c r="I34" s="215" t="s">
        <v>1034</v>
      </c>
      <c r="N34" s="204"/>
      <c r="O34" s="204">
        <f t="shared" si="2"/>
        <v>3.4043999999999999</v>
      </c>
      <c r="P34" s="204">
        <f>Source!I226</f>
        <v>3.4043999999999999</v>
      </c>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row>
    <row r="35" spans="1:255" s="43" customFormat="1" ht="24" x14ac:dyDescent="0.2">
      <c r="A35" s="211">
        <v>17</v>
      </c>
      <c r="B35" s="212" t="s">
        <v>461</v>
      </c>
      <c r="C35" s="212" t="s">
        <v>462</v>
      </c>
      <c r="D35" s="212" t="s">
        <v>78</v>
      </c>
      <c r="E35" s="213">
        <f t="shared" si="0"/>
        <v>87.637500000000003</v>
      </c>
      <c r="F35" s="214">
        <f>ROUND( 4.83 * 7.56, 2 )</f>
        <v>36.51</v>
      </c>
      <c r="G35" s="214">
        <f t="shared" si="1"/>
        <v>3199.65</v>
      </c>
      <c r="H35" s="215" t="s">
        <v>1068</v>
      </c>
      <c r="I35" s="215" t="s">
        <v>1034</v>
      </c>
      <c r="N35" s="204"/>
      <c r="O35" s="204">
        <f t="shared" si="2"/>
        <v>87.637500000000003</v>
      </c>
      <c r="P35" s="204">
        <f>Source!I345</f>
        <v>87.637500000000003</v>
      </c>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row>
    <row r="36" spans="1:255" s="43" customFormat="1" ht="24" x14ac:dyDescent="0.2">
      <c r="A36" s="211">
        <v>18</v>
      </c>
      <c r="B36" s="212" t="s">
        <v>466</v>
      </c>
      <c r="C36" s="212" t="s">
        <v>467</v>
      </c>
      <c r="D36" s="212" t="s">
        <v>78</v>
      </c>
      <c r="E36" s="213">
        <f t="shared" si="0"/>
        <v>87.637500000000003</v>
      </c>
      <c r="F36" s="214">
        <f>ROUND( 32 * 7.56, 2 )</f>
        <v>241.92</v>
      </c>
      <c r="G36" s="214">
        <f t="shared" si="1"/>
        <v>21201.26</v>
      </c>
      <c r="H36" s="215" t="s">
        <v>1069</v>
      </c>
      <c r="I36" s="215" t="s">
        <v>1034</v>
      </c>
      <c r="N36" s="204"/>
      <c r="O36" s="204">
        <f t="shared" si="2"/>
        <v>87.637500000000003</v>
      </c>
      <c r="P36" s="204">
        <f>Source!I347</f>
        <v>87.637500000000003</v>
      </c>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row>
    <row r="37" spans="1:255" s="43" customFormat="1" ht="24" x14ac:dyDescent="0.2">
      <c r="A37" s="211">
        <v>19</v>
      </c>
      <c r="B37" s="212" t="s">
        <v>76</v>
      </c>
      <c r="C37" s="212" t="s">
        <v>77</v>
      </c>
      <c r="D37" s="212" t="s">
        <v>78</v>
      </c>
      <c r="E37" s="213">
        <f t="shared" si="0"/>
        <v>18.59</v>
      </c>
      <c r="F37" s="214">
        <f>ROUND( 46.21 * 7.56, 2 )</f>
        <v>349.35</v>
      </c>
      <c r="G37" s="214">
        <f t="shared" si="1"/>
        <v>6494.42</v>
      </c>
      <c r="H37" s="215" t="s">
        <v>1038</v>
      </c>
      <c r="I37" s="215" t="s">
        <v>1034</v>
      </c>
      <c r="N37" s="204"/>
      <c r="O37" s="204">
        <f t="shared" si="2"/>
        <v>18.59</v>
      </c>
      <c r="P37" s="204">
        <f>Source!I47</f>
        <v>6.84</v>
      </c>
      <c r="Q37" s="204">
        <f>Source!I67</f>
        <v>11.75</v>
      </c>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04"/>
      <c r="EI37" s="204"/>
      <c r="EJ37" s="204"/>
      <c r="EK37" s="204"/>
      <c r="EL37" s="204"/>
      <c r="EM37" s="204"/>
      <c r="EN37" s="204"/>
      <c r="EO37" s="204"/>
      <c r="EP37" s="204"/>
      <c r="EQ37" s="204"/>
      <c r="ER37" s="204"/>
      <c r="ES37" s="204"/>
      <c r="ET37" s="204"/>
      <c r="EU37" s="204"/>
      <c r="EV37" s="204"/>
      <c r="EW37" s="204"/>
      <c r="EX37" s="204"/>
      <c r="EY37" s="204"/>
      <c r="EZ37" s="204"/>
      <c r="FA37" s="204"/>
      <c r="FB37" s="204"/>
      <c r="FC37" s="204"/>
      <c r="FD37" s="204"/>
      <c r="FE37" s="204"/>
      <c r="FF37" s="204"/>
      <c r="FG37" s="204"/>
      <c r="FH37" s="204"/>
      <c r="FI37" s="204"/>
      <c r="FJ37" s="204"/>
      <c r="FK37" s="204"/>
      <c r="FL37" s="204"/>
      <c r="FM37" s="204"/>
      <c r="FN37" s="204"/>
      <c r="FO37" s="204"/>
      <c r="FP37" s="204"/>
      <c r="FQ37" s="204"/>
      <c r="FR37" s="204"/>
      <c r="FS37" s="204"/>
      <c r="FT37" s="204"/>
      <c r="FU37" s="204"/>
      <c r="FV37" s="204"/>
      <c r="FW37" s="204"/>
      <c r="FX37" s="204"/>
      <c r="FY37" s="204"/>
      <c r="FZ37" s="204"/>
      <c r="GA37" s="204"/>
      <c r="GB37" s="204"/>
      <c r="GC37" s="204"/>
      <c r="GD37" s="204"/>
      <c r="GE37" s="204"/>
      <c r="GF37" s="204"/>
      <c r="GG37" s="204"/>
      <c r="GH37" s="204"/>
      <c r="GI37" s="204"/>
      <c r="GJ37" s="204"/>
      <c r="GK37" s="204"/>
      <c r="GL37" s="204"/>
      <c r="GM37" s="204"/>
      <c r="GN37" s="204"/>
      <c r="GO37" s="204"/>
      <c r="GP37" s="204"/>
      <c r="GQ37" s="204"/>
      <c r="GR37" s="204"/>
      <c r="GS37" s="204"/>
      <c r="GT37" s="204"/>
      <c r="GU37" s="204"/>
      <c r="GV37" s="204"/>
      <c r="GW37" s="204"/>
      <c r="GX37" s="204"/>
      <c r="GY37" s="204"/>
      <c r="GZ37" s="204"/>
      <c r="HA37" s="204"/>
      <c r="HB37" s="204"/>
      <c r="HC37" s="204"/>
      <c r="HD37" s="204"/>
      <c r="HE37" s="204"/>
      <c r="HF37" s="204"/>
      <c r="HG37" s="204"/>
      <c r="HH37" s="204"/>
      <c r="HI37" s="204"/>
      <c r="HJ37" s="204"/>
      <c r="HK37" s="204"/>
      <c r="HL37" s="204"/>
      <c r="HM37" s="204"/>
      <c r="HN37" s="204"/>
      <c r="HO37" s="204"/>
      <c r="HP37" s="204"/>
      <c r="HQ37" s="204"/>
      <c r="HR37" s="204"/>
      <c r="HS37" s="204"/>
      <c r="HT37" s="204"/>
      <c r="HU37" s="204"/>
      <c r="HV37" s="204"/>
      <c r="HW37" s="204"/>
      <c r="HX37" s="204"/>
      <c r="HY37" s="204"/>
      <c r="HZ37" s="204"/>
      <c r="IA37" s="204"/>
      <c r="IB37" s="204"/>
      <c r="IC37" s="204"/>
      <c r="ID37" s="204"/>
      <c r="IE37" s="204"/>
      <c r="IF37" s="204"/>
      <c r="IG37" s="204"/>
      <c r="IH37" s="204"/>
      <c r="II37" s="204"/>
      <c r="IJ37" s="204"/>
      <c r="IK37" s="204"/>
      <c r="IL37" s="204"/>
      <c r="IM37" s="204"/>
      <c r="IN37" s="204"/>
      <c r="IO37" s="204"/>
      <c r="IP37" s="204"/>
      <c r="IQ37" s="204"/>
      <c r="IR37" s="204"/>
      <c r="IS37" s="204"/>
      <c r="IT37" s="204"/>
      <c r="IU37" s="204"/>
    </row>
    <row r="38" spans="1:255" s="43" customFormat="1" ht="24" x14ac:dyDescent="0.2">
      <c r="A38" s="211">
        <v>20</v>
      </c>
      <c r="B38" s="212" t="s">
        <v>82</v>
      </c>
      <c r="C38" s="212" t="s">
        <v>83</v>
      </c>
      <c r="D38" s="212" t="s">
        <v>78</v>
      </c>
      <c r="E38" s="213">
        <f t="shared" si="0"/>
        <v>18.59</v>
      </c>
      <c r="F38" s="214">
        <f>ROUND( 30.22 * 7.56, 2 )</f>
        <v>228.46</v>
      </c>
      <c r="G38" s="214">
        <f t="shared" si="1"/>
        <v>4247.07</v>
      </c>
      <c r="H38" s="215" t="s">
        <v>1039</v>
      </c>
      <c r="I38" s="215" t="s">
        <v>1034</v>
      </c>
      <c r="N38" s="204"/>
      <c r="O38" s="204">
        <f t="shared" si="2"/>
        <v>18.59</v>
      </c>
      <c r="P38" s="204">
        <f>Source!I49</f>
        <v>6.84</v>
      </c>
      <c r="Q38" s="204">
        <f>Source!I69</f>
        <v>11.75</v>
      </c>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c r="DV38" s="204"/>
      <c r="DW38" s="204"/>
      <c r="DX38" s="204"/>
      <c r="DY38" s="204"/>
      <c r="DZ38" s="204"/>
      <c r="EA38" s="204"/>
      <c r="EB38" s="204"/>
      <c r="EC38" s="204"/>
      <c r="ED38" s="204"/>
      <c r="EE38" s="204"/>
      <c r="EF38" s="204"/>
      <c r="EG38" s="204"/>
      <c r="EH38" s="204"/>
      <c r="EI38" s="204"/>
      <c r="EJ38" s="204"/>
      <c r="EK38" s="204"/>
      <c r="EL38" s="204"/>
      <c r="EM38" s="204"/>
      <c r="EN38" s="204"/>
      <c r="EO38" s="204"/>
      <c r="EP38" s="204"/>
      <c r="EQ38" s="204"/>
      <c r="ER38" s="204"/>
      <c r="ES38" s="204"/>
      <c r="ET38" s="204"/>
      <c r="EU38" s="204"/>
      <c r="EV38" s="204"/>
      <c r="EW38" s="204"/>
      <c r="EX38" s="204"/>
      <c r="EY38" s="204"/>
      <c r="EZ38" s="204"/>
      <c r="FA38" s="204"/>
      <c r="FB38" s="204"/>
      <c r="FC38" s="204"/>
      <c r="FD38" s="204"/>
      <c r="FE38" s="204"/>
      <c r="FF38" s="204"/>
      <c r="FG38" s="204"/>
      <c r="FH38" s="204"/>
      <c r="FI38" s="204"/>
      <c r="FJ38" s="204"/>
      <c r="FK38" s="204"/>
      <c r="FL38" s="204"/>
      <c r="FM38" s="204"/>
      <c r="FN38" s="204"/>
      <c r="FO38" s="204"/>
      <c r="FP38" s="204"/>
      <c r="FQ38" s="204"/>
      <c r="FR38" s="204"/>
      <c r="FS38" s="204"/>
      <c r="FT38" s="204"/>
      <c r="FU38" s="204"/>
      <c r="FV38" s="204"/>
      <c r="FW38" s="204"/>
      <c r="FX38" s="204"/>
      <c r="FY38" s="204"/>
      <c r="FZ38" s="204"/>
      <c r="GA38" s="204"/>
      <c r="GB38" s="204"/>
      <c r="GC38" s="204"/>
      <c r="GD38" s="204"/>
      <c r="GE38" s="204"/>
      <c r="GF38" s="204"/>
      <c r="GG38" s="204"/>
      <c r="GH38" s="204"/>
      <c r="GI38" s="204"/>
      <c r="GJ38" s="204"/>
      <c r="GK38" s="204"/>
      <c r="GL38" s="204"/>
      <c r="GM38" s="204"/>
      <c r="GN38" s="204"/>
      <c r="GO38" s="204"/>
      <c r="GP38" s="204"/>
      <c r="GQ38" s="204"/>
      <c r="GR38" s="204"/>
      <c r="GS38" s="204"/>
      <c r="GT38" s="204"/>
      <c r="GU38" s="204"/>
      <c r="GV38" s="204"/>
      <c r="GW38" s="204"/>
      <c r="GX38" s="204"/>
      <c r="GY38" s="204"/>
      <c r="GZ38" s="204"/>
      <c r="HA38" s="204"/>
      <c r="HB38" s="204"/>
      <c r="HC38" s="204"/>
      <c r="HD38" s="204"/>
      <c r="HE38" s="204"/>
      <c r="HF38" s="204"/>
      <c r="HG38" s="204"/>
      <c r="HH38" s="204"/>
      <c r="HI38" s="204"/>
      <c r="HJ38" s="204"/>
      <c r="HK38" s="204"/>
      <c r="HL38" s="204"/>
      <c r="HM38" s="204"/>
      <c r="HN38" s="204"/>
      <c r="HO38" s="204"/>
      <c r="HP38" s="204"/>
      <c r="HQ38" s="204"/>
      <c r="HR38" s="204"/>
      <c r="HS38" s="204"/>
      <c r="HT38" s="204"/>
      <c r="HU38" s="204"/>
      <c r="HV38" s="204"/>
      <c r="HW38" s="204"/>
      <c r="HX38" s="204"/>
      <c r="HY38" s="204"/>
      <c r="HZ38" s="204"/>
      <c r="IA38" s="204"/>
      <c r="IB38" s="204"/>
      <c r="IC38" s="204"/>
      <c r="ID38" s="204"/>
      <c r="IE38" s="204"/>
      <c r="IF38" s="204"/>
      <c r="IG38" s="204"/>
      <c r="IH38" s="204"/>
      <c r="II38" s="204"/>
      <c r="IJ38" s="204"/>
      <c r="IK38" s="204"/>
      <c r="IL38" s="204"/>
      <c r="IM38" s="204"/>
      <c r="IN38" s="204"/>
      <c r="IO38" s="204"/>
      <c r="IP38" s="204"/>
      <c r="IQ38" s="204"/>
      <c r="IR38" s="204"/>
      <c r="IS38" s="204"/>
      <c r="IT38" s="204"/>
      <c r="IU38" s="204"/>
    </row>
    <row r="39" spans="1:255" s="43" customFormat="1" ht="24" x14ac:dyDescent="0.2">
      <c r="A39" s="211">
        <v>21</v>
      </c>
      <c r="B39" s="212" t="s">
        <v>76</v>
      </c>
      <c r="C39" s="212" t="s">
        <v>245</v>
      </c>
      <c r="D39" s="212" t="s">
        <v>78</v>
      </c>
      <c r="E39" s="213">
        <f t="shared" si="0"/>
        <v>9.6549999999999994</v>
      </c>
      <c r="F39" s="214">
        <f>ROUND( 46.21 * 7.56, 2 )</f>
        <v>349.35</v>
      </c>
      <c r="G39" s="214">
        <f t="shared" si="1"/>
        <v>3372.97</v>
      </c>
      <c r="H39" s="215" t="s">
        <v>1038</v>
      </c>
      <c r="I39" s="215" t="s">
        <v>1034</v>
      </c>
      <c r="N39" s="204"/>
      <c r="O39" s="204">
        <f t="shared" si="2"/>
        <v>9.6549999999999994</v>
      </c>
      <c r="P39" s="204">
        <f>Source!I148</f>
        <v>8.7899999999999991</v>
      </c>
      <c r="Q39" s="204">
        <f>Source!I168</f>
        <v>0.86499999999999999</v>
      </c>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04"/>
      <c r="EI39" s="204"/>
      <c r="EJ39" s="204"/>
      <c r="EK39" s="204"/>
      <c r="EL39" s="204"/>
      <c r="EM39" s="204"/>
      <c r="EN39" s="204"/>
      <c r="EO39" s="204"/>
      <c r="EP39" s="204"/>
      <c r="EQ39" s="204"/>
      <c r="ER39" s="204"/>
      <c r="ES39" s="204"/>
      <c r="ET39" s="204"/>
      <c r="EU39" s="204"/>
      <c r="EV39" s="204"/>
      <c r="EW39" s="204"/>
      <c r="EX39" s="204"/>
      <c r="EY39" s="204"/>
      <c r="EZ39" s="204"/>
      <c r="FA39" s="204"/>
      <c r="FB39" s="204"/>
      <c r="FC39" s="204"/>
      <c r="FD39" s="204"/>
      <c r="FE39" s="204"/>
      <c r="FF39" s="204"/>
      <c r="FG39" s="204"/>
      <c r="FH39" s="204"/>
      <c r="FI39" s="204"/>
      <c r="FJ39" s="204"/>
      <c r="FK39" s="204"/>
      <c r="FL39" s="204"/>
      <c r="FM39" s="204"/>
      <c r="FN39" s="204"/>
      <c r="FO39" s="204"/>
      <c r="FP39" s="204"/>
      <c r="FQ39" s="204"/>
      <c r="FR39" s="204"/>
      <c r="FS39" s="204"/>
      <c r="FT39" s="204"/>
      <c r="FU39" s="204"/>
      <c r="FV39" s="204"/>
      <c r="FW39" s="204"/>
      <c r="FX39" s="204"/>
      <c r="FY39" s="204"/>
      <c r="FZ39" s="204"/>
      <c r="GA39" s="204"/>
      <c r="GB39" s="204"/>
      <c r="GC39" s="204"/>
      <c r="GD39" s="204"/>
      <c r="GE39" s="204"/>
      <c r="GF39" s="204"/>
      <c r="GG39" s="204"/>
      <c r="GH39" s="204"/>
      <c r="GI39" s="204"/>
      <c r="GJ39" s="204"/>
      <c r="GK39" s="204"/>
      <c r="GL39" s="204"/>
      <c r="GM39" s="204"/>
      <c r="GN39" s="204"/>
      <c r="GO39" s="204"/>
      <c r="GP39" s="204"/>
      <c r="GQ39" s="204"/>
      <c r="GR39" s="204"/>
      <c r="GS39" s="204"/>
      <c r="GT39" s="204"/>
      <c r="GU39" s="204"/>
      <c r="GV39" s="204"/>
      <c r="GW39" s="204"/>
      <c r="GX39" s="204"/>
      <c r="GY39" s="204"/>
      <c r="GZ39" s="204"/>
      <c r="HA39" s="204"/>
      <c r="HB39" s="204"/>
      <c r="HC39" s="204"/>
      <c r="HD39" s="204"/>
      <c r="HE39" s="204"/>
      <c r="HF39" s="204"/>
      <c r="HG39" s="204"/>
      <c r="HH39" s="204"/>
      <c r="HI39" s="204"/>
      <c r="HJ39" s="204"/>
      <c r="HK39" s="204"/>
      <c r="HL39" s="204"/>
      <c r="HM39" s="204"/>
      <c r="HN39" s="204"/>
      <c r="HO39" s="204"/>
      <c r="HP39" s="204"/>
      <c r="HQ39" s="204"/>
      <c r="HR39" s="204"/>
      <c r="HS39" s="204"/>
      <c r="HT39" s="204"/>
      <c r="HU39" s="204"/>
      <c r="HV39" s="204"/>
      <c r="HW39" s="204"/>
      <c r="HX39" s="204"/>
      <c r="HY39" s="204"/>
      <c r="HZ39" s="204"/>
      <c r="IA39" s="204"/>
      <c r="IB39" s="204"/>
      <c r="IC39" s="204"/>
      <c r="ID39" s="204"/>
      <c r="IE39" s="204"/>
      <c r="IF39" s="204"/>
      <c r="IG39" s="204"/>
      <c r="IH39" s="204"/>
      <c r="II39" s="204"/>
      <c r="IJ39" s="204"/>
      <c r="IK39" s="204"/>
      <c r="IL39" s="204"/>
      <c r="IM39" s="204"/>
      <c r="IN39" s="204"/>
      <c r="IO39" s="204"/>
      <c r="IP39" s="204"/>
      <c r="IQ39" s="204"/>
      <c r="IR39" s="204"/>
      <c r="IS39" s="204"/>
      <c r="IT39" s="204"/>
      <c r="IU39" s="204"/>
    </row>
    <row r="40" spans="1:255" s="43" customFormat="1" ht="24" x14ac:dyDescent="0.2">
      <c r="A40" s="211">
        <v>22</v>
      </c>
      <c r="B40" s="212" t="s">
        <v>76</v>
      </c>
      <c r="C40" s="212" t="s">
        <v>286</v>
      </c>
      <c r="D40" s="212" t="s">
        <v>78</v>
      </c>
      <c r="E40" s="213">
        <f t="shared" si="0"/>
        <v>50.55</v>
      </c>
      <c r="F40" s="214">
        <f>ROUND( 46.21 * 7.56, 2 )</f>
        <v>349.35</v>
      </c>
      <c r="G40" s="214">
        <f t="shared" si="1"/>
        <v>17659.64</v>
      </c>
      <c r="H40" s="215" t="s">
        <v>1038</v>
      </c>
      <c r="I40" s="215" t="s">
        <v>1034</v>
      </c>
      <c r="N40" s="204"/>
      <c r="O40" s="204">
        <f t="shared" si="2"/>
        <v>50.55</v>
      </c>
      <c r="P40" s="204">
        <f>Source!I208</f>
        <v>50.55</v>
      </c>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04"/>
      <c r="EI40" s="204"/>
      <c r="EJ40" s="204"/>
      <c r="EK40" s="204"/>
      <c r="EL40" s="204"/>
      <c r="EM40" s="204"/>
      <c r="EN40" s="204"/>
      <c r="EO40" s="204"/>
      <c r="EP40" s="204"/>
      <c r="EQ40" s="204"/>
      <c r="ER40" s="204"/>
      <c r="ES40" s="204"/>
      <c r="ET40" s="204"/>
      <c r="EU40" s="204"/>
      <c r="EV40" s="204"/>
      <c r="EW40" s="204"/>
      <c r="EX40" s="204"/>
      <c r="EY40" s="204"/>
      <c r="EZ40" s="204"/>
      <c r="FA40" s="204"/>
      <c r="FB40" s="204"/>
      <c r="FC40" s="204"/>
      <c r="FD40" s="204"/>
      <c r="FE40" s="204"/>
      <c r="FF40" s="204"/>
      <c r="FG40" s="204"/>
      <c r="FH40" s="204"/>
      <c r="FI40" s="204"/>
      <c r="FJ40" s="204"/>
      <c r="FK40" s="204"/>
      <c r="FL40" s="204"/>
      <c r="FM40" s="204"/>
      <c r="FN40" s="204"/>
      <c r="FO40" s="204"/>
      <c r="FP40" s="204"/>
      <c r="FQ40" s="204"/>
      <c r="FR40" s="204"/>
      <c r="FS40" s="204"/>
      <c r="FT40" s="204"/>
      <c r="FU40" s="204"/>
      <c r="FV40" s="204"/>
      <c r="FW40" s="204"/>
      <c r="FX40" s="204"/>
      <c r="FY40" s="204"/>
      <c r="FZ40" s="204"/>
      <c r="GA40" s="204"/>
      <c r="GB40" s="204"/>
      <c r="GC40" s="204"/>
      <c r="GD40" s="204"/>
      <c r="GE40" s="204"/>
      <c r="GF40" s="204"/>
      <c r="GG40" s="204"/>
      <c r="GH40" s="204"/>
      <c r="GI40" s="204"/>
      <c r="GJ40" s="204"/>
      <c r="GK40" s="204"/>
      <c r="GL40" s="204"/>
      <c r="GM40" s="204"/>
      <c r="GN40" s="204"/>
      <c r="GO40" s="204"/>
      <c r="GP40" s="204"/>
      <c r="GQ40" s="204"/>
      <c r="GR40" s="204"/>
      <c r="GS40" s="204"/>
      <c r="GT40" s="204"/>
      <c r="GU40" s="204"/>
      <c r="GV40" s="204"/>
      <c r="GW40" s="204"/>
      <c r="GX40" s="204"/>
      <c r="GY40" s="204"/>
      <c r="GZ40" s="204"/>
      <c r="HA40" s="204"/>
      <c r="HB40" s="204"/>
      <c r="HC40" s="204"/>
      <c r="HD40" s="204"/>
      <c r="HE40" s="204"/>
      <c r="HF40" s="204"/>
      <c r="HG40" s="204"/>
      <c r="HH40" s="204"/>
      <c r="HI40" s="204"/>
      <c r="HJ40" s="204"/>
      <c r="HK40" s="204"/>
      <c r="HL40" s="204"/>
      <c r="HM40" s="204"/>
      <c r="HN40" s="204"/>
      <c r="HO40" s="204"/>
      <c r="HP40" s="204"/>
      <c r="HQ40" s="204"/>
      <c r="HR40" s="204"/>
      <c r="HS40" s="204"/>
      <c r="HT40" s="204"/>
      <c r="HU40" s="204"/>
      <c r="HV40" s="204"/>
      <c r="HW40" s="204"/>
      <c r="HX40" s="204"/>
      <c r="HY40" s="204"/>
      <c r="HZ40" s="204"/>
      <c r="IA40" s="204"/>
      <c r="IB40" s="204"/>
      <c r="IC40" s="204"/>
      <c r="ID40" s="204"/>
      <c r="IE40" s="204"/>
      <c r="IF40" s="204"/>
      <c r="IG40" s="204"/>
      <c r="IH40" s="204"/>
      <c r="II40" s="204"/>
      <c r="IJ40" s="204"/>
      <c r="IK40" s="204"/>
      <c r="IL40" s="204"/>
      <c r="IM40" s="204"/>
      <c r="IN40" s="204"/>
      <c r="IO40" s="204"/>
      <c r="IP40" s="204"/>
      <c r="IQ40" s="204"/>
      <c r="IR40" s="204"/>
      <c r="IS40" s="204"/>
      <c r="IT40" s="204"/>
      <c r="IU40" s="204"/>
    </row>
    <row r="41" spans="1:255" s="43" customFormat="1" ht="24" x14ac:dyDescent="0.2">
      <c r="A41" s="211">
        <v>23</v>
      </c>
      <c r="B41" s="212" t="s">
        <v>76</v>
      </c>
      <c r="C41" s="212" t="s">
        <v>271</v>
      </c>
      <c r="D41" s="212" t="s">
        <v>78</v>
      </c>
      <c r="E41" s="213">
        <f t="shared" si="0"/>
        <v>5.7160000000000002</v>
      </c>
      <c r="F41" s="214">
        <f>ROUND( 46.21 * 7.56, 2 )</f>
        <v>349.35</v>
      </c>
      <c r="G41" s="214">
        <f t="shared" si="1"/>
        <v>1996.88</v>
      </c>
      <c r="H41" s="215" t="s">
        <v>1038</v>
      </c>
      <c r="I41" s="215" t="s">
        <v>1034</v>
      </c>
      <c r="N41" s="204"/>
      <c r="O41" s="204">
        <f t="shared" si="2"/>
        <v>5.7160000000000002</v>
      </c>
      <c r="P41" s="204">
        <f>Source!I188</f>
        <v>5.7160000000000002</v>
      </c>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04"/>
      <c r="EI41" s="204"/>
      <c r="EJ41" s="204"/>
      <c r="EK41" s="204"/>
      <c r="EL41" s="204"/>
      <c r="EM41" s="204"/>
      <c r="EN41" s="204"/>
      <c r="EO41" s="204"/>
      <c r="EP41" s="204"/>
      <c r="EQ41" s="204"/>
      <c r="ER41" s="204"/>
      <c r="ES41" s="204"/>
      <c r="ET41" s="204"/>
      <c r="EU41" s="204"/>
      <c r="EV41" s="204"/>
      <c r="EW41" s="204"/>
      <c r="EX41" s="204"/>
      <c r="EY41" s="204"/>
      <c r="EZ41" s="204"/>
      <c r="FA41" s="204"/>
      <c r="FB41" s="204"/>
      <c r="FC41" s="204"/>
      <c r="FD41" s="204"/>
      <c r="FE41" s="204"/>
      <c r="FF41" s="204"/>
      <c r="FG41" s="204"/>
      <c r="FH41" s="204"/>
      <c r="FI41" s="204"/>
      <c r="FJ41" s="204"/>
      <c r="FK41" s="204"/>
      <c r="FL41" s="204"/>
      <c r="FM41" s="204"/>
      <c r="FN41" s="204"/>
      <c r="FO41" s="204"/>
      <c r="FP41" s="204"/>
      <c r="FQ41" s="204"/>
      <c r="FR41" s="204"/>
      <c r="FS41" s="204"/>
      <c r="FT41" s="204"/>
      <c r="FU41" s="204"/>
      <c r="FV41" s="204"/>
      <c r="FW41" s="204"/>
      <c r="FX41" s="204"/>
      <c r="FY41" s="204"/>
      <c r="FZ41" s="204"/>
      <c r="GA41" s="204"/>
      <c r="GB41" s="204"/>
      <c r="GC41" s="204"/>
      <c r="GD41" s="204"/>
      <c r="GE41" s="204"/>
      <c r="GF41" s="204"/>
      <c r="GG41" s="204"/>
      <c r="GH41" s="204"/>
      <c r="GI41" s="204"/>
      <c r="GJ41" s="204"/>
      <c r="GK41" s="204"/>
      <c r="GL41" s="204"/>
      <c r="GM41" s="204"/>
      <c r="GN41" s="204"/>
      <c r="GO41" s="204"/>
      <c r="GP41" s="204"/>
      <c r="GQ41" s="204"/>
      <c r="GR41" s="204"/>
      <c r="GS41" s="204"/>
      <c r="GT41" s="204"/>
      <c r="GU41" s="204"/>
      <c r="GV41" s="204"/>
      <c r="GW41" s="204"/>
      <c r="GX41" s="204"/>
      <c r="GY41" s="204"/>
      <c r="GZ41" s="204"/>
      <c r="HA41" s="204"/>
      <c r="HB41" s="204"/>
      <c r="HC41" s="204"/>
      <c r="HD41" s="204"/>
      <c r="HE41" s="204"/>
      <c r="HF41" s="204"/>
      <c r="HG41" s="204"/>
      <c r="HH41" s="204"/>
      <c r="HI41" s="204"/>
      <c r="HJ41" s="204"/>
      <c r="HK41" s="204"/>
      <c r="HL41" s="204"/>
      <c r="HM41" s="204"/>
      <c r="HN41" s="204"/>
      <c r="HO41" s="204"/>
      <c r="HP41" s="204"/>
      <c r="HQ41" s="204"/>
      <c r="HR41" s="204"/>
      <c r="HS41" s="204"/>
      <c r="HT41" s="204"/>
      <c r="HU41" s="204"/>
      <c r="HV41" s="204"/>
      <c r="HW41" s="204"/>
      <c r="HX41" s="204"/>
      <c r="HY41" s="204"/>
      <c r="HZ41" s="204"/>
      <c r="IA41" s="204"/>
      <c r="IB41" s="204"/>
      <c r="IC41" s="204"/>
      <c r="ID41" s="204"/>
      <c r="IE41" s="204"/>
      <c r="IF41" s="204"/>
      <c r="IG41" s="204"/>
      <c r="IH41" s="204"/>
      <c r="II41" s="204"/>
      <c r="IJ41" s="204"/>
      <c r="IK41" s="204"/>
      <c r="IL41" s="204"/>
      <c r="IM41" s="204"/>
      <c r="IN41" s="204"/>
      <c r="IO41" s="204"/>
      <c r="IP41" s="204"/>
      <c r="IQ41" s="204"/>
      <c r="IR41" s="204"/>
      <c r="IS41" s="204"/>
      <c r="IT41" s="204"/>
      <c r="IU41" s="204"/>
    </row>
    <row r="42" spans="1:255" s="43" customFormat="1" ht="24" x14ac:dyDescent="0.2">
      <c r="A42" s="211">
        <v>24</v>
      </c>
      <c r="B42" s="212" t="s">
        <v>82</v>
      </c>
      <c r="C42" s="212" t="s">
        <v>247</v>
      </c>
      <c r="D42" s="212" t="s">
        <v>78</v>
      </c>
      <c r="E42" s="213">
        <f t="shared" si="0"/>
        <v>9.6549999999999994</v>
      </c>
      <c r="F42" s="214">
        <f>ROUND( 30.22 * 7.56, 2 )</f>
        <v>228.46</v>
      </c>
      <c r="G42" s="214">
        <f t="shared" si="1"/>
        <v>2205.7800000000002</v>
      </c>
      <c r="H42" s="215" t="s">
        <v>1039</v>
      </c>
      <c r="I42" s="215" t="s">
        <v>1034</v>
      </c>
      <c r="N42" s="204"/>
      <c r="O42" s="204">
        <f t="shared" si="2"/>
        <v>9.6549999999999994</v>
      </c>
      <c r="P42" s="204">
        <f>Source!I150</f>
        <v>8.7899999999999991</v>
      </c>
      <c r="Q42" s="204">
        <f>Source!I170</f>
        <v>0.86499999999999999</v>
      </c>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row>
    <row r="43" spans="1:255" s="43" customFormat="1" ht="24" x14ac:dyDescent="0.2">
      <c r="A43" s="211">
        <v>25</v>
      </c>
      <c r="B43" s="212" t="s">
        <v>82</v>
      </c>
      <c r="C43" s="212" t="s">
        <v>288</v>
      </c>
      <c r="D43" s="212" t="s">
        <v>78</v>
      </c>
      <c r="E43" s="213">
        <f t="shared" si="0"/>
        <v>50.55</v>
      </c>
      <c r="F43" s="214">
        <f>ROUND( 30.22 * 7.56, 2 )</f>
        <v>228.46</v>
      </c>
      <c r="G43" s="214">
        <f t="shared" si="1"/>
        <v>11548.65</v>
      </c>
      <c r="H43" s="215" t="s">
        <v>1039</v>
      </c>
      <c r="I43" s="215" t="s">
        <v>1034</v>
      </c>
      <c r="N43" s="204"/>
      <c r="O43" s="204">
        <f t="shared" si="2"/>
        <v>50.55</v>
      </c>
      <c r="P43" s="204">
        <f>Source!I210</f>
        <v>50.55</v>
      </c>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row>
    <row r="44" spans="1:255" s="43" customFormat="1" ht="24" x14ac:dyDescent="0.2">
      <c r="A44" s="211">
        <v>26</v>
      </c>
      <c r="B44" s="212" t="s">
        <v>82</v>
      </c>
      <c r="C44" s="212" t="s">
        <v>273</v>
      </c>
      <c r="D44" s="212" t="s">
        <v>78</v>
      </c>
      <c r="E44" s="213">
        <f t="shared" si="0"/>
        <v>5.7160000000000002</v>
      </c>
      <c r="F44" s="214">
        <f>ROUND( 30.22 * 7.56, 2 )</f>
        <v>228.46</v>
      </c>
      <c r="G44" s="214">
        <f t="shared" si="1"/>
        <v>1305.8800000000001</v>
      </c>
      <c r="H44" s="215" t="s">
        <v>1039</v>
      </c>
      <c r="I44" s="215" t="s">
        <v>1034</v>
      </c>
      <c r="N44" s="204"/>
      <c r="O44" s="204">
        <f t="shared" si="2"/>
        <v>5.7160000000000002</v>
      </c>
      <c r="P44" s="204">
        <f>Source!I190</f>
        <v>5.7160000000000002</v>
      </c>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row>
    <row r="45" spans="1:255" s="43" customFormat="1" ht="36" x14ac:dyDescent="0.2">
      <c r="A45" s="211">
        <v>27</v>
      </c>
      <c r="B45" s="212" t="s">
        <v>117</v>
      </c>
      <c r="C45" s="212" t="s">
        <v>118</v>
      </c>
      <c r="D45" s="212" t="s">
        <v>33</v>
      </c>
      <c r="E45" s="213">
        <f t="shared" si="0"/>
        <v>4.5205999999999996E-2</v>
      </c>
      <c r="F45" s="214">
        <f>ROUND( 11142.15 * 7.56, 2 )</f>
        <v>84234.65</v>
      </c>
      <c r="G45" s="214">
        <f t="shared" si="1"/>
        <v>3807.91</v>
      </c>
      <c r="H45" s="215" t="s">
        <v>1045</v>
      </c>
      <c r="I45" s="215" t="s">
        <v>1034</v>
      </c>
      <c r="N45" s="204"/>
      <c r="O45" s="204">
        <f t="shared" si="2"/>
        <v>4.5205999999999996E-2</v>
      </c>
      <c r="P45" s="204">
        <f>Source!I61</f>
        <v>2.16825E-3</v>
      </c>
      <c r="Q45" s="204">
        <f>Source!I81</f>
        <v>4.1962500000000003E-3</v>
      </c>
      <c r="R45" s="204">
        <f>Source!I162</f>
        <v>4.7080000000000004E-3</v>
      </c>
      <c r="S45" s="204">
        <f>Source!I182</f>
        <v>3.2899999999999997E-4</v>
      </c>
      <c r="T45" s="204">
        <f>Source!I202</f>
        <v>5.9207499999999998E-3</v>
      </c>
      <c r="U45" s="204">
        <f>Source!I222</f>
        <v>2.7883749999999999E-2</v>
      </c>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row>
    <row r="46" spans="1:255" s="43" customFormat="1" ht="24" x14ac:dyDescent="0.2">
      <c r="A46" s="211">
        <v>28</v>
      </c>
      <c r="B46" s="212" t="s">
        <v>236</v>
      </c>
      <c r="C46" s="212" t="s">
        <v>237</v>
      </c>
      <c r="D46" s="212" t="s">
        <v>33</v>
      </c>
      <c r="E46" s="213">
        <f t="shared" si="0"/>
        <v>1.8450000000000001E-3</v>
      </c>
      <c r="F46" s="214">
        <f>ROUND( 18322.43 * 7.56, 2 )</f>
        <v>138517.57</v>
      </c>
      <c r="G46" s="214">
        <f t="shared" si="1"/>
        <v>255.56</v>
      </c>
      <c r="H46" s="215" t="s">
        <v>1050</v>
      </c>
      <c r="I46" s="215" t="s">
        <v>1034</v>
      </c>
      <c r="N46" s="204"/>
      <c r="O46" s="204">
        <f t="shared" si="2"/>
        <v>1.8450000000000001E-3</v>
      </c>
      <c r="P46" s="204">
        <f>Source!I142</f>
        <v>1.8450000000000001E-3</v>
      </c>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04"/>
      <c r="EI46" s="204"/>
      <c r="EJ46" s="204"/>
      <c r="EK46" s="204"/>
      <c r="EL46" s="204"/>
      <c r="EM46" s="204"/>
      <c r="EN46" s="204"/>
      <c r="EO46" s="204"/>
      <c r="EP46" s="204"/>
      <c r="EQ46" s="204"/>
      <c r="ER46" s="204"/>
      <c r="ES46" s="204"/>
      <c r="ET46" s="204"/>
      <c r="EU46" s="204"/>
      <c r="EV46" s="204"/>
      <c r="EW46" s="204"/>
      <c r="EX46" s="204"/>
      <c r="EY46" s="204"/>
      <c r="EZ46" s="204"/>
      <c r="FA46" s="204"/>
      <c r="FB46" s="204"/>
      <c r="FC46" s="204"/>
      <c r="FD46" s="204"/>
      <c r="FE46" s="204"/>
      <c r="FF46" s="204"/>
      <c r="FG46" s="204"/>
      <c r="FH46" s="204"/>
      <c r="FI46" s="204"/>
      <c r="FJ46" s="204"/>
      <c r="FK46" s="204"/>
      <c r="FL46" s="204"/>
      <c r="FM46" s="204"/>
      <c r="FN46" s="204"/>
      <c r="FO46" s="204"/>
      <c r="FP46" s="204"/>
      <c r="FQ46" s="204"/>
      <c r="FR46" s="204"/>
      <c r="FS46" s="204"/>
      <c r="FT46" s="204"/>
      <c r="FU46" s="204"/>
      <c r="FV46" s="204"/>
      <c r="FW46" s="204"/>
      <c r="FX46" s="204"/>
      <c r="FY46" s="204"/>
      <c r="FZ46" s="204"/>
      <c r="GA46" s="204"/>
      <c r="GB46" s="204"/>
      <c r="GC46" s="204"/>
      <c r="GD46" s="204"/>
      <c r="GE46" s="204"/>
      <c r="GF46" s="204"/>
      <c r="GG46" s="204"/>
      <c r="GH46" s="204"/>
      <c r="GI46" s="204"/>
      <c r="GJ46" s="204"/>
      <c r="GK46" s="204"/>
      <c r="GL46" s="204"/>
      <c r="GM46" s="204"/>
      <c r="GN46" s="204"/>
      <c r="GO46" s="204"/>
      <c r="GP46" s="204"/>
      <c r="GQ46" s="204"/>
      <c r="GR46" s="204"/>
      <c r="GS46" s="204"/>
      <c r="GT46" s="204"/>
      <c r="GU46" s="204"/>
      <c r="GV46" s="204"/>
      <c r="GW46" s="204"/>
      <c r="GX46" s="204"/>
      <c r="GY46" s="204"/>
      <c r="GZ46" s="204"/>
      <c r="HA46" s="204"/>
      <c r="HB46" s="204"/>
      <c r="HC46" s="204"/>
      <c r="HD46" s="204"/>
      <c r="HE46" s="204"/>
      <c r="HF46" s="204"/>
      <c r="HG46" s="204"/>
      <c r="HH46" s="204"/>
      <c r="HI46" s="204"/>
      <c r="HJ46" s="204"/>
      <c r="HK46" s="204"/>
      <c r="HL46" s="204"/>
      <c r="HM46" s="204"/>
      <c r="HN46" s="204"/>
      <c r="HO46" s="204"/>
      <c r="HP46" s="204"/>
      <c r="HQ46" s="204"/>
      <c r="HR46" s="204"/>
      <c r="HS46" s="204"/>
      <c r="HT46" s="204"/>
      <c r="HU46" s="204"/>
      <c r="HV46" s="204"/>
      <c r="HW46" s="204"/>
      <c r="HX46" s="204"/>
      <c r="HY46" s="204"/>
      <c r="HZ46" s="204"/>
      <c r="IA46" s="204"/>
      <c r="IB46" s="204"/>
      <c r="IC46" s="204"/>
      <c r="ID46" s="204"/>
      <c r="IE46" s="204"/>
      <c r="IF46" s="204"/>
      <c r="IG46" s="204"/>
      <c r="IH46" s="204"/>
      <c r="II46" s="204"/>
      <c r="IJ46" s="204"/>
      <c r="IK46" s="204"/>
      <c r="IL46" s="204"/>
      <c r="IM46" s="204"/>
      <c r="IN46" s="204"/>
      <c r="IO46" s="204"/>
      <c r="IP46" s="204"/>
      <c r="IQ46" s="204"/>
      <c r="IR46" s="204"/>
      <c r="IS46" s="204"/>
      <c r="IT46" s="204"/>
      <c r="IU46" s="204"/>
    </row>
    <row r="47" spans="1:255" s="43" customFormat="1" ht="24" x14ac:dyDescent="0.2">
      <c r="A47" s="211">
        <v>29</v>
      </c>
      <c r="B47" s="212" t="s">
        <v>217</v>
      </c>
      <c r="C47" s="212" t="s">
        <v>524</v>
      </c>
      <c r="D47" s="212" t="s">
        <v>44</v>
      </c>
      <c r="E47" s="213" t="e">
        <f t="shared" si="0"/>
        <v>#REF!</v>
      </c>
      <c r="F47" s="214">
        <f>ROUND( 526.94 * 7.56, 2 )</f>
        <v>3983.67</v>
      </c>
      <c r="G47" s="214" t="e">
        <f t="shared" si="1"/>
        <v>#REF!</v>
      </c>
      <c r="H47" s="215" t="s">
        <v>1048</v>
      </c>
      <c r="I47" s="215" t="s">
        <v>1034</v>
      </c>
      <c r="N47" s="204"/>
      <c r="O47" s="204" t="e">
        <f t="shared" si="2"/>
        <v>#REF!</v>
      </c>
      <c r="P47" s="204" t="e">
        <f>Source!I383</f>
        <v>#REF!</v>
      </c>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04"/>
      <c r="EI47" s="204"/>
      <c r="EJ47" s="204"/>
      <c r="EK47" s="204"/>
      <c r="EL47" s="204"/>
      <c r="EM47" s="204"/>
      <c r="EN47" s="204"/>
      <c r="EO47" s="204"/>
      <c r="EP47" s="204"/>
      <c r="EQ47" s="204"/>
      <c r="ER47" s="204"/>
      <c r="ES47" s="204"/>
      <c r="ET47" s="204"/>
      <c r="EU47" s="204"/>
      <c r="EV47" s="204"/>
      <c r="EW47" s="204"/>
      <c r="EX47" s="204"/>
      <c r="EY47" s="204"/>
      <c r="EZ47" s="204"/>
      <c r="FA47" s="204"/>
      <c r="FB47" s="204"/>
      <c r="FC47" s="204"/>
      <c r="FD47" s="204"/>
      <c r="FE47" s="204"/>
      <c r="FF47" s="204"/>
      <c r="FG47" s="204"/>
      <c r="FH47" s="204"/>
      <c r="FI47" s="204"/>
      <c r="FJ47" s="204"/>
      <c r="FK47" s="204"/>
      <c r="FL47" s="204"/>
      <c r="FM47" s="204"/>
      <c r="FN47" s="204"/>
      <c r="FO47" s="204"/>
      <c r="FP47" s="204"/>
      <c r="FQ47" s="204"/>
      <c r="FR47" s="204"/>
      <c r="FS47" s="204"/>
      <c r="FT47" s="204"/>
      <c r="FU47" s="204"/>
      <c r="FV47" s="204"/>
      <c r="FW47" s="204"/>
      <c r="FX47" s="204"/>
      <c r="FY47" s="204"/>
      <c r="FZ47" s="204"/>
      <c r="GA47" s="204"/>
      <c r="GB47" s="204"/>
      <c r="GC47" s="204"/>
      <c r="GD47" s="204"/>
      <c r="GE47" s="204"/>
      <c r="GF47" s="204"/>
      <c r="GG47" s="204"/>
      <c r="GH47" s="204"/>
      <c r="GI47" s="204"/>
      <c r="GJ47" s="204"/>
      <c r="GK47" s="204"/>
      <c r="GL47" s="204"/>
      <c r="GM47" s="204"/>
      <c r="GN47" s="204"/>
      <c r="GO47" s="204"/>
      <c r="GP47" s="204"/>
      <c r="GQ47" s="204"/>
      <c r="GR47" s="204"/>
      <c r="GS47" s="204"/>
      <c r="GT47" s="204"/>
      <c r="GU47" s="204"/>
      <c r="GV47" s="204"/>
      <c r="GW47" s="204"/>
      <c r="GX47" s="204"/>
      <c r="GY47" s="204"/>
      <c r="GZ47" s="204"/>
      <c r="HA47" s="204"/>
      <c r="HB47" s="204"/>
      <c r="HC47" s="204"/>
      <c r="HD47" s="204"/>
      <c r="HE47" s="204"/>
      <c r="HF47" s="204"/>
      <c r="HG47" s="204"/>
      <c r="HH47" s="204"/>
      <c r="HI47" s="204"/>
      <c r="HJ47" s="204"/>
      <c r="HK47" s="204"/>
      <c r="HL47" s="204"/>
      <c r="HM47" s="204"/>
      <c r="HN47" s="204"/>
      <c r="HO47" s="204"/>
      <c r="HP47" s="204"/>
      <c r="HQ47" s="204"/>
      <c r="HR47" s="204"/>
      <c r="HS47" s="204"/>
      <c r="HT47" s="204"/>
      <c r="HU47" s="204"/>
      <c r="HV47" s="204"/>
      <c r="HW47" s="204"/>
      <c r="HX47" s="204"/>
      <c r="HY47" s="204"/>
      <c r="HZ47" s="204"/>
      <c r="IA47" s="204"/>
      <c r="IB47" s="204"/>
      <c r="IC47" s="204"/>
      <c r="ID47" s="204"/>
      <c r="IE47" s="204"/>
      <c r="IF47" s="204"/>
      <c r="IG47" s="204"/>
      <c r="IH47" s="204"/>
      <c r="II47" s="204"/>
      <c r="IJ47" s="204"/>
      <c r="IK47" s="204"/>
      <c r="IL47" s="204"/>
      <c r="IM47" s="204"/>
      <c r="IN47" s="204"/>
      <c r="IO47" s="204"/>
      <c r="IP47" s="204"/>
      <c r="IQ47" s="204"/>
      <c r="IR47" s="204"/>
      <c r="IS47" s="204"/>
      <c r="IT47" s="204"/>
      <c r="IU47" s="204"/>
    </row>
    <row r="48" spans="1:255" s="43" customFormat="1" ht="24" x14ac:dyDescent="0.2">
      <c r="A48" s="211">
        <v>30</v>
      </c>
      <c r="B48" s="212" t="s">
        <v>217</v>
      </c>
      <c r="C48" s="212" t="s">
        <v>218</v>
      </c>
      <c r="D48" s="212" t="s">
        <v>44</v>
      </c>
      <c r="E48" s="213">
        <f t="shared" si="0"/>
        <v>4.2431999999999999</v>
      </c>
      <c r="F48" s="214">
        <f>ROUND( 526.94 * 7.56, 2 )</f>
        <v>3983.67</v>
      </c>
      <c r="G48" s="214">
        <f t="shared" si="1"/>
        <v>16903.509999999998</v>
      </c>
      <c r="H48" s="215" t="s">
        <v>1048</v>
      </c>
      <c r="I48" s="215" t="s">
        <v>1034</v>
      </c>
      <c r="N48" s="204"/>
      <c r="O48" s="204">
        <f t="shared" si="2"/>
        <v>4.2431999999999999</v>
      </c>
      <c r="P48" s="204">
        <f>Source!I132</f>
        <v>4.2431999999999999</v>
      </c>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04"/>
      <c r="EI48" s="204"/>
      <c r="EJ48" s="204"/>
      <c r="EK48" s="204"/>
      <c r="EL48" s="204"/>
      <c r="EM48" s="204"/>
      <c r="EN48" s="204"/>
      <c r="EO48" s="204"/>
      <c r="EP48" s="204"/>
      <c r="EQ48" s="204"/>
      <c r="ER48" s="204"/>
      <c r="ES48" s="204"/>
      <c r="ET48" s="204"/>
      <c r="EU48" s="204"/>
      <c r="EV48" s="204"/>
      <c r="EW48" s="204"/>
      <c r="EX48" s="204"/>
      <c r="EY48" s="204"/>
      <c r="EZ48" s="204"/>
      <c r="FA48" s="204"/>
      <c r="FB48" s="204"/>
      <c r="FC48" s="204"/>
      <c r="FD48" s="204"/>
      <c r="FE48" s="204"/>
      <c r="FF48" s="204"/>
      <c r="FG48" s="204"/>
      <c r="FH48" s="204"/>
      <c r="FI48" s="204"/>
      <c r="FJ48" s="204"/>
      <c r="FK48" s="204"/>
      <c r="FL48" s="204"/>
      <c r="FM48" s="204"/>
      <c r="FN48" s="204"/>
      <c r="FO48" s="204"/>
      <c r="FP48" s="204"/>
      <c r="FQ48" s="204"/>
      <c r="FR48" s="204"/>
      <c r="FS48" s="204"/>
      <c r="FT48" s="204"/>
      <c r="FU48" s="204"/>
      <c r="FV48" s="204"/>
      <c r="FW48" s="204"/>
      <c r="FX48" s="204"/>
      <c r="FY48" s="204"/>
      <c r="FZ48" s="204"/>
      <c r="GA48" s="204"/>
      <c r="GB48" s="204"/>
      <c r="GC48" s="204"/>
      <c r="GD48" s="204"/>
      <c r="GE48" s="204"/>
      <c r="GF48" s="204"/>
      <c r="GG48" s="204"/>
      <c r="GH48" s="204"/>
      <c r="GI48" s="204"/>
      <c r="GJ48" s="204"/>
      <c r="GK48" s="204"/>
      <c r="GL48" s="204"/>
      <c r="GM48" s="204"/>
      <c r="GN48" s="204"/>
      <c r="GO48" s="204"/>
      <c r="GP48" s="204"/>
      <c r="GQ48" s="204"/>
      <c r="GR48" s="204"/>
      <c r="GS48" s="204"/>
      <c r="GT48" s="204"/>
      <c r="GU48" s="204"/>
      <c r="GV48" s="204"/>
      <c r="GW48" s="204"/>
      <c r="GX48" s="204"/>
      <c r="GY48" s="204"/>
      <c r="GZ48" s="204"/>
      <c r="HA48" s="204"/>
      <c r="HB48" s="204"/>
      <c r="HC48" s="204"/>
      <c r="HD48" s="204"/>
      <c r="HE48" s="204"/>
      <c r="HF48" s="204"/>
      <c r="HG48" s="204"/>
      <c r="HH48" s="204"/>
      <c r="HI48" s="204"/>
      <c r="HJ48" s="204"/>
      <c r="HK48" s="204"/>
      <c r="HL48" s="204"/>
      <c r="HM48" s="204"/>
      <c r="HN48" s="204"/>
      <c r="HO48" s="204"/>
      <c r="HP48" s="204"/>
      <c r="HQ48" s="204"/>
      <c r="HR48" s="204"/>
      <c r="HS48" s="204"/>
      <c r="HT48" s="204"/>
      <c r="HU48" s="204"/>
      <c r="HV48" s="204"/>
      <c r="HW48" s="204"/>
      <c r="HX48" s="204"/>
      <c r="HY48" s="204"/>
      <c r="HZ48" s="204"/>
      <c r="IA48" s="204"/>
      <c r="IB48" s="204"/>
      <c r="IC48" s="204"/>
      <c r="ID48" s="204"/>
      <c r="IE48" s="204"/>
      <c r="IF48" s="204"/>
      <c r="IG48" s="204"/>
      <c r="IH48" s="204"/>
      <c r="II48" s="204"/>
      <c r="IJ48" s="204"/>
      <c r="IK48" s="204"/>
      <c r="IL48" s="204"/>
      <c r="IM48" s="204"/>
      <c r="IN48" s="204"/>
      <c r="IO48" s="204"/>
      <c r="IP48" s="204"/>
      <c r="IQ48" s="204"/>
      <c r="IR48" s="204"/>
      <c r="IS48" s="204"/>
      <c r="IT48" s="204"/>
      <c r="IU48" s="204"/>
    </row>
    <row r="49" spans="1:255" s="43" customFormat="1" ht="36" x14ac:dyDescent="0.2">
      <c r="A49" s="211">
        <v>31</v>
      </c>
      <c r="B49" s="212" t="s">
        <v>212</v>
      </c>
      <c r="C49" s="212" t="s">
        <v>213</v>
      </c>
      <c r="D49" s="212" t="s">
        <v>44</v>
      </c>
      <c r="E49" s="213">
        <f t="shared" si="0"/>
        <v>3.6720000000000003E-2</v>
      </c>
      <c r="F49" s="214">
        <f>ROUND( 1182.18 * 7.56, 2 )</f>
        <v>8937.2800000000007</v>
      </c>
      <c r="G49" s="214">
        <f t="shared" si="1"/>
        <v>328.18</v>
      </c>
      <c r="H49" s="215" t="s">
        <v>1047</v>
      </c>
      <c r="I49" s="215" t="s">
        <v>1034</v>
      </c>
      <c r="N49" s="204"/>
      <c r="O49" s="204">
        <f t="shared" si="2"/>
        <v>3.6720000000000003E-2</v>
      </c>
      <c r="P49" s="204">
        <f>Source!I130</f>
        <v>3.6720000000000003E-2</v>
      </c>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04"/>
      <c r="EI49" s="204"/>
      <c r="EJ49" s="204"/>
      <c r="EK49" s="204"/>
      <c r="EL49" s="204"/>
      <c r="EM49" s="204"/>
      <c r="EN49" s="204"/>
      <c r="EO49" s="204"/>
      <c r="EP49" s="204"/>
      <c r="EQ49" s="204"/>
      <c r="ER49" s="204"/>
      <c r="ES49" s="204"/>
      <c r="ET49" s="204"/>
      <c r="EU49" s="204"/>
      <c r="EV49" s="204"/>
      <c r="EW49" s="204"/>
      <c r="EX49" s="204"/>
      <c r="EY49" s="204"/>
      <c r="EZ49" s="204"/>
      <c r="FA49" s="204"/>
      <c r="FB49" s="204"/>
      <c r="FC49" s="204"/>
      <c r="FD49" s="204"/>
      <c r="FE49" s="204"/>
      <c r="FF49" s="204"/>
      <c r="FG49" s="204"/>
      <c r="FH49" s="204"/>
      <c r="FI49" s="204"/>
      <c r="FJ49" s="204"/>
      <c r="FK49" s="204"/>
      <c r="FL49" s="204"/>
      <c r="FM49" s="204"/>
      <c r="FN49" s="204"/>
      <c r="FO49" s="204"/>
      <c r="FP49" s="204"/>
      <c r="FQ49" s="204"/>
      <c r="FR49" s="204"/>
      <c r="FS49" s="204"/>
      <c r="FT49" s="204"/>
      <c r="FU49" s="204"/>
      <c r="FV49" s="204"/>
      <c r="FW49" s="204"/>
      <c r="FX49" s="204"/>
      <c r="FY49" s="204"/>
      <c r="FZ49" s="204"/>
      <c r="GA49" s="204"/>
      <c r="GB49" s="204"/>
      <c r="GC49" s="204"/>
      <c r="GD49" s="204"/>
      <c r="GE49" s="204"/>
      <c r="GF49" s="204"/>
      <c r="GG49" s="204"/>
      <c r="GH49" s="204"/>
      <c r="GI49" s="204"/>
      <c r="GJ49" s="204"/>
      <c r="GK49" s="204"/>
      <c r="GL49" s="204"/>
      <c r="GM49" s="204"/>
      <c r="GN49" s="204"/>
      <c r="GO49" s="204"/>
      <c r="GP49" s="204"/>
      <c r="GQ49" s="204"/>
      <c r="GR49" s="204"/>
      <c r="GS49" s="204"/>
      <c r="GT49" s="204"/>
      <c r="GU49" s="204"/>
      <c r="GV49" s="204"/>
      <c r="GW49" s="204"/>
      <c r="GX49" s="204"/>
      <c r="GY49" s="204"/>
      <c r="GZ49" s="204"/>
      <c r="HA49" s="204"/>
      <c r="HB49" s="204"/>
      <c r="HC49" s="204"/>
      <c r="HD49" s="204"/>
      <c r="HE49" s="204"/>
      <c r="HF49" s="204"/>
      <c r="HG49" s="204"/>
      <c r="HH49" s="204"/>
      <c r="HI49" s="204"/>
      <c r="HJ49" s="204"/>
      <c r="HK49" s="204"/>
      <c r="HL49" s="204"/>
      <c r="HM49" s="204"/>
      <c r="HN49" s="204"/>
      <c r="HO49" s="204"/>
      <c r="HP49" s="204"/>
      <c r="HQ49" s="204"/>
      <c r="HR49" s="204"/>
      <c r="HS49" s="204"/>
      <c r="HT49" s="204"/>
      <c r="HU49" s="204"/>
      <c r="HV49" s="204"/>
      <c r="HW49" s="204"/>
      <c r="HX49" s="204"/>
      <c r="HY49" s="204"/>
      <c r="HZ49" s="204"/>
      <c r="IA49" s="204"/>
      <c r="IB49" s="204"/>
      <c r="IC49" s="204"/>
      <c r="ID49" s="204"/>
      <c r="IE49" s="204"/>
      <c r="IF49" s="204"/>
      <c r="IG49" s="204"/>
      <c r="IH49" s="204"/>
      <c r="II49" s="204"/>
      <c r="IJ49" s="204"/>
      <c r="IK49" s="204"/>
      <c r="IL49" s="204"/>
      <c r="IM49" s="204"/>
      <c r="IN49" s="204"/>
      <c r="IO49" s="204"/>
      <c r="IP49" s="204"/>
      <c r="IQ49" s="204"/>
      <c r="IR49" s="204"/>
      <c r="IS49" s="204"/>
      <c r="IT49" s="204"/>
      <c r="IU49" s="204"/>
    </row>
    <row r="50" spans="1:255" s="43" customFormat="1" ht="36" x14ac:dyDescent="0.2">
      <c r="A50" s="211">
        <v>32</v>
      </c>
      <c r="B50" s="212" t="s">
        <v>447</v>
      </c>
      <c r="C50" s="212" t="s">
        <v>448</v>
      </c>
      <c r="D50" s="212" t="s">
        <v>33</v>
      </c>
      <c r="E50" s="213">
        <f t="shared" si="0"/>
        <v>0.24</v>
      </c>
      <c r="F50" s="214">
        <f>ROUND( 13442.55 * 7.56, 2 )</f>
        <v>101625.68</v>
      </c>
      <c r="G50" s="214">
        <f t="shared" si="1"/>
        <v>24390.16</v>
      </c>
      <c r="H50" s="215" t="s">
        <v>1067</v>
      </c>
      <c r="I50" s="215" t="s">
        <v>1034</v>
      </c>
      <c r="N50" s="204"/>
      <c r="O50" s="204">
        <f t="shared" si="2"/>
        <v>0.24</v>
      </c>
      <c r="P50" s="204">
        <f>Source!I333</f>
        <v>0.24</v>
      </c>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204"/>
      <c r="FH50" s="204"/>
      <c r="FI50" s="204"/>
      <c r="FJ50" s="204"/>
      <c r="FK50" s="204"/>
      <c r="FL50" s="204"/>
      <c r="FM50" s="204"/>
      <c r="FN50" s="204"/>
      <c r="FO50" s="204"/>
      <c r="FP50" s="204"/>
      <c r="FQ50" s="204"/>
      <c r="FR50" s="204"/>
      <c r="FS50" s="204"/>
      <c r="FT50" s="204"/>
      <c r="FU50" s="204"/>
      <c r="FV50" s="204"/>
      <c r="FW50" s="204"/>
      <c r="FX50" s="204"/>
      <c r="FY50" s="204"/>
      <c r="FZ50" s="204"/>
      <c r="GA50" s="204"/>
      <c r="GB50" s="204"/>
      <c r="GC50" s="204"/>
      <c r="GD50" s="204"/>
      <c r="GE50" s="204"/>
      <c r="GF50" s="204"/>
      <c r="GG50" s="204"/>
      <c r="GH50" s="204"/>
      <c r="GI50" s="204"/>
      <c r="GJ50" s="204"/>
      <c r="GK50" s="204"/>
      <c r="GL50" s="204"/>
      <c r="GM50" s="204"/>
      <c r="GN50" s="204"/>
      <c r="GO50" s="204"/>
      <c r="GP50" s="204"/>
      <c r="GQ50" s="204"/>
      <c r="GR50" s="204"/>
      <c r="GS50" s="204"/>
      <c r="GT50" s="204"/>
      <c r="GU50" s="204"/>
      <c r="GV50" s="204"/>
      <c r="GW50" s="204"/>
      <c r="GX50" s="204"/>
      <c r="GY50" s="204"/>
      <c r="GZ50" s="204"/>
      <c r="HA50" s="204"/>
      <c r="HB50" s="204"/>
      <c r="HC50" s="204"/>
      <c r="HD50" s="204"/>
      <c r="HE50" s="204"/>
      <c r="HF50" s="204"/>
      <c r="HG50" s="204"/>
      <c r="HH50" s="204"/>
      <c r="HI50" s="204"/>
      <c r="HJ50" s="204"/>
      <c r="HK50" s="204"/>
      <c r="HL50" s="204"/>
      <c r="HM50" s="204"/>
      <c r="HN50" s="204"/>
      <c r="HO50" s="204"/>
      <c r="HP50" s="204"/>
      <c r="HQ50" s="204"/>
      <c r="HR50" s="204"/>
      <c r="HS50" s="204"/>
      <c r="HT50" s="204"/>
      <c r="HU50" s="204"/>
      <c r="HV50" s="204"/>
      <c r="HW50" s="204"/>
      <c r="HX50" s="204"/>
      <c r="HY50" s="204"/>
      <c r="HZ50" s="204"/>
      <c r="IA50" s="204"/>
      <c r="IB50" s="204"/>
      <c r="IC50" s="204"/>
      <c r="ID50" s="204"/>
      <c r="IE50" s="204"/>
      <c r="IF50" s="204"/>
      <c r="IG50" s="204"/>
      <c r="IH50" s="204"/>
      <c r="II50" s="204"/>
      <c r="IJ50" s="204"/>
      <c r="IK50" s="204"/>
      <c r="IL50" s="204"/>
      <c r="IM50" s="204"/>
      <c r="IN50" s="204"/>
      <c r="IO50" s="204"/>
      <c r="IP50" s="204"/>
      <c r="IQ50" s="204"/>
      <c r="IR50" s="204"/>
      <c r="IS50" s="204"/>
      <c r="IT50" s="204"/>
      <c r="IU50" s="204"/>
    </row>
    <row r="51" spans="1:255" s="43" customFormat="1" ht="24" x14ac:dyDescent="0.2">
      <c r="A51" s="211">
        <v>33</v>
      </c>
      <c r="B51" s="212" t="s">
        <v>101</v>
      </c>
      <c r="C51" s="212" t="s">
        <v>102</v>
      </c>
      <c r="D51" s="212" t="s">
        <v>103</v>
      </c>
      <c r="E51" s="213">
        <f t="shared" ref="E51:E70" si="3">O51</f>
        <v>1093.3107500000001</v>
      </c>
      <c r="F51" s="214">
        <f>ROUND( 0.16 * 7.56, 2 )</f>
        <v>1.21</v>
      </c>
      <c r="G51" s="214">
        <f t="shared" ref="G51:G70" si="4">ROUND(E51*F51,2)</f>
        <v>1322.91</v>
      </c>
      <c r="H51" s="215" t="s">
        <v>1042</v>
      </c>
      <c r="I51" s="215" t="s">
        <v>1034</v>
      </c>
      <c r="N51" s="204"/>
      <c r="O51" s="204">
        <f t="shared" ref="O51:O70" si="5">SUM(P51:IV51)</f>
        <v>1093.3107500000001</v>
      </c>
      <c r="P51" s="204">
        <f>Source!I55</f>
        <v>52.44</v>
      </c>
      <c r="Q51" s="204">
        <f>Source!I75</f>
        <v>101.4875</v>
      </c>
      <c r="R51" s="204">
        <f>Source!I156</f>
        <v>113.86150000000002</v>
      </c>
      <c r="S51" s="204">
        <f>Source!I176</f>
        <v>7.9580000000000011</v>
      </c>
      <c r="T51" s="204">
        <f>Source!I196</f>
        <v>143.19225</v>
      </c>
      <c r="U51" s="204">
        <f>Source!I216</f>
        <v>674.37149999999997</v>
      </c>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04"/>
      <c r="EI51" s="204"/>
      <c r="EJ51" s="204"/>
      <c r="EK51" s="204"/>
      <c r="EL51" s="204"/>
      <c r="EM51" s="204"/>
      <c r="EN51" s="204"/>
      <c r="EO51" s="204"/>
      <c r="EP51" s="204"/>
      <c r="EQ51" s="204"/>
      <c r="ER51" s="204"/>
      <c r="ES51" s="204"/>
      <c r="ET51" s="204"/>
      <c r="EU51" s="204"/>
      <c r="EV51" s="204"/>
      <c r="EW51" s="204"/>
      <c r="EX51" s="204"/>
      <c r="EY51" s="204"/>
      <c r="EZ51" s="204"/>
      <c r="FA51" s="204"/>
      <c r="FB51" s="204"/>
      <c r="FC51" s="204"/>
      <c r="FD51" s="204"/>
      <c r="FE51" s="204"/>
      <c r="FF51" s="204"/>
      <c r="FG51" s="204"/>
      <c r="FH51" s="204"/>
      <c r="FI51" s="204"/>
      <c r="FJ51" s="204"/>
      <c r="FK51" s="204"/>
      <c r="FL51" s="204"/>
      <c r="FM51" s="204"/>
      <c r="FN51" s="204"/>
      <c r="FO51" s="204"/>
      <c r="FP51" s="204"/>
      <c r="FQ51" s="204"/>
      <c r="FR51" s="204"/>
      <c r="FS51" s="204"/>
      <c r="FT51" s="204"/>
      <c r="FU51" s="204"/>
      <c r="FV51" s="204"/>
      <c r="FW51" s="204"/>
      <c r="FX51" s="204"/>
      <c r="FY51" s="204"/>
      <c r="FZ51" s="204"/>
      <c r="GA51" s="204"/>
      <c r="GB51" s="204"/>
      <c r="GC51" s="204"/>
      <c r="GD51" s="204"/>
      <c r="GE51" s="204"/>
      <c r="GF51" s="204"/>
      <c r="GG51" s="204"/>
      <c r="GH51" s="204"/>
      <c r="GI51" s="204"/>
      <c r="GJ51" s="204"/>
      <c r="GK51" s="204"/>
      <c r="GL51" s="204"/>
      <c r="GM51" s="204"/>
      <c r="GN51" s="204"/>
      <c r="GO51" s="204"/>
      <c r="GP51" s="204"/>
      <c r="GQ51" s="204"/>
      <c r="GR51" s="204"/>
      <c r="GS51" s="204"/>
      <c r="GT51" s="204"/>
      <c r="GU51" s="204"/>
      <c r="GV51" s="204"/>
      <c r="GW51" s="204"/>
      <c r="GX51" s="204"/>
      <c r="GY51" s="204"/>
      <c r="GZ51" s="204"/>
      <c r="HA51" s="204"/>
      <c r="HB51" s="204"/>
      <c r="HC51" s="204"/>
      <c r="HD51" s="204"/>
      <c r="HE51" s="204"/>
      <c r="HF51" s="204"/>
      <c r="HG51" s="204"/>
      <c r="HH51" s="204"/>
      <c r="HI51" s="204"/>
      <c r="HJ51" s="204"/>
      <c r="HK51" s="204"/>
      <c r="HL51" s="204"/>
      <c r="HM51" s="204"/>
      <c r="HN51" s="204"/>
      <c r="HO51" s="204"/>
      <c r="HP51" s="204"/>
      <c r="HQ51" s="204"/>
      <c r="HR51" s="204"/>
      <c r="HS51" s="204"/>
      <c r="HT51" s="204"/>
      <c r="HU51" s="204"/>
      <c r="HV51" s="204"/>
      <c r="HW51" s="204"/>
      <c r="HX51" s="204"/>
      <c r="HY51" s="204"/>
      <c r="HZ51" s="204"/>
      <c r="IA51" s="204"/>
      <c r="IB51" s="204"/>
      <c r="IC51" s="204"/>
      <c r="ID51" s="204"/>
      <c r="IE51" s="204"/>
      <c r="IF51" s="204"/>
      <c r="IG51" s="204"/>
      <c r="IH51" s="204"/>
      <c r="II51" s="204"/>
      <c r="IJ51" s="204"/>
      <c r="IK51" s="204"/>
      <c r="IL51" s="204"/>
      <c r="IM51" s="204"/>
      <c r="IN51" s="204"/>
      <c r="IO51" s="204"/>
      <c r="IP51" s="204"/>
      <c r="IQ51" s="204"/>
      <c r="IR51" s="204"/>
      <c r="IS51" s="204"/>
      <c r="IT51" s="204"/>
      <c r="IU51" s="204"/>
    </row>
    <row r="52" spans="1:255" s="43" customFormat="1" ht="24" x14ac:dyDescent="0.2">
      <c r="A52" s="211">
        <v>34</v>
      </c>
      <c r="B52" s="212" t="s">
        <v>316</v>
      </c>
      <c r="C52" s="212" t="s">
        <v>317</v>
      </c>
      <c r="D52" s="212" t="s">
        <v>33</v>
      </c>
      <c r="E52" s="213">
        <f t="shared" si="3"/>
        <v>5.1932499999999999E-3</v>
      </c>
      <c r="F52" s="214">
        <f>ROUND( 13505.55 * 7.56, 2 )</f>
        <v>102101.96</v>
      </c>
      <c r="G52" s="214">
        <f t="shared" si="4"/>
        <v>530.24</v>
      </c>
      <c r="H52" s="215" t="s">
        <v>1052</v>
      </c>
      <c r="I52" s="215" t="s">
        <v>1034</v>
      </c>
      <c r="N52" s="204"/>
      <c r="O52" s="204">
        <f t="shared" si="5"/>
        <v>5.1932499999999999E-3</v>
      </c>
      <c r="P52" s="204">
        <f>Source!I230</f>
        <v>1.5874999999999999E-3</v>
      </c>
      <c r="Q52" s="204">
        <f>Source!I242</f>
        <v>4.1800000000000002E-4</v>
      </c>
      <c r="R52" s="204">
        <f>Source!I254</f>
        <v>1.9924999999999999E-4</v>
      </c>
      <c r="S52" s="204">
        <f>Source!I262</f>
        <v>7.5350000000000005E-4</v>
      </c>
      <c r="T52" s="204">
        <f>Source!I357</f>
        <v>4.3899999999999999E-4</v>
      </c>
      <c r="U52" s="204">
        <f>Source!I363</f>
        <v>2.9999999999999997E-4</v>
      </c>
      <c r="V52" s="204">
        <f>Source!I387</f>
        <v>1.4959999999999999E-3</v>
      </c>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04"/>
      <c r="EI52" s="204"/>
      <c r="EJ52" s="204"/>
      <c r="EK52" s="204"/>
      <c r="EL52" s="204"/>
      <c r="EM52" s="204"/>
      <c r="EN52" s="204"/>
      <c r="EO52" s="204"/>
      <c r="EP52" s="204"/>
      <c r="EQ52" s="204"/>
      <c r="ER52" s="204"/>
      <c r="ES52" s="204"/>
      <c r="ET52" s="204"/>
      <c r="EU52" s="204"/>
      <c r="EV52" s="204"/>
      <c r="EW52" s="204"/>
      <c r="EX52" s="204"/>
      <c r="EY52" s="204"/>
      <c r="EZ52" s="204"/>
      <c r="FA52" s="204"/>
      <c r="FB52" s="204"/>
      <c r="FC52" s="204"/>
      <c r="FD52" s="204"/>
      <c r="FE52" s="204"/>
      <c r="FF52" s="204"/>
      <c r="FG52" s="204"/>
      <c r="FH52" s="204"/>
      <c r="FI52" s="204"/>
      <c r="FJ52" s="204"/>
      <c r="FK52" s="204"/>
      <c r="FL52" s="204"/>
      <c r="FM52" s="204"/>
      <c r="FN52" s="204"/>
      <c r="FO52" s="204"/>
      <c r="FP52" s="204"/>
      <c r="FQ52" s="204"/>
      <c r="FR52" s="204"/>
      <c r="FS52" s="204"/>
      <c r="FT52" s="204"/>
      <c r="FU52" s="204"/>
      <c r="FV52" s="204"/>
      <c r="FW52" s="204"/>
      <c r="FX52" s="204"/>
      <c r="FY52" s="204"/>
      <c r="FZ52" s="204"/>
      <c r="GA52" s="204"/>
      <c r="GB52" s="204"/>
      <c r="GC52" s="204"/>
      <c r="GD52" s="204"/>
      <c r="GE52" s="204"/>
      <c r="GF52" s="204"/>
      <c r="GG52" s="204"/>
      <c r="GH52" s="204"/>
      <c r="GI52" s="204"/>
      <c r="GJ52" s="204"/>
      <c r="GK52" s="204"/>
      <c r="GL52" s="204"/>
      <c r="GM52" s="204"/>
      <c r="GN52" s="204"/>
      <c r="GO52" s="204"/>
      <c r="GP52" s="204"/>
      <c r="GQ52" s="204"/>
      <c r="GR52" s="204"/>
      <c r="GS52" s="204"/>
      <c r="GT52" s="204"/>
      <c r="GU52" s="204"/>
      <c r="GV52" s="204"/>
      <c r="GW52" s="204"/>
      <c r="GX52" s="204"/>
      <c r="GY52" s="204"/>
      <c r="GZ52" s="204"/>
      <c r="HA52" s="204"/>
      <c r="HB52" s="204"/>
      <c r="HC52" s="204"/>
      <c r="HD52" s="204"/>
      <c r="HE52" s="204"/>
      <c r="HF52" s="204"/>
      <c r="HG52" s="204"/>
      <c r="HH52" s="204"/>
      <c r="HI52" s="204"/>
      <c r="HJ52" s="204"/>
      <c r="HK52" s="204"/>
      <c r="HL52" s="204"/>
      <c r="HM52" s="204"/>
      <c r="HN52" s="204"/>
      <c r="HO52" s="204"/>
      <c r="HP52" s="204"/>
      <c r="HQ52" s="204"/>
      <c r="HR52" s="204"/>
      <c r="HS52" s="204"/>
      <c r="HT52" s="204"/>
      <c r="HU52" s="204"/>
      <c r="HV52" s="204"/>
      <c r="HW52" s="204"/>
      <c r="HX52" s="204"/>
      <c r="HY52" s="204"/>
      <c r="HZ52" s="204"/>
      <c r="IA52" s="204"/>
      <c r="IB52" s="204"/>
      <c r="IC52" s="204"/>
      <c r="ID52" s="204"/>
      <c r="IE52" s="204"/>
      <c r="IF52" s="204"/>
      <c r="IG52" s="204"/>
      <c r="IH52" s="204"/>
      <c r="II52" s="204"/>
      <c r="IJ52" s="204"/>
      <c r="IK52" s="204"/>
      <c r="IL52" s="204"/>
      <c r="IM52" s="204"/>
      <c r="IN52" s="204"/>
      <c r="IO52" s="204"/>
      <c r="IP52" s="204"/>
      <c r="IQ52" s="204"/>
      <c r="IR52" s="204"/>
      <c r="IS52" s="204"/>
      <c r="IT52" s="204"/>
      <c r="IU52" s="204"/>
    </row>
    <row r="53" spans="1:255" s="43" customFormat="1" ht="36" x14ac:dyDescent="0.2">
      <c r="A53" s="211">
        <v>35</v>
      </c>
      <c r="B53" s="212" t="s">
        <v>438</v>
      </c>
      <c r="C53" s="212" t="s">
        <v>439</v>
      </c>
      <c r="D53" s="212" t="s">
        <v>33</v>
      </c>
      <c r="E53" s="213">
        <f t="shared" si="3"/>
        <v>1.35755</v>
      </c>
      <c r="F53" s="214">
        <f>ROUND( 15032.27 * 7.56, 2 )</f>
        <v>113643.96</v>
      </c>
      <c r="G53" s="214">
        <f t="shared" si="4"/>
        <v>154277.35999999999</v>
      </c>
      <c r="H53" s="215" t="s">
        <v>1066</v>
      </c>
      <c r="I53" s="215" t="s">
        <v>1034</v>
      </c>
      <c r="N53" s="204"/>
      <c r="O53" s="204">
        <f t="shared" si="5"/>
        <v>1.35755</v>
      </c>
      <c r="P53" s="204">
        <f>Source!I329</f>
        <v>2.3E-3</v>
      </c>
      <c r="Q53" s="204">
        <f>Source!I335</f>
        <v>1.3552500000000001</v>
      </c>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04"/>
      <c r="EI53" s="204"/>
      <c r="EJ53" s="204"/>
      <c r="EK53" s="204"/>
      <c r="EL53" s="204"/>
      <c r="EM53" s="204"/>
      <c r="EN53" s="204"/>
      <c r="EO53" s="204"/>
      <c r="EP53" s="204"/>
      <c r="EQ53" s="204"/>
      <c r="ER53" s="204"/>
      <c r="ES53" s="204"/>
      <c r="ET53" s="204"/>
      <c r="EU53" s="204"/>
      <c r="EV53" s="204"/>
      <c r="EW53" s="204"/>
      <c r="EX53" s="204"/>
      <c r="EY53" s="204"/>
      <c r="EZ53" s="204"/>
      <c r="FA53" s="204"/>
      <c r="FB53" s="204"/>
      <c r="FC53" s="204"/>
      <c r="FD53" s="204"/>
      <c r="FE53" s="204"/>
      <c r="FF53" s="204"/>
      <c r="FG53" s="204"/>
      <c r="FH53" s="204"/>
      <c r="FI53" s="204"/>
      <c r="FJ53" s="204"/>
      <c r="FK53" s="204"/>
      <c r="FL53" s="204"/>
      <c r="FM53" s="204"/>
      <c r="FN53" s="204"/>
      <c r="FO53" s="204"/>
      <c r="FP53" s="204"/>
      <c r="FQ53" s="204"/>
      <c r="FR53" s="204"/>
      <c r="FS53" s="204"/>
      <c r="FT53" s="204"/>
      <c r="FU53" s="204"/>
      <c r="FV53" s="204"/>
      <c r="FW53" s="204"/>
      <c r="FX53" s="204"/>
      <c r="FY53" s="204"/>
      <c r="FZ53" s="204"/>
      <c r="GA53" s="204"/>
      <c r="GB53" s="204"/>
      <c r="GC53" s="204"/>
      <c r="GD53" s="204"/>
      <c r="GE53" s="204"/>
      <c r="GF53" s="204"/>
      <c r="GG53" s="204"/>
      <c r="GH53" s="204"/>
      <c r="GI53" s="204"/>
      <c r="GJ53" s="204"/>
      <c r="GK53" s="204"/>
      <c r="GL53" s="204"/>
      <c r="GM53" s="204"/>
      <c r="GN53" s="204"/>
      <c r="GO53" s="204"/>
      <c r="GP53" s="204"/>
      <c r="GQ53" s="204"/>
      <c r="GR53" s="204"/>
      <c r="GS53" s="204"/>
      <c r="GT53" s="204"/>
      <c r="GU53" s="204"/>
      <c r="GV53" s="204"/>
      <c r="GW53" s="204"/>
      <c r="GX53" s="204"/>
      <c r="GY53" s="204"/>
      <c r="GZ53" s="204"/>
      <c r="HA53" s="204"/>
      <c r="HB53" s="204"/>
      <c r="HC53" s="204"/>
      <c r="HD53" s="204"/>
      <c r="HE53" s="204"/>
      <c r="HF53" s="204"/>
      <c r="HG53" s="204"/>
      <c r="HH53" s="204"/>
      <c r="HI53" s="204"/>
      <c r="HJ53" s="204"/>
      <c r="HK53" s="204"/>
      <c r="HL53" s="204"/>
      <c r="HM53" s="204"/>
      <c r="HN53" s="204"/>
      <c r="HO53" s="204"/>
      <c r="HP53" s="204"/>
      <c r="HQ53" s="204"/>
      <c r="HR53" s="204"/>
      <c r="HS53" s="204"/>
      <c r="HT53" s="204"/>
      <c r="HU53" s="204"/>
      <c r="HV53" s="204"/>
      <c r="HW53" s="204"/>
      <c r="HX53" s="204"/>
      <c r="HY53" s="204"/>
      <c r="HZ53" s="204"/>
      <c r="IA53" s="204"/>
      <c r="IB53" s="204"/>
      <c r="IC53" s="204"/>
      <c r="ID53" s="204"/>
      <c r="IE53" s="204"/>
      <c r="IF53" s="204"/>
      <c r="IG53" s="204"/>
      <c r="IH53" s="204"/>
      <c r="II53" s="204"/>
      <c r="IJ53" s="204"/>
      <c r="IK53" s="204"/>
      <c r="IL53" s="204"/>
      <c r="IM53" s="204"/>
      <c r="IN53" s="204"/>
      <c r="IO53" s="204"/>
      <c r="IP53" s="204"/>
      <c r="IQ53" s="204"/>
      <c r="IR53" s="204"/>
      <c r="IS53" s="204"/>
      <c r="IT53" s="204"/>
      <c r="IU53" s="204"/>
    </row>
    <row r="54" spans="1:255" s="43" customFormat="1" ht="36" x14ac:dyDescent="0.2">
      <c r="A54" s="211">
        <v>36</v>
      </c>
      <c r="B54" s="212" t="s">
        <v>438</v>
      </c>
      <c r="C54" s="212" t="s">
        <v>453</v>
      </c>
      <c r="D54" s="212" t="s">
        <v>33</v>
      </c>
      <c r="E54" s="213">
        <f t="shared" si="3"/>
        <v>2.775E-2</v>
      </c>
      <c r="F54" s="214">
        <f>ROUND( 15032.27 * 7.56, 2 )</f>
        <v>113643.96</v>
      </c>
      <c r="G54" s="214">
        <f t="shared" si="4"/>
        <v>3153.62</v>
      </c>
      <c r="H54" s="215" t="s">
        <v>1066</v>
      </c>
      <c r="I54" s="215" t="s">
        <v>1034</v>
      </c>
      <c r="N54" s="204"/>
      <c r="O54" s="204">
        <f t="shared" si="5"/>
        <v>2.775E-2</v>
      </c>
      <c r="P54" s="204">
        <f>Source!I337</f>
        <v>2.775E-2</v>
      </c>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04"/>
      <c r="EI54" s="204"/>
      <c r="EJ54" s="204"/>
      <c r="EK54" s="204"/>
      <c r="EL54" s="204"/>
      <c r="EM54" s="204"/>
      <c r="EN54" s="204"/>
      <c r="EO54" s="204"/>
      <c r="EP54" s="204"/>
      <c r="EQ54" s="204"/>
      <c r="ER54" s="204"/>
      <c r="ES54" s="204"/>
      <c r="ET54" s="204"/>
      <c r="EU54" s="204"/>
      <c r="EV54" s="204"/>
      <c r="EW54" s="204"/>
      <c r="EX54" s="204"/>
      <c r="EY54" s="204"/>
      <c r="EZ54" s="204"/>
      <c r="FA54" s="204"/>
      <c r="FB54" s="204"/>
      <c r="FC54" s="204"/>
      <c r="FD54" s="204"/>
      <c r="FE54" s="204"/>
      <c r="FF54" s="204"/>
      <c r="FG54" s="204"/>
      <c r="FH54" s="204"/>
      <c r="FI54" s="204"/>
      <c r="FJ54" s="204"/>
      <c r="FK54" s="204"/>
      <c r="FL54" s="204"/>
      <c r="FM54" s="204"/>
      <c r="FN54" s="204"/>
      <c r="FO54" s="204"/>
      <c r="FP54" s="204"/>
      <c r="FQ54" s="204"/>
      <c r="FR54" s="204"/>
      <c r="FS54" s="204"/>
      <c r="FT54" s="204"/>
      <c r="FU54" s="204"/>
      <c r="FV54" s="204"/>
      <c r="FW54" s="204"/>
      <c r="FX54" s="204"/>
      <c r="FY54" s="204"/>
      <c r="FZ54" s="204"/>
      <c r="GA54" s="204"/>
      <c r="GB54" s="204"/>
      <c r="GC54" s="204"/>
      <c r="GD54" s="204"/>
      <c r="GE54" s="204"/>
      <c r="GF54" s="204"/>
      <c r="GG54" s="204"/>
      <c r="GH54" s="204"/>
      <c r="GI54" s="204"/>
      <c r="GJ54" s="204"/>
      <c r="GK54" s="204"/>
      <c r="GL54" s="204"/>
      <c r="GM54" s="204"/>
      <c r="GN54" s="204"/>
      <c r="GO54" s="204"/>
      <c r="GP54" s="204"/>
      <c r="GQ54" s="204"/>
      <c r="GR54" s="204"/>
      <c r="GS54" s="204"/>
      <c r="GT54" s="204"/>
      <c r="GU54" s="204"/>
      <c r="GV54" s="204"/>
      <c r="GW54" s="204"/>
      <c r="GX54" s="204"/>
      <c r="GY54" s="204"/>
      <c r="GZ54" s="204"/>
      <c r="HA54" s="204"/>
      <c r="HB54" s="204"/>
      <c r="HC54" s="204"/>
      <c r="HD54" s="204"/>
      <c r="HE54" s="204"/>
      <c r="HF54" s="204"/>
      <c r="HG54" s="204"/>
      <c r="HH54" s="204"/>
      <c r="HI54" s="204"/>
      <c r="HJ54" s="204"/>
      <c r="HK54" s="204"/>
      <c r="HL54" s="204"/>
      <c r="HM54" s="204"/>
      <c r="HN54" s="204"/>
      <c r="HO54" s="204"/>
      <c r="HP54" s="204"/>
      <c r="HQ54" s="204"/>
      <c r="HR54" s="204"/>
      <c r="HS54" s="204"/>
      <c r="HT54" s="204"/>
      <c r="HU54" s="204"/>
      <c r="HV54" s="204"/>
      <c r="HW54" s="204"/>
      <c r="HX54" s="204"/>
      <c r="HY54" s="204"/>
      <c r="HZ54" s="204"/>
      <c r="IA54" s="204"/>
      <c r="IB54" s="204"/>
      <c r="IC54" s="204"/>
      <c r="ID54" s="204"/>
      <c r="IE54" s="204"/>
      <c r="IF54" s="204"/>
      <c r="IG54" s="204"/>
      <c r="IH54" s="204"/>
      <c r="II54" s="204"/>
      <c r="IJ54" s="204"/>
      <c r="IK54" s="204"/>
      <c r="IL54" s="204"/>
      <c r="IM54" s="204"/>
      <c r="IN54" s="204"/>
      <c r="IO54" s="204"/>
      <c r="IP54" s="204"/>
      <c r="IQ54" s="204"/>
      <c r="IR54" s="204"/>
      <c r="IS54" s="204"/>
      <c r="IT54" s="204"/>
      <c r="IU54" s="204"/>
    </row>
    <row r="55" spans="1:255" s="43" customFormat="1" ht="24" x14ac:dyDescent="0.2">
      <c r="A55" s="211">
        <v>37</v>
      </c>
      <c r="B55" s="212" t="s">
        <v>321</v>
      </c>
      <c r="C55" s="212" t="s">
        <v>328</v>
      </c>
      <c r="D55" s="212" t="s">
        <v>323</v>
      </c>
      <c r="E55" s="213">
        <f t="shared" si="3"/>
        <v>123.5</v>
      </c>
      <c r="F55" s="214">
        <f>ROUND( 4.25 * 7.56, 2 )</f>
        <v>32.130000000000003</v>
      </c>
      <c r="G55" s="214">
        <f t="shared" si="4"/>
        <v>3968.06</v>
      </c>
      <c r="H55" s="215" t="s">
        <v>1054</v>
      </c>
      <c r="I55" s="215" t="s">
        <v>1034</v>
      </c>
      <c r="N55" s="204"/>
      <c r="O55" s="204">
        <f t="shared" si="5"/>
        <v>123.5</v>
      </c>
      <c r="P55" s="204">
        <f>Source!I234</f>
        <v>68.5</v>
      </c>
      <c r="Q55" s="204">
        <f>Source!I246</f>
        <v>18</v>
      </c>
      <c r="R55" s="204">
        <f>Source!I391</f>
        <v>37</v>
      </c>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04"/>
      <c r="EI55" s="204"/>
      <c r="EJ55" s="204"/>
      <c r="EK55" s="204"/>
      <c r="EL55" s="204"/>
      <c r="EM55" s="204"/>
      <c r="EN55" s="204"/>
      <c r="EO55" s="204"/>
      <c r="EP55" s="204"/>
      <c r="EQ55" s="204"/>
      <c r="ER55" s="204"/>
      <c r="ES55" s="204"/>
      <c r="ET55" s="204"/>
      <c r="EU55" s="204"/>
      <c r="EV55" s="204"/>
      <c r="EW55" s="204"/>
      <c r="EX55" s="204"/>
      <c r="EY55" s="204"/>
      <c r="EZ55" s="204"/>
      <c r="FA55" s="204"/>
      <c r="FB55" s="204"/>
      <c r="FC55" s="204"/>
      <c r="FD55" s="204"/>
      <c r="FE55" s="204"/>
      <c r="FF55" s="204"/>
      <c r="FG55" s="204"/>
      <c r="FH55" s="204"/>
      <c r="FI55" s="204"/>
      <c r="FJ55" s="204"/>
      <c r="FK55" s="204"/>
      <c r="FL55" s="204"/>
      <c r="FM55" s="204"/>
      <c r="FN55" s="204"/>
      <c r="FO55" s="204"/>
      <c r="FP55" s="204"/>
      <c r="FQ55" s="204"/>
      <c r="FR55" s="204"/>
      <c r="FS55" s="204"/>
      <c r="FT55" s="204"/>
      <c r="FU55" s="204"/>
      <c r="FV55" s="204"/>
      <c r="FW55" s="204"/>
      <c r="FX55" s="204"/>
      <c r="FY55" s="204"/>
      <c r="FZ55" s="204"/>
      <c r="GA55" s="204"/>
      <c r="GB55" s="204"/>
      <c r="GC55" s="204"/>
      <c r="GD55" s="204"/>
      <c r="GE55" s="204"/>
      <c r="GF55" s="204"/>
      <c r="GG55" s="204"/>
      <c r="GH55" s="204"/>
      <c r="GI55" s="204"/>
      <c r="GJ55" s="204"/>
      <c r="GK55" s="204"/>
      <c r="GL55" s="204"/>
      <c r="GM55" s="204"/>
      <c r="GN55" s="204"/>
      <c r="GO55" s="204"/>
      <c r="GP55" s="204"/>
      <c r="GQ55" s="204"/>
      <c r="GR55" s="204"/>
      <c r="GS55" s="204"/>
      <c r="GT55" s="204"/>
      <c r="GU55" s="204"/>
      <c r="GV55" s="204"/>
      <c r="GW55" s="204"/>
      <c r="GX55" s="204"/>
      <c r="GY55" s="204"/>
      <c r="GZ55" s="204"/>
      <c r="HA55" s="204"/>
      <c r="HB55" s="204"/>
      <c r="HC55" s="204"/>
      <c r="HD55" s="204"/>
      <c r="HE55" s="204"/>
      <c r="HF55" s="204"/>
      <c r="HG55" s="204"/>
      <c r="HH55" s="204"/>
      <c r="HI55" s="204"/>
      <c r="HJ55" s="204"/>
      <c r="HK55" s="204"/>
      <c r="HL55" s="204"/>
      <c r="HM55" s="204"/>
      <c r="HN55" s="204"/>
      <c r="HO55" s="204"/>
      <c r="HP55" s="204"/>
      <c r="HQ55" s="204"/>
      <c r="HR55" s="204"/>
      <c r="HS55" s="204"/>
      <c r="HT55" s="204"/>
      <c r="HU55" s="204"/>
      <c r="HV55" s="204"/>
      <c r="HW55" s="204"/>
      <c r="HX55" s="204"/>
      <c r="HY55" s="204"/>
      <c r="HZ55" s="204"/>
      <c r="IA55" s="204"/>
      <c r="IB55" s="204"/>
      <c r="IC55" s="204"/>
      <c r="ID55" s="204"/>
      <c r="IE55" s="204"/>
      <c r="IF55" s="204"/>
      <c r="IG55" s="204"/>
      <c r="IH55" s="204"/>
      <c r="II55" s="204"/>
      <c r="IJ55" s="204"/>
      <c r="IK55" s="204"/>
      <c r="IL55" s="204"/>
      <c r="IM55" s="204"/>
      <c r="IN55" s="204"/>
      <c r="IO55" s="204"/>
      <c r="IP55" s="204"/>
      <c r="IQ55" s="204"/>
      <c r="IR55" s="204"/>
      <c r="IS55" s="204"/>
      <c r="IT55" s="204"/>
      <c r="IU55" s="204"/>
    </row>
    <row r="56" spans="1:255" s="43" customFormat="1" ht="24" x14ac:dyDescent="0.2">
      <c r="A56" s="211">
        <v>38</v>
      </c>
      <c r="B56" s="212" t="s">
        <v>321</v>
      </c>
      <c r="C56" s="212" t="s">
        <v>528</v>
      </c>
      <c r="D56" s="212" t="s">
        <v>323</v>
      </c>
      <c r="E56" s="213">
        <f t="shared" si="3"/>
        <v>28</v>
      </c>
      <c r="F56" s="214">
        <f>ROUND( 3.53 * 7.56, 2 )</f>
        <v>26.69</v>
      </c>
      <c r="G56" s="214">
        <f t="shared" si="4"/>
        <v>747.32</v>
      </c>
      <c r="H56" s="215" t="s">
        <v>1053</v>
      </c>
      <c r="I56" s="215" t="s">
        <v>1034</v>
      </c>
      <c r="N56" s="204"/>
      <c r="O56" s="204">
        <f t="shared" si="5"/>
        <v>28</v>
      </c>
      <c r="P56" s="204">
        <f>Source!I389</f>
        <v>28</v>
      </c>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204"/>
      <c r="FH56" s="204"/>
      <c r="FI56" s="204"/>
      <c r="FJ56" s="204"/>
      <c r="FK56" s="204"/>
      <c r="FL56" s="204"/>
      <c r="FM56" s="204"/>
      <c r="FN56" s="204"/>
      <c r="FO56" s="204"/>
      <c r="FP56" s="204"/>
      <c r="FQ56" s="204"/>
      <c r="FR56" s="204"/>
      <c r="FS56" s="204"/>
      <c r="FT56" s="204"/>
      <c r="FU56" s="204"/>
      <c r="FV56" s="204"/>
      <c r="FW56" s="204"/>
      <c r="FX56" s="204"/>
      <c r="FY56" s="204"/>
      <c r="FZ56" s="204"/>
      <c r="GA56" s="204"/>
      <c r="GB56" s="204"/>
      <c r="GC56" s="204"/>
      <c r="GD56" s="204"/>
      <c r="GE56" s="204"/>
      <c r="GF56" s="204"/>
      <c r="GG56" s="204"/>
      <c r="GH56" s="204"/>
      <c r="GI56" s="204"/>
      <c r="GJ56" s="204"/>
      <c r="GK56" s="204"/>
      <c r="GL56" s="204"/>
      <c r="GM56" s="204"/>
      <c r="GN56" s="204"/>
      <c r="GO56" s="204"/>
      <c r="GP56" s="204"/>
      <c r="GQ56" s="204"/>
      <c r="GR56" s="204"/>
      <c r="GS56" s="204"/>
      <c r="GT56" s="204"/>
      <c r="GU56" s="204"/>
      <c r="GV56" s="204"/>
      <c r="GW56" s="204"/>
      <c r="GX56" s="204"/>
      <c r="GY56" s="204"/>
      <c r="GZ56" s="204"/>
      <c r="HA56" s="204"/>
      <c r="HB56" s="204"/>
      <c r="HC56" s="204"/>
      <c r="HD56" s="204"/>
      <c r="HE56" s="204"/>
      <c r="HF56" s="204"/>
      <c r="HG56" s="204"/>
      <c r="HH56" s="204"/>
      <c r="HI56" s="204"/>
      <c r="HJ56" s="204"/>
      <c r="HK56" s="204"/>
      <c r="HL56" s="204"/>
      <c r="HM56" s="204"/>
      <c r="HN56" s="204"/>
      <c r="HO56" s="204"/>
      <c r="HP56" s="204"/>
      <c r="HQ56" s="204"/>
      <c r="HR56" s="204"/>
      <c r="HS56" s="204"/>
      <c r="HT56" s="204"/>
      <c r="HU56" s="204"/>
      <c r="HV56" s="204"/>
      <c r="HW56" s="204"/>
      <c r="HX56" s="204"/>
      <c r="HY56" s="204"/>
      <c r="HZ56" s="204"/>
      <c r="IA56" s="204"/>
      <c r="IB56" s="204"/>
      <c r="IC56" s="204"/>
      <c r="ID56" s="204"/>
      <c r="IE56" s="204"/>
      <c r="IF56" s="204"/>
      <c r="IG56" s="204"/>
      <c r="IH56" s="204"/>
      <c r="II56" s="204"/>
      <c r="IJ56" s="204"/>
      <c r="IK56" s="204"/>
      <c r="IL56" s="204"/>
      <c r="IM56" s="204"/>
      <c r="IN56" s="204"/>
      <c r="IO56" s="204"/>
      <c r="IP56" s="204"/>
      <c r="IQ56" s="204"/>
      <c r="IR56" s="204"/>
      <c r="IS56" s="204"/>
      <c r="IT56" s="204"/>
      <c r="IU56" s="204"/>
    </row>
    <row r="57" spans="1:255" s="43" customFormat="1" ht="24" x14ac:dyDescent="0.2">
      <c r="A57" s="211">
        <v>39</v>
      </c>
      <c r="B57" s="212" t="s">
        <v>321</v>
      </c>
      <c r="C57" s="212" t="s">
        <v>322</v>
      </c>
      <c r="D57" s="212" t="s">
        <v>323</v>
      </c>
      <c r="E57" s="213">
        <f t="shared" si="3"/>
        <v>72</v>
      </c>
      <c r="F57" s="214">
        <f>ROUND( 3.53 * 7.56, 2 )</f>
        <v>26.69</v>
      </c>
      <c r="G57" s="214">
        <f t="shared" si="4"/>
        <v>1921.68</v>
      </c>
      <c r="H57" s="215" t="s">
        <v>1053</v>
      </c>
      <c r="I57" s="215" t="s">
        <v>1034</v>
      </c>
      <c r="N57" s="204"/>
      <c r="O57" s="204">
        <f t="shared" si="5"/>
        <v>72</v>
      </c>
      <c r="P57" s="204">
        <f>Source!I232</f>
        <v>57</v>
      </c>
      <c r="Q57" s="204">
        <f>Source!I244</f>
        <v>15</v>
      </c>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04"/>
      <c r="EI57" s="204"/>
      <c r="EJ57" s="204"/>
      <c r="EK57" s="204"/>
      <c r="EL57" s="204"/>
      <c r="EM57" s="204"/>
      <c r="EN57" s="204"/>
      <c r="EO57" s="204"/>
      <c r="EP57" s="204"/>
      <c r="EQ57" s="204"/>
      <c r="ER57" s="204"/>
      <c r="ES57" s="204"/>
      <c r="ET57" s="204"/>
      <c r="EU57" s="204"/>
      <c r="EV57" s="204"/>
      <c r="EW57" s="204"/>
      <c r="EX57" s="204"/>
      <c r="EY57" s="204"/>
      <c r="EZ57" s="204"/>
      <c r="FA57" s="204"/>
      <c r="FB57" s="204"/>
      <c r="FC57" s="204"/>
      <c r="FD57" s="204"/>
      <c r="FE57" s="204"/>
      <c r="FF57" s="204"/>
      <c r="FG57" s="204"/>
      <c r="FH57" s="204"/>
      <c r="FI57" s="204"/>
      <c r="FJ57" s="204"/>
      <c r="FK57" s="204"/>
      <c r="FL57" s="204"/>
      <c r="FM57" s="204"/>
      <c r="FN57" s="204"/>
      <c r="FO57" s="204"/>
      <c r="FP57" s="204"/>
      <c r="FQ57" s="204"/>
      <c r="FR57" s="204"/>
      <c r="FS57" s="204"/>
      <c r="FT57" s="204"/>
      <c r="FU57" s="204"/>
      <c r="FV57" s="204"/>
      <c r="FW57" s="204"/>
      <c r="FX57" s="204"/>
      <c r="FY57" s="204"/>
      <c r="FZ57" s="204"/>
      <c r="GA57" s="204"/>
      <c r="GB57" s="204"/>
      <c r="GC57" s="204"/>
      <c r="GD57" s="204"/>
      <c r="GE57" s="204"/>
      <c r="GF57" s="204"/>
      <c r="GG57" s="204"/>
      <c r="GH57" s="204"/>
      <c r="GI57" s="204"/>
      <c r="GJ57" s="204"/>
      <c r="GK57" s="204"/>
      <c r="GL57" s="204"/>
      <c r="GM57" s="204"/>
      <c r="GN57" s="204"/>
      <c r="GO57" s="204"/>
      <c r="GP57" s="204"/>
      <c r="GQ57" s="204"/>
      <c r="GR57" s="204"/>
      <c r="GS57" s="204"/>
      <c r="GT57" s="204"/>
      <c r="GU57" s="204"/>
      <c r="GV57" s="204"/>
      <c r="GW57" s="204"/>
      <c r="GX57" s="204"/>
      <c r="GY57" s="204"/>
      <c r="GZ57" s="204"/>
      <c r="HA57" s="204"/>
      <c r="HB57" s="204"/>
      <c r="HC57" s="204"/>
      <c r="HD57" s="204"/>
      <c r="HE57" s="204"/>
      <c r="HF57" s="204"/>
      <c r="HG57" s="204"/>
      <c r="HH57" s="204"/>
      <c r="HI57" s="204"/>
      <c r="HJ57" s="204"/>
      <c r="HK57" s="204"/>
      <c r="HL57" s="204"/>
      <c r="HM57" s="204"/>
      <c r="HN57" s="204"/>
      <c r="HO57" s="204"/>
      <c r="HP57" s="204"/>
      <c r="HQ57" s="204"/>
      <c r="HR57" s="204"/>
      <c r="HS57" s="204"/>
      <c r="HT57" s="204"/>
      <c r="HU57" s="204"/>
      <c r="HV57" s="204"/>
      <c r="HW57" s="204"/>
      <c r="HX57" s="204"/>
      <c r="HY57" s="204"/>
      <c r="HZ57" s="204"/>
      <c r="IA57" s="204"/>
      <c r="IB57" s="204"/>
      <c r="IC57" s="204"/>
      <c r="ID57" s="204"/>
      <c r="IE57" s="204"/>
      <c r="IF57" s="204"/>
      <c r="IG57" s="204"/>
      <c r="IH57" s="204"/>
      <c r="II57" s="204"/>
      <c r="IJ57" s="204"/>
      <c r="IK57" s="204"/>
      <c r="IL57" s="204"/>
      <c r="IM57" s="204"/>
      <c r="IN57" s="204"/>
      <c r="IO57" s="204"/>
      <c r="IP57" s="204"/>
      <c r="IQ57" s="204"/>
      <c r="IR57" s="204"/>
      <c r="IS57" s="204"/>
      <c r="IT57" s="204"/>
      <c r="IU57" s="204"/>
    </row>
    <row r="58" spans="1:255" s="43" customFormat="1" ht="24" x14ac:dyDescent="0.2">
      <c r="A58" s="211">
        <v>40</v>
      </c>
      <c r="B58" s="212" t="s">
        <v>506</v>
      </c>
      <c r="C58" s="212" t="s">
        <v>507</v>
      </c>
      <c r="D58" s="212" t="s">
        <v>33</v>
      </c>
      <c r="E58" s="213">
        <f t="shared" si="3"/>
        <v>4.0750000000000001E-2</v>
      </c>
      <c r="F58" s="214">
        <f>ROUND( 17221.71 * 7.56, 2 )</f>
        <v>130196.13</v>
      </c>
      <c r="G58" s="214">
        <f t="shared" si="4"/>
        <v>5305.49</v>
      </c>
      <c r="H58" s="215" t="s">
        <v>1074</v>
      </c>
      <c r="I58" s="215" t="s">
        <v>1034</v>
      </c>
      <c r="N58" s="204"/>
      <c r="O58" s="204">
        <f t="shared" si="5"/>
        <v>4.0750000000000001E-2</v>
      </c>
      <c r="P58" s="204">
        <f>Source!I373</f>
        <v>4.0750000000000001E-2</v>
      </c>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04"/>
      <c r="EI58" s="204"/>
      <c r="EJ58" s="204"/>
      <c r="EK58" s="204"/>
      <c r="EL58" s="204"/>
      <c r="EM58" s="204"/>
      <c r="EN58" s="204"/>
      <c r="EO58" s="204"/>
      <c r="EP58" s="204"/>
      <c r="EQ58" s="204"/>
      <c r="ER58" s="204"/>
      <c r="ES58" s="204"/>
      <c r="ET58" s="204"/>
      <c r="EU58" s="204"/>
      <c r="EV58" s="204"/>
      <c r="EW58" s="204"/>
      <c r="EX58" s="204"/>
      <c r="EY58" s="204"/>
      <c r="EZ58" s="204"/>
      <c r="FA58" s="204"/>
      <c r="FB58" s="204"/>
      <c r="FC58" s="204"/>
      <c r="FD58" s="204"/>
      <c r="FE58" s="204"/>
      <c r="FF58" s="204"/>
      <c r="FG58" s="204"/>
      <c r="FH58" s="204"/>
      <c r="FI58" s="204"/>
      <c r="FJ58" s="204"/>
      <c r="FK58" s="204"/>
      <c r="FL58" s="204"/>
      <c r="FM58" s="204"/>
      <c r="FN58" s="204"/>
      <c r="FO58" s="204"/>
      <c r="FP58" s="204"/>
      <c r="FQ58" s="204"/>
      <c r="FR58" s="204"/>
      <c r="FS58" s="204"/>
      <c r="FT58" s="204"/>
      <c r="FU58" s="204"/>
      <c r="FV58" s="204"/>
      <c r="FW58" s="204"/>
      <c r="FX58" s="204"/>
      <c r="FY58" s="204"/>
      <c r="FZ58" s="204"/>
      <c r="GA58" s="204"/>
      <c r="GB58" s="204"/>
      <c r="GC58" s="204"/>
      <c r="GD58" s="204"/>
      <c r="GE58" s="204"/>
      <c r="GF58" s="204"/>
      <c r="GG58" s="204"/>
      <c r="GH58" s="204"/>
      <c r="GI58" s="204"/>
      <c r="GJ58" s="204"/>
      <c r="GK58" s="204"/>
      <c r="GL58" s="204"/>
      <c r="GM58" s="204"/>
      <c r="GN58" s="204"/>
      <c r="GO58" s="204"/>
      <c r="GP58" s="204"/>
      <c r="GQ58" s="204"/>
      <c r="GR58" s="204"/>
      <c r="GS58" s="204"/>
      <c r="GT58" s="204"/>
      <c r="GU58" s="204"/>
      <c r="GV58" s="204"/>
      <c r="GW58" s="204"/>
      <c r="GX58" s="204"/>
      <c r="GY58" s="204"/>
      <c r="GZ58" s="204"/>
      <c r="HA58" s="204"/>
      <c r="HB58" s="204"/>
      <c r="HC58" s="204"/>
      <c r="HD58" s="204"/>
      <c r="HE58" s="204"/>
      <c r="HF58" s="204"/>
      <c r="HG58" s="204"/>
      <c r="HH58" s="204"/>
      <c r="HI58" s="204"/>
      <c r="HJ58" s="204"/>
      <c r="HK58" s="204"/>
      <c r="HL58" s="204"/>
      <c r="HM58" s="204"/>
      <c r="HN58" s="204"/>
      <c r="HO58" s="204"/>
      <c r="HP58" s="204"/>
      <c r="HQ58" s="204"/>
      <c r="HR58" s="204"/>
      <c r="HS58" s="204"/>
      <c r="HT58" s="204"/>
      <c r="HU58" s="204"/>
      <c r="HV58" s="204"/>
      <c r="HW58" s="204"/>
      <c r="HX58" s="204"/>
      <c r="HY58" s="204"/>
      <c r="HZ58" s="204"/>
      <c r="IA58" s="204"/>
      <c r="IB58" s="204"/>
      <c r="IC58" s="204"/>
      <c r="ID58" s="204"/>
      <c r="IE58" s="204"/>
      <c r="IF58" s="204"/>
      <c r="IG58" s="204"/>
      <c r="IH58" s="204"/>
      <c r="II58" s="204"/>
      <c r="IJ58" s="204"/>
      <c r="IK58" s="204"/>
      <c r="IL58" s="204"/>
      <c r="IM58" s="204"/>
      <c r="IN58" s="204"/>
      <c r="IO58" s="204"/>
      <c r="IP58" s="204"/>
      <c r="IQ58" s="204"/>
      <c r="IR58" s="204"/>
      <c r="IS58" s="204"/>
      <c r="IT58" s="204"/>
      <c r="IU58" s="204"/>
    </row>
    <row r="59" spans="1:255" s="43" customFormat="1" ht="24" x14ac:dyDescent="0.2">
      <c r="A59" s="211">
        <v>41</v>
      </c>
      <c r="B59" s="212" t="s">
        <v>337</v>
      </c>
      <c r="C59" s="212" t="s">
        <v>338</v>
      </c>
      <c r="D59" s="212" t="s">
        <v>44</v>
      </c>
      <c r="E59" s="213">
        <f t="shared" si="3"/>
        <v>3.3408E-2</v>
      </c>
      <c r="F59" s="214">
        <f>ROUND( 691.67 * 7.56, 2 )</f>
        <v>5229.03</v>
      </c>
      <c r="G59" s="214">
        <f t="shared" si="4"/>
        <v>174.69</v>
      </c>
      <c r="H59" s="215" t="s">
        <v>1056</v>
      </c>
      <c r="I59" s="215" t="s">
        <v>1034</v>
      </c>
      <c r="N59" s="204"/>
      <c r="O59" s="204">
        <f t="shared" si="5"/>
        <v>3.3408E-2</v>
      </c>
      <c r="P59" s="204">
        <f>Source!I238</f>
        <v>1.5138E-2</v>
      </c>
      <c r="Q59" s="204">
        <f>Source!I250</f>
        <v>3.9899999999999996E-3</v>
      </c>
      <c r="R59" s="204">
        <f>Source!I397</f>
        <v>1.4279999999999999E-2</v>
      </c>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04"/>
      <c r="EI59" s="204"/>
      <c r="EJ59" s="204"/>
      <c r="EK59" s="204"/>
      <c r="EL59" s="204"/>
      <c r="EM59" s="204"/>
      <c r="EN59" s="204"/>
      <c r="EO59" s="204"/>
      <c r="EP59" s="204"/>
      <c r="EQ59" s="204"/>
      <c r="ER59" s="204"/>
      <c r="ES59" s="204"/>
      <c r="ET59" s="204"/>
      <c r="EU59" s="204"/>
      <c r="EV59" s="204"/>
      <c r="EW59" s="204"/>
      <c r="EX59" s="204"/>
      <c r="EY59" s="204"/>
      <c r="EZ59" s="204"/>
      <c r="FA59" s="204"/>
      <c r="FB59" s="204"/>
      <c r="FC59" s="204"/>
      <c r="FD59" s="204"/>
      <c r="FE59" s="204"/>
      <c r="FF59" s="204"/>
      <c r="FG59" s="204"/>
      <c r="FH59" s="204"/>
      <c r="FI59" s="204"/>
      <c r="FJ59" s="204"/>
      <c r="FK59" s="204"/>
      <c r="FL59" s="204"/>
      <c r="FM59" s="204"/>
      <c r="FN59" s="204"/>
      <c r="FO59" s="204"/>
      <c r="FP59" s="204"/>
      <c r="FQ59" s="204"/>
      <c r="FR59" s="204"/>
      <c r="FS59" s="204"/>
      <c r="FT59" s="204"/>
      <c r="FU59" s="204"/>
      <c r="FV59" s="204"/>
      <c r="FW59" s="204"/>
      <c r="FX59" s="204"/>
      <c r="FY59" s="204"/>
      <c r="FZ59" s="204"/>
      <c r="GA59" s="204"/>
      <c r="GB59" s="204"/>
      <c r="GC59" s="204"/>
      <c r="GD59" s="204"/>
      <c r="GE59" s="204"/>
      <c r="GF59" s="204"/>
      <c r="GG59" s="204"/>
      <c r="GH59" s="204"/>
      <c r="GI59" s="204"/>
      <c r="GJ59" s="204"/>
      <c r="GK59" s="204"/>
      <c r="GL59" s="204"/>
      <c r="GM59" s="204"/>
      <c r="GN59" s="204"/>
      <c r="GO59" s="204"/>
      <c r="GP59" s="204"/>
      <c r="GQ59" s="204"/>
      <c r="GR59" s="204"/>
      <c r="GS59" s="204"/>
      <c r="GT59" s="204"/>
      <c r="GU59" s="204"/>
      <c r="GV59" s="204"/>
      <c r="GW59" s="204"/>
      <c r="GX59" s="204"/>
      <c r="GY59" s="204"/>
      <c r="GZ59" s="204"/>
      <c r="HA59" s="204"/>
      <c r="HB59" s="204"/>
      <c r="HC59" s="204"/>
      <c r="HD59" s="204"/>
      <c r="HE59" s="204"/>
      <c r="HF59" s="204"/>
      <c r="HG59" s="204"/>
      <c r="HH59" s="204"/>
      <c r="HI59" s="204"/>
      <c r="HJ59" s="204"/>
      <c r="HK59" s="204"/>
      <c r="HL59" s="204"/>
      <c r="HM59" s="204"/>
      <c r="HN59" s="204"/>
      <c r="HO59" s="204"/>
      <c r="HP59" s="204"/>
      <c r="HQ59" s="204"/>
      <c r="HR59" s="204"/>
      <c r="HS59" s="204"/>
      <c r="HT59" s="204"/>
      <c r="HU59" s="204"/>
      <c r="HV59" s="204"/>
      <c r="HW59" s="204"/>
      <c r="HX59" s="204"/>
      <c r="HY59" s="204"/>
      <c r="HZ59" s="204"/>
      <c r="IA59" s="204"/>
      <c r="IB59" s="204"/>
      <c r="IC59" s="204"/>
      <c r="ID59" s="204"/>
      <c r="IE59" s="204"/>
      <c r="IF59" s="204"/>
      <c r="IG59" s="204"/>
      <c r="IH59" s="204"/>
      <c r="II59" s="204"/>
      <c r="IJ59" s="204"/>
      <c r="IK59" s="204"/>
      <c r="IL59" s="204"/>
      <c r="IM59" s="204"/>
      <c r="IN59" s="204"/>
      <c r="IO59" s="204"/>
      <c r="IP59" s="204"/>
      <c r="IQ59" s="204"/>
      <c r="IR59" s="204"/>
      <c r="IS59" s="204"/>
      <c r="IT59" s="204"/>
      <c r="IU59" s="204"/>
    </row>
    <row r="60" spans="1:255" s="43" customFormat="1" ht="24" x14ac:dyDescent="0.2">
      <c r="A60" s="211">
        <v>42</v>
      </c>
      <c r="B60" s="212" t="s">
        <v>401</v>
      </c>
      <c r="C60" s="212" t="s">
        <v>402</v>
      </c>
      <c r="D60" s="212" t="s">
        <v>33</v>
      </c>
      <c r="E60" s="213" t="e">
        <f t="shared" si="3"/>
        <v>#REF!</v>
      </c>
      <c r="F60" s="214">
        <f>ROUND( 18003.77 * 7.56, 2 )</f>
        <v>136108.5</v>
      </c>
      <c r="G60" s="214" t="e">
        <f t="shared" si="4"/>
        <v>#REF!</v>
      </c>
      <c r="H60" s="215" t="s">
        <v>1062</v>
      </c>
      <c r="I60" s="215" t="s">
        <v>1034</v>
      </c>
      <c r="N60" s="204"/>
      <c r="O60" s="204" t="e">
        <f t="shared" si="5"/>
        <v>#REF!</v>
      </c>
      <c r="P60" s="204" t="e">
        <f>Source!I276</f>
        <v>#REF!</v>
      </c>
      <c r="Q60" s="204" t="e">
        <f>Source!I401</f>
        <v>#REF!</v>
      </c>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c r="IP60" s="204"/>
      <c r="IQ60" s="204"/>
      <c r="IR60" s="204"/>
      <c r="IS60" s="204"/>
      <c r="IT60" s="204"/>
      <c r="IU60" s="204"/>
    </row>
    <row r="61" spans="1:255" s="43" customFormat="1" ht="24" x14ac:dyDescent="0.2">
      <c r="A61" s="211">
        <v>43</v>
      </c>
      <c r="B61" s="212" t="s">
        <v>92</v>
      </c>
      <c r="C61" s="212" t="s">
        <v>93</v>
      </c>
      <c r="D61" s="212" t="s">
        <v>94</v>
      </c>
      <c r="E61" s="213">
        <f t="shared" si="3"/>
        <v>256.11992700000002</v>
      </c>
      <c r="F61" s="214">
        <f>ROUND( 4.28 * 7.56, 2 )</f>
        <v>32.36</v>
      </c>
      <c r="G61" s="214">
        <f t="shared" si="4"/>
        <v>8288.0400000000009</v>
      </c>
      <c r="H61" s="215" t="s">
        <v>1041</v>
      </c>
      <c r="I61" s="215" t="s">
        <v>1034</v>
      </c>
      <c r="N61" s="204"/>
      <c r="O61" s="204">
        <f t="shared" si="5"/>
        <v>256.11992700000002</v>
      </c>
      <c r="P61" s="204">
        <f>Source!I53</f>
        <v>12.28464</v>
      </c>
      <c r="Q61" s="204">
        <f>Source!I73</f>
        <v>23.774550000000001</v>
      </c>
      <c r="R61" s="204">
        <f>Source!I154</f>
        <v>26.673293999999999</v>
      </c>
      <c r="S61" s="204">
        <f>Source!I174</f>
        <v>1.8642479999999999</v>
      </c>
      <c r="T61" s="204">
        <f>Source!I194</f>
        <v>33.544341000000003</v>
      </c>
      <c r="U61" s="204">
        <f>Source!I214</f>
        <v>157.97885400000001</v>
      </c>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04"/>
      <c r="EI61" s="204"/>
      <c r="EJ61" s="204"/>
      <c r="EK61" s="204"/>
      <c r="EL61" s="204"/>
      <c r="EM61" s="204"/>
      <c r="EN61" s="204"/>
      <c r="EO61" s="204"/>
      <c r="EP61" s="204"/>
      <c r="EQ61" s="204"/>
      <c r="ER61" s="204"/>
      <c r="ES61" s="204"/>
      <c r="ET61" s="204"/>
      <c r="EU61" s="204"/>
      <c r="EV61" s="204"/>
      <c r="EW61" s="204"/>
      <c r="EX61" s="204"/>
      <c r="EY61" s="204"/>
      <c r="EZ61" s="204"/>
      <c r="FA61" s="204"/>
      <c r="FB61" s="204"/>
      <c r="FC61" s="204"/>
      <c r="FD61" s="204"/>
      <c r="FE61" s="204"/>
      <c r="FF61" s="204"/>
      <c r="FG61" s="204"/>
      <c r="FH61" s="204"/>
      <c r="FI61" s="204"/>
      <c r="FJ61" s="204"/>
      <c r="FK61" s="204"/>
      <c r="FL61" s="204"/>
      <c r="FM61" s="204"/>
      <c r="FN61" s="204"/>
      <c r="FO61" s="204"/>
      <c r="FP61" s="204"/>
      <c r="FQ61" s="204"/>
      <c r="FR61" s="204"/>
      <c r="FS61" s="204"/>
      <c r="FT61" s="204"/>
      <c r="FU61" s="204"/>
      <c r="FV61" s="204"/>
      <c r="FW61" s="204"/>
      <c r="FX61" s="204"/>
      <c r="FY61" s="204"/>
      <c r="FZ61" s="204"/>
      <c r="GA61" s="204"/>
      <c r="GB61" s="204"/>
      <c r="GC61" s="204"/>
      <c r="GD61" s="204"/>
      <c r="GE61" s="204"/>
      <c r="GF61" s="204"/>
      <c r="GG61" s="204"/>
      <c r="GH61" s="204"/>
      <c r="GI61" s="204"/>
      <c r="GJ61" s="204"/>
      <c r="GK61" s="204"/>
      <c r="GL61" s="204"/>
      <c r="GM61" s="204"/>
      <c r="GN61" s="204"/>
      <c r="GO61" s="204"/>
      <c r="GP61" s="204"/>
      <c r="GQ61" s="204"/>
      <c r="GR61" s="204"/>
      <c r="GS61" s="204"/>
      <c r="GT61" s="204"/>
      <c r="GU61" s="204"/>
      <c r="GV61" s="204"/>
      <c r="GW61" s="204"/>
      <c r="GX61" s="204"/>
      <c r="GY61" s="204"/>
      <c r="GZ61" s="204"/>
      <c r="HA61" s="204"/>
      <c r="HB61" s="204"/>
      <c r="HC61" s="204"/>
      <c r="HD61" s="204"/>
      <c r="HE61" s="204"/>
      <c r="HF61" s="204"/>
      <c r="HG61" s="204"/>
      <c r="HH61" s="204"/>
      <c r="HI61" s="204"/>
      <c r="HJ61" s="204"/>
      <c r="HK61" s="204"/>
      <c r="HL61" s="204"/>
      <c r="HM61" s="204"/>
      <c r="HN61" s="204"/>
      <c r="HO61" s="204"/>
      <c r="HP61" s="204"/>
      <c r="HQ61" s="204"/>
      <c r="HR61" s="204"/>
      <c r="HS61" s="204"/>
      <c r="HT61" s="204"/>
      <c r="HU61" s="204"/>
      <c r="HV61" s="204"/>
      <c r="HW61" s="204"/>
      <c r="HX61" s="204"/>
      <c r="HY61" s="204"/>
      <c r="HZ61" s="204"/>
      <c r="IA61" s="204"/>
      <c r="IB61" s="204"/>
      <c r="IC61" s="204"/>
      <c r="ID61" s="204"/>
      <c r="IE61" s="204"/>
      <c r="IF61" s="204"/>
      <c r="IG61" s="204"/>
      <c r="IH61" s="204"/>
      <c r="II61" s="204"/>
      <c r="IJ61" s="204"/>
      <c r="IK61" s="204"/>
      <c r="IL61" s="204"/>
      <c r="IM61" s="204"/>
      <c r="IN61" s="204"/>
      <c r="IO61" s="204"/>
      <c r="IP61" s="204"/>
      <c r="IQ61" s="204"/>
      <c r="IR61" s="204"/>
      <c r="IS61" s="204"/>
      <c r="IT61" s="204"/>
      <c r="IU61" s="204"/>
    </row>
    <row r="62" spans="1:255" s="43" customFormat="1" ht="48" x14ac:dyDescent="0.2">
      <c r="A62" s="211">
        <v>44</v>
      </c>
      <c r="B62" s="212" t="s">
        <v>331</v>
      </c>
      <c r="C62" s="212" t="s">
        <v>332</v>
      </c>
      <c r="D62" s="212" t="s">
        <v>333</v>
      </c>
      <c r="E62" s="213">
        <f t="shared" si="3"/>
        <v>13.999999999999998</v>
      </c>
      <c r="F62" s="214">
        <f>ROUND( 28.21 * 7.56, 2 )</f>
        <v>213.27</v>
      </c>
      <c r="G62" s="214">
        <f t="shared" si="4"/>
        <v>2985.78</v>
      </c>
      <c r="H62" s="215" t="s">
        <v>1055</v>
      </c>
      <c r="I62" s="215" t="s">
        <v>1034</v>
      </c>
      <c r="N62" s="204"/>
      <c r="O62" s="204">
        <f t="shared" si="5"/>
        <v>13.999999999999998</v>
      </c>
      <c r="P62" s="204">
        <f>Source!I236</f>
        <v>7.1999999999999993</v>
      </c>
      <c r="Q62" s="204">
        <f>Source!I393</f>
        <v>6.7999999999999989</v>
      </c>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c r="IP62" s="204"/>
      <c r="IQ62" s="204"/>
      <c r="IR62" s="204"/>
      <c r="IS62" s="204"/>
      <c r="IT62" s="204"/>
      <c r="IU62" s="204"/>
    </row>
    <row r="63" spans="1:255" s="43" customFormat="1" ht="48" x14ac:dyDescent="0.2">
      <c r="A63" s="211">
        <v>45</v>
      </c>
      <c r="B63" s="212" t="s">
        <v>349</v>
      </c>
      <c r="C63" s="212" t="s">
        <v>350</v>
      </c>
      <c r="D63" s="212" t="s">
        <v>333</v>
      </c>
      <c r="E63" s="213">
        <f t="shared" si="3"/>
        <v>1.9</v>
      </c>
      <c r="F63" s="214">
        <f>ROUND( 49.11 * 7.56, 2 )</f>
        <v>371.27</v>
      </c>
      <c r="G63" s="214">
        <f t="shared" si="4"/>
        <v>705.41</v>
      </c>
      <c r="H63" s="215" t="s">
        <v>1057</v>
      </c>
      <c r="I63" s="215" t="s">
        <v>1034</v>
      </c>
      <c r="N63" s="204"/>
      <c r="O63" s="204">
        <f t="shared" si="5"/>
        <v>1.9</v>
      </c>
      <c r="P63" s="204">
        <f>Source!I248</f>
        <v>1.9</v>
      </c>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c r="IP63" s="204"/>
      <c r="IQ63" s="204"/>
      <c r="IR63" s="204"/>
      <c r="IS63" s="204"/>
      <c r="IT63" s="204"/>
      <c r="IU63" s="204"/>
    </row>
    <row r="64" spans="1:255" s="43" customFormat="1" ht="24" x14ac:dyDescent="0.2">
      <c r="A64" s="211">
        <v>46</v>
      </c>
      <c r="B64" s="212" t="s">
        <v>383</v>
      </c>
      <c r="C64" s="212" t="s">
        <v>384</v>
      </c>
      <c r="D64" s="212" t="s">
        <v>33</v>
      </c>
      <c r="E64" s="213" t="e">
        <f t="shared" si="3"/>
        <v>#REF!</v>
      </c>
      <c r="F64" s="214">
        <f>ROUND( 13759.11 * 7.56, 2 )</f>
        <v>104018.87</v>
      </c>
      <c r="G64" s="214" t="e">
        <f t="shared" si="4"/>
        <v>#REF!</v>
      </c>
      <c r="H64" s="215" t="s">
        <v>1060</v>
      </c>
      <c r="I64" s="215" t="s">
        <v>1034</v>
      </c>
      <c r="N64" s="204"/>
      <c r="O64" s="204" t="e">
        <f t="shared" si="5"/>
        <v>#REF!</v>
      </c>
      <c r="P64" s="204" t="e">
        <f>Source!I268</f>
        <v>#REF!</v>
      </c>
      <c r="Q64" s="204" t="e">
        <f>Source!I377</f>
        <v>#REF!</v>
      </c>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c r="IP64" s="204"/>
      <c r="IQ64" s="204"/>
      <c r="IR64" s="204"/>
      <c r="IS64" s="204"/>
      <c r="IT64" s="204"/>
      <c r="IU64" s="204"/>
    </row>
    <row r="65" spans="1:255" s="43" customFormat="1" ht="24" x14ac:dyDescent="0.2">
      <c r="A65" s="211">
        <v>47</v>
      </c>
      <c r="B65" s="212" t="s">
        <v>421</v>
      </c>
      <c r="C65" s="212" t="s">
        <v>422</v>
      </c>
      <c r="D65" s="212" t="s">
        <v>423</v>
      </c>
      <c r="E65" s="213">
        <f t="shared" si="3"/>
        <v>6.3684000000000003</v>
      </c>
      <c r="F65" s="214">
        <f>ROUND( 136.81 * 7.56, 2 )</f>
        <v>1034.28</v>
      </c>
      <c r="G65" s="214">
        <f t="shared" si="4"/>
        <v>6586.71</v>
      </c>
      <c r="H65" s="215" t="s">
        <v>1064</v>
      </c>
      <c r="I65" s="215" t="s">
        <v>1034</v>
      </c>
      <c r="N65" s="204"/>
      <c r="O65" s="204">
        <f t="shared" si="5"/>
        <v>6.3684000000000003</v>
      </c>
      <c r="P65" s="204">
        <f>Source!I319</f>
        <v>6.3684000000000003</v>
      </c>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04"/>
      <c r="EI65" s="204"/>
      <c r="EJ65" s="204"/>
      <c r="EK65" s="204"/>
      <c r="EL65" s="204"/>
      <c r="EM65" s="204"/>
      <c r="EN65" s="204"/>
      <c r="EO65" s="204"/>
      <c r="EP65" s="204"/>
      <c r="EQ65" s="204"/>
      <c r="ER65" s="204"/>
      <c r="ES65" s="204"/>
      <c r="ET65" s="204"/>
      <c r="EU65" s="204"/>
      <c r="EV65" s="204"/>
      <c r="EW65" s="204"/>
      <c r="EX65" s="204"/>
      <c r="EY65" s="204"/>
      <c r="EZ65" s="204"/>
      <c r="FA65" s="204"/>
      <c r="FB65" s="204"/>
      <c r="FC65" s="204"/>
      <c r="FD65" s="204"/>
      <c r="FE65" s="204"/>
      <c r="FF65" s="204"/>
      <c r="FG65" s="204"/>
      <c r="FH65" s="204"/>
      <c r="FI65" s="204"/>
      <c r="FJ65" s="204"/>
      <c r="FK65" s="204"/>
      <c r="FL65" s="204"/>
      <c r="FM65" s="204"/>
      <c r="FN65" s="204"/>
      <c r="FO65" s="204"/>
      <c r="FP65" s="204"/>
      <c r="FQ65" s="204"/>
      <c r="FR65" s="204"/>
      <c r="FS65" s="204"/>
      <c r="FT65" s="204"/>
      <c r="FU65" s="204"/>
      <c r="FV65" s="204"/>
      <c r="FW65" s="204"/>
      <c r="FX65" s="204"/>
      <c r="FY65" s="204"/>
      <c r="FZ65" s="204"/>
      <c r="GA65" s="204"/>
      <c r="GB65" s="204"/>
      <c r="GC65" s="204"/>
      <c r="GD65" s="204"/>
      <c r="GE65" s="204"/>
      <c r="GF65" s="204"/>
      <c r="GG65" s="204"/>
      <c r="GH65" s="204"/>
      <c r="GI65" s="204"/>
      <c r="GJ65" s="204"/>
      <c r="GK65" s="204"/>
      <c r="GL65" s="204"/>
      <c r="GM65" s="204"/>
      <c r="GN65" s="204"/>
      <c r="GO65" s="204"/>
      <c r="GP65" s="204"/>
      <c r="GQ65" s="204"/>
      <c r="GR65" s="204"/>
      <c r="GS65" s="204"/>
      <c r="GT65" s="204"/>
      <c r="GU65" s="204"/>
      <c r="GV65" s="204"/>
      <c r="GW65" s="204"/>
      <c r="GX65" s="204"/>
      <c r="GY65" s="204"/>
      <c r="GZ65" s="204"/>
      <c r="HA65" s="204"/>
      <c r="HB65" s="204"/>
      <c r="HC65" s="204"/>
      <c r="HD65" s="204"/>
      <c r="HE65" s="204"/>
      <c r="HF65" s="204"/>
      <c r="HG65" s="204"/>
      <c r="HH65" s="204"/>
      <c r="HI65" s="204"/>
      <c r="HJ65" s="204"/>
      <c r="HK65" s="204"/>
      <c r="HL65" s="204"/>
      <c r="HM65" s="204"/>
      <c r="HN65" s="204"/>
      <c r="HO65" s="204"/>
      <c r="HP65" s="204"/>
      <c r="HQ65" s="204"/>
      <c r="HR65" s="204"/>
      <c r="HS65" s="204"/>
      <c r="HT65" s="204"/>
      <c r="HU65" s="204"/>
      <c r="HV65" s="204"/>
      <c r="HW65" s="204"/>
      <c r="HX65" s="204"/>
      <c r="HY65" s="204"/>
      <c r="HZ65" s="204"/>
      <c r="IA65" s="204"/>
      <c r="IB65" s="204"/>
      <c r="IC65" s="204"/>
      <c r="ID65" s="204"/>
      <c r="IE65" s="204"/>
      <c r="IF65" s="204"/>
      <c r="IG65" s="204"/>
      <c r="IH65" s="204"/>
      <c r="II65" s="204"/>
      <c r="IJ65" s="204"/>
      <c r="IK65" s="204"/>
      <c r="IL65" s="204"/>
      <c r="IM65" s="204"/>
      <c r="IN65" s="204"/>
      <c r="IO65" s="204"/>
      <c r="IP65" s="204"/>
      <c r="IQ65" s="204"/>
      <c r="IR65" s="204"/>
      <c r="IS65" s="204"/>
      <c r="IT65" s="204"/>
      <c r="IU65" s="204"/>
    </row>
    <row r="66" spans="1:255" s="43" customFormat="1" ht="24" x14ac:dyDescent="0.2">
      <c r="A66" s="211">
        <v>48</v>
      </c>
      <c r="B66" s="212" t="s">
        <v>112</v>
      </c>
      <c r="C66" s="212" t="s">
        <v>113</v>
      </c>
      <c r="D66" s="212" t="s">
        <v>103</v>
      </c>
      <c r="E66" s="213">
        <f t="shared" si="3"/>
        <v>570.423</v>
      </c>
      <c r="F66" s="214">
        <f>ROUND( 0.14 * 7.56, 2 )</f>
        <v>1.06</v>
      </c>
      <c r="G66" s="214">
        <f t="shared" si="4"/>
        <v>604.65</v>
      </c>
      <c r="H66" s="215" t="s">
        <v>1044</v>
      </c>
      <c r="I66" s="215" t="s">
        <v>1034</v>
      </c>
      <c r="N66" s="204"/>
      <c r="O66" s="204">
        <f t="shared" si="5"/>
        <v>570.423</v>
      </c>
      <c r="P66" s="204">
        <f>Source!I59</f>
        <v>27.36</v>
      </c>
      <c r="Q66" s="204">
        <f>Source!I79</f>
        <v>52.95</v>
      </c>
      <c r="R66" s="204">
        <f>Source!I160</f>
        <v>59.405999999999999</v>
      </c>
      <c r="S66" s="204">
        <f>Source!I180</f>
        <v>4.1520000000000001</v>
      </c>
      <c r="T66" s="204">
        <f>Source!I200</f>
        <v>74.709000000000003</v>
      </c>
      <c r="U66" s="204">
        <f>Source!I220</f>
        <v>351.846</v>
      </c>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row>
    <row r="67" spans="1:255" s="43" customFormat="1" ht="24" x14ac:dyDescent="0.2">
      <c r="A67" s="211">
        <v>49</v>
      </c>
      <c r="B67" s="212" t="s">
        <v>107</v>
      </c>
      <c r="C67" s="212" t="s">
        <v>108</v>
      </c>
      <c r="D67" s="212" t="s">
        <v>103</v>
      </c>
      <c r="E67" s="213">
        <f t="shared" si="3"/>
        <v>570.423</v>
      </c>
      <c r="F67" s="214">
        <f>ROUND( 0.08 * 7.56, 2 )</f>
        <v>0.6</v>
      </c>
      <c r="G67" s="214">
        <f t="shared" si="4"/>
        <v>342.25</v>
      </c>
      <c r="H67" s="215" t="s">
        <v>1043</v>
      </c>
      <c r="I67" s="215" t="s">
        <v>1034</v>
      </c>
      <c r="N67" s="204"/>
      <c r="O67" s="204">
        <f t="shared" si="5"/>
        <v>570.423</v>
      </c>
      <c r="P67" s="204">
        <f>Source!I57</f>
        <v>27.36</v>
      </c>
      <c r="Q67" s="204">
        <f>Source!I77</f>
        <v>52.95</v>
      </c>
      <c r="R67" s="204">
        <f>Source!I158</f>
        <v>59.405999999999999</v>
      </c>
      <c r="S67" s="204">
        <f>Source!I178</f>
        <v>4.1520000000000001</v>
      </c>
      <c r="T67" s="204">
        <f>Source!I198</f>
        <v>74.709000000000003</v>
      </c>
      <c r="U67" s="204">
        <f>Source!I218</f>
        <v>351.846</v>
      </c>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c r="IP67" s="204"/>
      <c r="IQ67" s="204"/>
      <c r="IR67" s="204"/>
      <c r="IS67" s="204"/>
      <c r="IT67" s="204"/>
      <c r="IU67" s="204"/>
    </row>
    <row r="68" spans="1:255" s="43" customFormat="1" ht="24" x14ac:dyDescent="0.2">
      <c r="A68" s="211">
        <v>50</v>
      </c>
      <c r="B68" s="212" t="s">
        <v>472</v>
      </c>
      <c r="C68" s="212" t="s">
        <v>473</v>
      </c>
      <c r="D68" s="212" t="s">
        <v>103</v>
      </c>
      <c r="E68" s="213">
        <f t="shared" si="3"/>
        <v>1200.5999999999999</v>
      </c>
      <c r="F68" s="214">
        <f>ROUND( 0.11 * 7.56, 2 )</f>
        <v>0.83</v>
      </c>
      <c r="G68" s="214">
        <f t="shared" si="4"/>
        <v>996.5</v>
      </c>
      <c r="H68" s="215" t="s">
        <v>1070</v>
      </c>
      <c r="I68" s="215" t="s">
        <v>1034</v>
      </c>
      <c r="N68" s="204"/>
      <c r="O68" s="204">
        <f t="shared" si="5"/>
        <v>1200.5999999999999</v>
      </c>
      <c r="P68" s="204">
        <f>Source!I351</f>
        <v>1200.5999999999999</v>
      </c>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04"/>
      <c r="EI68" s="204"/>
      <c r="EJ68" s="204"/>
      <c r="EK68" s="204"/>
      <c r="EL68" s="204"/>
      <c r="EM68" s="204"/>
      <c r="EN68" s="204"/>
      <c r="EO68" s="204"/>
      <c r="EP68" s="204"/>
      <c r="EQ68" s="204"/>
      <c r="ER68" s="204"/>
      <c r="ES68" s="204"/>
      <c r="ET68" s="204"/>
      <c r="EU68" s="204"/>
      <c r="EV68" s="204"/>
      <c r="EW68" s="204"/>
      <c r="EX68" s="204"/>
      <c r="EY68" s="204"/>
      <c r="EZ68" s="204"/>
      <c r="FA68" s="204"/>
      <c r="FB68" s="204"/>
      <c r="FC68" s="204"/>
      <c r="FD68" s="204"/>
      <c r="FE68" s="204"/>
      <c r="FF68" s="204"/>
      <c r="FG68" s="204"/>
      <c r="FH68" s="204"/>
      <c r="FI68" s="204"/>
      <c r="FJ68" s="204"/>
      <c r="FK68" s="204"/>
      <c r="FL68" s="204"/>
      <c r="FM68" s="204"/>
      <c r="FN68" s="204"/>
      <c r="FO68" s="204"/>
      <c r="FP68" s="204"/>
      <c r="FQ68" s="204"/>
      <c r="FR68" s="204"/>
      <c r="FS68" s="204"/>
      <c r="FT68" s="204"/>
      <c r="FU68" s="204"/>
      <c r="FV68" s="204"/>
      <c r="FW68" s="204"/>
      <c r="FX68" s="204"/>
      <c r="FY68" s="204"/>
      <c r="FZ68" s="204"/>
      <c r="GA68" s="204"/>
      <c r="GB68" s="204"/>
      <c r="GC68" s="204"/>
      <c r="GD68" s="204"/>
      <c r="GE68" s="204"/>
      <c r="GF68" s="204"/>
      <c r="GG68" s="204"/>
      <c r="GH68" s="204"/>
      <c r="GI68" s="204"/>
      <c r="GJ68" s="204"/>
      <c r="GK68" s="204"/>
      <c r="GL68" s="204"/>
      <c r="GM68" s="204"/>
      <c r="GN68" s="204"/>
      <c r="GO68" s="204"/>
      <c r="GP68" s="204"/>
      <c r="GQ68" s="204"/>
      <c r="GR68" s="204"/>
      <c r="GS68" s="204"/>
      <c r="GT68" s="204"/>
      <c r="GU68" s="204"/>
      <c r="GV68" s="204"/>
      <c r="GW68" s="204"/>
      <c r="GX68" s="204"/>
      <c r="GY68" s="204"/>
      <c r="GZ68" s="204"/>
      <c r="HA68" s="204"/>
      <c r="HB68" s="204"/>
      <c r="HC68" s="204"/>
      <c r="HD68" s="204"/>
      <c r="HE68" s="204"/>
      <c r="HF68" s="204"/>
      <c r="HG68" s="204"/>
      <c r="HH68" s="204"/>
      <c r="HI68" s="204"/>
      <c r="HJ68" s="204"/>
      <c r="HK68" s="204"/>
      <c r="HL68" s="204"/>
      <c r="HM68" s="204"/>
      <c r="HN68" s="204"/>
      <c r="HO68" s="204"/>
      <c r="HP68" s="204"/>
      <c r="HQ68" s="204"/>
      <c r="HR68" s="204"/>
      <c r="HS68" s="204"/>
      <c r="HT68" s="204"/>
      <c r="HU68" s="204"/>
      <c r="HV68" s="204"/>
      <c r="HW68" s="204"/>
      <c r="HX68" s="204"/>
      <c r="HY68" s="204"/>
      <c r="HZ68" s="204"/>
      <c r="IA68" s="204"/>
      <c r="IB68" s="204"/>
      <c r="IC68" s="204"/>
      <c r="ID68" s="204"/>
      <c r="IE68" s="204"/>
      <c r="IF68" s="204"/>
      <c r="IG68" s="204"/>
      <c r="IH68" s="204"/>
      <c r="II68" s="204"/>
      <c r="IJ68" s="204"/>
      <c r="IK68" s="204"/>
      <c r="IL68" s="204"/>
      <c r="IM68" s="204"/>
      <c r="IN68" s="204"/>
      <c r="IO68" s="204"/>
      <c r="IP68" s="204"/>
      <c r="IQ68" s="204"/>
      <c r="IR68" s="204"/>
      <c r="IS68" s="204"/>
      <c r="IT68" s="204"/>
      <c r="IU68" s="204"/>
    </row>
    <row r="69" spans="1:255" s="43" customFormat="1" ht="24" x14ac:dyDescent="0.2">
      <c r="A69" s="211">
        <v>51</v>
      </c>
      <c r="B69" s="212" t="s">
        <v>501</v>
      </c>
      <c r="C69" s="212" t="s">
        <v>502</v>
      </c>
      <c r="D69" s="212" t="s">
        <v>33</v>
      </c>
      <c r="E69" s="213">
        <f t="shared" si="3"/>
        <v>1.6299999999999997E-3</v>
      </c>
      <c r="F69" s="214">
        <f>ROUND( 24555.56 * 7.56, 2 )</f>
        <v>185640.03</v>
      </c>
      <c r="G69" s="214">
        <f t="shared" si="4"/>
        <v>302.58999999999997</v>
      </c>
      <c r="H69" s="215" t="s">
        <v>1073</v>
      </c>
      <c r="I69" s="215" t="s">
        <v>1034</v>
      </c>
      <c r="N69" s="204"/>
      <c r="O69" s="204">
        <f t="shared" si="5"/>
        <v>1.6299999999999997E-3</v>
      </c>
      <c r="P69" s="204">
        <f>Source!I371</f>
        <v>1.6299999999999997E-3</v>
      </c>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04"/>
      <c r="EI69" s="204"/>
      <c r="EJ69" s="204"/>
      <c r="EK69" s="204"/>
      <c r="EL69" s="204"/>
      <c r="EM69" s="204"/>
      <c r="EN69" s="204"/>
      <c r="EO69" s="204"/>
      <c r="EP69" s="204"/>
      <c r="EQ69" s="204"/>
      <c r="ER69" s="204"/>
      <c r="ES69" s="204"/>
      <c r="ET69" s="204"/>
      <c r="EU69" s="204"/>
      <c r="EV69" s="204"/>
      <c r="EW69" s="204"/>
      <c r="EX69" s="204"/>
      <c r="EY69" s="204"/>
      <c r="EZ69" s="204"/>
      <c r="FA69" s="204"/>
      <c r="FB69" s="204"/>
      <c r="FC69" s="204"/>
      <c r="FD69" s="204"/>
      <c r="FE69" s="204"/>
      <c r="FF69" s="204"/>
      <c r="FG69" s="204"/>
      <c r="FH69" s="204"/>
      <c r="FI69" s="204"/>
      <c r="FJ69" s="204"/>
      <c r="FK69" s="204"/>
      <c r="FL69" s="204"/>
      <c r="FM69" s="204"/>
      <c r="FN69" s="204"/>
      <c r="FO69" s="204"/>
      <c r="FP69" s="204"/>
      <c r="FQ69" s="204"/>
      <c r="FR69" s="204"/>
      <c r="FS69" s="204"/>
      <c r="FT69" s="204"/>
      <c r="FU69" s="204"/>
      <c r="FV69" s="204"/>
      <c r="FW69" s="204"/>
      <c r="FX69" s="204"/>
      <c r="FY69" s="204"/>
      <c r="FZ69" s="204"/>
      <c r="GA69" s="204"/>
      <c r="GB69" s="204"/>
      <c r="GC69" s="204"/>
      <c r="GD69" s="204"/>
      <c r="GE69" s="204"/>
      <c r="GF69" s="204"/>
      <c r="GG69" s="204"/>
      <c r="GH69" s="204"/>
      <c r="GI69" s="204"/>
      <c r="GJ69" s="204"/>
      <c r="GK69" s="204"/>
      <c r="GL69" s="204"/>
      <c r="GM69" s="204"/>
      <c r="GN69" s="204"/>
      <c r="GO69" s="204"/>
      <c r="GP69" s="204"/>
      <c r="GQ69" s="204"/>
      <c r="GR69" s="204"/>
      <c r="GS69" s="204"/>
      <c r="GT69" s="204"/>
      <c r="GU69" s="204"/>
      <c r="GV69" s="204"/>
      <c r="GW69" s="204"/>
      <c r="GX69" s="204"/>
      <c r="GY69" s="204"/>
      <c r="GZ69" s="204"/>
      <c r="HA69" s="204"/>
      <c r="HB69" s="204"/>
      <c r="HC69" s="204"/>
      <c r="HD69" s="204"/>
      <c r="HE69" s="204"/>
      <c r="HF69" s="204"/>
      <c r="HG69" s="204"/>
      <c r="HH69" s="204"/>
      <c r="HI69" s="204"/>
      <c r="HJ69" s="204"/>
      <c r="HK69" s="204"/>
      <c r="HL69" s="204"/>
      <c r="HM69" s="204"/>
      <c r="HN69" s="204"/>
      <c r="HO69" s="204"/>
      <c r="HP69" s="204"/>
      <c r="HQ69" s="204"/>
      <c r="HR69" s="204"/>
      <c r="HS69" s="204"/>
      <c r="HT69" s="204"/>
      <c r="HU69" s="204"/>
      <c r="HV69" s="204"/>
      <c r="HW69" s="204"/>
      <c r="HX69" s="204"/>
      <c r="HY69" s="204"/>
      <c r="HZ69" s="204"/>
      <c r="IA69" s="204"/>
      <c r="IB69" s="204"/>
      <c r="IC69" s="204"/>
      <c r="ID69" s="204"/>
      <c r="IE69" s="204"/>
      <c r="IF69" s="204"/>
      <c r="IG69" s="204"/>
      <c r="IH69" s="204"/>
      <c r="II69" s="204"/>
      <c r="IJ69" s="204"/>
      <c r="IK69" s="204"/>
      <c r="IL69" s="204"/>
      <c r="IM69" s="204"/>
      <c r="IN69" s="204"/>
      <c r="IO69" s="204"/>
      <c r="IP69" s="204"/>
      <c r="IQ69" s="204"/>
      <c r="IR69" s="204"/>
      <c r="IS69" s="204"/>
      <c r="IT69" s="204"/>
      <c r="IU69" s="204"/>
    </row>
    <row r="70" spans="1:255" s="43" customFormat="1" ht="24" x14ac:dyDescent="0.2">
      <c r="A70" s="211">
        <v>52</v>
      </c>
      <c r="B70" s="212" t="s">
        <v>388</v>
      </c>
      <c r="C70" s="212" t="s">
        <v>389</v>
      </c>
      <c r="D70" s="212" t="s">
        <v>33</v>
      </c>
      <c r="E70" s="213" t="e">
        <f t="shared" si="3"/>
        <v>#REF!</v>
      </c>
      <c r="F70" s="214">
        <f>ROUND( 17403.57 * 7.56, 2 )</f>
        <v>131570.99</v>
      </c>
      <c r="G70" s="214" t="e">
        <f t="shared" si="4"/>
        <v>#REF!</v>
      </c>
      <c r="H70" s="215" t="s">
        <v>1061</v>
      </c>
      <c r="I70" s="215" t="s">
        <v>1034</v>
      </c>
      <c r="N70" s="204"/>
      <c r="O70" s="204" t="e">
        <f t="shared" si="5"/>
        <v>#REF!</v>
      </c>
      <c r="P70" s="204" t="e">
        <f>Source!I270</f>
        <v>#REF!</v>
      </c>
      <c r="Q70" s="204" t="e">
        <f>Source!I379</f>
        <v>#REF!</v>
      </c>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04"/>
      <c r="EI70" s="204"/>
      <c r="EJ70" s="204"/>
      <c r="EK70" s="204"/>
      <c r="EL70" s="204"/>
      <c r="EM70" s="204"/>
      <c r="EN70" s="204"/>
      <c r="EO70" s="204"/>
      <c r="EP70" s="204"/>
      <c r="EQ70" s="204"/>
      <c r="ER70" s="204"/>
      <c r="ES70" s="204"/>
      <c r="ET70" s="204"/>
      <c r="EU70" s="204"/>
      <c r="EV70" s="204"/>
      <c r="EW70" s="204"/>
      <c r="EX70" s="204"/>
      <c r="EY70" s="204"/>
      <c r="EZ70" s="204"/>
      <c r="FA70" s="204"/>
      <c r="FB70" s="204"/>
      <c r="FC70" s="204"/>
      <c r="FD70" s="204"/>
      <c r="FE70" s="204"/>
      <c r="FF70" s="204"/>
      <c r="FG70" s="204"/>
      <c r="FH70" s="204"/>
      <c r="FI70" s="204"/>
      <c r="FJ70" s="204"/>
      <c r="FK70" s="204"/>
      <c r="FL70" s="204"/>
      <c r="FM70" s="204"/>
      <c r="FN70" s="204"/>
      <c r="FO70" s="204"/>
      <c r="FP70" s="204"/>
      <c r="FQ70" s="204"/>
      <c r="FR70" s="204"/>
      <c r="FS70" s="204"/>
      <c r="FT70" s="204"/>
      <c r="FU70" s="204"/>
      <c r="FV70" s="204"/>
      <c r="FW70" s="204"/>
      <c r="FX70" s="204"/>
      <c r="FY70" s="204"/>
      <c r="FZ70" s="204"/>
      <c r="GA70" s="204"/>
      <c r="GB70" s="204"/>
      <c r="GC70" s="204"/>
      <c r="GD70" s="204"/>
      <c r="GE70" s="204"/>
      <c r="GF70" s="204"/>
      <c r="GG70" s="204"/>
      <c r="GH70" s="204"/>
      <c r="GI70" s="204"/>
      <c r="GJ70" s="204"/>
      <c r="GK70" s="204"/>
      <c r="GL70" s="204"/>
      <c r="GM70" s="204"/>
      <c r="GN70" s="204"/>
      <c r="GO70" s="204"/>
      <c r="GP70" s="204"/>
      <c r="GQ70" s="204"/>
      <c r="GR70" s="204"/>
      <c r="GS70" s="204"/>
      <c r="GT70" s="204"/>
      <c r="GU70" s="204"/>
      <c r="GV70" s="204"/>
      <c r="GW70" s="204"/>
      <c r="GX70" s="204"/>
      <c r="GY70" s="204"/>
      <c r="GZ70" s="204"/>
      <c r="HA70" s="204"/>
      <c r="HB70" s="204"/>
      <c r="HC70" s="204"/>
      <c r="HD70" s="204"/>
      <c r="HE70" s="204"/>
      <c r="HF70" s="204"/>
      <c r="HG70" s="204"/>
      <c r="HH70" s="204"/>
      <c r="HI70" s="204"/>
      <c r="HJ70" s="204"/>
      <c r="HK70" s="204"/>
      <c r="HL70" s="204"/>
      <c r="HM70" s="204"/>
      <c r="HN70" s="204"/>
      <c r="HO70" s="204"/>
      <c r="HP70" s="204"/>
      <c r="HQ70" s="204"/>
      <c r="HR70" s="204"/>
      <c r="HS70" s="204"/>
      <c r="HT70" s="204"/>
      <c r="HU70" s="204"/>
      <c r="HV70" s="204"/>
      <c r="HW70" s="204"/>
      <c r="HX70" s="204"/>
      <c r="HY70" s="204"/>
      <c r="HZ70" s="204"/>
      <c r="IA70" s="204"/>
      <c r="IB70" s="204"/>
      <c r="IC70" s="204"/>
      <c r="ID70" s="204"/>
      <c r="IE70" s="204"/>
      <c r="IF70" s="204"/>
      <c r="IG70" s="204"/>
      <c r="IH70" s="204"/>
      <c r="II70" s="204"/>
      <c r="IJ70" s="204"/>
      <c r="IK70" s="204"/>
      <c r="IL70" s="204"/>
      <c r="IM70" s="204"/>
      <c r="IN70" s="204"/>
      <c r="IO70" s="204"/>
      <c r="IP70" s="204"/>
      <c r="IQ70" s="204"/>
      <c r="IR70" s="204"/>
      <c r="IS70" s="204"/>
      <c r="IT70" s="204"/>
      <c r="IU70" s="204"/>
    </row>
    <row r="71" spans="1:255" x14ac:dyDescent="0.2">
      <c r="A71" s="207"/>
      <c r="B71" s="207"/>
      <c r="C71" s="208" t="s">
        <v>546</v>
      </c>
      <c r="D71" s="207"/>
      <c r="E71" s="207"/>
      <c r="F71" s="207"/>
      <c r="G71" s="209" t="e">
        <f>ROUND(SUM(G19:G70),2)</f>
        <v>#REF!</v>
      </c>
      <c r="H71" s="207"/>
      <c r="I71" s="207"/>
      <c r="J71" s="23"/>
      <c r="K71" s="23"/>
      <c r="L71" s="23"/>
      <c r="M71" s="197" t="e">
        <f>G71</f>
        <v>#REF!</v>
      </c>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row>
    <row r="73" spans="1:255" x14ac:dyDescent="0.2">
      <c r="C73" s="205" t="s">
        <v>194</v>
      </c>
      <c r="G73" s="206" t="e">
        <f>ROUND(SUM(M18:M73),2)</f>
        <v>#REF!</v>
      </c>
    </row>
    <row r="76" spans="1:255" x14ac:dyDescent="0.2">
      <c r="A76" s="192" t="s">
        <v>802</v>
      </c>
      <c r="B76" s="192"/>
      <c r="C76" s="198" t="s">
        <v>998</v>
      </c>
      <c r="D76" s="193"/>
      <c r="E76" s="193"/>
      <c r="F76" s="321" t="s">
        <v>999</v>
      </c>
      <c r="G76" s="321"/>
      <c r="BY76" s="194" t="str">
        <f>C76</f>
        <v>Руководитель ПТС ООО "ОСУ-2"</v>
      </c>
      <c r="BZ76" s="194" t="str">
        <f>F76</f>
        <v>Когтев В.И.</v>
      </c>
      <c r="IU76" s="23"/>
    </row>
    <row r="77" spans="1:255" s="217" customFormat="1" ht="11.25" x14ac:dyDescent="0.2">
      <c r="A77" s="216"/>
      <c r="B77" s="216"/>
      <c r="C77" s="322" t="s">
        <v>994</v>
      </c>
      <c r="D77" s="322"/>
      <c r="E77" s="322"/>
      <c r="F77" s="322" t="s">
        <v>995</v>
      </c>
      <c r="G77" s="322"/>
    </row>
    <row r="78" spans="1:255" x14ac:dyDescent="0.2">
      <c r="A78" s="18"/>
      <c r="B78" s="18"/>
      <c r="C78" s="18"/>
      <c r="D78" s="11"/>
      <c r="E78" s="18"/>
      <c r="F78" s="18"/>
      <c r="G78" s="18"/>
    </row>
    <row r="79" spans="1:255" ht="22.5" x14ac:dyDescent="0.2">
      <c r="A79" s="192" t="s">
        <v>1000</v>
      </c>
      <c r="B79" s="192"/>
      <c r="C79" s="198" t="s">
        <v>1009</v>
      </c>
      <c r="D79" s="193"/>
      <c r="E79" s="193"/>
      <c r="F79" s="321" t="s">
        <v>1002</v>
      </c>
      <c r="G79" s="321"/>
      <c r="BY79" s="194" t="str">
        <f>C79</f>
        <v>Ведущий инженер-сметчик СРС ООО "ОДСК"</v>
      </c>
      <c r="BZ79" s="194" t="str">
        <f>F79</f>
        <v>Зимарина О.Ю.</v>
      </c>
      <c r="IU79" s="23"/>
    </row>
    <row r="80" spans="1:255" s="217" customFormat="1" ht="11.25" x14ac:dyDescent="0.2">
      <c r="A80" s="216"/>
      <c r="B80" s="216"/>
      <c r="C80" s="322" t="s">
        <v>994</v>
      </c>
      <c r="D80" s="322"/>
      <c r="E80" s="322"/>
      <c r="F80" s="322" t="s">
        <v>995</v>
      </c>
      <c r="G80" s="322"/>
    </row>
    <row r="81" spans="1:255" x14ac:dyDescent="0.2">
      <c r="A81" s="18"/>
      <c r="B81" s="18"/>
      <c r="C81" s="18"/>
      <c r="D81" s="11"/>
      <c r="E81" s="18"/>
      <c r="F81" s="18"/>
      <c r="G81" s="18"/>
    </row>
    <row r="82" spans="1:255" ht="22.5" x14ac:dyDescent="0.2">
      <c r="A82" s="192" t="s">
        <v>1003</v>
      </c>
      <c r="B82" s="192"/>
      <c r="C82" s="198" t="s">
        <v>1004</v>
      </c>
      <c r="D82" s="193"/>
      <c r="E82" s="193"/>
      <c r="F82" s="321" t="s">
        <v>1005</v>
      </c>
      <c r="G82" s="321"/>
      <c r="BY82" s="194" t="str">
        <f>C82</f>
        <v>Главный инженер-сметчик СРС ООО "ОДСК"</v>
      </c>
      <c r="BZ82" s="194" t="str">
        <f>F82</f>
        <v>Полшведкина А.Н.</v>
      </c>
      <c r="IU82" s="23"/>
    </row>
    <row r="83" spans="1:255" s="217" customFormat="1" ht="11.25" x14ac:dyDescent="0.2">
      <c r="A83" s="216"/>
      <c r="B83" s="216"/>
      <c r="C83" s="322" t="s">
        <v>994</v>
      </c>
      <c r="D83" s="322"/>
      <c r="E83" s="322"/>
      <c r="F83" s="322" t="s">
        <v>995</v>
      </c>
      <c r="G83" s="322"/>
    </row>
    <row r="84" spans="1:255" x14ac:dyDescent="0.2">
      <c r="A84" s="18"/>
      <c r="B84" s="18"/>
      <c r="C84" s="18"/>
      <c r="D84" s="11"/>
      <c r="E84" s="18"/>
      <c r="F84" s="18"/>
      <c r="G84" s="18"/>
    </row>
  </sheetData>
  <sortState ref="A19:IU70">
    <sortCondition ref="C19"/>
    <sortCondition ref="D19"/>
  </sortState>
  <mergeCells count="18">
    <mergeCell ref="F79:G79"/>
    <mergeCell ref="C80:E80"/>
    <mergeCell ref="F80:G80"/>
    <mergeCell ref="F82:G82"/>
    <mergeCell ref="C83:E83"/>
    <mergeCell ref="F83:G83"/>
    <mergeCell ref="A8:G8"/>
    <mergeCell ref="A9:G9"/>
    <mergeCell ref="B10:G10"/>
    <mergeCell ref="F76:G76"/>
    <mergeCell ref="C77:E77"/>
    <mergeCell ref="F77:G77"/>
    <mergeCell ref="A7:G7"/>
    <mergeCell ref="A1:G1"/>
    <mergeCell ref="C3:G3"/>
    <mergeCell ref="C4:G4"/>
    <mergeCell ref="C5:G5"/>
    <mergeCell ref="A6:G6"/>
  </mergeCells>
  <pageMargins left="0.7" right="0.7" top="0.75" bottom="0.75" header="0.3" footer="0.3"/>
  <pageSetup paperSize="9" orientation="portrait" r:id="rId1"/>
  <headerFooter>
    <oddFooter>&amp;R&amp;P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49"/>
  <sheetViews>
    <sheetView tabSelected="1" topLeftCell="A103" zoomScaleNormal="100" workbookViewId="0">
      <selection activeCell="C115" sqref="C115:G115"/>
    </sheetView>
  </sheetViews>
  <sheetFormatPr defaultRowHeight="12.75" outlineLevelRow="1" x14ac:dyDescent="0.2"/>
  <cols>
    <col min="1" max="1" width="4.7109375" customWidth="1"/>
    <col min="2" max="2" width="16.7109375" customWidth="1"/>
    <col min="3" max="3" width="51.7109375" customWidth="1"/>
    <col min="4" max="4" width="9.7109375" customWidth="1"/>
    <col min="5" max="5" width="7.7109375" customWidth="1"/>
    <col min="7" max="7" width="10.140625" bestFit="1" customWidth="1"/>
    <col min="14" max="67" width="0" hidden="1" customWidth="1"/>
    <col min="68" max="69" width="52.7109375" hidden="1" customWidth="1"/>
    <col min="70" max="70" width="88.7109375" hidden="1" customWidth="1"/>
    <col min="71" max="72" width="108.7109375" hidden="1" customWidth="1"/>
    <col min="73" max="73" width="21.7109375" hidden="1" customWidth="1"/>
    <col min="74" max="74" width="88.7109375" hidden="1" customWidth="1"/>
    <col min="75" max="75" width="52.7109375" hidden="1" customWidth="1"/>
    <col min="76" max="76" width="21.7109375" hidden="1" customWidth="1"/>
    <col min="77" max="254" width="0" hidden="1" customWidth="1"/>
  </cols>
  <sheetData>
    <row r="1" spans="1:7" s="252" customFormat="1" ht="13.5" x14ac:dyDescent="0.25">
      <c r="A1" s="250"/>
      <c r="B1" s="250"/>
      <c r="C1" s="251"/>
      <c r="D1" s="251"/>
      <c r="E1" s="343" t="s">
        <v>1221</v>
      </c>
      <c r="F1" s="343"/>
      <c r="G1" s="343"/>
    </row>
    <row r="2" spans="1:7" s="252" customFormat="1" ht="16.5" customHeight="1" x14ac:dyDescent="0.25">
      <c r="A2" s="250"/>
      <c r="B2" s="250"/>
      <c r="C2" s="251"/>
      <c r="D2" s="251"/>
      <c r="E2" s="344" t="s">
        <v>1222</v>
      </c>
      <c r="F2" s="344"/>
      <c r="G2" s="344"/>
    </row>
    <row r="3" spans="1:7" s="252" customFormat="1" ht="16.5" customHeight="1" x14ac:dyDescent="0.25">
      <c r="A3" s="250"/>
      <c r="B3" s="250"/>
      <c r="C3" s="251"/>
      <c r="D3" s="251"/>
      <c r="E3" s="253"/>
      <c r="F3" s="254"/>
      <c r="G3" s="255" t="s">
        <v>1223</v>
      </c>
    </row>
    <row r="4" spans="1:7" s="252" customFormat="1" ht="13.5" x14ac:dyDescent="0.25">
      <c r="A4" s="250"/>
      <c r="B4" s="250"/>
      <c r="C4" s="251"/>
      <c r="D4" s="251"/>
      <c r="E4" s="256"/>
      <c r="F4" s="257"/>
      <c r="G4" s="255"/>
    </row>
    <row r="5" spans="1:7" s="252" customFormat="1" ht="13.5" x14ac:dyDescent="0.25">
      <c r="C5" s="258"/>
      <c r="D5" s="258"/>
      <c r="E5" s="259"/>
      <c r="F5" s="260"/>
      <c r="G5" s="261"/>
    </row>
    <row r="6" spans="1:7" s="252" customFormat="1" ht="13.5" x14ac:dyDescent="0.25">
      <c r="A6" s="345" t="s">
        <v>1224</v>
      </c>
      <c r="B6" s="345"/>
      <c r="C6" s="345"/>
      <c r="D6" s="345"/>
      <c r="E6" s="345"/>
      <c r="F6" s="345"/>
      <c r="G6" s="345"/>
    </row>
    <row r="7" spans="1:7" s="252" customFormat="1" ht="13.5" x14ac:dyDescent="0.25">
      <c r="A7" s="262"/>
      <c r="B7" s="262"/>
      <c r="C7" s="263"/>
      <c r="D7" s="263"/>
      <c r="E7" s="263"/>
      <c r="F7" s="346"/>
      <c r="G7" s="346"/>
    </row>
    <row r="8" spans="1:7" s="252" customFormat="1" ht="13.5" x14ac:dyDescent="0.25">
      <c r="A8" s="264" t="s">
        <v>805</v>
      </c>
      <c r="B8" s="265"/>
      <c r="C8" s="265"/>
      <c r="D8" s="265"/>
      <c r="E8" s="265"/>
      <c r="F8" s="266"/>
      <c r="G8" s="267"/>
    </row>
    <row r="9" spans="1:7" s="252" customFormat="1" ht="39.75" customHeight="1" x14ac:dyDescent="0.25">
      <c r="A9" s="347" t="s">
        <v>1229</v>
      </c>
      <c r="B9" s="347"/>
      <c r="C9" s="347"/>
      <c r="D9" s="347"/>
      <c r="E9" s="347"/>
      <c r="F9" s="347"/>
      <c r="G9" s="347"/>
    </row>
    <row r="10" spans="1:7" s="252" customFormat="1" ht="27" customHeight="1" x14ac:dyDescent="0.25">
      <c r="A10" s="348" t="s">
        <v>1225</v>
      </c>
      <c r="B10" s="348"/>
      <c r="C10" s="348"/>
      <c r="D10" s="348"/>
      <c r="E10" s="348"/>
      <c r="F10" s="348"/>
      <c r="G10" s="348"/>
    </row>
    <row r="11" spans="1:7" s="252" customFormat="1" ht="13.5" hidden="1" x14ac:dyDescent="0.25">
      <c r="A11" s="268"/>
      <c r="B11" s="268"/>
      <c r="C11" s="349"/>
      <c r="D11" s="349"/>
      <c r="E11" s="349"/>
      <c r="F11" s="266"/>
      <c r="G11" s="266"/>
    </row>
    <row r="12" spans="1:7" s="252" customFormat="1" ht="13.5" hidden="1" x14ac:dyDescent="0.25">
      <c r="A12" s="268"/>
      <c r="B12" s="268"/>
      <c r="C12" s="269"/>
      <c r="D12" s="269"/>
      <c r="E12" s="269"/>
      <c r="F12" s="266"/>
      <c r="G12" s="266"/>
    </row>
    <row r="13" spans="1:7" s="271" customFormat="1" ht="13.5" x14ac:dyDescent="0.25">
      <c r="A13" s="268"/>
      <c r="B13" s="270"/>
      <c r="C13" s="350" t="s">
        <v>1226</v>
      </c>
      <c r="D13" s="350"/>
      <c r="E13" s="350"/>
      <c r="F13" s="350"/>
      <c r="G13" s="350"/>
    </row>
    <row r="14" spans="1:7" s="271" customFormat="1" ht="13.5" x14ac:dyDescent="0.25">
      <c r="A14" s="268"/>
      <c r="B14" s="270"/>
      <c r="C14" s="272" t="s">
        <v>1227</v>
      </c>
      <c r="D14" s="272"/>
      <c r="E14" s="272"/>
      <c r="F14" s="273"/>
      <c r="G14" s="273"/>
    </row>
    <row r="15" spans="1:7" ht="13.5" outlineLevel="1" thickBot="1" x14ac:dyDescent="0.25">
      <c r="A15" s="16"/>
    </row>
    <row r="16" spans="1:7" ht="12.75" customHeight="1" x14ac:dyDescent="0.2">
      <c r="A16" s="336" t="s">
        <v>835</v>
      </c>
      <c r="B16" s="338" t="s">
        <v>836</v>
      </c>
      <c r="C16" s="338" t="s">
        <v>837</v>
      </c>
      <c r="D16" s="338" t="s">
        <v>838</v>
      </c>
      <c r="E16" s="340" t="s">
        <v>839</v>
      </c>
    </row>
    <row r="17" spans="1:253" x14ac:dyDescent="0.2">
      <c r="A17" s="337"/>
      <c r="B17" s="339"/>
      <c r="C17" s="339"/>
      <c r="D17" s="339"/>
      <c r="E17" s="341"/>
    </row>
    <row r="18" spans="1:253" x14ac:dyDescent="0.2">
      <c r="A18" s="337"/>
      <c r="B18" s="339"/>
      <c r="C18" s="339"/>
      <c r="D18" s="339"/>
      <c r="E18" s="341"/>
    </row>
    <row r="19" spans="1:253" ht="13.5" thickBot="1" x14ac:dyDescent="0.25">
      <c r="A19" s="337"/>
      <c r="B19" s="339"/>
      <c r="C19" s="339"/>
      <c r="D19" s="339"/>
      <c r="E19" s="342"/>
    </row>
    <row r="20" spans="1:253" ht="13.5" thickBot="1" x14ac:dyDescent="0.25">
      <c r="A20" s="49">
        <v>1</v>
      </c>
      <c r="B20" s="49">
        <v>2</v>
      </c>
      <c r="C20" s="49">
        <v>3</v>
      </c>
      <c r="D20" s="49">
        <v>4</v>
      </c>
      <c r="E20" s="49">
        <v>5</v>
      </c>
    </row>
    <row r="21" spans="1:253" x14ac:dyDescent="0.2">
      <c r="A21" s="50"/>
      <c r="B21" s="236" t="s">
        <v>1178</v>
      </c>
      <c r="C21" s="50"/>
      <c r="D21" s="50"/>
      <c r="E21" s="50"/>
    </row>
    <row r="22" spans="1:253" x14ac:dyDescent="0.2">
      <c r="A22" s="330" t="s">
        <v>849</v>
      </c>
      <c r="B22" s="330"/>
      <c r="C22" s="331" t="s">
        <v>1179</v>
      </c>
      <c r="D22" s="331"/>
      <c r="E22" s="331"/>
      <c r="BV22" s="51" t="str">
        <f>C22</f>
        <v xml:space="preserve"> Пилоны 1-го этажа </v>
      </c>
      <c r="IS22" s="23"/>
    </row>
    <row r="23" spans="1:253" ht="13.5" thickBot="1" x14ac:dyDescent="0.25"/>
    <row r="24" spans="1:253" ht="33.75" x14ac:dyDescent="0.2">
      <c r="A24" s="53">
        <v>1</v>
      </c>
      <c r="B24" s="61" t="s">
        <v>19</v>
      </c>
      <c r="C24" s="54" t="s">
        <v>852</v>
      </c>
      <c r="D24" s="55" t="s">
        <v>21</v>
      </c>
      <c r="E24" s="56">
        <f>26.77/4</f>
        <v>6.6924999999999999</v>
      </c>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pans="1:253" ht="45" x14ac:dyDescent="0.2">
      <c r="A25" s="126">
        <v>2</v>
      </c>
      <c r="B25" s="133" t="s">
        <v>47</v>
      </c>
      <c r="C25" s="127" t="s">
        <v>869</v>
      </c>
      <c r="D25" s="128" t="s">
        <v>49</v>
      </c>
      <c r="E25" s="129">
        <f>1.49/4</f>
        <v>0.3725</v>
      </c>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pans="1:253" ht="45" x14ac:dyDescent="0.2">
      <c r="A26" s="126">
        <v>3</v>
      </c>
      <c r="B26" s="133" t="s">
        <v>63</v>
      </c>
      <c r="C26" s="127" t="s">
        <v>871</v>
      </c>
      <c r="D26" s="128" t="s">
        <v>49</v>
      </c>
      <c r="E26" s="129">
        <f>8.266/4</f>
        <v>2.0665</v>
      </c>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pans="1:253" ht="48" x14ac:dyDescent="0.2">
      <c r="A27" s="126">
        <v>4</v>
      </c>
      <c r="B27" s="133" t="s">
        <v>67</v>
      </c>
      <c r="C27" s="127" t="s">
        <v>872</v>
      </c>
      <c r="D27" s="128" t="s">
        <v>21</v>
      </c>
      <c r="E27" s="129">
        <f>9.12/4</f>
        <v>2.2799999999999998</v>
      </c>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pans="1:253" ht="48.75" thickBot="1" x14ac:dyDescent="0.25">
      <c r="A28" s="126">
        <v>5</v>
      </c>
      <c r="B28" s="133" t="s">
        <v>122</v>
      </c>
      <c r="C28" s="127" t="s">
        <v>882</v>
      </c>
      <c r="D28" s="128" t="s">
        <v>21</v>
      </c>
      <c r="E28" s="129">
        <f>17.65/4</f>
        <v>4.4124999999999996</v>
      </c>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pans="1:253" x14ac:dyDescent="0.2">
      <c r="A29" s="50"/>
      <c r="B29" s="50"/>
      <c r="C29" s="50"/>
      <c r="D29" s="50"/>
      <c r="E29" s="50"/>
    </row>
    <row r="30" spans="1:253" x14ac:dyDescent="0.2">
      <c r="A30" s="330" t="s">
        <v>849</v>
      </c>
      <c r="B30" s="330"/>
      <c r="C30" s="331" t="s">
        <v>1180</v>
      </c>
      <c r="D30" s="331"/>
      <c r="E30" s="331"/>
      <c r="BV30" s="51" t="str">
        <f>C30</f>
        <v xml:space="preserve"> Стены монолит 1-го этажа </v>
      </c>
      <c r="IS30" s="23"/>
    </row>
    <row r="31" spans="1:253" ht="13.5" thickBot="1" x14ac:dyDescent="0.25"/>
    <row r="32" spans="1:253" ht="33.75" x14ac:dyDescent="0.2">
      <c r="A32" s="53">
        <v>7</v>
      </c>
      <c r="B32" s="61" t="s">
        <v>19</v>
      </c>
      <c r="C32" s="54" t="s">
        <v>932</v>
      </c>
      <c r="D32" s="55" t="s">
        <v>21</v>
      </c>
      <c r="E32" s="56">
        <f>126.25/4</f>
        <v>31.5625</v>
      </c>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pans="1:253" ht="33.75" x14ac:dyDescent="0.2">
      <c r="A33" s="126">
        <v>8</v>
      </c>
      <c r="B33" s="133" t="s">
        <v>19</v>
      </c>
      <c r="C33" s="127" t="s">
        <v>933</v>
      </c>
      <c r="D33" s="128" t="s">
        <v>21</v>
      </c>
      <c r="E33" s="129">
        <f>37.12/4</f>
        <v>9.2799999999999994</v>
      </c>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pans="1:253" ht="45" x14ac:dyDescent="0.2">
      <c r="A34" s="126">
        <v>9</v>
      </c>
      <c r="B34" s="133" t="s">
        <v>222</v>
      </c>
      <c r="C34" s="127" t="s">
        <v>939</v>
      </c>
      <c r="D34" s="128" t="s">
        <v>49</v>
      </c>
      <c r="E34" s="129">
        <f>2.644/4</f>
        <v>0.66100000000000003</v>
      </c>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pans="1:253" ht="45" x14ac:dyDescent="0.2">
      <c r="A35" s="126">
        <v>10</v>
      </c>
      <c r="B35" s="133" t="s">
        <v>231</v>
      </c>
      <c r="C35" s="127" t="s">
        <v>941</v>
      </c>
      <c r="D35" s="128" t="s">
        <v>49</v>
      </c>
      <c r="E35" s="129">
        <f>40.455/4</f>
        <v>10.11375</v>
      </c>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pans="1:253" ht="47.25" x14ac:dyDescent="0.2">
      <c r="A36" s="126">
        <v>11</v>
      </c>
      <c r="B36" s="133" t="s">
        <v>240</v>
      </c>
      <c r="C36" s="127" t="s">
        <v>943</v>
      </c>
      <c r="D36" s="128" t="s">
        <v>21</v>
      </c>
      <c r="E36" s="129">
        <f>19.802/4</f>
        <v>4.9504999999999999</v>
      </c>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pans="1:253" ht="47.25" x14ac:dyDescent="0.2">
      <c r="A37" s="126">
        <v>12</v>
      </c>
      <c r="B37" s="133" t="s">
        <v>67</v>
      </c>
      <c r="C37" s="127" t="s">
        <v>944</v>
      </c>
      <c r="D37" s="128" t="s">
        <v>21</v>
      </c>
      <c r="E37" s="129">
        <f>1.384/4</f>
        <v>0.34599999999999997</v>
      </c>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pans="1:253" ht="48" x14ac:dyDescent="0.2">
      <c r="A38" s="126">
        <v>13</v>
      </c>
      <c r="B38" s="133" t="s">
        <v>266</v>
      </c>
      <c r="C38" s="127" t="s">
        <v>945</v>
      </c>
      <c r="D38" s="128" t="s">
        <v>21</v>
      </c>
      <c r="E38" s="129">
        <f>24.903/4</f>
        <v>6.2257499999999997</v>
      </c>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pans="1:253" ht="47.25" x14ac:dyDescent="0.2">
      <c r="A39" s="126">
        <v>14</v>
      </c>
      <c r="B39" s="133" t="s">
        <v>281</v>
      </c>
      <c r="C39" s="127" t="s">
        <v>946</v>
      </c>
      <c r="D39" s="128" t="s">
        <v>21</v>
      </c>
      <c r="E39" s="129">
        <f>117.282/4</f>
        <v>29.320499999999999</v>
      </c>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pans="1:253" x14ac:dyDescent="0.2">
      <c r="A40" s="126">
        <v>15</v>
      </c>
      <c r="B40" s="133" t="s">
        <v>296</v>
      </c>
      <c r="C40" s="127" t="s">
        <v>297</v>
      </c>
      <c r="D40" s="128" t="s">
        <v>298</v>
      </c>
      <c r="E40" s="129">
        <f>0.48/4</f>
        <v>0.12</v>
      </c>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pans="1:253" ht="24" x14ac:dyDescent="0.2">
      <c r="A41" s="126">
        <v>16</v>
      </c>
      <c r="B41" s="133" t="s">
        <v>309</v>
      </c>
      <c r="C41" s="127" t="s">
        <v>310</v>
      </c>
      <c r="D41" s="128" t="s">
        <v>298</v>
      </c>
      <c r="E41" s="129">
        <f>2.88/4</f>
        <v>0.72</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pans="1:253" ht="24" x14ac:dyDescent="0.2">
      <c r="A42" s="126">
        <v>17</v>
      </c>
      <c r="B42" s="133" t="s">
        <v>342</v>
      </c>
      <c r="C42" s="127" t="s">
        <v>343</v>
      </c>
      <c r="D42" s="128" t="s">
        <v>298</v>
      </c>
      <c r="E42" s="129">
        <f>0.76/4</f>
        <v>0.19</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pans="1:253" ht="45" x14ac:dyDescent="0.2">
      <c r="A43" s="126">
        <v>18</v>
      </c>
      <c r="B43" s="133" t="s">
        <v>355</v>
      </c>
      <c r="C43" s="127" t="s">
        <v>955</v>
      </c>
      <c r="D43" s="128" t="s">
        <v>49</v>
      </c>
      <c r="E43" s="129">
        <f>0.1328/4</f>
        <v>3.32E-2</v>
      </c>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pans="1:253" ht="45.75" thickBot="1" x14ac:dyDescent="0.25">
      <c r="A44" s="126">
        <v>19</v>
      </c>
      <c r="B44" s="133" t="s">
        <v>369</v>
      </c>
      <c r="C44" s="127" t="s">
        <v>958</v>
      </c>
      <c r="D44" s="128" t="s">
        <v>49</v>
      </c>
      <c r="E44" s="129">
        <f>0.5024/4</f>
        <v>0.12559999999999999</v>
      </c>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pans="1:253" x14ac:dyDescent="0.2">
      <c r="A45" s="50"/>
      <c r="B45" s="50"/>
      <c r="C45" s="50"/>
      <c r="D45" s="50"/>
      <c r="E45" s="50"/>
    </row>
    <row r="46" spans="1:253" x14ac:dyDescent="0.2">
      <c r="A46" s="330" t="s">
        <v>849</v>
      </c>
      <c r="B46" s="330"/>
      <c r="C46" s="331" t="s">
        <v>1181</v>
      </c>
      <c r="D46" s="331"/>
      <c r="E46" s="331"/>
      <c r="BV46" s="51" t="str">
        <f>C46</f>
        <v xml:space="preserve"> Перекрытие,  балки 1-го этажа </v>
      </c>
      <c r="IS46" s="23"/>
    </row>
    <row r="47" spans="1:253" ht="13.5" thickBot="1" x14ac:dyDescent="0.25"/>
    <row r="48" spans="1:253" ht="33.75" x14ac:dyDescent="0.2">
      <c r="A48" s="53">
        <v>24</v>
      </c>
      <c r="B48" s="61" t="s">
        <v>417</v>
      </c>
      <c r="C48" s="54" t="s">
        <v>968</v>
      </c>
      <c r="D48" s="55" t="s">
        <v>21</v>
      </c>
      <c r="E48" s="56">
        <f>208.8/4</f>
        <v>52.2</v>
      </c>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pans="1:253" ht="45" x14ac:dyDescent="0.2">
      <c r="A49" s="126">
        <v>25</v>
      </c>
      <c r="B49" s="133" t="s">
        <v>429</v>
      </c>
      <c r="C49" s="127" t="s">
        <v>970</v>
      </c>
      <c r="D49" s="128" t="s">
        <v>49</v>
      </c>
      <c r="E49" s="129">
        <f>12.277/4</f>
        <v>3.0692499999999998</v>
      </c>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pans="1:253" ht="45" x14ac:dyDescent="0.2">
      <c r="A50" s="126">
        <v>26</v>
      </c>
      <c r="B50" s="133" t="s">
        <v>443</v>
      </c>
      <c r="C50" s="127" t="s">
        <v>973</v>
      </c>
      <c r="D50" s="128" t="s">
        <v>49</v>
      </c>
      <c r="E50" s="129">
        <f>32.907/4</f>
        <v>8.2267499999999991</v>
      </c>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pans="1:253" ht="36" x14ac:dyDescent="0.2">
      <c r="A51" s="126">
        <v>27</v>
      </c>
      <c r="B51" s="133" t="s">
        <v>456</v>
      </c>
      <c r="C51" s="127" t="s">
        <v>975</v>
      </c>
      <c r="D51" s="128" t="s">
        <v>21</v>
      </c>
      <c r="E51" s="129">
        <f>208.8/4</f>
        <v>52.2</v>
      </c>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pans="1:253" ht="45" x14ac:dyDescent="0.2">
      <c r="A52" s="126">
        <v>29</v>
      </c>
      <c r="B52" s="133" t="s">
        <v>355</v>
      </c>
      <c r="C52" s="127" t="s">
        <v>955</v>
      </c>
      <c r="D52" s="128" t="s">
        <v>49</v>
      </c>
      <c r="E52" s="129">
        <v>7.3200000000000001E-2</v>
      </c>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pans="1:253" ht="45" x14ac:dyDescent="0.2">
      <c r="A53" s="126">
        <v>30</v>
      </c>
      <c r="B53" s="133" t="s">
        <v>369</v>
      </c>
      <c r="C53" s="127" t="s">
        <v>958</v>
      </c>
      <c r="D53" s="128" t="s">
        <v>49</v>
      </c>
      <c r="E53" s="129">
        <f>0.2/4</f>
        <v>0.05</v>
      </c>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pans="1:253" ht="33.75" x14ac:dyDescent="0.2">
      <c r="A54" s="126">
        <v>31</v>
      </c>
      <c r="B54" s="133" t="s">
        <v>494</v>
      </c>
      <c r="C54" s="127" t="s">
        <v>495</v>
      </c>
      <c r="D54" s="128" t="s">
        <v>496</v>
      </c>
      <c r="E54" s="129">
        <f>0.163/4</f>
        <v>4.0750000000000001E-2</v>
      </c>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pans="1:253" ht="24" x14ac:dyDescent="0.2">
      <c r="A55" s="126">
        <v>34</v>
      </c>
      <c r="B55" s="133" t="s">
        <v>309</v>
      </c>
      <c r="C55" s="127" t="s">
        <v>310</v>
      </c>
      <c r="D55" s="128" t="s">
        <v>298</v>
      </c>
      <c r="E55" s="129">
        <f>2.72/4</f>
        <v>0.68</v>
      </c>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7" spans="1:253" ht="24" x14ac:dyDescent="0.2">
      <c r="C57" s="249" t="s">
        <v>1233</v>
      </c>
    </row>
    <row r="58" spans="1:253" x14ac:dyDescent="0.2">
      <c r="C58" s="249" t="s">
        <v>1219</v>
      </c>
    </row>
    <row r="62" spans="1:253" ht="29.25" customHeight="1" x14ac:dyDescent="0.2">
      <c r="B62" s="333" t="s">
        <v>1182</v>
      </c>
      <c r="C62" s="334"/>
      <c r="D62" s="334"/>
      <c r="E62" s="335"/>
    </row>
    <row r="64" spans="1:253" x14ac:dyDescent="0.2">
      <c r="A64" s="16"/>
    </row>
    <row r="65" spans="1:5" ht="13.5" thickBot="1" x14ac:dyDescent="0.25">
      <c r="A65" s="16"/>
    </row>
    <row r="66" spans="1:5" x14ac:dyDescent="0.2">
      <c r="A66" s="336" t="s">
        <v>835</v>
      </c>
      <c r="B66" s="338" t="s">
        <v>836</v>
      </c>
      <c r="C66" s="338" t="s">
        <v>837</v>
      </c>
      <c r="D66" s="338" t="s">
        <v>838</v>
      </c>
      <c r="E66" s="340" t="s">
        <v>839</v>
      </c>
    </row>
    <row r="67" spans="1:5" x14ac:dyDescent="0.2">
      <c r="A67" s="337"/>
      <c r="B67" s="339"/>
      <c r="C67" s="339"/>
      <c r="D67" s="339"/>
      <c r="E67" s="341"/>
    </row>
    <row r="68" spans="1:5" x14ac:dyDescent="0.2">
      <c r="A68" s="337"/>
      <c r="B68" s="339"/>
      <c r="C68" s="339"/>
      <c r="D68" s="339"/>
      <c r="E68" s="341"/>
    </row>
    <row r="69" spans="1:5" ht="13.5" thickBot="1" x14ac:dyDescent="0.25">
      <c r="A69" s="337"/>
      <c r="B69" s="339"/>
      <c r="C69" s="339"/>
      <c r="D69" s="339"/>
      <c r="E69" s="342"/>
    </row>
    <row r="70" spans="1:5" ht="13.5" thickBot="1" x14ac:dyDescent="0.25">
      <c r="A70" s="49">
        <v>1</v>
      </c>
      <c r="B70" s="49">
        <v>2</v>
      </c>
      <c r="C70" s="49">
        <v>3</v>
      </c>
      <c r="D70" s="49">
        <v>4</v>
      </c>
      <c r="E70" s="49">
        <v>5</v>
      </c>
    </row>
    <row r="71" spans="1:5" x14ac:dyDescent="0.2">
      <c r="A71" s="50"/>
      <c r="B71" s="50"/>
      <c r="C71" s="50"/>
      <c r="D71" s="50"/>
      <c r="E71" s="50"/>
    </row>
    <row r="72" spans="1:5" x14ac:dyDescent="0.2">
      <c r="A72" s="330" t="s">
        <v>849</v>
      </c>
      <c r="B72" s="330"/>
      <c r="C72" s="331" t="s">
        <v>1185</v>
      </c>
      <c r="D72" s="331"/>
      <c r="E72" s="331"/>
    </row>
    <row r="73" spans="1:5" ht="13.5" thickBot="1" x14ac:dyDescent="0.25"/>
    <row r="74" spans="1:5" ht="33.75" x14ac:dyDescent="0.2">
      <c r="A74" s="53">
        <v>1</v>
      </c>
      <c r="B74" s="61" t="s">
        <v>19</v>
      </c>
      <c r="C74" s="54" t="s">
        <v>852</v>
      </c>
      <c r="D74" s="55" t="s">
        <v>21</v>
      </c>
      <c r="E74" s="56">
        <f>26.77/4</f>
        <v>6.6924999999999999</v>
      </c>
    </row>
    <row r="75" spans="1:5" ht="45" x14ac:dyDescent="0.2">
      <c r="A75" s="126">
        <v>2</v>
      </c>
      <c r="B75" s="133" t="s">
        <v>47</v>
      </c>
      <c r="C75" s="127" t="s">
        <v>869</v>
      </c>
      <c r="D75" s="128" t="s">
        <v>49</v>
      </c>
      <c r="E75" s="129">
        <f>1.49/4</f>
        <v>0.3725</v>
      </c>
    </row>
    <row r="76" spans="1:5" ht="45" x14ac:dyDescent="0.2">
      <c r="A76" s="126">
        <v>3</v>
      </c>
      <c r="B76" s="133" t="s">
        <v>63</v>
      </c>
      <c r="C76" s="127" t="s">
        <v>871</v>
      </c>
      <c r="D76" s="128" t="s">
        <v>49</v>
      </c>
      <c r="E76" s="129">
        <f>8.266/4</f>
        <v>2.0665</v>
      </c>
    </row>
    <row r="77" spans="1:5" ht="48" x14ac:dyDescent="0.2">
      <c r="A77" s="126">
        <v>4</v>
      </c>
      <c r="B77" s="133" t="s">
        <v>67</v>
      </c>
      <c r="C77" s="127" t="s">
        <v>872</v>
      </c>
      <c r="D77" s="128" t="s">
        <v>21</v>
      </c>
      <c r="E77" s="129">
        <f>9.12/4</f>
        <v>2.2799999999999998</v>
      </c>
    </row>
    <row r="78" spans="1:5" ht="48.75" thickBot="1" x14ac:dyDescent="0.25">
      <c r="A78" s="126">
        <v>5</v>
      </c>
      <c r="B78" s="133" t="s">
        <v>122</v>
      </c>
      <c r="C78" s="127" t="s">
        <v>882</v>
      </c>
      <c r="D78" s="128" t="s">
        <v>21</v>
      </c>
      <c r="E78" s="129">
        <f>17.65/4</f>
        <v>4.4124999999999996</v>
      </c>
    </row>
    <row r="79" spans="1:5" x14ac:dyDescent="0.2">
      <c r="A79" s="50"/>
      <c r="B79" s="50"/>
      <c r="C79" s="50"/>
      <c r="D79" s="50"/>
      <c r="E79" s="50"/>
    </row>
    <row r="80" spans="1:5" x14ac:dyDescent="0.2">
      <c r="A80" s="330" t="s">
        <v>849</v>
      </c>
      <c r="B80" s="330"/>
      <c r="C80" s="331" t="s">
        <v>1184</v>
      </c>
      <c r="D80" s="331"/>
      <c r="E80" s="331"/>
    </row>
    <row r="81" spans="1:5" ht="13.5" thickBot="1" x14ac:dyDescent="0.25"/>
    <row r="82" spans="1:5" ht="33.75" x14ac:dyDescent="0.2">
      <c r="A82" s="53">
        <v>7</v>
      </c>
      <c r="B82" s="61" t="s">
        <v>19</v>
      </c>
      <c r="C82" s="54" t="s">
        <v>932</v>
      </c>
      <c r="D82" s="55" t="s">
        <v>21</v>
      </c>
      <c r="E82" s="56">
        <f>155.997/4</f>
        <v>38.999250000000004</v>
      </c>
    </row>
    <row r="83" spans="1:5" ht="33.75" x14ac:dyDescent="0.2">
      <c r="A83" s="126">
        <v>8</v>
      </c>
      <c r="B83" s="133" t="s">
        <v>19</v>
      </c>
      <c r="C83" s="127" t="s">
        <v>933</v>
      </c>
      <c r="D83" s="128" t="s">
        <v>21</v>
      </c>
      <c r="E83" s="129">
        <f>16.32/4</f>
        <v>4.08</v>
      </c>
    </row>
    <row r="84" spans="1:5" ht="45" x14ac:dyDescent="0.2">
      <c r="A84" s="126">
        <v>9</v>
      </c>
      <c r="B84" s="133" t="s">
        <v>222</v>
      </c>
      <c r="C84" s="127" t="s">
        <v>939</v>
      </c>
      <c r="D84" s="128" t="s">
        <v>49</v>
      </c>
      <c r="E84" s="129">
        <f>2.506/4</f>
        <v>0.62649999999999995</v>
      </c>
    </row>
    <row r="85" spans="1:5" ht="45" x14ac:dyDescent="0.2">
      <c r="A85" s="126">
        <v>10</v>
      </c>
      <c r="B85" s="133" t="s">
        <v>231</v>
      </c>
      <c r="C85" s="127" t="s">
        <v>941</v>
      </c>
      <c r="D85" s="128" t="s">
        <v>49</v>
      </c>
      <c r="E85" s="129">
        <f>41.264/4</f>
        <v>10.316000000000001</v>
      </c>
    </row>
    <row r="86" spans="1:5" ht="47.25" x14ac:dyDescent="0.2">
      <c r="A86" s="126">
        <v>11</v>
      </c>
      <c r="B86" s="133" t="s">
        <v>240</v>
      </c>
      <c r="C86" s="127" t="s">
        <v>943</v>
      </c>
      <c r="D86" s="128" t="s">
        <v>21</v>
      </c>
      <c r="E86" s="129">
        <f>20.9/4</f>
        <v>5.2249999999999996</v>
      </c>
    </row>
    <row r="87" spans="1:5" ht="47.25" x14ac:dyDescent="0.2">
      <c r="A87" s="126">
        <v>12</v>
      </c>
      <c r="B87" s="133" t="s">
        <v>67</v>
      </c>
      <c r="C87" s="127" t="s">
        <v>944</v>
      </c>
      <c r="D87" s="128" t="s">
        <v>21</v>
      </c>
      <c r="E87" s="129">
        <f>1.384/4</f>
        <v>0.34599999999999997</v>
      </c>
    </row>
    <row r="88" spans="1:5" ht="48" x14ac:dyDescent="0.2">
      <c r="A88" s="126">
        <v>13</v>
      </c>
      <c r="B88" s="133" t="s">
        <v>266</v>
      </c>
      <c r="C88" s="127" t="s">
        <v>945</v>
      </c>
      <c r="D88" s="128" t="s">
        <v>21</v>
      </c>
      <c r="E88" s="129">
        <f>24.903/4</f>
        <v>6.2257499999999997</v>
      </c>
    </row>
    <row r="89" spans="1:5" ht="47.25" x14ac:dyDescent="0.2">
      <c r="A89" s="126">
        <v>14</v>
      </c>
      <c r="B89" s="133" t="s">
        <v>281</v>
      </c>
      <c r="C89" s="127" t="s">
        <v>946</v>
      </c>
      <c r="D89" s="128" t="s">
        <v>21</v>
      </c>
      <c r="E89" s="129">
        <f>125.13/4</f>
        <v>31.282499999999999</v>
      </c>
    </row>
    <row r="90" spans="1:5" x14ac:dyDescent="0.2">
      <c r="A90" s="126">
        <v>15</v>
      </c>
      <c r="B90" s="133" t="s">
        <v>296</v>
      </c>
      <c r="C90" s="127" t="s">
        <v>297</v>
      </c>
      <c r="D90" s="128" t="s">
        <v>298</v>
      </c>
      <c r="E90" s="129">
        <f>0.48/4</f>
        <v>0.12</v>
      </c>
    </row>
    <row r="91" spans="1:5" ht="24" x14ac:dyDescent="0.2">
      <c r="A91" s="126">
        <v>16</v>
      </c>
      <c r="B91" s="133" t="s">
        <v>309</v>
      </c>
      <c r="C91" s="127" t="s">
        <v>310</v>
      </c>
      <c r="D91" s="128" t="s">
        <v>298</v>
      </c>
      <c r="E91" s="129">
        <f>2.97/4</f>
        <v>0.74250000000000005</v>
      </c>
    </row>
    <row r="92" spans="1:5" ht="24" x14ac:dyDescent="0.2">
      <c r="A92" s="126">
        <v>17</v>
      </c>
      <c r="B92" s="133" t="s">
        <v>342</v>
      </c>
      <c r="C92" s="127" t="s">
        <v>343</v>
      </c>
      <c r="D92" s="128" t="s">
        <v>298</v>
      </c>
      <c r="E92" s="129">
        <f>0.81/4</f>
        <v>0.20250000000000001</v>
      </c>
    </row>
    <row r="93" spans="1:5" ht="45" x14ac:dyDescent="0.2">
      <c r="A93" s="126">
        <v>18</v>
      </c>
      <c r="B93" s="133" t="s">
        <v>355</v>
      </c>
      <c r="C93" s="127" t="s">
        <v>955</v>
      </c>
      <c r="D93" s="128" t="s">
        <v>49</v>
      </c>
      <c r="E93" s="129">
        <f>0.117/4</f>
        <v>2.9250000000000002E-2</v>
      </c>
    </row>
    <row r="94" spans="1:5" ht="45.75" thickBot="1" x14ac:dyDescent="0.25">
      <c r="A94" s="126">
        <v>19</v>
      </c>
      <c r="B94" s="133" t="s">
        <v>369</v>
      </c>
      <c r="C94" s="127" t="s">
        <v>958</v>
      </c>
      <c r="D94" s="128" t="s">
        <v>49</v>
      </c>
      <c r="E94" s="129">
        <f>0.5024/4</f>
        <v>0.12559999999999999</v>
      </c>
    </row>
    <row r="95" spans="1:5" x14ac:dyDescent="0.2">
      <c r="A95" s="50"/>
      <c r="B95" s="50"/>
      <c r="C95" s="50"/>
      <c r="D95" s="50"/>
      <c r="E95" s="50"/>
    </row>
    <row r="96" spans="1:5" x14ac:dyDescent="0.2">
      <c r="A96" s="330" t="s">
        <v>849</v>
      </c>
      <c r="B96" s="330"/>
      <c r="C96" s="331" t="s">
        <v>1183</v>
      </c>
      <c r="D96" s="331"/>
      <c r="E96" s="331"/>
    </row>
    <row r="97" spans="1:8" ht="13.5" thickBot="1" x14ac:dyDescent="0.25"/>
    <row r="98" spans="1:8" ht="33.75" x14ac:dyDescent="0.2">
      <c r="A98" s="53">
        <v>24</v>
      </c>
      <c r="B98" s="61" t="s">
        <v>417</v>
      </c>
      <c r="C98" s="54" t="s">
        <v>968</v>
      </c>
      <c r="D98" s="55" t="s">
        <v>21</v>
      </c>
      <c r="E98" s="56">
        <f>208.8/4</f>
        <v>52.2</v>
      </c>
    </row>
    <row r="99" spans="1:8" ht="45" x14ac:dyDescent="0.2">
      <c r="A99" s="126">
        <v>25</v>
      </c>
      <c r="B99" s="133" t="s">
        <v>429</v>
      </c>
      <c r="C99" s="127" t="s">
        <v>970</v>
      </c>
      <c r="D99" s="128" t="s">
        <v>49</v>
      </c>
      <c r="E99" s="129">
        <f>12.193/4</f>
        <v>3.0482499999999999</v>
      </c>
    </row>
    <row r="100" spans="1:8" ht="45" x14ac:dyDescent="0.2">
      <c r="A100" s="126">
        <v>26</v>
      </c>
      <c r="B100" s="133" t="s">
        <v>443</v>
      </c>
      <c r="C100" s="127" t="s">
        <v>973</v>
      </c>
      <c r="D100" s="128" t="s">
        <v>49</v>
      </c>
      <c r="E100" s="129">
        <f>32.048/4</f>
        <v>8.0120000000000005</v>
      </c>
    </row>
    <row r="101" spans="1:8" ht="36" x14ac:dyDescent="0.2">
      <c r="A101" s="126">
        <v>27</v>
      </c>
      <c r="B101" s="133" t="s">
        <v>456</v>
      </c>
      <c r="C101" s="127" t="s">
        <v>975</v>
      </c>
      <c r="D101" s="128" t="s">
        <v>21</v>
      </c>
      <c r="E101" s="129">
        <f>208.8/4</f>
        <v>52.2</v>
      </c>
    </row>
    <row r="102" spans="1:8" ht="45" x14ac:dyDescent="0.2">
      <c r="A102" s="126">
        <v>29</v>
      </c>
      <c r="B102" s="133" t="s">
        <v>355</v>
      </c>
      <c r="C102" s="127" t="s">
        <v>955</v>
      </c>
      <c r="D102" s="128" t="s">
        <v>49</v>
      </c>
      <c r="E102" s="129">
        <f>0.0732/4</f>
        <v>1.83E-2</v>
      </c>
    </row>
    <row r="103" spans="1:8" ht="45" x14ac:dyDescent="0.2">
      <c r="A103" s="126">
        <v>30</v>
      </c>
      <c r="B103" s="133" t="s">
        <v>369</v>
      </c>
      <c r="C103" s="127" t="s">
        <v>958</v>
      </c>
      <c r="D103" s="128" t="s">
        <v>49</v>
      </c>
      <c r="E103" s="129">
        <f>0.237/4</f>
        <v>5.9249999999999997E-2</v>
      </c>
    </row>
    <row r="104" spans="1:8" ht="33.75" x14ac:dyDescent="0.2">
      <c r="A104" s="126">
        <v>31</v>
      </c>
      <c r="B104" s="133" t="s">
        <v>494</v>
      </c>
      <c r="C104" s="127" t="s">
        <v>495</v>
      </c>
      <c r="D104" s="128" t="s">
        <v>496</v>
      </c>
      <c r="E104" s="129">
        <f>0.217/4</f>
        <v>5.425E-2</v>
      </c>
    </row>
    <row r="105" spans="1:8" ht="35.25" x14ac:dyDescent="0.2">
      <c r="A105" s="126">
        <v>33</v>
      </c>
      <c r="B105" s="133" t="s">
        <v>514</v>
      </c>
      <c r="C105" s="127" t="s">
        <v>983</v>
      </c>
      <c r="D105" s="128" t="s">
        <v>516</v>
      </c>
      <c r="E105" s="129">
        <f>6.4/4</f>
        <v>1.6</v>
      </c>
    </row>
    <row r="106" spans="1:8" ht="24" x14ac:dyDescent="0.2">
      <c r="A106" s="126">
        <v>34</v>
      </c>
      <c r="B106" s="133" t="s">
        <v>309</v>
      </c>
      <c r="C106" s="127" t="s">
        <v>310</v>
      </c>
      <c r="D106" s="128" t="s">
        <v>298</v>
      </c>
      <c r="E106" s="129">
        <f>2.59/4</f>
        <v>0.64749999999999996</v>
      </c>
    </row>
    <row r="108" spans="1:8" s="168" customFormat="1" ht="24" x14ac:dyDescent="0.2">
      <c r="C108" s="249" t="s">
        <v>1232</v>
      </c>
    </row>
    <row r="109" spans="1:8" s="168" customFormat="1" x14ac:dyDescent="0.2">
      <c r="C109" s="249" t="s">
        <v>1234</v>
      </c>
    </row>
    <row r="111" spans="1:8" s="239" customFormat="1" ht="16.5" x14ac:dyDescent="0.3">
      <c r="A111" s="237"/>
      <c r="B111" s="238"/>
      <c r="C111" s="332" t="s">
        <v>1186</v>
      </c>
      <c r="D111" s="332"/>
      <c r="E111" s="332"/>
      <c r="F111" s="274"/>
      <c r="G111" s="275"/>
      <c r="H111" s="276"/>
    </row>
    <row r="112" spans="1:8" s="239" customFormat="1" ht="16.5" x14ac:dyDescent="0.3">
      <c r="A112" s="237"/>
      <c r="B112" s="238"/>
      <c r="C112" s="277" t="s">
        <v>1187</v>
      </c>
      <c r="D112" s="277"/>
      <c r="E112" s="277"/>
      <c r="F112" s="274"/>
      <c r="G112" s="275"/>
      <c r="H112" s="276"/>
    </row>
    <row r="113" spans="1:8" s="239" customFormat="1" ht="16.5" x14ac:dyDescent="0.3">
      <c r="A113" s="237"/>
      <c r="B113" s="238"/>
      <c r="C113" s="278" t="s">
        <v>1218</v>
      </c>
      <c r="D113" s="278"/>
      <c r="E113" s="278"/>
      <c r="F113" s="274"/>
      <c r="G113" s="275"/>
      <c r="H113" s="276"/>
    </row>
    <row r="114" spans="1:8" s="239" customFormat="1" ht="16.5" x14ac:dyDescent="0.3">
      <c r="A114" s="237"/>
      <c r="B114" s="238"/>
      <c r="C114" s="277" t="s">
        <v>1188</v>
      </c>
      <c r="D114" s="277"/>
      <c r="E114" s="277"/>
      <c r="F114" s="274"/>
      <c r="G114" s="275"/>
      <c r="H114" s="276"/>
    </row>
    <row r="115" spans="1:8" s="239" customFormat="1" ht="21" customHeight="1" x14ac:dyDescent="0.3">
      <c r="A115" s="237"/>
      <c r="B115" s="238"/>
      <c r="C115" s="327" t="s">
        <v>1230</v>
      </c>
      <c r="D115" s="327"/>
      <c r="E115" s="327"/>
      <c r="F115" s="327"/>
      <c r="G115" s="327"/>
      <c r="H115" s="276"/>
    </row>
    <row r="116" spans="1:8" s="239" customFormat="1" ht="16.5" x14ac:dyDescent="0.3">
      <c r="A116" s="237"/>
      <c r="B116" s="238"/>
      <c r="C116" s="278" t="s">
        <v>1220</v>
      </c>
      <c r="D116" s="278"/>
      <c r="E116" s="278"/>
      <c r="F116" s="279"/>
      <c r="G116" s="280"/>
      <c r="H116" s="276"/>
    </row>
    <row r="117" spans="1:8" s="239" customFormat="1" ht="29.25" customHeight="1" x14ac:dyDescent="0.3">
      <c r="A117" s="237"/>
      <c r="B117" s="238"/>
      <c r="C117" s="329" t="s">
        <v>1189</v>
      </c>
      <c r="D117" s="329"/>
      <c r="E117" s="329"/>
      <c r="F117" s="329"/>
      <c r="G117" s="329"/>
      <c r="H117" s="329"/>
    </row>
    <row r="118" spans="1:8" s="239" customFormat="1" ht="36.75" customHeight="1" x14ac:dyDescent="0.3">
      <c r="A118" s="237"/>
      <c r="B118" s="238"/>
      <c r="C118" s="326" t="s">
        <v>1190</v>
      </c>
      <c r="D118" s="326"/>
      <c r="E118" s="326"/>
      <c r="F118" s="326"/>
      <c r="G118" s="326"/>
      <c r="H118" s="276"/>
    </row>
    <row r="119" spans="1:8" s="239" customFormat="1" ht="21.75" customHeight="1" x14ac:dyDescent="0.3">
      <c r="A119" s="237"/>
      <c r="B119" s="238"/>
      <c r="C119" s="326" t="s">
        <v>1231</v>
      </c>
      <c r="D119" s="326"/>
      <c r="E119" s="326"/>
      <c r="F119" s="326"/>
      <c r="G119" s="326"/>
      <c r="H119" s="276"/>
    </row>
    <row r="120" spans="1:8" s="239" customFormat="1" ht="16.5" x14ac:dyDescent="0.3">
      <c r="A120" s="237"/>
      <c r="B120" s="238"/>
      <c r="C120" s="277" t="s">
        <v>1191</v>
      </c>
      <c r="D120" s="277"/>
      <c r="E120" s="277"/>
      <c r="F120" s="274"/>
      <c r="G120" s="275"/>
      <c r="H120" s="276"/>
    </row>
    <row r="121" spans="1:8" s="239" customFormat="1" ht="16.5" x14ac:dyDescent="0.3">
      <c r="A121" s="237"/>
      <c r="B121" s="238"/>
      <c r="C121" s="277" t="s">
        <v>1192</v>
      </c>
      <c r="D121" s="277"/>
      <c r="E121" s="277"/>
      <c r="F121" s="274"/>
      <c r="G121" s="275"/>
      <c r="H121" s="276"/>
    </row>
    <row r="122" spans="1:8" s="239" customFormat="1" ht="16.5" x14ac:dyDescent="0.3">
      <c r="A122" s="237"/>
      <c r="B122" s="238"/>
      <c r="C122" s="277" t="s">
        <v>1193</v>
      </c>
      <c r="D122" s="277"/>
      <c r="E122" s="277"/>
      <c r="F122" s="274"/>
      <c r="G122" s="275"/>
      <c r="H122" s="276"/>
    </row>
    <row r="123" spans="1:8" s="239" customFormat="1" ht="16.5" x14ac:dyDescent="0.3">
      <c r="A123" s="237"/>
      <c r="B123" s="238"/>
      <c r="C123" s="281" t="s">
        <v>1194</v>
      </c>
      <c r="D123" s="277"/>
      <c r="E123" s="277"/>
      <c r="F123" s="274"/>
      <c r="G123" s="275"/>
      <c r="H123" s="276"/>
    </row>
    <row r="124" spans="1:8" s="240" customFormat="1" ht="32.25" customHeight="1" x14ac:dyDescent="0.3">
      <c r="A124" s="237"/>
      <c r="B124" s="237"/>
      <c r="C124" s="327" t="s">
        <v>1195</v>
      </c>
      <c r="D124" s="327"/>
      <c r="E124" s="327"/>
      <c r="F124" s="327"/>
      <c r="G124" s="327"/>
      <c r="H124" s="284"/>
    </row>
    <row r="125" spans="1:8" s="240" customFormat="1" ht="16.5" x14ac:dyDescent="0.3">
      <c r="A125" s="237"/>
      <c r="B125" s="237"/>
      <c r="C125" s="277" t="s">
        <v>1196</v>
      </c>
      <c r="D125" s="282"/>
      <c r="E125" s="282"/>
      <c r="F125" s="283"/>
      <c r="G125" s="283"/>
      <c r="H125" s="284"/>
    </row>
    <row r="126" spans="1:8" s="240" customFormat="1" ht="50.25" customHeight="1" x14ac:dyDescent="0.3">
      <c r="A126" s="237"/>
      <c r="B126" s="237"/>
      <c r="C126" s="328" t="s">
        <v>1197</v>
      </c>
      <c r="D126" s="328"/>
      <c r="E126" s="328"/>
      <c r="F126" s="328"/>
      <c r="G126" s="328"/>
      <c r="H126" s="285"/>
    </row>
    <row r="127" spans="1:8" s="240" customFormat="1" ht="76.5" customHeight="1" x14ac:dyDescent="0.3">
      <c r="A127" s="237"/>
      <c r="B127" s="237"/>
      <c r="C127" s="327" t="s">
        <v>1198</v>
      </c>
      <c r="D127" s="327"/>
      <c r="E127" s="327"/>
      <c r="F127" s="327"/>
      <c r="G127" s="327"/>
      <c r="H127" s="284"/>
    </row>
    <row r="128" spans="1:8" s="240" customFormat="1" ht="35.25" customHeight="1" x14ac:dyDescent="0.3">
      <c r="A128" s="237"/>
      <c r="B128" s="237"/>
      <c r="C128" s="277" t="s">
        <v>1199</v>
      </c>
      <c r="D128" s="282"/>
      <c r="E128" s="282"/>
      <c r="F128" s="283"/>
      <c r="G128" s="283"/>
      <c r="H128" s="284"/>
    </row>
    <row r="129" spans="1:8" s="240" customFormat="1" ht="95.25" customHeight="1" x14ac:dyDescent="0.3">
      <c r="A129" s="237"/>
      <c r="B129" s="237"/>
      <c r="C129" s="326" t="s">
        <v>1200</v>
      </c>
      <c r="D129" s="326"/>
      <c r="E129" s="326"/>
      <c r="F129" s="326"/>
      <c r="G129" s="326"/>
      <c r="H129" s="286"/>
    </row>
    <row r="130" spans="1:8" s="242" customFormat="1" ht="16.5" x14ac:dyDescent="0.3">
      <c r="A130" s="241"/>
      <c r="B130" s="241"/>
      <c r="C130" s="287" t="s">
        <v>1201</v>
      </c>
      <c r="D130" s="282"/>
      <c r="E130" s="282"/>
      <c r="F130" s="283"/>
      <c r="G130" s="283"/>
      <c r="H130" s="288"/>
    </row>
    <row r="131" spans="1:8" s="242" customFormat="1" ht="16.5" x14ac:dyDescent="0.2">
      <c r="A131" s="243"/>
      <c r="B131" s="243"/>
      <c r="C131" s="323" t="s">
        <v>1202</v>
      </c>
      <c r="D131" s="323"/>
      <c r="E131" s="323"/>
      <c r="F131" s="323"/>
      <c r="G131" s="323"/>
      <c r="H131" s="288"/>
    </row>
    <row r="132" spans="1:8" s="242" customFormat="1" ht="16.5" x14ac:dyDescent="0.2">
      <c r="A132" s="243"/>
      <c r="B132" s="243"/>
      <c r="C132" s="324" t="s">
        <v>1203</v>
      </c>
      <c r="D132" s="324"/>
      <c r="E132" s="324"/>
      <c r="F132" s="324"/>
      <c r="G132" s="324"/>
      <c r="H132" s="288"/>
    </row>
    <row r="133" spans="1:8" s="242" customFormat="1" ht="16.5" x14ac:dyDescent="0.2">
      <c r="A133" s="243"/>
      <c r="B133" s="243"/>
      <c r="C133" s="324" t="s">
        <v>1204</v>
      </c>
      <c r="D133" s="324"/>
      <c r="E133" s="324"/>
      <c r="F133" s="324"/>
      <c r="G133" s="324"/>
      <c r="H133" s="288"/>
    </row>
    <row r="134" spans="1:8" s="242" customFormat="1" ht="16.5" x14ac:dyDescent="0.2">
      <c r="A134" s="243"/>
      <c r="B134" s="243"/>
      <c r="C134" s="324" t="s">
        <v>1205</v>
      </c>
      <c r="D134" s="324"/>
      <c r="E134" s="324"/>
      <c r="F134" s="289"/>
      <c r="G134" s="290"/>
      <c r="H134" s="288"/>
    </row>
    <row r="135" spans="1:8" s="242" customFormat="1" ht="16.5" x14ac:dyDescent="0.2">
      <c r="A135" s="243"/>
      <c r="B135" s="243"/>
      <c r="C135" s="291" t="s">
        <v>1206</v>
      </c>
      <c r="D135" s="291"/>
      <c r="E135" s="291"/>
      <c r="F135" s="289"/>
      <c r="G135" s="290"/>
      <c r="H135" s="288"/>
    </row>
    <row r="136" spans="1:8" s="242" customFormat="1" ht="16.5" x14ac:dyDescent="0.2">
      <c r="A136" s="243"/>
      <c r="B136" s="243"/>
      <c r="C136" s="292" t="s">
        <v>1207</v>
      </c>
      <c r="D136" s="292"/>
      <c r="E136" s="292"/>
      <c r="F136" s="293"/>
      <c r="G136" s="294"/>
      <c r="H136" s="288"/>
    </row>
    <row r="137" spans="1:8" s="242" customFormat="1" ht="16.5" x14ac:dyDescent="0.2">
      <c r="A137" s="244"/>
      <c r="B137" s="244"/>
      <c r="C137" s="292" t="s">
        <v>1208</v>
      </c>
      <c r="D137" s="292"/>
      <c r="E137" s="292"/>
      <c r="F137" s="293"/>
      <c r="G137" s="294"/>
      <c r="H137" s="288"/>
    </row>
    <row r="138" spans="1:8" s="242" customFormat="1" ht="16.5" x14ac:dyDescent="0.2">
      <c r="A138" s="245"/>
      <c r="B138" s="245"/>
      <c r="C138" s="292" t="s">
        <v>1209</v>
      </c>
      <c r="D138" s="292"/>
      <c r="E138" s="292"/>
      <c r="F138" s="293"/>
      <c r="G138" s="294"/>
      <c r="H138" s="288"/>
    </row>
    <row r="139" spans="1:8" s="242" customFormat="1" ht="16.5" x14ac:dyDescent="0.2">
      <c r="A139" s="245"/>
      <c r="B139" s="245"/>
      <c r="C139" s="292" t="s">
        <v>1210</v>
      </c>
      <c r="D139" s="292"/>
      <c r="E139" s="292"/>
      <c r="F139" s="293"/>
      <c r="G139" s="294"/>
      <c r="H139" s="288"/>
    </row>
    <row r="140" spans="1:8" s="242" customFormat="1" ht="16.5" x14ac:dyDescent="0.2">
      <c r="A140" s="245"/>
      <c r="B140" s="245"/>
      <c r="C140" s="292" t="s">
        <v>1211</v>
      </c>
      <c r="D140" s="292"/>
      <c r="E140" s="292"/>
      <c r="F140" s="293"/>
      <c r="G140" s="294"/>
      <c r="H140" s="288"/>
    </row>
    <row r="141" spans="1:8" s="242" customFormat="1" ht="16.5" x14ac:dyDescent="0.2">
      <c r="A141" s="245"/>
      <c r="B141" s="245"/>
      <c r="C141" s="292" t="s">
        <v>1228</v>
      </c>
      <c r="D141" s="292"/>
      <c r="E141" s="292"/>
      <c r="F141" s="293"/>
      <c r="G141" s="294"/>
      <c r="H141" s="288"/>
    </row>
    <row r="142" spans="1:8" s="242" customFormat="1" ht="16.5" x14ac:dyDescent="0.2">
      <c r="A142" s="245"/>
      <c r="B142" s="245"/>
      <c r="C142" s="292" t="s">
        <v>1212</v>
      </c>
      <c r="D142" s="292"/>
      <c r="E142" s="292"/>
      <c r="F142" s="293"/>
      <c r="G142" s="294"/>
      <c r="H142" s="288"/>
    </row>
    <row r="143" spans="1:8" s="242" customFormat="1" ht="16.5" x14ac:dyDescent="0.2">
      <c r="A143" s="245"/>
      <c r="B143" s="245"/>
      <c r="C143" s="292" t="s">
        <v>1213</v>
      </c>
      <c r="D143" s="292"/>
      <c r="E143" s="292"/>
      <c r="F143" s="293"/>
      <c r="G143" s="294"/>
      <c r="H143" s="288"/>
    </row>
    <row r="144" spans="1:8" s="246" customFormat="1" ht="16.5" x14ac:dyDescent="0.2">
      <c r="A144" s="245"/>
      <c r="B144" s="245"/>
      <c r="C144" s="325" t="s">
        <v>1214</v>
      </c>
      <c r="D144" s="325"/>
      <c r="E144" s="325"/>
      <c r="F144" s="325"/>
      <c r="G144" s="325"/>
      <c r="H144" s="288"/>
    </row>
    <row r="145" spans="1:8" s="240" customFormat="1" ht="16.5" x14ac:dyDescent="0.3">
      <c r="A145" s="247"/>
      <c r="B145" s="247"/>
      <c r="C145" s="323" t="s">
        <v>1215</v>
      </c>
      <c r="D145" s="323"/>
      <c r="E145" s="323"/>
      <c r="F145" s="323"/>
      <c r="G145" s="323"/>
      <c r="H145" s="284"/>
    </row>
    <row r="146" spans="1:8" s="248" customFormat="1" ht="16.5" x14ac:dyDescent="0.3">
      <c r="C146" s="295"/>
      <c r="D146" s="295"/>
      <c r="E146" s="295"/>
      <c r="F146" s="296"/>
      <c r="G146" s="296"/>
      <c r="H146" s="297"/>
    </row>
    <row r="147" spans="1:8" s="240" customFormat="1" ht="16.5" x14ac:dyDescent="0.3">
      <c r="A147" s="248"/>
      <c r="B147" s="248"/>
      <c r="C147" s="298" t="s">
        <v>1216</v>
      </c>
      <c r="D147" s="298"/>
      <c r="E147" s="298"/>
      <c r="F147" s="299" t="s">
        <v>1217</v>
      </c>
      <c r="G147" s="300"/>
      <c r="H147" s="284"/>
    </row>
    <row r="148" spans="1:8" s="240" customFormat="1" ht="16.5" x14ac:dyDescent="0.3">
      <c r="C148" s="301"/>
      <c r="D148" s="301"/>
      <c r="E148" s="301"/>
      <c r="F148" s="300"/>
      <c r="G148" s="300"/>
      <c r="H148" s="284"/>
    </row>
    <row r="149" spans="1:8" x14ac:dyDescent="0.2">
      <c r="C149" s="13"/>
      <c r="D149" s="13"/>
      <c r="E149" s="13"/>
      <c r="F149" s="13"/>
      <c r="G149" s="13"/>
      <c r="H149" s="13"/>
    </row>
  </sheetData>
  <mergeCells count="46">
    <mergeCell ref="A10:G10"/>
    <mergeCell ref="C11:E11"/>
    <mergeCell ref="C13:G13"/>
    <mergeCell ref="A16:A19"/>
    <mergeCell ref="B16:B19"/>
    <mergeCell ref="C16:C19"/>
    <mergeCell ref="D16:D19"/>
    <mergeCell ref="E16:E19"/>
    <mergeCell ref="E1:G1"/>
    <mergeCell ref="E2:G2"/>
    <mergeCell ref="A6:G6"/>
    <mergeCell ref="F7:G7"/>
    <mergeCell ref="A9:G9"/>
    <mergeCell ref="A22:B22"/>
    <mergeCell ref="C22:E22"/>
    <mergeCell ref="C111:E111"/>
    <mergeCell ref="C115:G115"/>
    <mergeCell ref="B62:E62"/>
    <mergeCell ref="A66:A69"/>
    <mergeCell ref="B66:B69"/>
    <mergeCell ref="C66:C69"/>
    <mergeCell ref="D66:D69"/>
    <mergeCell ref="E66:E69"/>
    <mergeCell ref="A30:B30"/>
    <mergeCell ref="C30:E30"/>
    <mergeCell ref="A46:B46"/>
    <mergeCell ref="C46:E46"/>
    <mergeCell ref="C117:H117"/>
    <mergeCell ref="C118:G118"/>
    <mergeCell ref="A72:B72"/>
    <mergeCell ref="C72:E72"/>
    <mergeCell ref="A80:B80"/>
    <mergeCell ref="C80:E80"/>
    <mergeCell ref="A96:B96"/>
    <mergeCell ref="C96:E96"/>
    <mergeCell ref="C119:G119"/>
    <mergeCell ref="C124:G124"/>
    <mergeCell ref="C126:G126"/>
    <mergeCell ref="C127:G127"/>
    <mergeCell ref="C129:G129"/>
    <mergeCell ref="C145:G145"/>
    <mergeCell ref="C131:G131"/>
    <mergeCell ref="C132:G132"/>
    <mergeCell ref="C133:G133"/>
    <mergeCell ref="C134:E134"/>
    <mergeCell ref="C144:G144"/>
  </mergeCells>
  <printOptions horizontalCentered="1"/>
  <pageMargins left="0.78740157480314998" right="0.39370078740157499" top="0.39370078740157499" bottom="0.39370078740157499" header="0" footer="0"/>
  <pageSetup paperSize="9" scale="80" orientation="portrait" r:id="rId1"/>
  <headerFooter>
    <oddHeader>&amp;CСтраница &amp;P из &amp;N</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58"/>
  <sheetViews>
    <sheetView workbookViewId="0"/>
  </sheetViews>
  <sheetFormatPr defaultRowHeight="12.75" x14ac:dyDescent="0.2"/>
  <sheetData>
    <row r="1" spans="1:255" x14ac:dyDescent="0.2">
      <c r="B1" t="s">
        <v>782</v>
      </c>
    </row>
    <row r="3" spans="1:255" x14ac:dyDescent="0.2">
      <c r="A3">
        <v>3</v>
      </c>
      <c r="B3" t="s">
        <v>783</v>
      </c>
    </row>
    <row r="4" spans="1:255" x14ac:dyDescent="0.2">
      <c r="A4">
        <v>1</v>
      </c>
      <c r="B4" t="s">
        <v>784</v>
      </c>
    </row>
    <row r="5" spans="1:255" x14ac:dyDescent="0.2">
      <c r="A5">
        <v>0</v>
      </c>
      <c r="B5" t="s">
        <v>785</v>
      </c>
    </row>
    <row r="6" spans="1:255" x14ac:dyDescent="0.2">
      <c r="A6">
        <v>2</v>
      </c>
      <c r="B6" t="s">
        <v>786</v>
      </c>
    </row>
    <row r="7" spans="1:255" x14ac:dyDescent="0.2">
      <c r="A7">
        <v>0</v>
      </c>
      <c r="B7" t="s">
        <v>787</v>
      </c>
    </row>
    <row r="8" spans="1:255" x14ac:dyDescent="0.2">
      <c r="A8">
        <v>2</v>
      </c>
      <c r="B8" t="s">
        <v>788</v>
      </c>
    </row>
    <row r="9" spans="1:255" x14ac:dyDescent="0.2">
      <c r="A9">
        <v>0</v>
      </c>
      <c r="B9" t="s">
        <v>789</v>
      </c>
    </row>
    <row r="13" spans="1:255" x14ac:dyDescent="0.2">
      <c r="A13">
        <v>3</v>
      </c>
      <c r="B13" t="s">
        <v>846</v>
      </c>
      <c r="D13" t="s">
        <v>847</v>
      </c>
      <c r="F13" t="s">
        <v>848</v>
      </c>
    </row>
    <row r="14" spans="1:255" x14ac:dyDescent="0.2">
      <c r="A14">
        <v>4</v>
      </c>
      <c r="B14" t="s">
        <v>849</v>
      </c>
      <c r="D14" t="s">
        <v>850</v>
      </c>
      <c r="F14" t="s">
        <v>850</v>
      </c>
    </row>
    <row r="15" spans="1:255" x14ac:dyDescent="0.2">
      <c r="A15">
        <v>514</v>
      </c>
      <c r="B15" t="s">
        <v>849</v>
      </c>
      <c r="D15" t="s">
        <v>850</v>
      </c>
      <c r="F15" t="s">
        <v>850</v>
      </c>
      <c r="AY15" t="e">
        <f>SUM('2.Лок.смета.и.Акт'!AQ23:'2.Лок.смета.и.Акт'!#REF!)</f>
        <v>#REF!</v>
      </c>
      <c r="AZ15" t="e">
        <f>SUM('2.Лок.смета.и.Акт'!AR23:'2.Лок.смета.и.Акт'!#REF!)</f>
        <v>#REF!</v>
      </c>
      <c r="BA15" t="e">
        <f>SUM('2.Лок.смета.и.Акт'!AS23:'2.Лок.смета.и.Акт'!#REF!)</f>
        <v>#REF!</v>
      </c>
      <c r="BB15" t="e">
        <f>SUM('2.Лок.смета.и.Акт'!AT23:'2.Лок.смета.и.Акт'!#REF!)</f>
        <v>#REF!</v>
      </c>
      <c r="BC15" t="e">
        <f>SUM('2.Лок.смета.и.Акт'!AU23:'2.Лок.смета.и.Акт'!#REF!)</f>
        <v>#REF!</v>
      </c>
      <c r="BD15" t="e">
        <f>SUM('2.Лок.смета.и.Акт'!AV23:'2.Лок.смета.и.Акт'!#REF!)</f>
        <v>#REF!</v>
      </c>
      <c r="CW15" t="e">
        <f>Source!DM85</f>
        <v>#REF!</v>
      </c>
      <c r="CX15" t="e">
        <f>Source!DN85</f>
        <v>#REF!</v>
      </c>
      <c r="CY15" t="e">
        <f>Source!DG85</f>
        <v>#REF!</v>
      </c>
      <c r="CZ15" t="e">
        <f>Source!DK85</f>
        <v>#REF!</v>
      </c>
      <c r="DA15" t="e">
        <f>Source!DI85</f>
        <v>#REF!</v>
      </c>
      <c r="DB15" t="e">
        <f>Source!DJ85</f>
        <v>#REF!</v>
      </c>
      <c r="DC15" t="e">
        <f>Source!DH85</f>
        <v>#REF!</v>
      </c>
      <c r="DD15">
        <f>Source!EG85</f>
        <v>0</v>
      </c>
      <c r="DE15" t="e">
        <f>Source!EN85</f>
        <v>#REF!</v>
      </c>
      <c r="DF15" t="e">
        <f>Source!EO85</f>
        <v>#REF!</v>
      </c>
      <c r="DG15">
        <f>Source!EP85</f>
        <v>0</v>
      </c>
      <c r="DH15" t="e">
        <f>Source!EQ85</f>
        <v>#REF!</v>
      </c>
      <c r="DI15">
        <f>Source!EH85</f>
        <v>0</v>
      </c>
      <c r="DJ15">
        <f>Source!EI85</f>
        <v>0</v>
      </c>
      <c r="DK15">
        <f>Source!ER85</f>
        <v>0</v>
      </c>
      <c r="DL15" t="e">
        <f>Source!DL85</f>
        <v>#REF!</v>
      </c>
      <c r="DM15" t="e">
        <f>Source!DO85</f>
        <v>#REF!</v>
      </c>
      <c r="DN15" t="e">
        <f>Source!DP85</f>
        <v>#REF!</v>
      </c>
      <c r="DO15" t="e">
        <f>Source!DQ85</f>
        <v>#REF!</v>
      </c>
      <c r="DP15" t="e">
        <f>Source!EJ85</f>
        <v>#REF!</v>
      </c>
      <c r="DQ15" t="e">
        <f>Source!EK85</f>
        <v>#REF!</v>
      </c>
      <c r="DR15">
        <f>Source!EL85</f>
        <v>1166</v>
      </c>
      <c r="DS15">
        <f>Source!EH85</f>
        <v>0</v>
      </c>
      <c r="DT15">
        <f>Source!EM85</f>
        <v>0</v>
      </c>
      <c r="DU15" t="e">
        <f>Source!EK85+Source!EL85</f>
        <v>#REF!</v>
      </c>
      <c r="DW15" t="e">
        <f>Source!ES85</f>
        <v>#REF!</v>
      </c>
      <c r="DX15">
        <f>Source!ET85</f>
        <v>0</v>
      </c>
      <c r="DY15">
        <f>Source!EU85</f>
        <v>0</v>
      </c>
      <c r="DZ15">
        <f>Source!EV85</f>
        <v>0</v>
      </c>
      <c r="ET15" t="e">
        <f>Source!DM85</f>
        <v>#REF!</v>
      </c>
      <c r="EU15" t="e">
        <f>Source!DN85</f>
        <v>#REF!</v>
      </c>
      <c r="EV15" t="e">
        <f>SUM('2.Лок.смета.и.Акт'!GH23:'2.Лок.смета.и.Акт'!#REF!)</f>
        <v>#REF!</v>
      </c>
      <c r="EW15" t="e">
        <f>SUM('2.Лок.смета.и.Акт'!GI23:'2.Лок.смета.и.Акт'!#REF!)</f>
        <v>#REF!</v>
      </c>
      <c r="EX15" t="e">
        <f>SUM('2.Лок.смета.и.Акт'!GJ23:'2.Лок.смета.и.Акт'!#REF!)</f>
        <v>#REF!</v>
      </c>
      <c r="EY15" t="e">
        <f>SUM('2.Лок.смета.и.Акт'!GK23:'2.Лок.смета.и.Акт'!#REF!)</f>
        <v>#REF!</v>
      </c>
      <c r="EZ15" t="e">
        <f>SUM('2.Лок.смета.и.Акт'!GL23:'2.Лок.смета.и.Акт'!#REF!)</f>
        <v>#REF!</v>
      </c>
      <c r="FA15" t="e">
        <f>SUM('2.Лок.смета.и.Акт'!GM23:'2.Лок.смета.и.Акт'!#REF!)</f>
        <v>#REF!</v>
      </c>
      <c r="FB15" t="e">
        <f>SUM('2.Лок.смета.и.Акт'!GN23:'2.Лок.смета.и.Акт'!#REF!)</f>
        <v>#REF!</v>
      </c>
      <c r="FC15" t="e">
        <f>SUM('2.Лок.смета.и.Акт'!GO23:'2.Лок.смета.и.Акт'!#REF!)</f>
        <v>#REF!</v>
      </c>
      <c r="FD15" t="e">
        <f>SUM('2.Лок.смета.и.Акт'!GP23:'2.Лок.смета.и.Акт'!#REF!)</f>
        <v>#REF!</v>
      </c>
      <c r="FE15" t="e">
        <f>SUM('2.Лок.смета.и.Акт'!GQ23:'2.Лок.смета.и.Акт'!#REF!)</f>
        <v>#REF!</v>
      </c>
      <c r="FF15" t="e">
        <f>SUM('2.Лок.смета.и.Акт'!GR23:'2.Лок.смета.и.Акт'!#REF!)</f>
        <v>#REF!</v>
      </c>
      <c r="FG15" t="e">
        <f>SUM('2.Лок.смета.и.Акт'!GS23:'2.Лок.смета.и.Акт'!#REF!)</f>
        <v>#REF!</v>
      </c>
      <c r="FH15" t="e">
        <f>SUM('2.Лок.смета.и.Акт'!GT23:'2.Лок.смета.и.Акт'!#REF!)</f>
        <v>#REF!</v>
      </c>
      <c r="FI15" t="e">
        <f>SUM('2.Лок.смета.и.Акт'!GU23:'2.Лок.смета.и.Акт'!#REF!)</f>
        <v>#REF!</v>
      </c>
      <c r="FJ15" t="e">
        <f>SUM('2.Лок.смета.и.Акт'!GV23:'2.Лок.смета.и.Акт'!#REF!)</f>
        <v>#REF!</v>
      </c>
      <c r="FK15" t="e">
        <f>SUM('2.Лок.смета.и.Акт'!GW23:'2.Лок.смета.и.Акт'!#REF!)</f>
        <v>#REF!</v>
      </c>
      <c r="FL15" t="e">
        <f>SUM('2.Лок.смета.и.Акт'!GX23:'2.Лок.смета.и.Акт'!#REF!)</f>
        <v>#REF!</v>
      </c>
      <c r="FM15" t="e">
        <f>SUM('2.Лок.смета.и.Акт'!GY23:'2.Лок.смета.и.Акт'!#REF!)</f>
        <v>#REF!</v>
      </c>
      <c r="FN15" t="e">
        <f>SUM('2.Лок.смета.и.Акт'!GZ23:'2.Лок.смета.и.Акт'!#REF!)</f>
        <v>#REF!</v>
      </c>
      <c r="FO15" t="e">
        <f>SUM('2.Лок.смета.и.Акт'!HA23:'2.Лок.смета.и.Акт'!#REF!)</f>
        <v>#REF!</v>
      </c>
      <c r="FP15" t="e">
        <f>SUM('2.Лок.смета.и.Акт'!HB23:'2.Лок.смета.и.Акт'!#REF!)</f>
        <v>#REF!</v>
      </c>
      <c r="FQ15" t="e">
        <f>SUM('2.Лок.смета.и.Акт'!HC23:'2.Лок.смета.и.Акт'!#REF!)</f>
        <v>#REF!</v>
      </c>
      <c r="FR15" t="e">
        <f>SUM('2.Лок.смета.и.Акт'!GZ23:'2.Лок.смета.и.Акт'!#REF!)+SUM('2.Лок.смета.и.Акт'!HA23:'2.Лок.смета.и.Акт'!#REF!)</f>
        <v>#REF!</v>
      </c>
      <c r="FS15" t="e">
        <f>SUM('2.Лок.смета.и.Акт'!HE23:'2.Лок.смета.и.Акт'!#REF!)</f>
        <v>#REF!</v>
      </c>
      <c r="FT15" t="e">
        <f>SUM('2.Лок.смета.и.Акт'!HF23:'2.Лок.смета.и.Акт'!#REF!)</f>
        <v>#REF!</v>
      </c>
      <c r="FU15" t="e">
        <f>SUM('2.Лок.смета.и.Акт'!HG23:'2.Лок.смета.и.Акт'!#REF!)</f>
        <v>#REF!</v>
      </c>
      <c r="FV15" t="e">
        <f>SUM('2.Лок.смета.и.Акт'!HH23:'2.Лок.смета.и.Акт'!#REF!)</f>
        <v>#REF!</v>
      </c>
      <c r="FW15" t="e">
        <f>SUM('2.Лок.смета.и.Акт'!HI23:'2.Лок.смета.и.Акт'!#REF!)</f>
        <v>#REF!</v>
      </c>
      <c r="FX15" t="e">
        <f>SUMIF('2.Лок.смета.и.Акт'!CT23:'2.Лок.смета.и.Акт'!#REF!,1,'2.Лок.смета.и.Акт'!GI23:'2.Лок.смета.и.Акт'!#REF!)</f>
        <v>#REF!</v>
      </c>
      <c r="FY15" t="e">
        <f>SUMIF('2.Лок.смета.и.Акт'!CT23:'2.Лок.смета.и.Акт'!#REF!,2,'2.Лок.смета.и.Акт'!GI23:'2.Лок.смета.и.Акт'!#REF!)</f>
        <v>#REF!</v>
      </c>
      <c r="FZ15" t="e">
        <f>SUMIF('2.Лок.смета.и.Акт'!CT23:'2.Лок.смета.и.Акт'!#REF!,5,'2.Лок.смета.и.Акт'!GI23:'2.Лок.смета.и.Акт'!#REF!)</f>
        <v>#REF!</v>
      </c>
      <c r="GA15" t="e">
        <f>SUMIF('2.Лок.смета.и.Акт'!CT23:'2.Лок.смета.и.Акт'!#REF!,4,'2.Лок.смета.и.Акт'!GI23:'2.Лок.смета.и.Акт'!#REF!)</f>
        <v>#REF!</v>
      </c>
      <c r="GB15" t="e">
        <f>SUMIF('2.Лок.смета.и.Акт'!CT23:'2.Лок.смета.и.Акт'!#REF!,1,'2.Лок.смета.и.Акт'!GJ23:'2.Лок.смета.и.Акт'!#REF!)</f>
        <v>#REF!</v>
      </c>
      <c r="GC15" t="e">
        <f>SUMIF('2.Лок.смета.и.Акт'!CT23:'2.Лок.смета.и.Акт'!#REF!,2,'2.Лок.смета.и.Акт'!GJ23:'2.Лок.смета.и.Акт'!#REF!)</f>
        <v>#REF!</v>
      </c>
      <c r="GD15" t="e">
        <f>SUMIF('2.Лок.смета.и.Акт'!CT23:'2.Лок.смета.и.Акт'!#REF!,4,'2.Лок.смета.и.Акт'!GJ23:'2.Лок.смета.и.Акт'!#REF!)</f>
        <v>#REF!</v>
      </c>
      <c r="GE15" t="e">
        <f>SUMIF('2.Лок.смета.и.Акт'!CT23:'2.Лок.смета.и.Акт'!#REF!,1,'2.Лок.смета.и.Акт'!GO23:'2.Лок.смета.и.Акт'!#REF!)</f>
        <v>#REF!</v>
      </c>
      <c r="GF15" t="e">
        <f>SUMIF('2.Лок.смета.и.Акт'!CT23:'2.Лок.смета.и.Акт'!#REF!,2,'2.Лок.смета.и.Акт'!GO23:'2.Лок.смета.и.Акт'!#REF!)</f>
        <v>#REF!</v>
      </c>
      <c r="GG15" t="e">
        <f>SUMIF('2.Лок.смета.и.Акт'!CT23:'2.Лок.смета.и.Акт'!#REF!,4,'2.Лок.смета.и.Акт'!GO23:'2.Лок.смета.и.Акт'!#REF!)</f>
        <v>#REF!</v>
      </c>
      <c r="IB15" t="e">
        <f>SUM('2.Лок.смета.и.Акт'!HM23:'2.Лок.смета.и.Акт'!#REF!)</f>
        <v>#REF!</v>
      </c>
      <c r="IC15" t="e">
        <f>SUM('2.Лок.смета.и.Акт'!HO23:'2.Лок.смета.и.Акт'!#REF!)</f>
        <v>#REF!</v>
      </c>
      <c r="ID15" t="e">
        <f>SUM('2.Лок.смета.и.Акт'!HQ23:'2.Лок.смета.и.Акт'!#REF!)</f>
        <v>#REF!</v>
      </c>
      <c r="IE15" t="e">
        <f>SUM('2.Лок.смета.и.Акт'!HS23:'2.Лок.смета.и.Акт'!#REF!)</f>
        <v>#REF!</v>
      </c>
      <c r="IF15" t="e">
        <f>SUM('2.Лок.смета.и.Акт'!HW23:'2.Лок.смета.и.Акт'!#REF!)</f>
        <v>#REF!</v>
      </c>
      <c r="IG15" t="e">
        <f>SUM('2.Лок.смета.и.Акт'!HX23:'2.Лок.смета.и.Акт'!#REF!)</f>
        <v>#REF!</v>
      </c>
      <c r="IH15" t="e">
        <f>SUM('2.Лок.смета.и.Акт'!HJ23:'2.Лок.смета.и.Акт'!#REF!)</f>
        <v>#REF!</v>
      </c>
      <c r="II15" t="e">
        <f>SUM('2.Лок.смета.и.Акт'!HL23:'2.Лок.смета.и.Акт'!#REF!)</f>
        <v>#REF!</v>
      </c>
      <c r="IJ15" t="e">
        <f>SUM('2.Лок.смета.и.Акт'!HN23:'2.Лок.смета.и.Акт'!#REF!)</f>
        <v>#REF!</v>
      </c>
      <c r="IK15" t="e">
        <f>SUM('2.Лок.смета.и.Акт'!HP23:'2.Лок.смета.и.Акт'!#REF!)</f>
        <v>#REF!</v>
      </c>
      <c r="IL15" t="e">
        <f>SUM('2.Лок.смета.и.Акт'!HR23:'2.Лок.смета.и.Акт'!#REF!)</f>
        <v>#REF!</v>
      </c>
      <c r="IM15" t="e">
        <f>SUM('2.Лок.смета.и.Акт'!HU23:'2.Лок.смета.и.Акт'!#REF!)</f>
        <v>#REF!</v>
      </c>
      <c r="IN15" t="e">
        <f>SUMIF('2.Лок.смета.и.Акт'!CT23:'2.Лок.смета.и.Акт'!#REF!,1,'2.Лок.смета.и.Акт'!GW23:'2.Лок.смета.и.Акт'!#REF!)</f>
        <v>#REF!</v>
      </c>
      <c r="IO15" t="e">
        <f>SUMIF('2.Лок.смета.и.Акт'!CT23:'2.Лок.смета.и.Акт'!#REF!,2,'2.Лок.смета.и.Акт'!GW23:'2.Лок.смета.и.Акт'!#REF!)</f>
        <v>#REF!</v>
      </c>
      <c r="IP15" t="e">
        <f>SUMIF('2.Лок.смета.и.Акт'!CT23:'2.Лок.смета.и.Акт'!#REF!,5,'2.Лок.смета.и.Акт'!GW23:'2.Лок.смета.и.Акт'!#REF!)</f>
        <v>#REF!</v>
      </c>
      <c r="IQ15" t="e">
        <f>SUMIF('2.Лок.смета.и.Акт'!CT23:'2.Лок.смета.и.Акт'!#REF!,4,'2.Лок.смета.и.Акт'!GW23:'2.Лок.смета.и.Акт'!#REF!)</f>
        <v>#REF!</v>
      </c>
      <c r="IR15" t="e">
        <f>SUMIF('2.Лок.смета.и.Акт'!CT23:'2.Лок.смета.и.Акт'!#REF!,1,'2.Лок.смета.и.Акт'!GX23:'2.Лок.смета.и.Акт'!#REF!)</f>
        <v>#REF!</v>
      </c>
      <c r="IS15" t="e">
        <f>SUMIF('2.Лок.смета.и.Акт'!CT23:'2.Лок.смета.и.Акт'!#REF!,2,'2.Лок.смета.и.Акт'!GX23:'2.Лок.смета.и.Акт'!#REF!)</f>
        <v>#REF!</v>
      </c>
      <c r="IT15" t="e">
        <f>SUMIF('2.Лок.смета.и.Акт'!CT23:'2.Лок.смета.и.Акт'!#REF!,5,'2.Лок.смета.и.Акт'!GX23:'2.Лок.смета.и.Акт'!#REF!)</f>
        <v>#REF!</v>
      </c>
      <c r="IU15" t="e">
        <f>SUMIF('2.Лок.смета.и.Акт'!CT23:'2.Лок.смета.и.Акт'!#REF!,4,'2.Лок.смета.и.Акт'!GX23:'2.Лок.смета.и.Акт'!#REF!)</f>
        <v>#REF!</v>
      </c>
    </row>
    <row r="16" spans="1:255" x14ac:dyDescent="0.2">
      <c r="A16">
        <v>4</v>
      </c>
      <c r="B16" t="s">
        <v>849</v>
      </c>
      <c r="D16" t="s">
        <v>930</v>
      </c>
      <c r="F16" t="s">
        <v>930</v>
      </c>
    </row>
    <row r="17" spans="1:255" x14ac:dyDescent="0.2">
      <c r="A17">
        <v>514</v>
      </c>
      <c r="B17" t="s">
        <v>849</v>
      </c>
      <c r="D17" t="s">
        <v>930</v>
      </c>
      <c r="F17" t="s">
        <v>930</v>
      </c>
      <c r="AY17" t="e">
        <f>SUM('2.Лок.смета.и.Акт'!AQ31:'2.Лок.смета.и.Акт'!#REF!)</f>
        <v>#REF!</v>
      </c>
      <c r="AZ17" t="e">
        <f>SUM('2.Лок.смета.и.Акт'!AR31:'2.Лок.смета.и.Акт'!#REF!)</f>
        <v>#REF!</v>
      </c>
      <c r="BA17" t="e">
        <f>SUM('2.Лок.смета.и.Акт'!AS31:'2.Лок.смета.и.Акт'!#REF!)</f>
        <v>#REF!</v>
      </c>
      <c r="BB17" t="e">
        <f>SUM('2.Лок.смета.и.Акт'!AT31:'2.Лок.смета.и.Акт'!#REF!)</f>
        <v>#REF!</v>
      </c>
      <c r="BC17" t="e">
        <f>SUM('2.Лок.смета.и.Акт'!AU31:'2.Лок.смета.и.Акт'!#REF!)</f>
        <v>#REF!</v>
      </c>
      <c r="BD17" t="e">
        <f>SUM('2.Лок.смета.и.Акт'!AV31:'2.Лок.смета.и.Акт'!#REF!)</f>
        <v>#REF!</v>
      </c>
      <c r="CW17" t="e">
        <f>Source!DM282</f>
        <v>#REF!</v>
      </c>
      <c r="CX17" t="e">
        <f>Source!DN282</f>
        <v>#REF!</v>
      </c>
      <c r="CY17" t="e">
        <f>Source!DG282</f>
        <v>#REF!</v>
      </c>
      <c r="CZ17" t="e">
        <f>Source!DK282</f>
        <v>#REF!</v>
      </c>
      <c r="DA17" t="e">
        <f>Source!DI282</f>
        <v>#REF!</v>
      </c>
      <c r="DB17" t="e">
        <f>Source!DJ282</f>
        <v>#REF!</v>
      </c>
      <c r="DC17" t="e">
        <f>Source!DH282</f>
        <v>#REF!</v>
      </c>
      <c r="DD17">
        <f>Source!EG282</f>
        <v>0</v>
      </c>
      <c r="DE17" t="e">
        <f>Source!EN282</f>
        <v>#REF!</v>
      </c>
      <c r="DF17" t="e">
        <f>Source!EO282</f>
        <v>#REF!</v>
      </c>
      <c r="DG17">
        <f>Source!EP282</f>
        <v>0</v>
      </c>
      <c r="DH17" t="e">
        <f>Source!EQ282</f>
        <v>#REF!</v>
      </c>
      <c r="DI17">
        <f>Source!EH282</f>
        <v>0</v>
      </c>
      <c r="DJ17">
        <f>Source!EI282</f>
        <v>0</v>
      </c>
      <c r="DK17">
        <f>Source!ER282</f>
        <v>0</v>
      </c>
      <c r="DL17" t="e">
        <f>Source!DL282</f>
        <v>#REF!</v>
      </c>
      <c r="DM17" t="e">
        <f>Source!DO282</f>
        <v>#REF!</v>
      </c>
      <c r="DN17" t="e">
        <f>Source!DP282</f>
        <v>#REF!</v>
      </c>
      <c r="DO17" t="e">
        <f>Source!DQ282</f>
        <v>#REF!</v>
      </c>
      <c r="DP17" t="e">
        <f>Source!EJ282</f>
        <v>#REF!</v>
      </c>
      <c r="DQ17" t="e">
        <f>Source!EK282</f>
        <v>#REF!</v>
      </c>
      <c r="DR17" t="e">
        <f>Source!EL282</f>
        <v>#REF!</v>
      </c>
      <c r="DS17">
        <f>Source!EH282</f>
        <v>0</v>
      </c>
      <c r="DT17">
        <f>Source!EM282</f>
        <v>0</v>
      </c>
      <c r="DU17" t="e">
        <f>Source!EK282+Source!EL282</f>
        <v>#REF!</v>
      </c>
      <c r="DW17" t="e">
        <f>Source!ES282</f>
        <v>#REF!</v>
      </c>
      <c r="DX17">
        <f>Source!ET282</f>
        <v>0</v>
      </c>
      <c r="DY17">
        <f>Source!EU282</f>
        <v>0</v>
      </c>
      <c r="DZ17">
        <f>Source!EV282</f>
        <v>0</v>
      </c>
      <c r="ET17" t="e">
        <f>Source!DM282</f>
        <v>#REF!</v>
      </c>
      <c r="EU17" t="e">
        <f>Source!DN282</f>
        <v>#REF!</v>
      </c>
      <c r="EV17" t="e">
        <f>SUM('2.Лок.смета.и.Акт'!GH31:'2.Лок.смета.и.Акт'!#REF!)</f>
        <v>#REF!</v>
      </c>
      <c r="EW17" t="e">
        <f>SUM('2.Лок.смета.и.Акт'!GI31:'2.Лок.смета.и.Акт'!#REF!)</f>
        <v>#REF!</v>
      </c>
      <c r="EX17" t="e">
        <f>SUM('2.Лок.смета.и.Акт'!GJ31:'2.Лок.смета.и.Акт'!#REF!)</f>
        <v>#REF!</v>
      </c>
      <c r="EY17" t="e">
        <f>SUM('2.Лок.смета.и.Акт'!GK31:'2.Лок.смета.и.Акт'!#REF!)</f>
        <v>#REF!</v>
      </c>
      <c r="EZ17" t="e">
        <f>SUM('2.Лок.смета.и.Акт'!GL31:'2.Лок.смета.и.Акт'!#REF!)</f>
        <v>#REF!</v>
      </c>
      <c r="FA17" t="e">
        <f>SUM('2.Лок.смета.и.Акт'!GM31:'2.Лок.смета.и.Акт'!#REF!)</f>
        <v>#REF!</v>
      </c>
      <c r="FB17" t="e">
        <f>SUM('2.Лок.смета.и.Акт'!GN31:'2.Лок.смета.и.Акт'!#REF!)</f>
        <v>#REF!</v>
      </c>
      <c r="FC17" t="e">
        <f>SUM('2.Лок.смета.и.Акт'!GO31:'2.Лок.смета.и.Акт'!#REF!)</f>
        <v>#REF!</v>
      </c>
      <c r="FD17" t="e">
        <f>SUM('2.Лок.смета.и.Акт'!GP31:'2.Лок.смета.и.Акт'!#REF!)</f>
        <v>#REF!</v>
      </c>
      <c r="FE17" t="e">
        <f>SUM('2.Лок.смета.и.Акт'!GQ31:'2.Лок.смета.и.Акт'!#REF!)</f>
        <v>#REF!</v>
      </c>
      <c r="FF17" t="e">
        <f>SUM('2.Лок.смета.и.Акт'!GR31:'2.Лок.смета.и.Акт'!#REF!)</f>
        <v>#REF!</v>
      </c>
      <c r="FG17" t="e">
        <f>SUM('2.Лок.смета.и.Акт'!GS31:'2.Лок.смета.и.Акт'!#REF!)</f>
        <v>#REF!</v>
      </c>
      <c r="FH17" t="e">
        <f>SUM('2.Лок.смета.и.Акт'!GT31:'2.Лок.смета.и.Акт'!#REF!)</f>
        <v>#REF!</v>
      </c>
      <c r="FI17" t="e">
        <f>SUM('2.Лок.смета.и.Акт'!GU31:'2.Лок.смета.и.Акт'!#REF!)</f>
        <v>#REF!</v>
      </c>
      <c r="FJ17" t="e">
        <f>SUM('2.Лок.смета.и.Акт'!GV31:'2.Лок.смета.и.Акт'!#REF!)</f>
        <v>#REF!</v>
      </c>
      <c r="FK17" t="e">
        <f>SUM('2.Лок.смета.и.Акт'!GW31:'2.Лок.смета.и.Акт'!#REF!)</f>
        <v>#REF!</v>
      </c>
      <c r="FL17" t="e">
        <f>SUM('2.Лок.смета.и.Акт'!GX31:'2.Лок.смета.и.Акт'!#REF!)</f>
        <v>#REF!</v>
      </c>
      <c r="FM17" t="e">
        <f>SUM('2.Лок.смета.и.Акт'!GY31:'2.Лок.смета.и.Акт'!#REF!)</f>
        <v>#REF!</v>
      </c>
      <c r="FN17" t="e">
        <f>SUM('2.Лок.смета.и.Акт'!GZ31:'2.Лок.смета.и.Акт'!#REF!)</f>
        <v>#REF!</v>
      </c>
      <c r="FO17" t="e">
        <f>SUM('2.Лок.смета.и.Акт'!HA31:'2.Лок.смета.и.Акт'!#REF!)</f>
        <v>#REF!</v>
      </c>
      <c r="FP17" t="e">
        <f>SUM('2.Лок.смета.и.Акт'!HB31:'2.Лок.смета.и.Акт'!#REF!)</f>
        <v>#REF!</v>
      </c>
      <c r="FQ17" t="e">
        <f>SUM('2.Лок.смета.и.Акт'!HC31:'2.Лок.смета.и.Акт'!#REF!)</f>
        <v>#REF!</v>
      </c>
      <c r="FR17" t="e">
        <f>SUM('2.Лок.смета.и.Акт'!GZ31:'2.Лок.смета.и.Акт'!#REF!)+SUM('2.Лок.смета.и.Акт'!HA31:'2.Лок.смета.и.Акт'!#REF!)</f>
        <v>#REF!</v>
      </c>
      <c r="FS17" t="e">
        <f>SUM('2.Лок.смета.и.Акт'!HE31:'2.Лок.смета.и.Акт'!#REF!)</f>
        <v>#REF!</v>
      </c>
      <c r="FT17" t="e">
        <f>SUM('2.Лок.смета.и.Акт'!HF31:'2.Лок.смета.и.Акт'!#REF!)</f>
        <v>#REF!</v>
      </c>
      <c r="FU17" t="e">
        <f>SUM('2.Лок.смета.и.Акт'!HG31:'2.Лок.смета.и.Акт'!#REF!)</f>
        <v>#REF!</v>
      </c>
      <c r="FV17" t="e">
        <f>SUM('2.Лок.смета.и.Акт'!HH31:'2.Лок.смета.и.Акт'!#REF!)</f>
        <v>#REF!</v>
      </c>
      <c r="FW17" t="e">
        <f>SUM('2.Лок.смета.и.Акт'!HI31:'2.Лок.смета.и.Акт'!#REF!)</f>
        <v>#REF!</v>
      </c>
      <c r="FX17" t="e">
        <f>SUMIF('2.Лок.смета.и.Акт'!CT31:'2.Лок.смета.и.Акт'!#REF!,1,'2.Лок.смета.и.Акт'!GI31:'2.Лок.смета.и.Акт'!#REF!)</f>
        <v>#REF!</v>
      </c>
      <c r="FY17" t="e">
        <f>SUMIF('2.Лок.смета.и.Акт'!CT31:'2.Лок.смета.и.Акт'!#REF!,2,'2.Лок.смета.и.Акт'!GI31:'2.Лок.смета.и.Акт'!#REF!)</f>
        <v>#REF!</v>
      </c>
      <c r="FZ17" t="e">
        <f>SUMIF('2.Лок.смета.и.Акт'!CT31:'2.Лок.смета.и.Акт'!#REF!,5,'2.Лок.смета.и.Акт'!GI31:'2.Лок.смета.и.Акт'!#REF!)</f>
        <v>#REF!</v>
      </c>
      <c r="GA17" t="e">
        <f>SUMIF('2.Лок.смета.и.Акт'!CT31:'2.Лок.смета.и.Акт'!#REF!,4,'2.Лок.смета.и.Акт'!GI31:'2.Лок.смета.и.Акт'!#REF!)</f>
        <v>#REF!</v>
      </c>
      <c r="GB17" t="e">
        <f>SUMIF('2.Лок.смета.и.Акт'!CT31:'2.Лок.смета.и.Акт'!#REF!,1,'2.Лок.смета.и.Акт'!GJ31:'2.Лок.смета.и.Акт'!#REF!)</f>
        <v>#REF!</v>
      </c>
      <c r="GC17" t="e">
        <f>SUMIF('2.Лок.смета.и.Акт'!CT31:'2.Лок.смета.и.Акт'!#REF!,2,'2.Лок.смета.и.Акт'!GJ31:'2.Лок.смета.и.Акт'!#REF!)</f>
        <v>#REF!</v>
      </c>
      <c r="GD17" t="e">
        <f>SUMIF('2.Лок.смета.и.Акт'!CT31:'2.Лок.смета.и.Акт'!#REF!,4,'2.Лок.смета.и.Акт'!GJ31:'2.Лок.смета.и.Акт'!#REF!)</f>
        <v>#REF!</v>
      </c>
      <c r="GE17" t="e">
        <f>SUMIF('2.Лок.смета.и.Акт'!CT31:'2.Лок.смета.и.Акт'!#REF!,1,'2.Лок.смета.и.Акт'!GO31:'2.Лок.смета.и.Акт'!#REF!)</f>
        <v>#REF!</v>
      </c>
      <c r="GF17" t="e">
        <f>SUMIF('2.Лок.смета.и.Акт'!CT31:'2.Лок.смета.и.Акт'!#REF!,2,'2.Лок.смета.и.Акт'!GO31:'2.Лок.смета.и.Акт'!#REF!)</f>
        <v>#REF!</v>
      </c>
      <c r="GG17" t="e">
        <f>SUMIF('2.Лок.смета.и.Акт'!CT31:'2.Лок.смета.и.Акт'!#REF!,4,'2.Лок.смета.и.Акт'!GO31:'2.Лок.смета.и.Акт'!#REF!)</f>
        <v>#REF!</v>
      </c>
      <c r="IB17" t="e">
        <f>SUM('2.Лок.смета.и.Акт'!HM31:'2.Лок.смета.и.Акт'!#REF!)</f>
        <v>#REF!</v>
      </c>
      <c r="IC17" t="e">
        <f>SUM('2.Лок.смета.и.Акт'!HO31:'2.Лок.смета.и.Акт'!#REF!)</f>
        <v>#REF!</v>
      </c>
      <c r="ID17" t="e">
        <f>SUM('2.Лок.смета.и.Акт'!HQ31:'2.Лок.смета.и.Акт'!#REF!)</f>
        <v>#REF!</v>
      </c>
      <c r="IE17" t="e">
        <f>SUM('2.Лок.смета.и.Акт'!HS31:'2.Лок.смета.и.Акт'!#REF!)</f>
        <v>#REF!</v>
      </c>
      <c r="IF17" t="e">
        <f>SUM('2.Лок.смета.и.Акт'!HW31:'2.Лок.смета.и.Акт'!#REF!)</f>
        <v>#REF!</v>
      </c>
      <c r="IG17" t="e">
        <f>SUM('2.Лок.смета.и.Акт'!HX31:'2.Лок.смета.и.Акт'!#REF!)</f>
        <v>#REF!</v>
      </c>
      <c r="IH17" t="e">
        <f>SUM('2.Лок.смета.и.Акт'!HJ31:'2.Лок.смета.и.Акт'!#REF!)</f>
        <v>#REF!</v>
      </c>
      <c r="II17" t="e">
        <f>SUM('2.Лок.смета.и.Акт'!HL31:'2.Лок.смета.и.Акт'!#REF!)</f>
        <v>#REF!</v>
      </c>
      <c r="IJ17" t="e">
        <f>SUM('2.Лок.смета.и.Акт'!HN31:'2.Лок.смета.и.Акт'!#REF!)</f>
        <v>#REF!</v>
      </c>
      <c r="IK17" t="e">
        <f>SUM('2.Лок.смета.и.Акт'!HP31:'2.Лок.смета.и.Акт'!#REF!)</f>
        <v>#REF!</v>
      </c>
      <c r="IL17" t="e">
        <f>SUM('2.Лок.смета.и.Акт'!HR31:'2.Лок.смета.и.Акт'!#REF!)</f>
        <v>#REF!</v>
      </c>
      <c r="IM17" t="e">
        <f>SUM('2.Лок.смета.и.Акт'!HU31:'2.Лок.смета.и.Акт'!#REF!)</f>
        <v>#REF!</v>
      </c>
      <c r="IN17" t="e">
        <f>SUMIF('2.Лок.смета.и.Акт'!CT31:'2.Лок.смета.и.Акт'!#REF!,1,'2.Лок.смета.и.Акт'!GW31:'2.Лок.смета.и.Акт'!#REF!)</f>
        <v>#REF!</v>
      </c>
      <c r="IO17" t="e">
        <f>SUMIF('2.Лок.смета.и.Акт'!CT31:'2.Лок.смета.и.Акт'!#REF!,2,'2.Лок.смета.и.Акт'!GW31:'2.Лок.смета.и.Акт'!#REF!)</f>
        <v>#REF!</v>
      </c>
      <c r="IP17" t="e">
        <f>SUMIF('2.Лок.смета.и.Акт'!CT31:'2.Лок.смета.и.Акт'!#REF!,5,'2.Лок.смета.и.Акт'!GW31:'2.Лок.смета.и.Акт'!#REF!)</f>
        <v>#REF!</v>
      </c>
      <c r="IQ17" t="e">
        <f>SUMIF('2.Лок.смета.и.Акт'!CT31:'2.Лок.смета.и.Акт'!#REF!,4,'2.Лок.смета.и.Акт'!GW31:'2.Лок.смета.и.Акт'!#REF!)</f>
        <v>#REF!</v>
      </c>
      <c r="IR17" t="e">
        <f>SUMIF('2.Лок.смета.и.Акт'!CT31:'2.Лок.смета.и.Акт'!#REF!,1,'2.Лок.смета.и.Акт'!GX31:'2.Лок.смета.и.Акт'!#REF!)</f>
        <v>#REF!</v>
      </c>
      <c r="IS17" t="e">
        <f>SUMIF('2.Лок.смета.и.Акт'!CT31:'2.Лок.смета.и.Акт'!#REF!,2,'2.Лок.смета.и.Акт'!GX31:'2.Лок.смета.и.Акт'!#REF!)</f>
        <v>#REF!</v>
      </c>
      <c r="IT17" t="e">
        <f>SUMIF('2.Лок.смета.и.Акт'!CT31:'2.Лок.смета.и.Акт'!#REF!,5,'2.Лок.смета.и.Акт'!GX31:'2.Лок.смета.и.Акт'!#REF!)</f>
        <v>#REF!</v>
      </c>
      <c r="IU17" t="e">
        <f>SUMIF('2.Лок.смета.и.Акт'!CT31:'2.Лок.смета.и.Акт'!#REF!,4,'2.Лок.смета.и.Акт'!GX31:'2.Лок.смета.и.Акт'!#REF!)</f>
        <v>#REF!</v>
      </c>
    </row>
    <row r="18" spans="1:255" x14ac:dyDescent="0.2">
      <c r="A18">
        <v>4</v>
      </c>
      <c r="B18" t="s">
        <v>849</v>
      </c>
      <c r="D18" t="s">
        <v>966</v>
      </c>
      <c r="F18" t="s">
        <v>966</v>
      </c>
    </row>
    <row r="19" spans="1:255" x14ac:dyDescent="0.2">
      <c r="A19">
        <v>514</v>
      </c>
      <c r="B19" t="s">
        <v>849</v>
      </c>
      <c r="D19" t="s">
        <v>966</v>
      </c>
      <c r="F19" t="s">
        <v>966</v>
      </c>
      <c r="AY19" t="e">
        <f>SUM('2.Лок.смета.и.Акт'!AQ47:'2.Лок.смета.и.Акт'!#REF!)</f>
        <v>#REF!</v>
      </c>
      <c r="AZ19" t="e">
        <f>SUM('2.Лок.смета.и.Акт'!AR47:'2.Лок.смета.и.Акт'!#REF!)</f>
        <v>#REF!</v>
      </c>
      <c r="BA19" t="e">
        <f>SUM('2.Лок.смета.и.Акт'!AS47:'2.Лок.смета.и.Акт'!#REF!)</f>
        <v>#REF!</v>
      </c>
      <c r="BB19" t="e">
        <f>SUM('2.Лок.смета.и.Акт'!AT47:'2.Лок.смета.и.Акт'!#REF!)</f>
        <v>#REF!</v>
      </c>
      <c r="BC19" t="e">
        <f>SUM('2.Лок.смета.и.Акт'!AU47:'2.Лок.смета.и.Акт'!#REF!)</f>
        <v>#REF!</v>
      </c>
      <c r="BD19" t="e">
        <f>SUM('2.Лок.смета.и.Акт'!AV47:'2.Лок.смета.и.Акт'!#REF!)</f>
        <v>#REF!</v>
      </c>
      <c r="CW19" t="e">
        <f>Source!DM407</f>
        <v>#REF!</v>
      </c>
      <c r="CX19" t="e">
        <f>Source!DN407</f>
        <v>#REF!</v>
      </c>
      <c r="CY19" t="e">
        <f>Source!DG407</f>
        <v>#REF!</v>
      </c>
      <c r="CZ19" t="e">
        <f>Source!DK407</f>
        <v>#REF!</v>
      </c>
      <c r="DA19" t="e">
        <f>Source!DI407</f>
        <v>#REF!</v>
      </c>
      <c r="DB19" t="e">
        <f>Source!DJ407</f>
        <v>#REF!</v>
      </c>
      <c r="DC19" t="e">
        <f>Source!DH407</f>
        <v>#REF!</v>
      </c>
      <c r="DD19">
        <f>Source!EG407</f>
        <v>0</v>
      </c>
      <c r="DE19" t="e">
        <f>Source!EN407</f>
        <v>#REF!</v>
      </c>
      <c r="DF19" t="e">
        <f>Source!EO407</f>
        <v>#REF!</v>
      </c>
      <c r="DG19">
        <f>Source!EP407</f>
        <v>0</v>
      </c>
      <c r="DH19" t="e">
        <f>Source!EQ407</f>
        <v>#REF!</v>
      </c>
      <c r="DI19">
        <f>Source!EH407</f>
        <v>0</v>
      </c>
      <c r="DJ19">
        <f>Source!EI407</f>
        <v>0</v>
      </c>
      <c r="DK19">
        <f>Source!ER407</f>
        <v>0</v>
      </c>
      <c r="DL19" t="e">
        <f>Source!DL407</f>
        <v>#REF!</v>
      </c>
      <c r="DM19" t="e">
        <f>Source!DO407</f>
        <v>#REF!</v>
      </c>
      <c r="DN19" t="e">
        <f>Source!DP407</f>
        <v>#REF!</v>
      </c>
      <c r="DO19" t="e">
        <f>Source!DQ407</f>
        <v>#REF!</v>
      </c>
      <c r="DP19" t="e">
        <f>Source!EJ407</f>
        <v>#REF!</v>
      </c>
      <c r="DQ19" t="e">
        <f>Source!EK407</f>
        <v>#REF!</v>
      </c>
      <c r="DR19" t="e">
        <f>Source!EL407</f>
        <v>#REF!</v>
      </c>
      <c r="DS19">
        <f>Source!EH407</f>
        <v>0</v>
      </c>
      <c r="DT19">
        <f>Source!EM407</f>
        <v>0</v>
      </c>
      <c r="DU19" t="e">
        <f>Source!EK407+Source!EL407</f>
        <v>#REF!</v>
      </c>
      <c r="DW19" t="e">
        <f>Source!ES407</f>
        <v>#REF!</v>
      </c>
      <c r="DX19">
        <f>Source!ET407</f>
        <v>0</v>
      </c>
      <c r="DY19">
        <f>Source!EU407</f>
        <v>0</v>
      </c>
      <c r="DZ19">
        <f>Source!EV407</f>
        <v>0</v>
      </c>
      <c r="ET19" t="e">
        <f>Source!DM407</f>
        <v>#REF!</v>
      </c>
      <c r="EU19" t="e">
        <f>Source!DN407</f>
        <v>#REF!</v>
      </c>
      <c r="EV19" t="e">
        <f>SUM('2.Лок.смета.и.Акт'!GH47:'2.Лок.смета.и.Акт'!#REF!)</f>
        <v>#REF!</v>
      </c>
      <c r="EW19" t="e">
        <f>SUM('2.Лок.смета.и.Акт'!GI47:'2.Лок.смета.и.Акт'!#REF!)</f>
        <v>#REF!</v>
      </c>
      <c r="EX19" t="e">
        <f>SUM('2.Лок.смета.и.Акт'!GJ47:'2.Лок.смета.и.Акт'!#REF!)</f>
        <v>#REF!</v>
      </c>
      <c r="EY19" t="e">
        <f>SUM('2.Лок.смета.и.Акт'!GK47:'2.Лок.смета.и.Акт'!#REF!)</f>
        <v>#REF!</v>
      </c>
      <c r="EZ19" t="e">
        <f>SUM('2.Лок.смета.и.Акт'!GL47:'2.Лок.смета.и.Акт'!#REF!)</f>
        <v>#REF!</v>
      </c>
      <c r="FA19" t="e">
        <f>SUM('2.Лок.смета.и.Акт'!GM47:'2.Лок.смета.и.Акт'!#REF!)</f>
        <v>#REF!</v>
      </c>
      <c r="FB19" t="e">
        <f>SUM('2.Лок.смета.и.Акт'!GN47:'2.Лок.смета.и.Акт'!#REF!)</f>
        <v>#REF!</v>
      </c>
      <c r="FC19" t="e">
        <f>SUM('2.Лок.смета.и.Акт'!GO47:'2.Лок.смета.и.Акт'!#REF!)</f>
        <v>#REF!</v>
      </c>
      <c r="FD19" t="e">
        <f>SUM('2.Лок.смета.и.Акт'!GP47:'2.Лок.смета.и.Акт'!#REF!)</f>
        <v>#REF!</v>
      </c>
      <c r="FE19" t="e">
        <f>SUM('2.Лок.смета.и.Акт'!GQ47:'2.Лок.смета.и.Акт'!#REF!)</f>
        <v>#REF!</v>
      </c>
      <c r="FF19" t="e">
        <f>SUM('2.Лок.смета.и.Акт'!GR47:'2.Лок.смета.и.Акт'!#REF!)</f>
        <v>#REF!</v>
      </c>
      <c r="FG19" t="e">
        <f>SUM('2.Лок.смета.и.Акт'!GS47:'2.Лок.смета.и.Акт'!#REF!)</f>
        <v>#REF!</v>
      </c>
      <c r="FH19" t="e">
        <f>SUM('2.Лок.смета.и.Акт'!GT47:'2.Лок.смета.и.Акт'!#REF!)</f>
        <v>#REF!</v>
      </c>
      <c r="FI19" t="e">
        <f>SUM('2.Лок.смета.и.Акт'!GU47:'2.Лок.смета.и.Акт'!#REF!)</f>
        <v>#REF!</v>
      </c>
      <c r="FJ19" t="e">
        <f>SUM('2.Лок.смета.и.Акт'!GV47:'2.Лок.смета.и.Акт'!#REF!)</f>
        <v>#REF!</v>
      </c>
      <c r="FK19" t="e">
        <f>SUM('2.Лок.смета.и.Акт'!GW47:'2.Лок.смета.и.Акт'!#REF!)</f>
        <v>#REF!</v>
      </c>
      <c r="FL19" t="e">
        <f>SUM('2.Лок.смета.и.Акт'!GX47:'2.Лок.смета.и.Акт'!#REF!)</f>
        <v>#REF!</v>
      </c>
      <c r="FM19" t="e">
        <f>SUM('2.Лок.смета.и.Акт'!GY47:'2.Лок.смета.и.Акт'!#REF!)</f>
        <v>#REF!</v>
      </c>
      <c r="FN19" t="e">
        <f>SUM('2.Лок.смета.и.Акт'!GZ47:'2.Лок.смета.и.Акт'!#REF!)</f>
        <v>#REF!</v>
      </c>
      <c r="FO19" t="e">
        <f>SUM('2.Лок.смета.и.Акт'!HA47:'2.Лок.смета.и.Акт'!#REF!)</f>
        <v>#REF!</v>
      </c>
      <c r="FP19" t="e">
        <f>SUM('2.Лок.смета.и.Акт'!HB47:'2.Лок.смета.и.Акт'!#REF!)</f>
        <v>#REF!</v>
      </c>
      <c r="FQ19" t="e">
        <f>SUM('2.Лок.смета.и.Акт'!HC47:'2.Лок.смета.и.Акт'!#REF!)</f>
        <v>#REF!</v>
      </c>
      <c r="FR19" t="e">
        <f>SUM('2.Лок.смета.и.Акт'!GZ47:'2.Лок.смета.и.Акт'!#REF!)+SUM('2.Лок.смета.и.Акт'!HA47:'2.Лок.смета.и.Акт'!#REF!)</f>
        <v>#REF!</v>
      </c>
      <c r="FS19" t="e">
        <f>SUM('2.Лок.смета.и.Акт'!HE47:'2.Лок.смета.и.Акт'!#REF!)</f>
        <v>#REF!</v>
      </c>
      <c r="FT19" t="e">
        <f>SUM('2.Лок.смета.и.Акт'!HF47:'2.Лок.смета.и.Акт'!#REF!)</f>
        <v>#REF!</v>
      </c>
      <c r="FU19" t="e">
        <f>SUM('2.Лок.смета.и.Акт'!HG47:'2.Лок.смета.и.Акт'!#REF!)</f>
        <v>#REF!</v>
      </c>
      <c r="FV19" t="e">
        <f>SUM('2.Лок.смета.и.Акт'!HH47:'2.Лок.смета.и.Акт'!#REF!)</f>
        <v>#REF!</v>
      </c>
      <c r="FW19" t="e">
        <f>SUM('2.Лок.смета.и.Акт'!HI47:'2.Лок.смета.и.Акт'!#REF!)</f>
        <v>#REF!</v>
      </c>
      <c r="FX19" t="e">
        <f>SUMIF('2.Лок.смета.и.Акт'!CT47:'2.Лок.смета.и.Акт'!#REF!,1,'2.Лок.смета.и.Акт'!GI47:'2.Лок.смета.и.Акт'!#REF!)</f>
        <v>#REF!</v>
      </c>
      <c r="FY19" t="e">
        <f>SUMIF('2.Лок.смета.и.Акт'!CT47:'2.Лок.смета.и.Акт'!#REF!,2,'2.Лок.смета.и.Акт'!GI47:'2.Лок.смета.и.Акт'!#REF!)</f>
        <v>#REF!</v>
      </c>
      <c r="FZ19" t="e">
        <f>SUMIF('2.Лок.смета.и.Акт'!CT47:'2.Лок.смета.и.Акт'!#REF!,5,'2.Лок.смета.и.Акт'!GI47:'2.Лок.смета.и.Акт'!#REF!)</f>
        <v>#REF!</v>
      </c>
      <c r="GA19" t="e">
        <f>SUMIF('2.Лок.смета.и.Акт'!CT47:'2.Лок.смета.и.Акт'!#REF!,4,'2.Лок.смета.и.Акт'!GI47:'2.Лок.смета.и.Акт'!#REF!)</f>
        <v>#REF!</v>
      </c>
      <c r="GB19" t="e">
        <f>SUMIF('2.Лок.смета.и.Акт'!CT47:'2.Лок.смета.и.Акт'!#REF!,1,'2.Лок.смета.и.Акт'!GJ47:'2.Лок.смета.и.Акт'!#REF!)</f>
        <v>#REF!</v>
      </c>
      <c r="GC19" t="e">
        <f>SUMIF('2.Лок.смета.и.Акт'!CT47:'2.Лок.смета.и.Акт'!#REF!,2,'2.Лок.смета.и.Акт'!GJ47:'2.Лок.смета.и.Акт'!#REF!)</f>
        <v>#REF!</v>
      </c>
      <c r="GD19" t="e">
        <f>SUMIF('2.Лок.смета.и.Акт'!CT47:'2.Лок.смета.и.Акт'!#REF!,4,'2.Лок.смета.и.Акт'!GJ47:'2.Лок.смета.и.Акт'!#REF!)</f>
        <v>#REF!</v>
      </c>
      <c r="GE19" t="e">
        <f>SUMIF('2.Лок.смета.и.Акт'!CT47:'2.Лок.смета.и.Акт'!#REF!,1,'2.Лок.смета.и.Акт'!GO47:'2.Лок.смета.и.Акт'!#REF!)</f>
        <v>#REF!</v>
      </c>
      <c r="GF19" t="e">
        <f>SUMIF('2.Лок.смета.и.Акт'!CT47:'2.Лок.смета.и.Акт'!#REF!,2,'2.Лок.смета.и.Акт'!GO47:'2.Лок.смета.и.Акт'!#REF!)</f>
        <v>#REF!</v>
      </c>
      <c r="GG19" t="e">
        <f>SUMIF('2.Лок.смета.и.Акт'!CT47:'2.Лок.смета.и.Акт'!#REF!,4,'2.Лок.смета.и.Акт'!GO47:'2.Лок.смета.и.Акт'!#REF!)</f>
        <v>#REF!</v>
      </c>
      <c r="IB19" t="e">
        <f>SUM('2.Лок.смета.и.Акт'!HM47:'2.Лок.смета.и.Акт'!#REF!)</f>
        <v>#REF!</v>
      </c>
      <c r="IC19" t="e">
        <f>SUM('2.Лок.смета.и.Акт'!HO47:'2.Лок.смета.и.Акт'!#REF!)</f>
        <v>#REF!</v>
      </c>
      <c r="ID19" t="e">
        <f>SUM('2.Лок.смета.и.Акт'!HQ47:'2.Лок.смета.и.Акт'!#REF!)</f>
        <v>#REF!</v>
      </c>
      <c r="IE19" t="e">
        <f>SUM('2.Лок.смета.и.Акт'!HS47:'2.Лок.смета.и.Акт'!#REF!)</f>
        <v>#REF!</v>
      </c>
      <c r="IF19" t="e">
        <f>SUM('2.Лок.смета.и.Акт'!HW47:'2.Лок.смета.и.Акт'!#REF!)</f>
        <v>#REF!</v>
      </c>
      <c r="IG19" t="e">
        <f>SUM('2.Лок.смета.и.Акт'!HX47:'2.Лок.смета.и.Акт'!#REF!)</f>
        <v>#REF!</v>
      </c>
      <c r="IH19" t="e">
        <f>SUM('2.Лок.смета.и.Акт'!HJ47:'2.Лок.смета.и.Акт'!#REF!)</f>
        <v>#REF!</v>
      </c>
      <c r="II19" t="e">
        <f>SUM('2.Лок.смета.и.Акт'!HL47:'2.Лок.смета.и.Акт'!#REF!)</f>
        <v>#REF!</v>
      </c>
      <c r="IJ19" t="e">
        <f>SUM('2.Лок.смета.и.Акт'!HN47:'2.Лок.смета.и.Акт'!#REF!)</f>
        <v>#REF!</v>
      </c>
      <c r="IK19" t="e">
        <f>SUM('2.Лок.смета.и.Акт'!HP47:'2.Лок.смета.и.Акт'!#REF!)</f>
        <v>#REF!</v>
      </c>
      <c r="IL19" t="e">
        <f>SUM('2.Лок.смета.и.Акт'!HR47:'2.Лок.смета.и.Акт'!#REF!)</f>
        <v>#REF!</v>
      </c>
      <c r="IM19" t="e">
        <f>SUM('2.Лок.смета.и.Акт'!HU47:'2.Лок.смета.и.Акт'!#REF!)</f>
        <v>#REF!</v>
      </c>
      <c r="IN19" t="e">
        <f>SUMIF('2.Лок.смета.и.Акт'!CT47:'2.Лок.смета.и.Акт'!#REF!,1,'2.Лок.смета.и.Акт'!GW47:'2.Лок.смета.и.Акт'!#REF!)</f>
        <v>#REF!</v>
      </c>
      <c r="IO19" t="e">
        <f>SUMIF('2.Лок.смета.и.Акт'!CT47:'2.Лок.смета.и.Акт'!#REF!,2,'2.Лок.смета.и.Акт'!GW47:'2.Лок.смета.и.Акт'!#REF!)</f>
        <v>#REF!</v>
      </c>
      <c r="IP19" t="e">
        <f>SUMIF('2.Лок.смета.и.Акт'!CT47:'2.Лок.смета.и.Акт'!#REF!,5,'2.Лок.смета.и.Акт'!GW47:'2.Лок.смета.и.Акт'!#REF!)</f>
        <v>#REF!</v>
      </c>
      <c r="IQ19" t="e">
        <f>SUMIF('2.Лок.смета.и.Акт'!CT47:'2.Лок.смета.и.Акт'!#REF!,4,'2.Лок.смета.и.Акт'!GW47:'2.Лок.смета.и.Акт'!#REF!)</f>
        <v>#REF!</v>
      </c>
      <c r="IR19" t="e">
        <f>SUMIF('2.Лок.смета.и.Акт'!CT47:'2.Лок.смета.и.Акт'!#REF!,1,'2.Лок.смета.и.Акт'!GX47:'2.Лок.смета.и.Акт'!#REF!)</f>
        <v>#REF!</v>
      </c>
      <c r="IS19" t="e">
        <f>SUMIF('2.Лок.смета.и.Акт'!CT47:'2.Лок.смета.и.Акт'!#REF!,2,'2.Лок.смета.и.Акт'!GX47:'2.Лок.смета.и.Акт'!#REF!)</f>
        <v>#REF!</v>
      </c>
      <c r="IT19" t="e">
        <f>SUMIF('2.Лок.смета.и.Акт'!CT47:'2.Лок.смета.и.Акт'!#REF!,5,'2.Лок.смета.и.Акт'!GX47:'2.Лок.смета.и.Акт'!#REF!)</f>
        <v>#REF!</v>
      </c>
      <c r="IU19" t="e">
        <f>SUMIF('2.Лок.смета.и.Акт'!CT47:'2.Лок.смета.и.Акт'!#REF!,4,'2.Лок.смета.и.Акт'!GX47:'2.Лок.смета.и.Акт'!#REF!)</f>
        <v>#REF!</v>
      </c>
    </row>
    <row r="20" spans="1:255" x14ac:dyDescent="0.2">
      <c r="A20">
        <v>513</v>
      </c>
      <c r="B20" t="s">
        <v>988</v>
      </c>
      <c r="D20" t="s">
        <v>847</v>
      </c>
      <c r="F20" t="s">
        <v>848</v>
      </c>
      <c r="AY20" t="e">
        <f>SUM('2.Лок.смета.и.Акт'!AQ21:'2.Лок.смета.и.Акт'!#REF!)</f>
        <v>#REF!</v>
      </c>
      <c r="AZ20" t="e">
        <f>SUM('2.Лок.смета.и.Акт'!AR21:'2.Лок.смета.и.Акт'!#REF!)</f>
        <v>#REF!</v>
      </c>
      <c r="BA20" t="e">
        <f>SUM('2.Лок.смета.и.Акт'!AS21:'2.Лок.смета.и.Акт'!#REF!)</f>
        <v>#REF!</v>
      </c>
      <c r="BB20" t="e">
        <f>SUM('2.Лок.смета.и.Акт'!AT21:'2.Лок.смета.и.Акт'!#REF!)</f>
        <v>#REF!</v>
      </c>
      <c r="BC20" t="e">
        <f>SUM('2.Лок.смета.и.Акт'!AU21:'2.Лок.смета.и.Акт'!#REF!)</f>
        <v>#REF!</v>
      </c>
      <c r="BD20" t="e">
        <f>SUM('2.Лок.смета.и.Акт'!AV21:'2.Лок.смета.и.Акт'!#REF!)</f>
        <v>#REF!</v>
      </c>
      <c r="CW20" t="e">
        <f>Source!DM437</f>
        <v>#REF!</v>
      </c>
      <c r="CX20" t="e">
        <f>Source!DN437</f>
        <v>#REF!</v>
      </c>
      <c r="CY20" t="e">
        <f>Source!DG437</f>
        <v>#REF!</v>
      </c>
      <c r="CZ20" t="e">
        <f>Source!DK437</f>
        <v>#REF!</v>
      </c>
      <c r="DA20" t="e">
        <f>Source!DI437</f>
        <v>#REF!</v>
      </c>
      <c r="DB20" t="e">
        <f>Source!DJ437</f>
        <v>#REF!</v>
      </c>
      <c r="DC20" t="e">
        <f>Source!DH437</f>
        <v>#REF!</v>
      </c>
      <c r="DD20">
        <f>Source!EG437</f>
        <v>0</v>
      </c>
      <c r="DE20" t="e">
        <f>Source!EN437</f>
        <v>#REF!</v>
      </c>
      <c r="DF20" t="e">
        <f>Source!EO437</f>
        <v>#REF!</v>
      </c>
      <c r="DG20">
        <f>Source!EP437</f>
        <v>0</v>
      </c>
      <c r="DH20" t="e">
        <f>Source!EQ437</f>
        <v>#REF!</v>
      </c>
      <c r="DI20">
        <f>Source!EH437</f>
        <v>0</v>
      </c>
      <c r="DJ20">
        <f>Source!EI437</f>
        <v>0</v>
      </c>
      <c r="DK20">
        <f>Source!ER437</f>
        <v>0</v>
      </c>
      <c r="DL20" t="e">
        <f>Source!DL437</f>
        <v>#REF!</v>
      </c>
      <c r="DM20" t="e">
        <f>Source!DO437</f>
        <v>#REF!</v>
      </c>
      <c r="DN20" t="e">
        <f>Source!DP437</f>
        <v>#REF!</v>
      </c>
      <c r="DO20" t="e">
        <f>Source!DQ437</f>
        <v>#REF!</v>
      </c>
      <c r="DP20" t="e">
        <f>Source!EJ437</f>
        <v>#REF!</v>
      </c>
      <c r="DQ20" t="e">
        <f>Source!EK437</f>
        <v>#REF!</v>
      </c>
      <c r="DR20" t="e">
        <f>Source!EL437</f>
        <v>#REF!</v>
      </c>
      <c r="DS20">
        <f>Source!EH437</f>
        <v>0</v>
      </c>
      <c r="DT20">
        <f>Source!EM437</f>
        <v>0</v>
      </c>
      <c r="DU20" t="e">
        <f>Source!EK437+Source!EL437</f>
        <v>#REF!</v>
      </c>
      <c r="DW20" t="e">
        <f>Source!ES437</f>
        <v>#REF!</v>
      </c>
      <c r="DX20">
        <f>Source!ET437</f>
        <v>0</v>
      </c>
      <c r="DY20">
        <f>Source!EU437</f>
        <v>0</v>
      </c>
      <c r="DZ20">
        <f>Source!EV437</f>
        <v>0</v>
      </c>
      <c r="ET20" t="e">
        <f>Source!DM437</f>
        <v>#REF!</v>
      </c>
      <c r="EU20" t="e">
        <f>Source!DN437</f>
        <v>#REF!</v>
      </c>
      <c r="EV20" t="e">
        <f>SUM('2.Лок.смета.и.Акт'!GH21:'2.Лок.смета.и.Акт'!#REF!)</f>
        <v>#REF!</v>
      </c>
      <c r="EW20" t="e">
        <f>SUM('2.Лок.смета.и.Акт'!GI21:'2.Лок.смета.и.Акт'!#REF!)</f>
        <v>#REF!</v>
      </c>
      <c r="EX20" t="e">
        <f>SUM('2.Лок.смета.и.Акт'!GJ21:'2.Лок.смета.и.Акт'!#REF!)</f>
        <v>#REF!</v>
      </c>
      <c r="EY20" t="e">
        <f>SUM('2.Лок.смета.и.Акт'!GK21:'2.Лок.смета.и.Акт'!#REF!)</f>
        <v>#REF!</v>
      </c>
      <c r="EZ20" t="e">
        <f>SUM('2.Лок.смета.и.Акт'!GL21:'2.Лок.смета.и.Акт'!#REF!)</f>
        <v>#REF!</v>
      </c>
      <c r="FA20" t="e">
        <f>SUM('2.Лок.смета.и.Акт'!GM21:'2.Лок.смета.и.Акт'!#REF!)</f>
        <v>#REF!</v>
      </c>
      <c r="FB20" t="e">
        <f>SUM('2.Лок.смета.и.Акт'!GN21:'2.Лок.смета.и.Акт'!#REF!)</f>
        <v>#REF!</v>
      </c>
      <c r="FC20" t="e">
        <f>SUM('2.Лок.смета.и.Акт'!GO21:'2.Лок.смета.и.Акт'!#REF!)</f>
        <v>#REF!</v>
      </c>
      <c r="FD20" t="e">
        <f>SUM('2.Лок.смета.и.Акт'!GP21:'2.Лок.смета.и.Акт'!#REF!)</f>
        <v>#REF!</v>
      </c>
      <c r="FE20" t="e">
        <f>SUM('2.Лок.смета.и.Акт'!GQ21:'2.Лок.смета.и.Акт'!#REF!)</f>
        <v>#REF!</v>
      </c>
      <c r="FF20" t="e">
        <f>SUM('2.Лок.смета.и.Акт'!GR21:'2.Лок.смета.и.Акт'!#REF!)</f>
        <v>#REF!</v>
      </c>
      <c r="FG20" t="e">
        <f>SUM('2.Лок.смета.и.Акт'!GS21:'2.Лок.смета.и.Акт'!#REF!)</f>
        <v>#REF!</v>
      </c>
      <c r="FH20" t="e">
        <f>SUM('2.Лок.смета.и.Акт'!GT21:'2.Лок.смета.и.Акт'!#REF!)</f>
        <v>#REF!</v>
      </c>
      <c r="FI20" t="e">
        <f>SUM('2.Лок.смета.и.Акт'!GU21:'2.Лок.смета.и.Акт'!#REF!)</f>
        <v>#REF!</v>
      </c>
      <c r="FJ20" t="e">
        <f>SUM('2.Лок.смета.и.Акт'!GV21:'2.Лок.смета.и.Акт'!#REF!)</f>
        <v>#REF!</v>
      </c>
      <c r="FK20" t="e">
        <f>SUM('2.Лок.смета.и.Акт'!GW21:'2.Лок.смета.и.Акт'!#REF!)</f>
        <v>#REF!</v>
      </c>
      <c r="FL20" t="e">
        <f>SUM('2.Лок.смета.и.Акт'!GX21:'2.Лок.смета.и.Акт'!#REF!)</f>
        <v>#REF!</v>
      </c>
      <c r="FM20" t="e">
        <f>SUM('2.Лок.смета.и.Акт'!GY21:'2.Лок.смета.и.Акт'!#REF!)</f>
        <v>#REF!</v>
      </c>
      <c r="FN20" t="e">
        <f>SUM('2.Лок.смета.и.Акт'!GZ21:'2.Лок.смета.и.Акт'!#REF!)</f>
        <v>#REF!</v>
      </c>
      <c r="FO20" t="e">
        <f>SUM('2.Лок.смета.и.Акт'!HA21:'2.Лок.смета.и.Акт'!#REF!)</f>
        <v>#REF!</v>
      </c>
      <c r="FP20" t="e">
        <f>SUM('2.Лок.смета.и.Акт'!HB21:'2.Лок.смета.и.Акт'!#REF!)</f>
        <v>#REF!</v>
      </c>
      <c r="FQ20" t="e">
        <f>SUM('2.Лок.смета.и.Акт'!HC21:'2.Лок.смета.и.Акт'!#REF!)</f>
        <v>#REF!</v>
      </c>
      <c r="FR20" t="e">
        <f>SUM('2.Лок.смета.и.Акт'!GZ21:'2.Лок.смета.и.Акт'!#REF!)+SUM('2.Лок.смета.и.Акт'!HA21:'2.Лок.смета.и.Акт'!#REF!)</f>
        <v>#REF!</v>
      </c>
      <c r="FS20" t="e">
        <f>SUM('2.Лок.смета.и.Акт'!HE21:'2.Лок.смета.и.Акт'!#REF!)</f>
        <v>#REF!</v>
      </c>
      <c r="FT20" t="e">
        <f>SUM('2.Лок.смета.и.Акт'!HF21:'2.Лок.смета.и.Акт'!#REF!)</f>
        <v>#REF!</v>
      </c>
      <c r="FU20" t="e">
        <f>SUM('2.Лок.смета.и.Акт'!HG21:'2.Лок.смета.и.Акт'!#REF!)</f>
        <v>#REF!</v>
      </c>
      <c r="FV20" t="e">
        <f>SUM('2.Лок.смета.и.Акт'!HH21:'2.Лок.смета.и.Акт'!#REF!)</f>
        <v>#REF!</v>
      </c>
      <c r="FW20" t="e">
        <f>SUM('2.Лок.смета.и.Акт'!HI21:'2.Лок.смета.и.Акт'!#REF!)</f>
        <v>#REF!</v>
      </c>
      <c r="FX20" t="e">
        <f>SUMIF('2.Лок.смета.и.Акт'!CT21:'2.Лок.смета.и.Акт'!#REF!,1,'2.Лок.смета.и.Акт'!GI21:'2.Лок.смета.и.Акт'!#REF!)</f>
        <v>#REF!</v>
      </c>
      <c r="FY20" t="e">
        <f>SUMIF('2.Лок.смета.и.Акт'!CT21:'2.Лок.смета.и.Акт'!#REF!,2,'2.Лок.смета.и.Акт'!GI21:'2.Лок.смета.и.Акт'!#REF!)</f>
        <v>#REF!</v>
      </c>
      <c r="FZ20" t="e">
        <f>SUMIF('2.Лок.смета.и.Акт'!CT21:'2.Лок.смета.и.Акт'!#REF!,5,'2.Лок.смета.и.Акт'!GI21:'2.Лок.смета.и.Акт'!#REF!)</f>
        <v>#REF!</v>
      </c>
      <c r="GA20" t="e">
        <f>SUMIF('2.Лок.смета.и.Акт'!CT21:'2.Лок.смета.и.Акт'!#REF!,4,'2.Лок.смета.и.Акт'!GI21:'2.Лок.смета.и.Акт'!#REF!)</f>
        <v>#REF!</v>
      </c>
      <c r="GB20" t="e">
        <f>SUMIF('2.Лок.смета.и.Акт'!CT21:'2.Лок.смета.и.Акт'!#REF!,1,'2.Лок.смета.и.Акт'!GJ21:'2.Лок.смета.и.Акт'!#REF!)</f>
        <v>#REF!</v>
      </c>
      <c r="GC20" t="e">
        <f>SUMIF('2.Лок.смета.и.Акт'!CT21:'2.Лок.смета.и.Акт'!#REF!,2,'2.Лок.смета.и.Акт'!GJ21:'2.Лок.смета.и.Акт'!#REF!)</f>
        <v>#REF!</v>
      </c>
      <c r="GD20" t="e">
        <f>SUMIF('2.Лок.смета.и.Акт'!CT21:'2.Лок.смета.и.Акт'!#REF!,4,'2.Лок.смета.и.Акт'!GJ21:'2.Лок.смета.и.Акт'!#REF!)</f>
        <v>#REF!</v>
      </c>
      <c r="GE20" t="e">
        <f>SUMIF('2.Лок.смета.и.Акт'!CT21:'2.Лок.смета.и.Акт'!#REF!,1,'2.Лок.смета.и.Акт'!GO21:'2.Лок.смета.и.Акт'!#REF!)</f>
        <v>#REF!</v>
      </c>
      <c r="GF20" t="e">
        <f>SUMIF('2.Лок.смета.и.Акт'!CT21:'2.Лок.смета.и.Акт'!#REF!,2,'2.Лок.смета.и.Акт'!GO21:'2.Лок.смета.и.Акт'!#REF!)</f>
        <v>#REF!</v>
      </c>
      <c r="GG20" t="e">
        <f>SUMIF('2.Лок.смета.и.Акт'!CT21:'2.Лок.смета.и.Акт'!#REF!,4,'2.Лок.смета.и.Акт'!GO21:'2.Лок.смета.и.Акт'!#REF!)</f>
        <v>#REF!</v>
      </c>
      <c r="IB20" t="e">
        <f>SUM('2.Лок.смета.и.Акт'!HM21:'2.Лок.смета.и.Акт'!#REF!)</f>
        <v>#REF!</v>
      </c>
      <c r="IC20" t="e">
        <f>SUM('2.Лок.смета.и.Акт'!HO21:'2.Лок.смета.и.Акт'!#REF!)</f>
        <v>#REF!</v>
      </c>
      <c r="ID20" t="e">
        <f>SUM('2.Лок.смета.и.Акт'!HQ21:'2.Лок.смета.и.Акт'!#REF!)</f>
        <v>#REF!</v>
      </c>
      <c r="IE20" t="e">
        <f>SUM('2.Лок.смета.и.Акт'!HS21:'2.Лок.смета.и.Акт'!#REF!)</f>
        <v>#REF!</v>
      </c>
      <c r="IF20" t="e">
        <f>SUM('2.Лок.смета.и.Акт'!HW21:'2.Лок.смета.и.Акт'!#REF!)</f>
        <v>#REF!</v>
      </c>
      <c r="IG20" t="e">
        <f>SUM('2.Лок.смета.и.Акт'!HX21:'2.Лок.смета.и.Акт'!#REF!)</f>
        <v>#REF!</v>
      </c>
      <c r="IH20" t="e">
        <f>SUM('2.Лок.смета.и.Акт'!HJ21:'2.Лок.смета.и.Акт'!#REF!)</f>
        <v>#REF!</v>
      </c>
      <c r="II20" t="e">
        <f>SUM('2.Лок.смета.и.Акт'!HL21:'2.Лок.смета.и.Акт'!#REF!)</f>
        <v>#REF!</v>
      </c>
      <c r="IJ20" t="e">
        <f>SUM('2.Лок.смета.и.Акт'!HN21:'2.Лок.смета.и.Акт'!#REF!)</f>
        <v>#REF!</v>
      </c>
      <c r="IK20" t="e">
        <f>SUM('2.Лок.смета.и.Акт'!HP21:'2.Лок.смета.и.Акт'!#REF!)</f>
        <v>#REF!</v>
      </c>
      <c r="IL20" t="e">
        <f>SUM('2.Лок.смета.и.Акт'!HR21:'2.Лок.смета.и.Акт'!#REF!)</f>
        <v>#REF!</v>
      </c>
      <c r="IM20" t="e">
        <f>SUM('2.Лок.смета.и.Акт'!HU21:'2.Лок.смета.и.Акт'!#REF!)</f>
        <v>#REF!</v>
      </c>
      <c r="IN20" t="e">
        <f>SUMIF('2.Лок.смета.и.Акт'!CT21:'2.Лок.смета.и.Акт'!#REF!,1,'2.Лок.смета.и.Акт'!GW21:'2.Лок.смета.и.Акт'!#REF!)</f>
        <v>#REF!</v>
      </c>
      <c r="IO20" t="e">
        <f>SUMIF('2.Лок.смета.и.Акт'!CT21:'2.Лок.смета.и.Акт'!#REF!,2,'2.Лок.смета.и.Акт'!GW21:'2.Лок.смета.и.Акт'!#REF!)</f>
        <v>#REF!</v>
      </c>
      <c r="IP20" t="e">
        <f>SUMIF('2.Лок.смета.и.Акт'!CT21:'2.Лок.смета.и.Акт'!#REF!,5,'2.Лок.смета.и.Акт'!GW21:'2.Лок.смета.и.Акт'!#REF!)</f>
        <v>#REF!</v>
      </c>
      <c r="IQ20" t="e">
        <f>SUMIF('2.Лок.смета.и.Акт'!CT21:'2.Лок.смета.и.Акт'!#REF!,4,'2.Лок.смета.и.Акт'!GW21:'2.Лок.смета.и.Акт'!#REF!)</f>
        <v>#REF!</v>
      </c>
      <c r="IR20" t="e">
        <f>SUMIF('2.Лок.смета.и.Акт'!CT21:'2.Лок.смета.и.Акт'!#REF!,1,'2.Лок.смета.и.Акт'!GX21:'2.Лок.смета.и.Акт'!#REF!)</f>
        <v>#REF!</v>
      </c>
      <c r="IS20" t="e">
        <f>SUMIF('2.Лок.смета.и.Акт'!CT21:'2.Лок.смета.и.Акт'!#REF!,2,'2.Лок.смета.и.Акт'!GX21:'2.Лок.смета.и.Акт'!#REF!)</f>
        <v>#REF!</v>
      </c>
      <c r="IT20" t="e">
        <f>SUMIF('2.Лок.смета.и.Акт'!CT21:'2.Лок.смета.и.Акт'!#REF!,5,'2.Лок.смета.и.Акт'!GX21:'2.Лок.смета.и.Акт'!#REF!)</f>
        <v>#REF!</v>
      </c>
      <c r="IU20" t="e">
        <f>SUMIF('2.Лок.смета.и.Акт'!CT21:'2.Лок.смета.и.Акт'!#REF!,4,'2.Лок.смета.и.Акт'!GX21:'2.Лок.смета.и.Акт'!#REF!)</f>
        <v>#REF!</v>
      </c>
    </row>
    <row r="21" spans="1:255" x14ac:dyDescent="0.2">
      <c r="A21">
        <v>999</v>
      </c>
      <c r="B21" t="s">
        <v>1006</v>
      </c>
    </row>
    <row r="152" spans="57:68" x14ac:dyDescent="0.2">
      <c r="BE152" t="e">
        <f>SUMIF('2.Лок.смета.и.Акт'!CT23:'2.Лок.смета.и.Акт'!#REF!,1,'2.Лок.смета.и.Акт'!AT23:'2.Лок.смета.и.Акт'!#REF!)</f>
        <v>#REF!</v>
      </c>
      <c r="BF152" t="e">
        <f>SUMIF('2.Лок.смета.и.Акт'!CT23:'2.Лок.смета.и.Акт'!#REF!,2,'2.Лок.смета.и.Акт'!AT23:'2.Лок.смета.и.Акт'!#REF!)</f>
        <v>#REF!</v>
      </c>
      <c r="BG152" t="e">
        <f>SUMIF('2.Лок.смета.и.Акт'!CT23:'2.Лок.смета.и.Акт'!#REF!,5,'2.Лок.смета.и.Акт'!AT23:'2.Лок.смета.и.Акт'!#REF!)</f>
        <v>#REF!</v>
      </c>
      <c r="BH152" t="e">
        <f>SUMIF('2.Лок.смета.и.Акт'!CT23:'2.Лок.смета.и.Акт'!#REF!,4,'2.Лок.смета.и.Акт'!AT23:'2.Лок.смета.и.Акт'!#REF!)</f>
        <v>#REF!</v>
      </c>
      <c r="BI152" t="e">
        <f>SUMIF('2.Лок.смета.и.Акт'!CT23:'2.Лок.смета.и.Акт'!#REF!,1,'2.Лок.смета.и.Акт'!AU23:'2.Лок.смета.и.Акт'!#REF!)</f>
        <v>#REF!</v>
      </c>
      <c r="BJ152" t="e">
        <f>SUMIF('2.Лок.смета.и.Акт'!CT23:'2.Лок.смета.и.Акт'!#REF!,2,'2.Лок.смета.и.Акт'!AU23:'2.Лок.смета.и.Акт'!#REF!)</f>
        <v>#REF!</v>
      </c>
      <c r="BK152" t="e">
        <f>SUMIF('2.Лок.смета.и.Акт'!CT23:'2.Лок.смета.и.Акт'!#REF!,5,'2.Лок.смета.и.Акт'!AU23:'2.Лок.смета.и.Акт'!#REF!)</f>
        <v>#REF!</v>
      </c>
      <c r="BL152" t="e">
        <f>SUMIF('2.Лок.смета.и.Акт'!CT23:'2.Лок.смета.и.Акт'!#REF!,4,'2.Лок.смета.и.Акт'!AU23:'2.Лок.смета.и.Акт'!#REF!)</f>
        <v>#REF!</v>
      </c>
      <c r="BM152" t="e">
        <f>SUMIF('2.Лок.смета.и.Акт'!CT23:'2.Лок.смета.и.Акт'!#REF!,1,'2.Лок.смета.и.Акт'!AV23:'2.Лок.смета.и.Акт'!#REF!)</f>
        <v>#REF!</v>
      </c>
      <c r="BN152" t="e">
        <f>SUMIF('2.Лок.смета.и.Акт'!CT23:'2.Лок.смета.и.Акт'!#REF!,2,'2.Лок.смета.и.Акт'!AV23:'2.Лок.смета.и.Акт'!#REF!)</f>
        <v>#REF!</v>
      </c>
      <c r="BO152" t="e">
        <f>SUMIF('2.Лок.смета.и.Акт'!CT23:'2.Лок.смета.и.Акт'!#REF!,5,'2.Лок.смета.и.Акт'!AV23:'2.Лок.смета.и.Акт'!#REF!)</f>
        <v>#REF!</v>
      </c>
      <c r="BP152" t="e">
        <f>SUMIF('2.Лок.смета.и.Акт'!CT23:'2.Лок.смета.и.Акт'!#REF!,4,'2.Лок.смета.и.Акт'!AV23:'2.Лок.смета.и.Акт'!#REF!)</f>
        <v>#REF!</v>
      </c>
    </row>
    <row r="527" spans="57:68" x14ac:dyDescent="0.2">
      <c r="BE527" t="e">
        <f>SUMIF('2.Лок.смета.и.Акт'!CT31:'2.Лок.смета.и.Акт'!#REF!,1,'2.Лок.смета.и.Акт'!AT31:'2.Лок.смета.и.Акт'!#REF!)</f>
        <v>#REF!</v>
      </c>
      <c r="BF527" t="e">
        <f>SUMIF('2.Лок.смета.и.Акт'!CT31:'2.Лок.смета.и.Акт'!#REF!,2,'2.Лок.смета.и.Акт'!AT31:'2.Лок.смета.и.Акт'!#REF!)</f>
        <v>#REF!</v>
      </c>
      <c r="BG527" t="e">
        <f>SUMIF('2.Лок.смета.и.Акт'!CT31:'2.Лок.смета.и.Акт'!#REF!,5,'2.Лок.смета.и.Акт'!AT31:'2.Лок.смета.и.Акт'!#REF!)</f>
        <v>#REF!</v>
      </c>
      <c r="BH527" t="e">
        <f>SUMIF('2.Лок.смета.и.Акт'!CT31:'2.Лок.смета.и.Акт'!#REF!,4,'2.Лок.смета.и.Акт'!AT31:'2.Лок.смета.и.Акт'!#REF!)</f>
        <v>#REF!</v>
      </c>
      <c r="BI527" t="e">
        <f>SUMIF('2.Лок.смета.и.Акт'!CT31:'2.Лок.смета.и.Акт'!#REF!,1,'2.Лок.смета.и.Акт'!AU31:'2.Лок.смета.и.Акт'!#REF!)</f>
        <v>#REF!</v>
      </c>
      <c r="BJ527" t="e">
        <f>SUMIF('2.Лок.смета.и.Акт'!CT31:'2.Лок.смета.и.Акт'!#REF!,2,'2.Лок.смета.и.Акт'!AU31:'2.Лок.смета.и.Акт'!#REF!)</f>
        <v>#REF!</v>
      </c>
      <c r="BK527" t="e">
        <f>SUMIF('2.Лок.смета.и.Акт'!CT31:'2.Лок.смета.и.Акт'!#REF!,5,'2.Лок.смета.и.Акт'!AU31:'2.Лок.смета.и.Акт'!#REF!)</f>
        <v>#REF!</v>
      </c>
      <c r="BL527" t="e">
        <f>SUMIF('2.Лок.смета.и.Акт'!CT31:'2.Лок.смета.и.Акт'!#REF!,4,'2.Лок.смета.и.Акт'!AU31:'2.Лок.смета.и.Акт'!#REF!)</f>
        <v>#REF!</v>
      </c>
      <c r="BM527" t="e">
        <f>SUMIF('2.Лок.смета.и.Акт'!CT31:'2.Лок.смета.и.Акт'!#REF!,1,'2.Лок.смета.и.Акт'!AV31:'2.Лок.смета.и.Акт'!#REF!)</f>
        <v>#REF!</v>
      </c>
      <c r="BN527" t="e">
        <f>SUMIF('2.Лок.смета.и.Акт'!CT31:'2.Лок.смета.и.Акт'!#REF!,2,'2.Лок.смета.и.Акт'!AV31:'2.Лок.смета.и.Акт'!#REF!)</f>
        <v>#REF!</v>
      </c>
      <c r="BO527" t="e">
        <f>SUMIF('2.Лок.смета.и.Акт'!CT31:'2.Лок.смета.и.Акт'!#REF!,5,'2.Лок.смета.и.Акт'!AV31:'2.Лок.смета.и.Акт'!#REF!)</f>
        <v>#REF!</v>
      </c>
      <c r="BP527" t="e">
        <f>SUMIF('2.Лок.смета.и.Акт'!CT31:'2.Лок.смета.и.Акт'!#REF!,4,'2.Лок.смета.и.Акт'!AV31:'2.Лок.смета.и.Акт'!#REF!)</f>
        <v>#REF!</v>
      </c>
    </row>
    <row r="793" spans="57:68" x14ac:dyDescent="0.2">
      <c r="BE793" t="e">
        <f>SUMIF('2.Лок.смета.и.Акт'!CT47:'2.Лок.смета.и.Акт'!#REF!,1,'2.Лок.смета.и.Акт'!AT47:'2.Лок.смета.и.Акт'!#REF!)</f>
        <v>#REF!</v>
      </c>
      <c r="BF793" t="e">
        <f>SUMIF('2.Лок.смета.и.Акт'!CT47:'2.Лок.смета.и.Акт'!#REF!,2,'2.Лок.смета.и.Акт'!AT47:'2.Лок.смета.и.Акт'!#REF!)</f>
        <v>#REF!</v>
      </c>
      <c r="BG793" t="e">
        <f>SUMIF('2.Лок.смета.и.Акт'!CT47:'2.Лок.смета.и.Акт'!#REF!,5,'2.Лок.смета.и.Акт'!AT47:'2.Лок.смета.и.Акт'!#REF!)</f>
        <v>#REF!</v>
      </c>
      <c r="BH793" t="e">
        <f>SUMIF('2.Лок.смета.и.Акт'!CT47:'2.Лок.смета.и.Акт'!#REF!,4,'2.Лок.смета.и.Акт'!AT47:'2.Лок.смета.и.Акт'!#REF!)</f>
        <v>#REF!</v>
      </c>
      <c r="BI793" t="e">
        <f>SUMIF('2.Лок.смета.и.Акт'!CT47:'2.Лок.смета.и.Акт'!#REF!,1,'2.Лок.смета.и.Акт'!AU47:'2.Лок.смета.и.Акт'!#REF!)</f>
        <v>#REF!</v>
      </c>
      <c r="BJ793" t="e">
        <f>SUMIF('2.Лок.смета.и.Акт'!CT47:'2.Лок.смета.и.Акт'!#REF!,2,'2.Лок.смета.и.Акт'!AU47:'2.Лок.смета.и.Акт'!#REF!)</f>
        <v>#REF!</v>
      </c>
      <c r="BK793" t="e">
        <f>SUMIF('2.Лок.смета.и.Акт'!CT47:'2.Лок.смета.и.Акт'!#REF!,5,'2.Лок.смета.и.Акт'!AU47:'2.Лок.смета.и.Акт'!#REF!)</f>
        <v>#REF!</v>
      </c>
      <c r="BL793" t="e">
        <f>SUMIF('2.Лок.смета.и.Акт'!CT47:'2.Лок.смета.и.Акт'!#REF!,4,'2.Лок.смета.и.Акт'!AU47:'2.Лок.смета.и.Акт'!#REF!)</f>
        <v>#REF!</v>
      </c>
      <c r="BM793" t="e">
        <f>SUMIF('2.Лок.смета.и.Акт'!CT47:'2.Лок.смета.и.Акт'!#REF!,1,'2.Лок.смета.и.Акт'!AV47:'2.Лок.смета.и.Акт'!#REF!)</f>
        <v>#REF!</v>
      </c>
      <c r="BN793" t="e">
        <f>SUMIF('2.Лок.смета.и.Акт'!CT47:'2.Лок.смета.и.Акт'!#REF!,2,'2.Лок.смета.и.Акт'!AV47:'2.Лок.смета.и.Акт'!#REF!)</f>
        <v>#REF!</v>
      </c>
      <c r="BO793" t="e">
        <f>SUMIF('2.Лок.смета.и.Акт'!CT47:'2.Лок.смета.и.Акт'!#REF!,5,'2.Лок.смета.и.Акт'!AV47:'2.Лок.смета.и.Акт'!#REF!)</f>
        <v>#REF!</v>
      </c>
      <c r="BP793" t="e">
        <f>SUMIF('2.Лок.смета.и.Акт'!CT47:'2.Лок.смета.и.Акт'!#REF!,4,'2.Лок.смета.и.Акт'!AV47:'2.Лок.смета.и.Акт'!#REF!)</f>
        <v>#REF!</v>
      </c>
    </row>
    <row r="858" spans="57:68" x14ac:dyDescent="0.2">
      <c r="BE858" t="e">
        <f>SUMIF('2.Лок.смета.и.Акт'!CT21:'2.Лок.смета.и.Акт'!#REF!,1,'2.Лок.смета.и.Акт'!AT21:'2.Лок.смета.и.Акт'!#REF!)</f>
        <v>#REF!</v>
      </c>
      <c r="BF858" t="e">
        <f>SUMIF('2.Лок.смета.и.Акт'!CT21:'2.Лок.смета.и.Акт'!#REF!,2,'2.Лок.смета.и.Акт'!AT21:'2.Лок.смета.и.Акт'!#REF!)</f>
        <v>#REF!</v>
      </c>
      <c r="BG858" t="e">
        <f>SUMIF('2.Лок.смета.и.Акт'!CT21:'2.Лок.смета.и.Акт'!#REF!,5,'2.Лок.смета.и.Акт'!AT21:'2.Лок.смета.и.Акт'!#REF!)</f>
        <v>#REF!</v>
      </c>
      <c r="BH858" t="e">
        <f>SUMIF('2.Лок.смета.и.Акт'!CT21:'2.Лок.смета.и.Акт'!#REF!,4,'2.Лок.смета.и.Акт'!AT21:'2.Лок.смета.и.Акт'!#REF!)</f>
        <v>#REF!</v>
      </c>
      <c r="BI858" t="e">
        <f>SUMIF('2.Лок.смета.и.Акт'!CT21:'2.Лок.смета.и.Акт'!#REF!,1,'2.Лок.смета.и.Акт'!AU21:'2.Лок.смета.и.Акт'!#REF!)</f>
        <v>#REF!</v>
      </c>
      <c r="BJ858" t="e">
        <f>SUMIF('2.Лок.смета.и.Акт'!CT21:'2.Лок.смета.и.Акт'!#REF!,2,'2.Лок.смета.и.Акт'!AU21:'2.Лок.смета.и.Акт'!#REF!)</f>
        <v>#REF!</v>
      </c>
      <c r="BK858" t="e">
        <f>SUMIF('2.Лок.смета.и.Акт'!CT21:'2.Лок.смета.и.Акт'!#REF!,5,'2.Лок.смета.и.Акт'!AU21:'2.Лок.смета.и.Акт'!#REF!)</f>
        <v>#REF!</v>
      </c>
      <c r="BL858" t="e">
        <f>SUMIF('2.Лок.смета.и.Акт'!CT21:'2.Лок.смета.и.Акт'!#REF!,4,'2.Лок.смета.и.Акт'!AU21:'2.Лок.смета.и.Акт'!#REF!)</f>
        <v>#REF!</v>
      </c>
      <c r="BM858" t="e">
        <f>SUMIF('2.Лок.смета.и.Акт'!CT21:'2.Лок.смета.и.Акт'!#REF!,1,'2.Лок.смета.и.Акт'!AV21:'2.Лок.смета.и.Акт'!#REF!)</f>
        <v>#REF!</v>
      </c>
      <c r="BN858" t="e">
        <f>SUMIF('2.Лок.смета.и.Акт'!CT21:'2.Лок.смета.и.Акт'!#REF!,2,'2.Лок.смета.и.Акт'!AV21:'2.Лок.смета.и.Акт'!#REF!)</f>
        <v>#REF!</v>
      </c>
      <c r="BO858" t="e">
        <f>SUMIF('2.Лок.смета.и.Акт'!CT21:'2.Лок.смета.и.Акт'!#REF!,5,'2.Лок.смета.и.Акт'!AV21:'2.Лок.смета.и.Акт'!#REF!)</f>
        <v>#REF!</v>
      </c>
      <c r="BP858" t="e">
        <f>SUMIF('2.Лок.смета.и.Акт'!CT21:'2.Лок.смета.и.Акт'!#REF!,4,'2.Лок.смета.и.Акт'!AV21:'2.Лок.смета.и.Акт'!#REF!)</f>
        <v>#REF!</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911"/>
  <sheetViews>
    <sheetView topLeftCell="A723" zoomScale="151" zoomScaleNormal="151" workbookViewId="0">
      <selection activeCell="K904" sqref="K904"/>
    </sheetView>
  </sheetViews>
  <sheetFormatPr defaultRowHeight="12.75" outlineLevelRow="1" x14ac:dyDescent="0.2"/>
  <cols>
    <col min="1" max="1" width="4.7109375" customWidth="1"/>
    <col min="2" max="2" width="16.7109375" customWidth="1"/>
    <col min="3" max="3" width="38.7109375" customWidth="1"/>
    <col min="4" max="4" width="9.7109375" customWidth="1"/>
    <col min="5" max="5" width="7.7109375" customWidth="1"/>
    <col min="6" max="6" width="8.7109375" customWidth="1"/>
    <col min="7" max="7" width="12.7109375" customWidth="1"/>
    <col min="8" max="9" width="8.7109375" customWidth="1"/>
    <col min="10" max="10" width="12.7109375" customWidth="1"/>
    <col min="11" max="11" width="10.7109375" customWidth="1"/>
    <col min="16" max="69" width="0" hidden="1" customWidth="1"/>
    <col min="70" max="71" width="75.7109375" hidden="1" customWidth="1"/>
    <col min="72" max="72" width="113.7109375" hidden="1" customWidth="1"/>
    <col min="73" max="74" width="133.7109375" hidden="1" customWidth="1"/>
    <col min="75" max="75" width="23.7109375" hidden="1" customWidth="1"/>
    <col min="76" max="76" width="113.7109375" hidden="1" customWidth="1"/>
    <col min="77" max="77" width="63.7109375" hidden="1" customWidth="1"/>
    <col min="78" max="78" width="21.7109375" hidden="1" customWidth="1"/>
    <col min="79" max="256" width="0" hidden="1" customWidth="1"/>
  </cols>
  <sheetData>
    <row r="1" spans="1:255" s="15" customFormat="1" ht="11.25" x14ac:dyDescent="0.2">
      <c r="A1" s="15" t="s">
        <v>792</v>
      </c>
    </row>
    <row r="2" spans="1:255" hidden="1" outlineLevel="1" x14ac:dyDescent="0.2">
      <c r="H2" s="351" t="s">
        <v>793</v>
      </c>
      <c r="I2" s="351"/>
      <c r="J2" s="351"/>
      <c r="K2" s="351"/>
    </row>
    <row r="3" spans="1:255" hidden="1" outlineLevel="1" x14ac:dyDescent="0.2">
      <c r="H3" s="351" t="s">
        <v>794</v>
      </c>
      <c r="I3" s="351"/>
      <c r="J3" s="351"/>
      <c r="K3" s="351"/>
    </row>
    <row r="4" spans="1:255" hidden="1" outlineLevel="1" x14ac:dyDescent="0.2">
      <c r="H4" s="351" t="s">
        <v>795</v>
      </c>
      <c r="I4" s="351"/>
      <c r="J4" s="351"/>
      <c r="K4" s="351"/>
    </row>
    <row r="5" spans="1:255" s="14" customFormat="1" ht="11.25" hidden="1" outlineLevel="1" x14ac:dyDescent="0.2">
      <c r="J5" s="352" t="s">
        <v>796</v>
      </c>
      <c r="K5" s="353"/>
    </row>
    <row r="6" spans="1:255" s="16" customFormat="1" ht="9.75" hidden="1" outlineLevel="1" x14ac:dyDescent="0.2">
      <c r="I6" s="17" t="s">
        <v>797</v>
      </c>
      <c r="J6" s="354" t="s">
        <v>798</v>
      </c>
      <c r="K6" s="355"/>
    </row>
    <row r="7" spans="1:255" hidden="1" outlineLevel="1" x14ac:dyDescent="0.2">
      <c r="A7" s="21" t="s">
        <v>799</v>
      </c>
      <c r="B7" s="19"/>
      <c r="C7" s="307"/>
      <c r="D7" s="308"/>
      <c r="E7" s="308"/>
      <c r="F7" s="308"/>
      <c r="G7" s="308"/>
      <c r="I7" s="17" t="s">
        <v>800</v>
      </c>
      <c r="J7" s="356"/>
      <c r="K7" s="357"/>
      <c r="BR7" s="22">
        <f>C7</f>
        <v>0</v>
      </c>
      <c r="IU7" s="23"/>
    </row>
    <row r="8" spans="1:255" hidden="1" outlineLevel="1" x14ac:dyDescent="0.2">
      <c r="A8" s="21" t="s">
        <v>801</v>
      </c>
      <c r="B8" s="19"/>
      <c r="C8" s="309"/>
      <c r="D8" s="310"/>
      <c r="E8" s="310"/>
      <c r="F8" s="310"/>
      <c r="G8" s="310"/>
      <c r="I8" s="17" t="s">
        <v>800</v>
      </c>
      <c r="J8" s="356"/>
      <c r="K8" s="357"/>
      <c r="BR8" s="22">
        <f>C8</f>
        <v>0</v>
      </c>
      <c r="IU8" s="23"/>
    </row>
    <row r="9" spans="1:255" hidden="1" outlineLevel="1" x14ac:dyDescent="0.2">
      <c r="A9" s="21" t="s">
        <v>802</v>
      </c>
      <c r="B9" s="19"/>
      <c r="C9" s="309"/>
      <c r="D9" s="310"/>
      <c r="E9" s="310"/>
      <c r="F9" s="310"/>
      <c r="G9" s="310"/>
      <c r="I9" s="17" t="s">
        <v>800</v>
      </c>
      <c r="J9" s="356"/>
      <c r="K9" s="357"/>
      <c r="BR9" s="22">
        <f>C9</f>
        <v>0</v>
      </c>
      <c r="IU9" s="23"/>
    </row>
    <row r="10" spans="1:255" hidden="1" outlineLevel="1" x14ac:dyDescent="0.2">
      <c r="A10" s="21" t="s">
        <v>803</v>
      </c>
      <c r="B10" s="19"/>
      <c r="C10" s="309"/>
      <c r="D10" s="310"/>
      <c r="E10" s="310"/>
      <c r="F10" s="310"/>
      <c r="G10" s="310"/>
      <c r="I10" s="17" t="s">
        <v>800</v>
      </c>
      <c r="J10" s="356"/>
      <c r="K10" s="357"/>
      <c r="BR10" s="22">
        <f>C10</f>
        <v>0</v>
      </c>
      <c r="IU10" s="23"/>
    </row>
    <row r="11" spans="1:255" ht="38.25" hidden="1" outlineLevel="1" x14ac:dyDescent="0.2">
      <c r="A11" s="21" t="s">
        <v>804</v>
      </c>
      <c r="C11" s="358" t="s">
        <v>5</v>
      </c>
      <c r="D11" s="358"/>
      <c r="E11" s="358"/>
      <c r="F11" s="358"/>
      <c r="G11" s="358"/>
      <c r="J11" s="356"/>
      <c r="K11" s="359"/>
      <c r="BS11" s="26" t="str">
        <f>C11</f>
        <v>Комплекс из 2-х многоквартирных домов, расположенных по адресу г.Орел, б-р Молодежи, участок 2а. 1-й этап строительства - многоквартирный дом корпус 2 (поз.1)</v>
      </c>
      <c r="IU11" s="23"/>
    </row>
    <row r="12" spans="1:255" ht="38.25" hidden="1" outlineLevel="1" x14ac:dyDescent="0.2">
      <c r="A12" s="21" t="s">
        <v>805</v>
      </c>
      <c r="C12" s="358" t="s">
        <v>5</v>
      </c>
      <c r="D12" s="358"/>
      <c r="E12" s="358"/>
      <c r="F12" s="358"/>
      <c r="G12" s="358"/>
      <c r="J12" s="356"/>
      <c r="K12" s="359"/>
      <c r="BS12" s="26" t="str">
        <f>C12</f>
        <v>Комплекс из 2-х многоквартирных домов, расположенных по адресу г.Орел, б-р Молодежи, участок 2а. 1-й этап строительства - многоквартирный дом корпус 2 (поз.1)</v>
      </c>
      <c r="IU12" s="23"/>
    </row>
    <row r="13" spans="1:255" ht="25.5" hidden="1" outlineLevel="1" x14ac:dyDescent="0.2">
      <c r="A13" s="21" t="s">
        <v>806</v>
      </c>
      <c r="C13" s="360" t="s">
        <v>807</v>
      </c>
      <c r="D13" s="361"/>
      <c r="E13" s="361"/>
      <c r="F13" s="361"/>
      <c r="G13" s="361"/>
      <c r="I13" s="17" t="s">
        <v>808</v>
      </c>
      <c r="J13" s="356"/>
      <c r="K13" s="359"/>
      <c r="BS13" s="27" t="str">
        <f>C13</f>
        <v xml:space="preserve"> 5.3.1.24.3  Монтаж конструкций здания выше 0.000. Монолитный каркас 17-20 этажи 2 сек,с 1.11.24</v>
      </c>
      <c r="IU13" s="23"/>
    </row>
    <row r="14" spans="1:255" hidden="1" outlineLevel="1" x14ac:dyDescent="0.2">
      <c r="G14" s="367" t="s">
        <v>809</v>
      </c>
      <c r="H14" s="367"/>
      <c r="I14" s="28" t="s">
        <v>810</v>
      </c>
      <c r="J14" s="368"/>
      <c r="K14" s="369"/>
      <c r="BW14" s="30">
        <f>J14</f>
        <v>0</v>
      </c>
      <c r="IU14" s="23"/>
    </row>
    <row r="15" spans="1:255" hidden="1" outlineLevel="1" x14ac:dyDescent="0.2">
      <c r="I15" s="29" t="s">
        <v>811</v>
      </c>
      <c r="J15" s="370"/>
      <c r="K15" s="371"/>
    </row>
    <row r="16" spans="1:255" s="16" customFormat="1" ht="11.25" hidden="1" outlineLevel="1" x14ac:dyDescent="0.2">
      <c r="I16" s="17" t="s">
        <v>812</v>
      </c>
      <c r="J16" s="372"/>
      <c r="K16" s="373"/>
    </row>
    <row r="17" spans="1:255" hidden="1" outlineLevel="1" x14ac:dyDescent="0.2"/>
    <row r="18" spans="1:255" hidden="1" outlineLevel="1" x14ac:dyDescent="0.2">
      <c r="G18" s="374" t="s">
        <v>813</v>
      </c>
      <c r="H18" s="374" t="s">
        <v>814</v>
      </c>
      <c r="I18" s="376" t="s">
        <v>815</v>
      </c>
      <c r="J18" s="377"/>
    </row>
    <row r="19" spans="1:255" ht="13.5" hidden="1" outlineLevel="1" thickBot="1" x14ac:dyDescent="0.25">
      <c r="G19" s="375"/>
      <c r="H19" s="375"/>
      <c r="I19" s="34" t="s">
        <v>816</v>
      </c>
      <c r="J19" s="35" t="s">
        <v>817</v>
      </c>
    </row>
    <row r="20" spans="1:255" ht="19.5" hidden="1" outlineLevel="1" thickBot="1" x14ac:dyDescent="0.35">
      <c r="C20" s="314" t="s">
        <v>818</v>
      </c>
      <c r="D20" s="314"/>
      <c r="E20" s="314"/>
      <c r="F20" s="314"/>
      <c r="G20" s="37"/>
      <c r="H20" s="38"/>
      <c r="I20" s="39"/>
      <c r="J20" s="40"/>
      <c r="K20" s="41"/>
    </row>
    <row r="21" spans="1:255" ht="15.75" hidden="1" outlineLevel="1" x14ac:dyDescent="0.25">
      <c r="C21" s="362" t="s">
        <v>819</v>
      </c>
      <c r="D21" s="362"/>
      <c r="E21" s="362"/>
      <c r="F21" s="362"/>
    </row>
    <row r="22" spans="1:255" hidden="1" outlineLevel="1" x14ac:dyDescent="0.2">
      <c r="C22" s="315"/>
      <c r="D22" s="313"/>
      <c r="E22" s="313"/>
      <c r="F22" s="313"/>
    </row>
    <row r="23" spans="1:255" hidden="1" outlineLevel="1" x14ac:dyDescent="0.2">
      <c r="C23" s="363" t="s">
        <v>16</v>
      </c>
      <c r="D23" s="364"/>
      <c r="E23" s="364"/>
      <c r="F23" s="364"/>
      <c r="BU23" s="22">
        <f>A23</f>
        <v>0</v>
      </c>
      <c r="IU23" s="23"/>
    </row>
    <row r="24" spans="1:255" hidden="1" outlineLevel="1" x14ac:dyDescent="0.2">
      <c r="A24" s="16" t="s">
        <v>820</v>
      </c>
    </row>
    <row r="25" spans="1:255" hidden="1" outlineLevel="1" x14ac:dyDescent="0.2">
      <c r="A25" s="16" t="s">
        <v>821</v>
      </c>
    </row>
    <row r="26" spans="1:255" hidden="1" outlineLevel="1" x14ac:dyDescent="0.2">
      <c r="A26" s="16" t="s">
        <v>822</v>
      </c>
      <c r="B26" s="16"/>
      <c r="C26" s="16"/>
      <c r="D26" s="16"/>
      <c r="E26" s="365" t="e">
        <f>K879/1000</f>
        <v>#REF!</v>
      </c>
      <c r="F26" s="365"/>
      <c r="G26" s="16" t="s">
        <v>823</v>
      </c>
      <c r="H26" s="16"/>
      <c r="I26" s="16"/>
      <c r="J26" s="16"/>
      <c r="K26" s="16"/>
    </row>
    <row r="27" spans="1:255" collapsed="1" x14ac:dyDescent="0.2"/>
    <row r="28" spans="1:255" outlineLevel="1" x14ac:dyDescent="0.2">
      <c r="K28" s="42" t="s">
        <v>824</v>
      </c>
    </row>
    <row r="29" spans="1:255" ht="24" outlineLevel="1" x14ac:dyDescent="0.2">
      <c r="A29" s="21" t="s">
        <v>804</v>
      </c>
      <c r="C29" s="366" t="s">
        <v>5</v>
      </c>
      <c r="D29" s="366"/>
      <c r="E29" s="366"/>
      <c r="F29" s="366"/>
      <c r="G29" s="366"/>
      <c r="H29" s="366"/>
      <c r="I29" s="366"/>
      <c r="J29" s="366"/>
      <c r="K29" s="366"/>
      <c r="BT29" s="44" t="str">
        <f>C29</f>
        <v>Комплекс из 2-х многоквартирных домов, расположенных по адресу г.Орел, б-р Молодежи, участок 2а. 1-й этап строительства - многоквартирный дом корпус 2 (поз.1)</v>
      </c>
      <c r="IU29" s="23"/>
    </row>
    <row r="30" spans="1:255" ht="24" outlineLevel="1" x14ac:dyDescent="0.2">
      <c r="A30" s="21" t="s">
        <v>805</v>
      </c>
      <c r="C30" s="366" t="s">
        <v>5</v>
      </c>
      <c r="D30" s="366"/>
      <c r="E30" s="366"/>
      <c r="F30" s="366"/>
      <c r="G30" s="366"/>
      <c r="H30" s="366"/>
      <c r="I30" s="366"/>
      <c r="J30" s="366"/>
      <c r="K30" s="366"/>
      <c r="BT30" s="44" t="str">
        <f>C30</f>
        <v>Комплекс из 2-х многоквартирных домов, расположенных по адресу г.Орел, б-р Молодежи, участок 2а. 1-й этап строительства - многоквартирный дом корпус 2 (поз.1)</v>
      </c>
      <c r="IU30" s="23"/>
    </row>
    <row r="31" spans="1:255" outlineLevel="1" x14ac:dyDescent="0.2">
      <c r="A31" s="21" t="s">
        <v>806</v>
      </c>
      <c r="C31" s="378" t="s">
        <v>825</v>
      </c>
      <c r="D31" s="366"/>
      <c r="E31" s="366"/>
      <c r="F31" s="366"/>
      <c r="G31" s="366"/>
      <c r="H31" s="366"/>
      <c r="I31" s="366"/>
      <c r="J31" s="366"/>
      <c r="K31" s="366"/>
      <c r="BT31" s="45" t="str">
        <f>C31</f>
        <v xml:space="preserve"> 5.3.1.24.3  Монтаж конструкций здания выше 0.000. Монолитный каркас 17-20 этажи 2 сек,с 1.11.24 </v>
      </c>
      <c r="IU31" s="23"/>
    </row>
    <row r="32" spans="1:255" outlineLevel="1" x14ac:dyDescent="0.2"/>
    <row r="33" spans="1:255" ht="18.75" outlineLevel="1" x14ac:dyDescent="0.3">
      <c r="A33" s="314" t="s">
        <v>1177</v>
      </c>
      <c r="B33" s="314"/>
      <c r="C33" s="314"/>
      <c r="D33" s="314"/>
      <c r="E33" s="314"/>
      <c r="F33" s="314"/>
      <c r="G33" s="314"/>
      <c r="H33" s="314"/>
      <c r="I33" s="314"/>
      <c r="J33" s="314"/>
      <c r="K33" s="314"/>
    </row>
    <row r="34" spans="1:255" outlineLevel="1" x14ac:dyDescent="0.2">
      <c r="A34" s="379" t="s">
        <v>16</v>
      </c>
      <c r="B34" s="379"/>
      <c r="C34" s="379"/>
      <c r="D34" s="379"/>
      <c r="E34" s="379"/>
      <c r="F34" s="379"/>
      <c r="G34" s="379"/>
      <c r="H34" s="379"/>
      <c r="I34" s="379"/>
      <c r="J34" s="379"/>
      <c r="K34" s="379"/>
      <c r="BV34" s="26" t="str">
        <f>A34</f>
        <v>Монтаж конструкций здания выше 0.000. Монолитный каркас 17-20 этажей 2 сек</v>
      </c>
      <c r="IU34" s="23"/>
    </row>
    <row r="35" spans="1:255" outlineLevel="1" x14ac:dyDescent="0.2">
      <c r="A35" s="21" t="s">
        <v>826</v>
      </c>
      <c r="C35" s="366" t="s">
        <v>8</v>
      </c>
      <c r="D35" s="366"/>
      <c r="E35" s="366"/>
      <c r="F35" s="366"/>
      <c r="G35" s="366"/>
      <c r="H35" s="366"/>
      <c r="I35" s="366"/>
      <c r="J35" s="366"/>
      <c r="K35" s="366"/>
      <c r="BT35" s="44" t="str">
        <f>C35</f>
        <v>Пересчет с 1.11.2024</v>
      </c>
      <c r="IU35" s="23"/>
    </row>
    <row r="36" spans="1:255" outlineLevel="1" x14ac:dyDescent="0.2">
      <c r="I36" s="46" t="s">
        <v>827</v>
      </c>
      <c r="J36" s="46" t="s">
        <v>828</v>
      </c>
    </row>
    <row r="37" spans="1:255" outlineLevel="1" x14ac:dyDescent="0.2">
      <c r="G37" s="36" t="s">
        <v>829</v>
      </c>
      <c r="H37" s="36"/>
      <c r="I37" s="47" t="e">
        <f>I879/1000</f>
        <v>#REF!</v>
      </c>
      <c r="J37" s="47" t="e">
        <f>K879/1000</f>
        <v>#REF!</v>
      </c>
      <c r="K37" s="36" t="s">
        <v>830</v>
      </c>
    </row>
    <row r="38" spans="1:255" outlineLevel="1" x14ac:dyDescent="0.2">
      <c r="G38" s="16" t="s">
        <v>831</v>
      </c>
      <c r="H38" s="16"/>
      <c r="I38" s="48" t="e">
        <f>SUM(GK47:GK820)/1000</f>
        <v>#REF!</v>
      </c>
      <c r="J38" s="48" t="e">
        <f>(Source!DK437)/1000</f>
        <v>#REF!</v>
      </c>
      <c r="K38" s="16" t="s">
        <v>830</v>
      </c>
    </row>
    <row r="39" spans="1:255" outlineLevel="1" x14ac:dyDescent="0.2">
      <c r="G39" s="16" t="s">
        <v>832</v>
      </c>
      <c r="H39" s="16"/>
      <c r="I39" s="48" t="e">
        <f>Source!DM437</f>
        <v>#REF!</v>
      </c>
      <c r="J39" s="48" t="e">
        <f>Source!DM437</f>
        <v>#REF!</v>
      </c>
      <c r="K39" s="16" t="s">
        <v>833</v>
      </c>
    </row>
    <row r="40" spans="1:255" outlineLevel="1" x14ac:dyDescent="0.2">
      <c r="A40" s="16" t="s">
        <v>834</v>
      </c>
    </row>
    <row r="41" spans="1:255" ht="13.5" outlineLevel="1" thickBot="1" x14ac:dyDescent="0.25">
      <c r="A41" s="16" t="s">
        <v>821</v>
      </c>
    </row>
    <row r="42" spans="1:255" x14ac:dyDescent="0.2">
      <c r="A42" s="336" t="s">
        <v>835</v>
      </c>
      <c r="B42" s="338" t="s">
        <v>836</v>
      </c>
      <c r="C42" s="338" t="s">
        <v>837</v>
      </c>
      <c r="D42" s="338" t="s">
        <v>838</v>
      </c>
      <c r="E42" s="338" t="s">
        <v>839</v>
      </c>
      <c r="F42" s="338" t="s">
        <v>840</v>
      </c>
      <c r="G42" s="338" t="s">
        <v>841</v>
      </c>
      <c r="H42" s="338" t="s">
        <v>842</v>
      </c>
      <c r="I42" s="338" t="s">
        <v>843</v>
      </c>
      <c r="J42" s="338" t="s">
        <v>844</v>
      </c>
      <c r="K42" s="340" t="s">
        <v>845</v>
      </c>
    </row>
    <row r="43" spans="1:255" x14ac:dyDescent="0.2">
      <c r="A43" s="337"/>
      <c r="B43" s="339"/>
      <c r="C43" s="339"/>
      <c r="D43" s="339"/>
      <c r="E43" s="339"/>
      <c r="F43" s="339"/>
      <c r="G43" s="339"/>
      <c r="H43" s="339"/>
      <c r="I43" s="339"/>
      <c r="J43" s="339"/>
      <c r="K43" s="341"/>
    </row>
    <row r="44" spans="1:255" x14ac:dyDescent="0.2">
      <c r="A44" s="337"/>
      <c r="B44" s="339"/>
      <c r="C44" s="339"/>
      <c r="D44" s="339"/>
      <c r="E44" s="339"/>
      <c r="F44" s="339"/>
      <c r="G44" s="339"/>
      <c r="H44" s="339"/>
      <c r="I44" s="339"/>
      <c r="J44" s="339"/>
      <c r="K44" s="341"/>
    </row>
    <row r="45" spans="1:255" ht="13.5" thickBot="1" x14ac:dyDescent="0.25">
      <c r="A45" s="337"/>
      <c r="B45" s="339"/>
      <c r="C45" s="339"/>
      <c r="D45" s="339"/>
      <c r="E45" s="339"/>
      <c r="F45" s="339"/>
      <c r="G45" s="339"/>
      <c r="H45" s="339"/>
      <c r="I45" s="339"/>
      <c r="J45" s="339"/>
      <c r="K45" s="341"/>
    </row>
    <row r="46" spans="1:255" ht="13.5" thickBot="1" x14ac:dyDescent="0.25">
      <c r="A46" s="49">
        <v>1</v>
      </c>
      <c r="B46" s="49">
        <v>2</v>
      </c>
      <c r="C46" s="49">
        <v>3</v>
      </c>
      <c r="D46" s="49">
        <v>4</v>
      </c>
      <c r="E46" s="49">
        <v>5</v>
      </c>
      <c r="F46" s="49">
        <v>6</v>
      </c>
      <c r="G46" s="49">
        <v>7</v>
      </c>
      <c r="H46" s="49">
        <v>8</v>
      </c>
      <c r="I46" s="49">
        <v>9</v>
      </c>
      <c r="J46" s="49">
        <v>10</v>
      </c>
      <c r="K46" s="49">
        <v>11</v>
      </c>
    </row>
    <row r="47" spans="1:255" x14ac:dyDescent="0.2">
      <c r="A47" s="50"/>
      <c r="B47" s="50"/>
      <c r="C47" s="50"/>
      <c r="D47" s="50"/>
      <c r="E47" s="50"/>
      <c r="F47" s="50"/>
      <c r="G47" s="50"/>
      <c r="H47" s="50"/>
      <c r="I47" s="50"/>
      <c r="J47" s="50"/>
      <c r="K47" s="50"/>
    </row>
    <row r="48" spans="1:255" x14ac:dyDescent="0.2">
      <c r="A48" s="330" t="s">
        <v>849</v>
      </c>
      <c r="B48" s="330"/>
      <c r="C48" s="331" t="s">
        <v>851</v>
      </c>
      <c r="D48" s="331"/>
      <c r="E48" s="331"/>
      <c r="F48" s="331"/>
      <c r="G48" s="331"/>
      <c r="H48" s="331"/>
      <c r="I48" s="331"/>
      <c r="J48" s="331"/>
      <c r="K48" s="331"/>
      <c r="BX48" s="51" t="str">
        <f>C48</f>
        <v xml:space="preserve"> Пилоны 17-20 этажи</v>
      </c>
      <c r="IU48" s="23"/>
    </row>
    <row r="49" spans="1:255" ht="13.5" thickBot="1" x14ac:dyDescent="0.25"/>
    <row r="50" spans="1:255" ht="33.75" x14ac:dyDescent="0.2">
      <c r="A50" s="53">
        <v>1</v>
      </c>
      <c r="B50" s="61" t="s">
        <v>19</v>
      </c>
      <c r="C50" s="54" t="s">
        <v>852</v>
      </c>
      <c r="D50" s="55" t="s">
        <v>21</v>
      </c>
      <c r="E50" s="56">
        <v>26.77</v>
      </c>
      <c r="F50" s="57">
        <f>Source!AK29</f>
        <v>710.58</v>
      </c>
      <c r="G50" s="62" t="s">
        <v>6</v>
      </c>
      <c r="H50" s="57"/>
      <c r="I50" s="58">
        <f>SUM(DQ50:DQ61)</f>
        <v>7772</v>
      </c>
      <c r="J50" s="59" t="s">
        <v>19</v>
      </c>
      <c r="K50" s="60" t="e">
        <f>SUM(DS50:DS61)</f>
        <v>#REF!</v>
      </c>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row>
    <row r="51" spans="1:255" x14ac:dyDescent="0.2">
      <c r="A51" s="66"/>
      <c r="B51" s="67"/>
      <c r="C51" s="67" t="s">
        <v>853</v>
      </c>
      <c r="D51" s="68"/>
      <c r="E51" s="69"/>
      <c r="F51" s="70">
        <v>130.72</v>
      </c>
      <c r="G51" s="71" t="s">
        <v>854</v>
      </c>
      <c r="H51" s="70">
        <f>Source!AF29</f>
        <v>137.26</v>
      </c>
      <c r="I51" s="72">
        <f>T51</f>
        <v>919</v>
      </c>
      <c r="J51" s="73">
        <v>36.07</v>
      </c>
      <c r="K51" s="74">
        <f>U51</f>
        <v>33134</v>
      </c>
      <c r="O51" s="23"/>
      <c r="P51" s="23"/>
      <c r="Q51" s="23"/>
      <c r="R51" s="23"/>
      <c r="S51" s="23"/>
      <c r="T51" s="23">
        <f>ROUND(Source!AF29*Source!AV29*Source!I29,0)</f>
        <v>919</v>
      </c>
      <c r="U51" s="23">
        <f>Source!S29</f>
        <v>33134</v>
      </c>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v>1</v>
      </c>
      <c r="CW51" s="23"/>
      <c r="CX51" s="23"/>
      <c r="CY51" s="23"/>
      <c r="CZ51" s="23"/>
      <c r="DA51" s="23"/>
      <c r="DB51" s="23"/>
      <c r="DC51" s="23"/>
      <c r="DD51" s="23"/>
      <c r="DE51" s="23"/>
      <c r="DF51" s="23"/>
      <c r="DG51" s="23">
        <f>Source!S29</f>
        <v>33134</v>
      </c>
      <c r="DH51" s="23">
        <v>1003</v>
      </c>
      <c r="DI51" s="23"/>
      <c r="DJ51" s="23"/>
      <c r="DK51" s="23"/>
      <c r="DL51" s="23"/>
      <c r="DM51" s="23"/>
      <c r="DN51" s="23"/>
      <c r="DO51" s="23"/>
      <c r="DP51" s="23"/>
      <c r="DQ51" s="23">
        <f>T51</f>
        <v>919</v>
      </c>
      <c r="DR51" s="23"/>
      <c r="DS51" s="23">
        <f>U51</f>
        <v>33134</v>
      </c>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f>T51</f>
        <v>919</v>
      </c>
      <c r="GK51" s="23">
        <f>T51</f>
        <v>919</v>
      </c>
      <c r="GL51" s="23"/>
      <c r="GM51" s="23"/>
      <c r="GN51" s="23"/>
      <c r="GO51" s="23"/>
      <c r="GP51" s="23"/>
      <c r="GQ51" s="23"/>
      <c r="GR51" s="23"/>
      <c r="GS51" s="23"/>
      <c r="GT51" s="23"/>
      <c r="GU51" s="23"/>
      <c r="GV51" s="23"/>
      <c r="GW51" s="23"/>
      <c r="GX51" s="23"/>
      <c r="GY51" s="23"/>
      <c r="GZ51" s="23"/>
      <c r="HA51" s="23"/>
      <c r="HB51" s="23">
        <f>T51</f>
        <v>919</v>
      </c>
      <c r="HC51" s="23"/>
      <c r="HD51" s="23"/>
      <c r="HE51" s="23"/>
      <c r="HF51" s="23">
        <f>T51</f>
        <v>919</v>
      </c>
      <c r="HG51" s="23"/>
      <c r="HH51" s="23"/>
      <c r="HI51" s="23"/>
      <c r="HJ51" s="23"/>
      <c r="HK51" s="23"/>
      <c r="HL51" s="23">
        <f>T51</f>
        <v>919</v>
      </c>
      <c r="HM51" s="23"/>
      <c r="HN51" s="23">
        <f>T51</f>
        <v>919</v>
      </c>
      <c r="HO51" s="23"/>
      <c r="HP51" s="23"/>
      <c r="HQ51" s="23"/>
      <c r="HR51" s="23"/>
      <c r="HS51" s="23"/>
      <c r="HT51" s="23"/>
      <c r="HU51" s="23"/>
      <c r="HV51" s="23"/>
      <c r="HW51" s="23"/>
      <c r="HX51" s="23">
        <f>T51</f>
        <v>919</v>
      </c>
      <c r="HY51" s="23"/>
      <c r="HZ51" s="23"/>
      <c r="IA51" s="23"/>
      <c r="IB51" s="23"/>
      <c r="IC51" s="23"/>
      <c r="ID51" s="23"/>
      <c r="IE51" s="23"/>
      <c r="IF51" s="23"/>
      <c r="IG51" s="23"/>
      <c r="IH51" s="23"/>
      <c r="II51" s="23"/>
      <c r="IJ51" s="23"/>
      <c r="IK51" s="23"/>
      <c r="IL51" s="23"/>
      <c r="IM51" s="23"/>
      <c r="IN51" s="23"/>
      <c r="IO51" s="23"/>
      <c r="IP51" s="23"/>
      <c r="IQ51" s="23"/>
      <c r="IR51" s="23"/>
      <c r="IS51" s="23"/>
      <c r="IT51" s="23"/>
      <c r="IU51" s="23"/>
    </row>
    <row r="52" spans="1:255" x14ac:dyDescent="0.2">
      <c r="A52" s="78"/>
      <c r="B52" s="79"/>
      <c r="C52" s="79" t="s">
        <v>855</v>
      </c>
      <c r="D52" s="80"/>
      <c r="E52" s="81"/>
      <c r="F52" s="82">
        <v>465.76</v>
      </c>
      <c r="G52" s="83" t="s">
        <v>856</v>
      </c>
      <c r="H52" s="82">
        <f>Source!AD29</f>
        <v>602.12</v>
      </c>
      <c r="I52" s="84">
        <f>T52</f>
        <v>4030</v>
      </c>
      <c r="J52" s="85">
        <v>9.3000000000000007</v>
      </c>
      <c r="K52" s="86">
        <f>U52</f>
        <v>37476</v>
      </c>
      <c r="O52" s="23"/>
      <c r="P52" s="23"/>
      <c r="Q52" s="23"/>
      <c r="R52" s="23"/>
      <c r="S52" s="23"/>
      <c r="T52" s="23">
        <f>ROUND(Source!AD29*Source!AV29*Source!I29,0)</f>
        <v>4030</v>
      </c>
      <c r="U52" s="23">
        <f>Source!Q29</f>
        <v>37476</v>
      </c>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v>1</v>
      </c>
      <c r="CW52" s="23"/>
      <c r="CX52" s="23"/>
      <c r="CY52" s="23"/>
      <c r="CZ52" s="23"/>
      <c r="DA52" s="23"/>
      <c r="DB52" s="23"/>
      <c r="DC52" s="23"/>
      <c r="DD52" s="23"/>
      <c r="DE52" s="23"/>
      <c r="DF52" s="23"/>
      <c r="DG52" s="23"/>
      <c r="DH52" s="23"/>
      <c r="DI52" s="23"/>
      <c r="DJ52" s="23"/>
      <c r="DK52" s="23"/>
      <c r="DL52" s="23"/>
      <c r="DM52" s="23"/>
      <c r="DN52" s="23"/>
      <c r="DO52" s="23"/>
      <c r="DP52" s="23"/>
      <c r="DQ52" s="23">
        <f>T52</f>
        <v>4030</v>
      </c>
      <c r="DR52" s="23"/>
      <c r="DS52" s="23">
        <f>U52</f>
        <v>37476</v>
      </c>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f>T52</f>
        <v>4030</v>
      </c>
      <c r="GK52" s="23"/>
      <c r="GL52" s="23">
        <f>T52</f>
        <v>4030</v>
      </c>
      <c r="GM52" s="23"/>
      <c r="GN52" s="23"/>
      <c r="GO52" s="23"/>
      <c r="GP52" s="23"/>
      <c r="GQ52" s="23"/>
      <c r="GR52" s="23"/>
      <c r="GS52" s="23"/>
      <c r="GT52" s="23"/>
      <c r="GU52" s="23"/>
      <c r="GV52" s="23"/>
      <c r="GW52" s="23"/>
      <c r="GX52" s="23"/>
      <c r="GY52" s="23"/>
      <c r="GZ52" s="23"/>
      <c r="HA52" s="23"/>
      <c r="HB52" s="23">
        <f>T52</f>
        <v>4030</v>
      </c>
      <c r="HC52" s="23"/>
      <c r="HD52" s="23"/>
      <c r="HE52" s="23"/>
      <c r="HF52" s="23">
        <f>T52</f>
        <v>4030</v>
      </c>
      <c r="HG52" s="23"/>
      <c r="HH52" s="23"/>
      <c r="HI52" s="23"/>
      <c r="HJ52" s="23"/>
      <c r="HK52" s="23"/>
      <c r="HL52" s="23">
        <f>T52</f>
        <v>4030</v>
      </c>
      <c r="HM52" s="23"/>
      <c r="HN52" s="23">
        <f>T52</f>
        <v>4030</v>
      </c>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row>
    <row r="53" spans="1:255" x14ac:dyDescent="0.2">
      <c r="A53" s="78"/>
      <c r="B53" s="79"/>
      <c r="C53" s="79" t="s">
        <v>857</v>
      </c>
      <c r="D53" s="80"/>
      <c r="E53" s="81"/>
      <c r="F53" s="82">
        <v>68.59</v>
      </c>
      <c r="G53" s="83" t="s">
        <v>856</v>
      </c>
      <c r="H53" s="82">
        <f>Source!AE29</f>
        <v>76.819999999999993</v>
      </c>
      <c r="I53" s="84">
        <f>GM53</f>
        <v>514</v>
      </c>
      <c r="J53" s="85">
        <v>19.8</v>
      </c>
      <c r="K53" s="86">
        <f>Source!R29</f>
        <v>10180</v>
      </c>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f>ROUND(Source!AE29*Source!AV29*Source!I29,0)</f>
        <v>514</v>
      </c>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f>GM53</f>
        <v>514</v>
      </c>
      <c r="HY53" s="23"/>
      <c r="HZ53" s="23"/>
      <c r="IA53" s="23"/>
      <c r="IB53" s="23"/>
      <c r="IC53" s="23"/>
      <c r="ID53" s="23"/>
      <c r="IE53" s="23"/>
      <c r="IF53" s="23"/>
      <c r="IG53" s="23"/>
      <c r="IH53" s="23"/>
      <c r="II53" s="23"/>
      <c r="IJ53" s="23"/>
      <c r="IK53" s="23"/>
      <c r="IL53" s="23"/>
      <c r="IM53" s="23"/>
      <c r="IN53" s="23"/>
      <c r="IO53" s="23"/>
      <c r="IP53" s="23"/>
      <c r="IQ53" s="23"/>
      <c r="IR53" s="23"/>
      <c r="IS53" s="23"/>
      <c r="IT53" s="23"/>
      <c r="IU53" s="23"/>
    </row>
    <row r="54" spans="1:255" x14ac:dyDescent="0.2">
      <c r="A54" s="87"/>
      <c r="B54" s="88"/>
      <c r="C54" s="88" t="s">
        <v>858</v>
      </c>
      <c r="D54" s="89"/>
      <c r="E54" s="90">
        <v>120</v>
      </c>
      <c r="F54" s="91" t="s">
        <v>859</v>
      </c>
      <c r="G54" s="92"/>
      <c r="H54" s="93">
        <f>ROUND((Source!AF29*Source!AV29+Source!AE29*Source!AV29)*(Source!FX29)/100,2)</f>
        <v>256.89999999999998</v>
      </c>
      <c r="I54" s="94">
        <f>T54</f>
        <v>1720</v>
      </c>
      <c r="J54" s="96">
        <v>1.1399999999999999</v>
      </c>
      <c r="K54" s="95" t="e">
        <f>U54</f>
        <v>#REF!</v>
      </c>
      <c r="O54" s="23"/>
      <c r="P54" s="23"/>
      <c r="Q54" s="23"/>
      <c r="R54" s="23"/>
      <c r="S54" s="23"/>
      <c r="T54" s="23">
        <f>ROUND((ROUND(Source!AF29*Source!AV29*Source!I29,0)+ROUND(Source!AE29*Source!AV29*Source!I29,0))*(Source!DN29)/100,0)</f>
        <v>1720</v>
      </c>
      <c r="U54" s="23" t="e">
        <f>Source!X29</f>
        <v>#REF!</v>
      </c>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v>1</v>
      </c>
      <c r="CW54" s="23"/>
      <c r="CX54" s="23"/>
      <c r="CY54" s="23"/>
      <c r="CZ54" s="23"/>
      <c r="DA54" s="23"/>
      <c r="DB54" s="23"/>
      <c r="DC54" s="23"/>
      <c r="DD54" s="23"/>
      <c r="DE54" s="23"/>
      <c r="DF54" s="23"/>
      <c r="DG54" s="23"/>
      <c r="DH54" s="23"/>
      <c r="DI54" s="23"/>
      <c r="DJ54" s="23"/>
      <c r="DK54" s="23"/>
      <c r="DL54" s="23"/>
      <c r="DM54" s="23"/>
      <c r="DN54" s="23"/>
      <c r="DO54" s="23"/>
      <c r="DP54" s="23"/>
      <c r="DQ54" s="23">
        <f>T54</f>
        <v>1720</v>
      </c>
      <c r="DR54" s="23"/>
      <c r="DS54" s="23" t="e">
        <f>U54</f>
        <v>#REF!</v>
      </c>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f>T54</f>
        <v>1720</v>
      </c>
      <c r="GZ54" s="23"/>
      <c r="HA54" s="23"/>
      <c r="HB54" s="23">
        <f>T54</f>
        <v>1720</v>
      </c>
      <c r="HC54" s="23"/>
      <c r="HD54" s="23"/>
      <c r="HE54" s="23"/>
      <c r="HF54" s="23">
        <f>T54</f>
        <v>1720</v>
      </c>
      <c r="HG54" s="23"/>
      <c r="HH54" s="23"/>
      <c r="HI54" s="23"/>
      <c r="HJ54" s="23"/>
      <c r="HK54" s="23"/>
      <c r="HL54" s="23">
        <f>T54</f>
        <v>1720</v>
      </c>
      <c r="HM54" s="23"/>
      <c r="HN54" s="23">
        <f>T54</f>
        <v>1720</v>
      </c>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row>
    <row r="55" spans="1:255" x14ac:dyDescent="0.2">
      <c r="A55" s="87"/>
      <c r="B55" s="88"/>
      <c r="C55" s="88" t="s">
        <v>860</v>
      </c>
      <c r="D55" s="89"/>
      <c r="E55" s="90">
        <v>77</v>
      </c>
      <c r="F55" s="91" t="s">
        <v>859</v>
      </c>
      <c r="G55" s="92"/>
      <c r="H55" s="93">
        <f>ROUND((Source!AF29*Source!AV29+Source!AE29*Source!AV29)*(Source!FY29)/100,2)</f>
        <v>164.84</v>
      </c>
      <c r="I55" s="94">
        <f>T55</f>
        <v>1103</v>
      </c>
      <c r="J55" s="96">
        <v>0.65</v>
      </c>
      <c r="K55" s="95" t="e">
        <f>U55</f>
        <v>#REF!</v>
      </c>
      <c r="O55" s="23"/>
      <c r="P55" s="23"/>
      <c r="Q55" s="23"/>
      <c r="R55" s="23"/>
      <c r="S55" s="23"/>
      <c r="T55" s="23">
        <f>ROUND((ROUND(Source!AF29*Source!AV29*Source!I29,0)+ROUND(Source!AE29*Source!AV29*Source!I29,0))*(Source!DO29)/100,0)</f>
        <v>1103</v>
      </c>
      <c r="U55" s="23" t="e">
        <f>Source!Y29</f>
        <v>#REF!</v>
      </c>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v>1</v>
      </c>
      <c r="CW55" s="23"/>
      <c r="CX55" s="23"/>
      <c r="CY55" s="23"/>
      <c r="CZ55" s="23"/>
      <c r="DA55" s="23"/>
      <c r="DB55" s="23"/>
      <c r="DC55" s="23"/>
      <c r="DD55" s="23"/>
      <c r="DE55" s="23"/>
      <c r="DF55" s="23"/>
      <c r="DG55" s="23"/>
      <c r="DH55" s="23"/>
      <c r="DI55" s="23"/>
      <c r="DJ55" s="23"/>
      <c r="DK55" s="23"/>
      <c r="DL55" s="23"/>
      <c r="DM55" s="23"/>
      <c r="DN55" s="23"/>
      <c r="DO55" s="23"/>
      <c r="DP55" s="23"/>
      <c r="DQ55" s="23">
        <f>T55</f>
        <v>1103</v>
      </c>
      <c r="DR55" s="23"/>
      <c r="DS55" s="23" t="e">
        <f>U55</f>
        <v>#REF!</v>
      </c>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f>T55</f>
        <v>1103</v>
      </c>
      <c r="HA55" s="23"/>
      <c r="HB55" s="23">
        <f>T55</f>
        <v>1103</v>
      </c>
      <c r="HC55" s="23"/>
      <c r="HD55" s="23"/>
      <c r="HE55" s="23"/>
      <c r="HF55" s="23">
        <f>T55</f>
        <v>1103</v>
      </c>
      <c r="HG55" s="23"/>
      <c r="HH55" s="23"/>
      <c r="HI55" s="23"/>
      <c r="HJ55" s="23"/>
      <c r="HK55" s="23"/>
      <c r="HL55" s="23">
        <f>T55</f>
        <v>1103</v>
      </c>
      <c r="HM55" s="23"/>
      <c r="HN55" s="23">
        <f>T55</f>
        <v>1103</v>
      </c>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row>
    <row r="56" spans="1:255" x14ac:dyDescent="0.2">
      <c r="A56" s="78"/>
      <c r="B56" s="79"/>
      <c r="C56" s="79" t="s">
        <v>861</v>
      </c>
      <c r="D56" s="80" t="s">
        <v>862</v>
      </c>
      <c r="E56" s="81">
        <v>16.61</v>
      </c>
      <c r="F56" s="82"/>
      <c r="G56" s="83" t="s">
        <v>854</v>
      </c>
      <c r="H56" s="82" t="e">
        <f>ROUND(Source!AH29,2)</f>
        <v>#REF!</v>
      </c>
      <c r="I56" s="97" t="e">
        <f>Source!U29</f>
        <v>#REF!</v>
      </c>
      <c r="J56" s="85"/>
      <c r="K56" s="86"/>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row>
    <row r="57" spans="1:255" x14ac:dyDescent="0.2">
      <c r="A57" s="100" t="s">
        <v>30</v>
      </c>
      <c r="B57" s="109" t="s">
        <v>31</v>
      </c>
      <c r="C57" s="101" t="s">
        <v>32</v>
      </c>
      <c r="D57" s="102" t="s">
        <v>33</v>
      </c>
      <c r="E57" s="103">
        <f>Source!I31</f>
        <v>1.7734999999999997E-3</v>
      </c>
      <c r="F57" s="104">
        <v>8475</v>
      </c>
      <c r="G57" s="105"/>
      <c r="H57" s="104">
        <f>Source!AC30</f>
        <v>8475</v>
      </c>
      <c r="I57" s="106">
        <f>T57</f>
        <v>15</v>
      </c>
      <c r="J57" s="107" t="s">
        <v>863</v>
      </c>
      <c r="K57" s="108">
        <f>U57</f>
        <v>134</v>
      </c>
      <c r="L57" s="23"/>
      <c r="M57" s="23"/>
      <c r="N57" s="23"/>
      <c r="O57" s="23"/>
      <c r="P57" s="23"/>
      <c r="Q57" s="23"/>
      <c r="R57" s="23"/>
      <c r="S57" s="23"/>
      <c r="T57" s="23">
        <f>ROUND(Source!AC30*Source!AW30*Source!I30,0)</f>
        <v>15</v>
      </c>
      <c r="U57" s="23">
        <f>Source!P31</f>
        <v>134</v>
      </c>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v>1</v>
      </c>
      <c r="CW57" s="23"/>
      <c r="CX57" s="23"/>
      <c r="CY57" s="23"/>
      <c r="CZ57" s="23"/>
      <c r="DA57" s="23"/>
      <c r="DB57" s="23"/>
      <c r="DC57" s="23"/>
      <c r="DD57" s="23"/>
      <c r="DE57" s="23"/>
      <c r="DF57" s="23"/>
      <c r="DG57" s="23"/>
      <c r="DH57" s="23"/>
      <c r="DI57" s="23"/>
      <c r="DJ57" s="23"/>
      <c r="DK57" s="23">
        <f>T57</f>
        <v>15</v>
      </c>
      <c r="DL57" s="23"/>
      <c r="DM57" s="23">
        <f>Source!P31</f>
        <v>134</v>
      </c>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f>T57</f>
        <v>15</v>
      </c>
      <c r="GK57" s="23"/>
      <c r="GL57" s="23"/>
      <c r="GM57" s="23"/>
      <c r="GN57" s="23">
        <f>T57</f>
        <v>15</v>
      </c>
      <c r="GO57" s="23"/>
      <c r="GP57" s="23">
        <f>T57</f>
        <v>15</v>
      </c>
      <c r="GQ57" s="23">
        <f>T57</f>
        <v>15</v>
      </c>
      <c r="GR57" s="23"/>
      <c r="GS57" s="23">
        <f>T57</f>
        <v>15</v>
      </c>
      <c r="GT57" s="23"/>
      <c r="GU57" s="23"/>
      <c r="GV57" s="23"/>
      <c r="GW57" s="23"/>
      <c r="GX57" s="23"/>
      <c r="GY57" s="23"/>
      <c r="GZ57" s="23"/>
      <c r="HA57" s="23"/>
      <c r="HB57" s="23">
        <f>T57</f>
        <v>15</v>
      </c>
      <c r="HC57" s="23"/>
      <c r="HD57" s="23"/>
      <c r="HE57" s="23"/>
      <c r="HF57" s="23">
        <f>T57</f>
        <v>15</v>
      </c>
      <c r="HG57" s="23"/>
      <c r="HH57" s="23"/>
      <c r="HI57" s="23"/>
      <c r="HJ57" s="23"/>
      <c r="HK57" s="23"/>
      <c r="HL57" s="23">
        <f>T57</f>
        <v>15</v>
      </c>
      <c r="HM57" s="23"/>
      <c r="HN57" s="23">
        <f>T57</f>
        <v>15</v>
      </c>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row>
    <row r="58" spans="1:255" x14ac:dyDescent="0.2">
      <c r="A58" s="64"/>
      <c r="B58" s="111" t="s">
        <v>864</v>
      </c>
      <c r="C58" s="111" t="s">
        <v>865</v>
      </c>
      <c r="D58" s="63"/>
      <c r="E58" s="63"/>
      <c r="F58" s="63"/>
      <c r="G58" s="63"/>
      <c r="H58" s="63"/>
      <c r="I58" s="63"/>
      <c r="J58" s="63"/>
      <c r="K58" s="65"/>
    </row>
    <row r="59" spans="1:255" ht="36" x14ac:dyDescent="0.2">
      <c r="A59" s="114" t="s">
        <v>41</v>
      </c>
      <c r="B59" s="115" t="s">
        <v>42</v>
      </c>
      <c r="C59" s="116" t="s">
        <v>43</v>
      </c>
      <c r="D59" s="117" t="s">
        <v>44</v>
      </c>
      <c r="E59" s="118">
        <f>Source!I33</f>
        <v>6.0145499999999998E-2</v>
      </c>
      <c r="F59" s="119">
        <v>1100</v>
      </c>
      <c r="G59" s="71"/>
      <c r="H59" s="119">
        <f>Source!AC32</f>
        <v>1100</v>
      </c>
      <c r="I59" s="120">
        <f>T59</f>
        <v>66</v>
      </c>
      <c r="J59" s="73" t="s">
        <v>863</v>
      </c>
      <c r="K59" s="121">
        <f>U59</f>
        <v>1063</v>
      </c>
      <c r="L59" s="23"/>
      <c r="M59" s="23"/>
      <c r="N59" s="23"/>
      <c r="O59" s="23"/>
      <c r="P59" s="23"/>
      <c r="Q59" s="23"/>
      <c r="R59" s="23"/>
      <c r="S59" s="23"/>
      <c r="T59" s="23">
        <f>ROUND(Source!AC32*Source!AW32*Source!I32,0)</f>
        <v>66</v>
      </c>
      <c r="U59" s="23">
        <f>Source!P33</f>
        <v>1063</v>
      </c>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v>1</v>
      </c>
      <c r="CW59" s="23"/>
      <c r="CX59" s="23"/>
      <c r="CY59" s="23"/>
      <c r="CZ59" s="23"/>
      <c r="DA59" s="23"/>
      <c r="DB59" s="23"/>
      <c r="DC59" s="23"/>
      <c r="DD59" s="23"/>
      <c r="DE59" s="23"/>
      <c r="DF59" s="23"/>
      <c r="DG59" s="23"/>
      <c r="DH59" s="23"/>
      <c r="DI59" s="23"/>
      <c r="DJ59" s="23"/>
      <c r="DK59" s="23">
        <f>T59</f>
        <v>66</v>
      </c>
      <c r="DL59" s="23"/>
      <c r="DM59" s="23">
        <f>Source!P33</f>
        <v>1063</v>
      </c>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f>T59</f>
        <v>66</v>
      </c>
      <c r="GK59" s="23"/>
      <c r="GL59" s="23"/>
      <c r="GM59" s="23"/>
      <c r="GN59" s="23">
        <f>T59</f>
        <v>66</v>
      </c>
      <c r="GO59" s="23"/>
      <c r="GP59" s="23">
        <f>T59</f>
        <v>66</v>
      </c>
      <c r="GQ59" s="23">
        <f>T59</f>
        <v>66</v>
      </c>
      <c r="GR59" s="23"/>
      <c r="GS59" s="23">
        <f>T59</f>
        <v>66</v>
      </c>
      <c r="GT59" s="23"/>
      <c r="GU59" s="23"/>
      <c r="GV59" s="23"/>
      <c r="GW59" s="23"/>
      <c r="GX59" s="23"/>
      <c r="GY59" s="23"/>
      <c r="GZ59" s="23"/>
      <c r="HA59" s="23"/>
      <c r="HB59" s="23">
        <f>T59</f>
        <v>66</v>
      </c>
      <c r="HC59" s="23"/>
      <c r="HD59" s="23"/>
      <c r="HE59" s="23"/>
      <c r="HF59" s="23">
        <f>T59</f>
        <v>66</v>
      </c>
      <c r="HG59" s="23"/>
      <c r="HH59" s="23"/>
      <c r="HI59" s="23"/>
      <c r="HJ59" s="23"/>
      <c r="HK59" s="23"/>
      <c r="HL59" s="23">
        <f>T59</f>
        <v>66</v>
      </c>
      <c r="HM59" s="23"/>
      <c r="HN59" s="23">
        <f>T59</f>
        <v>66</v>
      </c>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row>
    <row r="60" spans="1:255" x14ac:dyDescent="0.2">
      <c r="A60" s="98"/>
      <c r="B60" s="113" t="s">
        <v>864</v>
      </c>
      <c r="C60" s="113" t="s">
        <v>866</v>
      </c>
      <c r="D60" s="33"/>
      <c r="E60" s="33"/>
      <c r="F60" s="33"/>
      <c r="G60" s="33"/>
      <c r="H60" s="33"/>
      <c r="I60" s="33"/>
      <c r="J60" s="33"/>
      <c r="K60" s="99"/>
    </row>
    <row r="61" spans="1:255" ht="13.5" thickBot="1" x14ac:dyDescent="0.25">
      <c r="A61" s="124"/>
      <c r="B61" s="125"/>
      <c r="C61" s="125" t="s">
        <v>867</v>
      </c>
      <c r="D61" s="125"/>
      <c r="E61" s="125"/>
      <c r="F61" s="125"/>
      <c r="G61" s="125"/>
      <c r="H61" s="380">
        <f>SUM(DK50:DK60)</f>
        <v>81</v>
      </c>
      <c r="I61" s="381"/>
      <c r="J61" s="380">
        <f>SUM(DM50:DM60)</f>
        <v>1197</v>
      </c>
      <c r="K61" s="382"/>
      <c r="L61" s="112"/>
      <c r="M61" s="112"/>
      <c r="N61" s="11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row>
    <row r="62" spans="1:255" x14ac:dyDescent="0.2">
      <c r="A62" s="123"/>
      <c r="B62" s="122"/>
      <c r="C62" s="122" t="s">
        <v>868</v>
      </c>
      <c r="D62" s="122"/>
      <c r="E62" s="122"/>
      <c r="F62" s="122"/>
      <c r="G62" s="122"/>
      <c r="H62" s="383">
        <f>R62</f>
        <v>7853</v>
      </c>
      <c r="I62" s="384"/>
      <c r="J62" s="383" t="e">
        <f>S62</f>
        <v>#REF!</v>
      </c>
      <c r="K62" s="385"/>
      <c r="O62" s="23"/>
      <c r="P62" s="23"/>
      <c r="Q62" s="23"/>
      <c r="R62" s="23">
        <f>SUM(T50:T61)</f>
        <v>7853</v>
      </c>
      <c r="S62" s="23" t="e">
        <f>SUM(U50:U61)</f>
        <v>#REF!</v>
      </c>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f>R62</f>
        <v>7853</v>
      </c>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row>
    <row r="63" spans="1:255" x14ac:dyDescent="0.2">
      <c r="A63" s="77"/>
      <c r="B63" s="76"/>
      <c r="C63" s="76"/>
      <c r="D63" s="76"/>
      <c r="E63" s="76"/>
      <c r="F63" s="76"/>
      <c r="G63" s="76"/>
      <c r="H63" s="386"/>
      <c r="I63" s="387"/>
      <c r="J63" s="386"/>
      <c r="K63" s="388"/>
    </row>
    <row r="64" spans="1:255" ht="47.25" x14ac:dyDescent="0.2">
      <c r="A64" s="126">
        <v>2</v>
      </c>
      <c r="B64" s="133" t="s">
        <v>47</v>
      </c>
      <c r="C64" s="127" t="s">
        <v>869</v>
      </c>
      <c r="D64" s="128" t="s">
        <v>49</v>
      </c>
      <c r="E64" s="129">
        <v>1.49</v>
      </c>
      <c r="F64" s="130">
        <f>Source!AK35</f>
        <v>5543.2</v>
      </c>
      <c r="G64" s="134" t="s">
        <v>6</v>
      </c>
      <c r="H64" s="130"/>
      <c r="I64" s="131">
        <f>SUM(DQ64:DQ73)</f>
        <v>662</v>
      </c>
      <c r="J64" s="107" t="s">
        <v>47</v>
      </c>
      <c r="K64" s="132" t="e">
        <f>SUM(DS64:DS73)</f>
        <v>#REF!</v>
      </c>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row>
    <row r="65" spans="1:255" x14ac:dyDescent="0.2">
      <c r="A65" s="66"/>
      <c r="B65" s="67"/>
      <c r="C65" s="67" t="s">
        <v>853</v>
      </c>
      <c r="D65" s="68"/>
      <c r="E65" s="69"/>
      <c r="F65" s="70">
        <v>713.62</v>
      </c>
      <c r="G65" s="71" t="s">
        <v>854</v>
      </c>
      <c r="H65" s="70">
        <f>Source!AF35</f>
        <v>749.3</v>
      </c>
      <c r="I65" s="72">
        <f>T65</f>
        <v>279</v>
      </c>
      <c r="J65" s="73">
        <v>25.36</v>
      </c>
      <c r="K65" s="74">
        <f>U65</f>
        <v>7078</v>
      </c>
      <c r="O65" s="23"/>
      <c r="P65" s="23"/>
      <c r="Q65" s="23"/>
      <c r="R65" s="23"/>
      <c r="S65" s="23"/>
      <c r="T65" s="23">
        <f>ROUND(Source!AF35*Source!AV35*Source!I35,0)</f>
        <v>279</v>
      </c>
      <c r="U65" s="23">
        <f>Source!S35</f>
        <v>7078</v>
      </c>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v>1</v>
      </c>
      <c r="CW65" s="23"/>
      <c r="CX65" s="23"/>
      <c r="CY65" s="23"/>
      <c r="CZ65" s="23"/>
      <c r="DA65" s="23"/>
      <c r="DB65" s="23"/>
      <c r="DC65" s="23"/>
      <c r="DD65" s="23"/>
      <c r="DE65" s="23"/>
      <c r="DF65" s="23"/>
      <c r="DG65" s="23">
        <f>Source!S35</f>
        <v>7078</v>
      </c>
      <c r="DH65" s="23">
        <v>1015</v>
      </c>
      <c r="DI65" s="23"/>
      <c r="DJ65" s="23"/>
      <c r="DK65" s="23"/>
      <c r="DL65" s="23"/>
      <c r="DM65" s="23"/>
      <c r="DN65" s="23"/>
      <c r="DO65" s="23"/>
      <c r="DP65" s="23"/>
      <c r="DQ65" s="23">
        <f>T65</f>
        <v>279</v>
      </c>
      <c r="DR65" s="23"/>
      <c r="DS65" s="23">
        <f>U65</f>
        <v>7078</v>
      </c>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f>T65</f>
        <v>279</v>
      </c>
      <c r="GK65" s="23">
        <f>T65</f>
        <v>279</v>
      </c>
      <c r="GL65" s="23"/>
      <c r="GM65" s="23"/>
      <c r="GN65" s="23"/>
      <c r="GO65" s="23"/>
      <c r="GP65" s="23"/>
      <c r="GQ65" s="23"/>
      <c r="GR65" s="23"/>
      <c r="GS65" s="23"/>
      <c r="GT65" s="23"/>
      <c r="GU65" s="23"/>
      <c r="GV65" s="23"/>
      <c r="GW65" s="23"/>
      <c r="GX65" s="23"/>
      <c r="GY65" s="23"/>
      <c r="GZ65" s="23"/>
      <c r="HA65" s="23"/>
      <c r="HB65" s="23">
        <f>T65</f>
        <v>279</v>
      </c>
      <c r="HC65" s="23"/>
      <c r="HD65" s="23"/>
      <c r="HE65" s="23"/>
      <c r="HF65" s="23">
        <f>T65</f>
        <v>279</v>
      </c>
      <c r="HG65" s="23"/>
      <c r="HH65" s="23"/>
      <c r="HI65" s="23"/>
      <c r="HJ65" s="23"/>
      <c r="HK65" s="23"/>
      <c r="HL65" s="23">
        <f>T65</f>
        <v>279</v>
      </c>
      <c r="HM65" s="23"/>
      <c r="HN65" s="23">
        <f>T65</f>
        <v>279</v>
      </c>
      <c r="HO65" s="23"/>
      <c r="HP65" s="23"/>
      <c r="HQ65" s="23"/>
      <c r="HR65" s="23"/>
      <c r="HS65" s="23"/>
      <c r="HT65" s="23"/>
      <c r="HU65" s="23"/>
      <c r="HV65" s="23"/>
      <c r="HW65" s="23"/>
      <c r="HX65" s="23">
        <f>T65</f>
        <v>279</v>
      </c>
      <c r="HY65" s="23"/>
      <c r="HZ65" s="23"/>
      <c r="IA65" s="23"/>
      <c r="IB65" s="23"/>
      <c r="IC65" s="23"/>
      <c r="ID65" s="23"/>
      <c r="IE65" s="23"/>
      <c r="IF65" s="23"/>
      <c r="IG65" s="23"/>
      <c r="IH65" s="23"/>
      <c r="II65" s="23"/>
      <c r="IJ65" s="23"/>
      <c r="IK65" s="23"/>
      <c r="IL65" s="23"/>
      <c r="IM65" s="23"/>
      <c r="IN65" s="23"/>
      <c r="IO65" s="23"/>
      <c r="IP65" s="23"/>
      <c r="IQ65" s="23"/>
      <c r="IR65" s="23"/>
      <c r="IS65" s="23"/>
      <c r="IT65" s="23"/>
      <c r="IU65" s="23"/>
    </row>
    <row r="66" spans="1:255" x14ac:dyDescent="0.2">
      <c r="A66" s="78"/>
      <c r="B66" s="79"/>
      <c r="C66" s="79" t="s">
        <v>855</v>
      </c>
      <c r="D66" s="80"/>
      <c r="E66" s="81"/>
      <c r="F66" s="82">
        <v>65.97</v>
      </c>
      <c r="G66" s="83" t="s">
        <v>856</v>
      </c>
      <c r="H66" s="82">
        <f>Source!AD35</f>
        <v>73.89</v>
      </c>
      <c r="I66" s="84">
        <f>T66</f>
        <v>28</v>
      </c>
      <c r="J66" s="85">
        <v>7.84</v>
      </c>
      <c r="K66" s="86">
        <f>U66</f>
        <v>216</v>
      </c>
      <c r="O66" s="23"/>
      <c r="P66" s="23"/>
      <c r="Q66" s="23"/>
      <c r="R66" s="23"/>
      <c r="S66" s="23"/>
      <c r="T66" s="23">
        <f>ROUND(Source!AD35*Source!AV35*Source!I35,0)</f>
        <v>28</v>
      </c>
      <c r="U66" s="23">
        <f>Source!Q35</f>
        <v>216</v>
      </c>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v>1</v>
      </c>
      <c r="CW66" s="23"/>
      <c r="CX66" s="23"/>
      <c r="CY66" s="23"/>
      <c r="CZ66" s="23"/>
      <c r="DA66" s="23"/>
      <c r="DB66" s="23"/>
      <c r="DC66" s="23"/>
      <c r="DD66" s="23"/>
      <c r="DE66" s="23"/>
      <c r="DF66" s="23"/>
      <c r="DG66" s="23"/>
      <c r="DH66" s="23"/>
      <c r="DI66" s="23"/>
      <c r="DJ66" s="23"/>
      <c r="DK66" s="23"/>
      <c r="DL66" s="23"/>
      <c r="DM66" s="23"/>
      <c r="DN66" s="23"/>
      <c r="DO66" s="23"/>
      <c r="DP66" s="23"/>
      <c r="DQ66" s="23">
        <f>T66</f>
        <v>28</v>
      </c>
      <c r="DR66" s="23"/>
      <c r="DS66" s="23">
        <f>U66</f>
        <v>216</v>
      </c>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f>T66</f>
        <v>28</v>
      </c>
      <c r="GK66" s="23"/>
      <c r="GL66" s="23">
        <f>T66</f>
        <v>28</v>
      </c>
      <c r="GM66" s="23"/>
      <c r="GN66" s="23"/>
      <c r="GO66" s="23"/>
      <c r="GP66" s="23"/>
      <c r="GQ66" s="23"/>
      <c r="GR66" s="23"/>
      <c r="GS66" s="23"/>
      <c r="GT66" s="23"/>
      <c r="GU66" s="23"/>
      <c r="GV66" s="23"/>
      <c r="GW66" s="23"/>
      <c r="GX66" s="23"/>
      <c r="GY66" s="23"/>
      <c r="GZ66" s="23"/>
      <c r="HA66" s="23"/>
      <c r="HB66" s="23">
        <f>T66</f>
        <v>28</v>
      </c>
      <c r="HC66" s="23"/>
      <c r="HD66" s="23"/>
      <c r="HE66" s="23"/>
      <c r="HF66" s="23">
        <f>T66</f>
        <v>28</v>
      </c>
      <c r="HG66" s="23"/>
      <c r="HH66" s="23"/>
      <c r="HI66" s="23"/>
      <c r="HJ66" s="23"/>
      <c r="HK66" s="23"/>
      <c r="HL66" s="23">
        <f>T66</f>
        <v>28</v>
      </c>
      <c r="HM66" s="23"/>
      <c r="HN66" s="23">
        <f>T66</f>
        <v>28</v>
      </c>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row>
    <row r="67" spans="1:255" x14ac:dyDescent="0.2">
      <c r="A67" s="78"/>
      <c r="B67" s="79"/>
      <c r="C67" s="79" t="s">
        <v>857</v>
      </c>
      <c r="D67" s="80"/>
      <c r="E67" s="81"/>
      <c r="F67" s="82">
        <v>6.26</v>
      </c>
      <c r="G67" s="83" t="s">
        <v>856</v>
      </c>
      <c r="H67" s="82">
        <f>Source!AE35</f>
        <v>7.01</v>
      </c>
      <c r="I67" s="84">
        <f>GM67</f>
        <v>3</v>
      </c>
      <c r="J67" s="85">
        <v>19.8</v>
      </c>
      <c r="K67" s="86">
        <f>Source!R35</f>
        <v>52</v>
      </c>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f>ROUND(Source!AE35*Source!AV35*Source!I35,0)</f>
        <v>3</v>
      </c>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f>GM67</f>
        <v>3</v>
      </c>
      <c r="HY67" s="23"/>
      <c r="HZ67" s="23"/>
      <c r="IA67" s="23"/>
      <c r="IB67" s="23"/>
      <c r="IC67" s="23"/>
      <c r="ID67" s="23"/>
      <c r="IE67" s="23"/>
      <c r="IF67" s="23"/>
      <c r="IG67" s="23"/>
      <c r="IH67" s="23"/>
      <c r="II67" s="23"/>
      <c r="IJ67" s="23"/>
      <c r="IK67" s="23"/>
      <c r="IL67" s="23"/>
      <c r="IM67" s="23"/>
      <c r="IN67" s="23"/>
      <c r="IO67" s="23"/>
      <c r="IP67" s="23"/>
      <c r="IQ67" s="23"/>
      <c r="IR67" s="23"/>
      <c r="IS67" s="23"/>
      <c r="IT67" s="23"/>
      <c r="IU67" s="23"/>
    </row>
    <row r="68" spans="1:255" x14ac:dyDescent="0.2">
      <c r="A68" s="87"/>
      <c r="B68" s="88"/>
      <c r="C68" s="88" t="s">
        <v>858</v>
      </c>
      <c r="D68" s="89"/>
      <c r="E68" s="90">
        <v>66</v>
      </c>
      <c r="F68" s="91" t="s">
        <v>859</v>
      </c>
      <c r="G68" s="92"/>
      <c r="H68" s="93">
        <f>ROUND((Source!AF35*Source!AV35+Source!AE35*Source!AV35)*(Source!FX35)/100,2)</f>
        <v>499.16</v>
      </c>
      <c r="I68" s="94">
        <f>T68</f>
        <v>186</v>
      </c>
      <c r="J68" s="96">
        <v>0.63</v>
      </c>
      <c r="K68" s="95" t="e">
        <f>U68</f>
        <v>#REF!</v>
      </c>
      <c r="O68" s="23"/>
      <c r="P68" s="23"/>
      <c r="Q68" s="23"/>
      <c r="R68" s="23"/>
      <c r="S68" s="23"/>
      <c r="T68" s="23">
        <f>ROUND((ROUND(Source!AF35*Source!AV35*Source!I35,0)+ROUND(Source!AE35*Source!AV35*Source!I35,0))*(Source!DN35)/100,0)</f>
        <v>186</v>
      </c>
      <c r="U68" s="23" t="e">
        <f>Source!X35</f>
        <v>#REF!</v>
      </c>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v>1</v>
      </c>
      <c r="CW68" s="23"/>
      <c r="CX68" s="23"/>
      <c r="CY68" s="23"/>
      <c r="CZ68" s="23"/>
      <c r="DA68" s="23"/>
      <c r="DB68" s="23"/>
      <c r="DC68" s="23"/>
      <c r="DD68" s="23"/>
      <c r="DE68" s="23"/>
      <c r="DF68" s="23"/>
      <c r="DG68" s="23"/>
      <c r="DH68" s="23"/>
      <c r="DI68" s="23"/>
      <c r="DJ68" s="23"/>
      <c r="DK68" s="23"/>
      <c r="DL68" s="23"/>
      <c r="DM68" s="23"/>
      <c r="DN68" s="23"/>
      <c r="DO68" s="23"/>
      <c r="DP68" s="23"/>
      <c r="DQ68" s="23">
        <f>T68</f>
        <v>186</v>
      </c>
      <c r="DR68" s="23"/>
      <c r="DS68" s="23" t="e">
        <f>U68</f>
        <v>#REF!</v>
      </c>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f>T68</f>
        <v>186</v>
      </c>
      <c r="GZ68" s="23"/>
      <c r="HA68" s="23"/>
      <c r="HB68" s="23">
        <f>T68</f>
        <v>186</v>
      </c>
      <c r="HC68" s="23"/>
      <c r="HD68" s="23"/>
      <c r="HE68" s="23"/>
      <c r="HF68" s="23">
        <f>T68</f>
        <v>186</v>
      </c>
      <c r="HG68" s="23"/>
      <c r="HH68" s="23"/>
      <c r="HI68" s="23"/>
      <c r="HJ68" s="23"/>
      <c r="HK68" s="23"/>
      <c r="HL68" s="23">
        <f>T68</f>
        <v>186</v>
      </c>
      <c r="HM68" s="23"/>
      <c r="HN68" s="23">
        <f>T68</f>
        <v>186</v>
      </c>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row>
    <row r="69" spans="1:255" x14ac:dyDescent="0.2">
      <c r="A69" s="87"/>
      <c r="B69" s="88"/>
      <c r="C69" s="88" t="s">
        <v>860</v>
      </c>
      <c r="D69" s="89"/>
      <c r="E69" s="90">
        <v>60</v>
      </c>
      <c r="F69" s="91" t="s">
        <v>859</v>
      </c>
      <c r="G69" s="92"/>
      <c r="H69" s="93">
        <f>ROUND((Source!AF35*Source!AV35+Source!AE35*Source!AV35)*(Source!FY35)/100,2)</f>
        <v>453.79</v>
      </c>
      <c r="I69" s="94">
        <f>T69</f>
        <v>169</v>
      </c>
      <c r="J69" s="96">
        <v>0.51</v>
      </c>
      <c r="K69" s="95" t="e">
        <f>U69</f>
        <v>#REF!</v>
      </c>
      <c r="O69" s="23"/>
      <c r="P69" s="23"/>
      <c r="Q69" s="23"/>
      <c r="R69" s="23"/>
      <c r="S69" s="23"/>
      <c r="T69" s="23">
        <f>ROUND((ROUND(Source!AF35*Source!AV35*Source!I35,0)+ROUND(Source!AE35*Source!AV35*Source!I35,0))*(Source!DO35)/100,0)</f>
        <v>169</v>
      </c>
      <c r="U69" s="23" t="e">
        <f>Source!Y35</f>
        <v>#REF!</v>
      </c>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v>1</v>
      </c>
      <c r="CW69" s="23"/>
      <c r="CX69" s="23"/>
      <c r="CY69" s="23"/>
      <c r="CZ69" s="23"/>
      <c r="DA69" s="23"/>
      <c r="DB69" s="23"/>
      <c r="DC69" s="23"/>
      <c r="DD69" s="23"/>
      <c r="DE69" s="23"/>
      <c r="DF69" s="23"/>
      <c r="DG69" s="23"/>
      <c r="DH69" s="23"/>
      <c r="DI69" s="23"/>
      <c r="DJ69" s="23"/>
      <c r="DK69" s="23"/>
      <c r="DL69" s="23"/>
      <c r="DM69" s="23"/>
      <c r="DN69" s="23"/>
      <c r="DO69" s="23"/>
      <c r="DP69" s="23"/>
      <c r="DQ69" s="23">
        <f>T69</f>
        <v>169</v>
      </c>
      <c r="DR69" s="23"/>
      <c r="DS69" s="23" t="e">
        <f>U69</f>
        <v>#REF!</v>
      </c>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f>T69</f>
        <v>169</v>
      </c>
      <c r="HA69" s="23"/>
      <c r="HB69" s="23">
        <f>T69</f>
        <v>169</v>
      </c>
      <c r="HC69" s="23"/>
      <c r="HD69" s="23"/>
      <c r="HE69" s="23"/>
      <c r="HF69" s="23">
        <f>T69</f>
        <v>169</v>
      </c>
      <c r="HG69" s="23"/>
      <c r="HH69" s="23"/>
      <c r="HI69" s="23"/>
      <c r="HJ69" s="23"/>
      <c r="HK69" s="23"/>
      <c r="HL69" s="23">
        <f>T69</f>
        <v>169</v>
      </c>
      <c r="HM69" s="23"/>
      <c r="HN69" s="23">
        <f>T69</f>
        <v>169</v>
      </c>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row>
    <row r="70" spans="1:255" x14ac:dyDescent="0.2">
      <c r="A70" s="78"/>
      <c r="B70" s="79"/>
      <c r="C70" s="79" t="s">
        <v>861</v>
      </c>
      <c r="D70" s="80" t="s">
        <v>862</v>
      </c>
      <c r="E70" s="81">
        <v>59.866999999999997</v>
      </c>
      <c r="F70" s="82"/>
      <c r="G70" s="83" t="s">
        <v>854</v>
      </c>
      <c r="H70" s="82" t="e">
        <f>ROUND(Source!AH35,2)</f>
        <v>#REF!</v>
      </c>
      <c r="I70" s="97" t="e">
        <f>Source!U35</f>
        <v>#REF!</v>
      </c>
      <c r="J70" s="85"/>
      <c r="K70" s="86"/>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row>
    <row r="71" spans="1:255" ht="24" x14ac:dyDescent="0.2">
      <c r="A71" s="114" t="s">
        <v>53</v>
      </c>
      <c r="B71" s="115" t="s">
        <v>54</v>
      </c>
      <c r="C71" s="116" t="s">
        <v>55</v>
      </c>
      <c r="D71" s="117" t="s">
        <v>33</v>
      </c>
      <c r="E71" s="118">
        <f>Source!I37</f>
        <v>0.3725</v>
      </c>
      <c r="F71" s="119">
        <v>5081.62</v>
      </c>
      <c r="G71" s="71"/>
      <c r="H71" s="119">
        <f>Source!AC36</f>
        <v>5081.62</v>
      </c>
      <c r="I71" s="120">
        <f>T71</f>
        <v>1893</v>
      </c>
      <c r="J71" s="73" t="s">
        <v>863</v>
      </c>
      <c r="K71" s="121">
        <f>U71</f>
        <v>22161</v>
      </c>
      <c r="L71" s="23"/>
      <c r="M71" s="23"/>
      <c r="N71" s="23"/>
      <c r="O71" s="23"/>
      <c r="P71" s="23"/>
      <c r="Q71" s="23"/>
      <c r="R71" s="23"/>
      <c r="S71" s="23"/>
      <c r="T71" s="23">
        <f>ROUND(Source!AC36*Source!AW36*Source!I36,0)</f>
        <v>1893</v>
      </c>
      <c r="U71" s="23">
        <f>Source!P37</f>
        <v>22161</v>
      </c>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v>1</v>
      </c>
      <c r="CW71" s="23"/>
      <c r="CX71" s="23"/>
      <c r="CY71" s="23"/>
      <c r="CZ71" s="23"/>
      <c r="DA71" s="23"/>
      <c r="DB71" s="23"/>
      <c r="DC71" s="23"/>
      <c r="DD71" s="23"/>
      <c r="DE71" s="23"/>
      <c r="DF71" s="23"/>
      <c r="DG71" s="23"/>
      <c r="DH71" s="23"/>
      <c r="DI71" s="23"/>
      <c r="DJ71" s="23"/>
      <c r="DK71" s="23">
        <f>T71</f>
        <v>1893</v>
      </c>
      <c r="DL71" s="23"/>
      <c r="DM71" s="23">
        <f>Source!P37</f>
        <v>22161</v>
      </c>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f>T71</f>
        <v>1893</v>
      </c>
      <c r="GK71" s="23"/>
      <c r="GL71" s="23"/>
      <c r="GM71" s="23"/>
      <c r="GN71" s="23">
        <f>T71</f>
        <v>1893</v>
      </c>
      <c r="GO71" s="23"/>
      <c r="GP71" s="23">
        <f>T71</f>
        <v>1893</v>
      </c>
      <c r="GQ71" s="23">
        <f>T71</f>
        <v>1893</v>
      </c>
      <c r="GR71" s="23"/>
      <c r="GS71" s="23">
        <f>T71</f>
        <v>1893</v>
      </c>
      <c r="GT71" s="23"/>
      <c r="GU71" s="23"/>
      <c r="GV71" s="23"/>
      <c r="GW71" s="23"/>
      <c r="GX71" s="23"/>
      <c r="GY71" s="23"/>
      <c r="GZ71" s="23"/>
      <c r="HA71" s="23"/>
      <c r="HB71" s="23">
        <f>T71</f>
        <v>1893</v>
      </c>
      <c r="HC71" s="23"/>
      <c r="HD71" s="23"/>
      <c r="HE71" s="23"/>
      <c r="HF71" s="23">
        <f>T71</f>
        <v>1893</v>
      </c>
      <c r="HG71" s="23"/>
      <c r="HH71" s="23"/>
      <c r="HI71" s="23"/>
      <c r="HJ71" s="23"/>
      <c r="HK71" s="23"/>
      <c r="HL71" s="23">
        <f>T71</f>
        <v>1893</v>
      </c>
      <c r="HM71" s="23"/>
      <c r="HN71" s="23">
        <f>T71</f>
        <v>1893</v>
      </c>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row>
    <row r="72" spans="1:255" x14ac:dyDescent="0.2">
      <c r="A72" s="98"/>
      <c r="B72" s="113" t="s">
        <v>864</v>
      </c>
      <c r="C72" s="113" t="s">
        <v>870</v>
      </c>
      <c r="D72" s="33"/>
      <c r="E72" s="33"/>
      <c r="F72" s="33"/>
      <c r="G72" s="33"/>
      <c r="H72" s="33"/>
      <c r="I72" s="33"/>
      <c r="J72" s="33"/>
      <c r="K72" s="99"/>
    </row>
    <row r="73" spans="1:255" ht="13.5" thickBot="1" x14ac:dyDescent="0.25">
      <c r="A73" s="124"/>
      <c r="B73" s="125"/>
      <c r="C73" s="125" t="s">
        <v>867</v>
      </c>
      <c r="D73" s="125"/>
      <c r="E73" s="125"/>
      <c r="F73" s="125"/>
      <c r="G73" s="125"/>
      <c r="H73" s="380">
        <f>SUM(DK64:DK72)</f>
        <v>1893</v>
      </c>
      <c r="I73" s="381"/>
      <c r="J73" s="380">
        <f>SUM(DM64:DM72)</f>
        <v>22161</v>
      </c>
      <c r="K73" s="382"/>
      <c r="L73" s="112"/>
      <c r="M73" s="112"/>
      <c r="N73" s="11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row>
    <row r="74" spans="1:255" x14ac:dyDescent="0.2">
      <c r="A74" s="123"/>
      <c r="B74" s="122"/>
      <c r="C74" s="122" t="s">
        <v>868</v>
      </c>
      <c r="D74" s="122"/>
      <c r="E74" s="122"/>
      <c r="F74" s="122"/>
      <c r="G74" s="122"/>
      <c r="H74" s="383">
        <f>R74</f>
        <v>2555</v>
      </c>
      <c r="I74" s="384"/>
      <c r="J74" s="383" t="e">
        <f>S74</f>
        <v>#REF!</v>
      </c>
      <c r="K74" s="385"/>
      <c r="O74" s="23"/>
      <c r="P74" s="23"/>
      <c r="Q74" s="23"/>
      <c r="R74" s="23">
        <f>SUM(T64:T73)</f>
        <v>2555</v>
      </c>
      <c r="S74" s="23" t="e">
        <f>SUM(U64:U73)</f>
        <v>#REF!</v>
      </c>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f>R74</f>
        <v>2555</v>
      </c>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row>
    <row r="75" spans="1:255" x14ac:dyDescent="0.2">
      <c r="A75" s="77"/>
      <c r="B75" s="76"/>
      <c r="C75" s="76"/>
      <c r="D75" s="76"/>
      <c r="E75" s="76"/>
      <c r="F75" s="76"/>
      <c r="G75" s="76"/>
      <c r="H75" s="386"/>
      <c r="I75" s="387"/>
      <c r="J75" s="386"/>
      <c r="K75" s="388"/>
    </row>
    <row r="76" spans="1:255" ht="47.25" x14ac:dyDescent="0.2">
      <c r="A76" s="126">
        <v>3</v>
      </c>
      <c r="B76" s="133" t="s">
        <v>63</v>
      </c>
      <c r="C76" s="127" t="s">
        <v>871</v>
      </c>
      <c r="D76" s="128" t="s">
        <v>49</v>
      </c>
      <c r="E76" s="129">
        <v>8.266</v>
      </c>
      <c r="F76" s="130">
        <f>Source!AK39</f>
        <v>5530.59</v>
      </c>
      <c r="G76" s="134" t="s">
        <v>6</v>
      </c>
      <c r="H76" s="130"/>
      <c r="I76" s="131">
        <f>SUM(DQ76:DQ85)</f>
        <v>3664</v>
      </c>
      <c r="J76" s="107" t="s">
        <v>63</v>
      </c>
      <c r="K76" s="132" t="e">
        <f>SUM(DS76:DS85)</f>
        <v>#REF!</v>
      </c>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row>
    <row r="77" spans="1:255" x14ac:dyDescent="0.2">
      <c r="A77" s="66"/>
      <c r="B77" s="67"/>
      <c r="C77" s="67" t="s">
        <v>853</v>
      </c>
      <c r="D77" s="68"/>
      <c r="E77" s="69"/>
      <c r="F77" s="70">
        <v>713.62</v>
      </c>
      <c r="G77" s="71" t="s">
        <v>854</v>
      </c>
      <c r="H77" s="70">
        <f>Source!AF39</f>
        <v>749.3</v>
      </c>
      <c r="I77" s="72">
        <f>T77</f>
        <v>1548</v>
      </c>
      <c r="J77" s="73">
        <v>25.36</v>
      </c>
      <c r="K77" s="74">
        <f>U77</f>
        <v>39268</v>
      </c>
      <c r="O77" s="23"/>
      <c r="P77" s="23"/>
      <c r="Q77" s="23"/>
      <c r="R77" s="23"/>
      <c r="S77" s="23"/>
      <c r="T77" s="23">
        <f>ROUND(Source!AF39*Source!AV39*Source!I39,0)</f>
        <v>1548</v>
      </c>
      <c r="U77" s="23">
        <f>Source!S39</f>
        <v>39268</v>
      </c>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v>1</v>
      </c>
      <c r="CW77" s="23"/>
      <c r="CX77" s="23"/>
      <c r="CY77" s="23"/>
      <c r="CZ77" s="23"/>
      <c r="DA77" s="23"/>
      <c r="DB77" s="23"/>
      <c r="DC77" s="23"/>
      <c r="DD77" s="23"/>
      <c r="DE77" s="23"/>
      <c r="DF77" s="23"/>
      <c r="DG77" s="23">
        <f>Source!S39</f>
        <v>39268</v>
      </c>
      <c r="DH77" s="23">
        <v>1015</v>
      </c>
      <c r="DI77" s="23"/>
      <c r="DJ77" s="23"/>
      <c r="DK77" s="23"/>
      <c r="DL77" s="23"/>
      <c r="DM77" s="23"/>
      <c r="DN77" s="23"/>
      <c r="DO77" s="23"/>
      <c r="DP77" s="23"/>
      <c r="DQ77" s="23">
        <f>T77</f>
        <v>1548</v>
      </c>
      <c r="DR77" s="23"/>
      <c r="DS77" s="23">
        <f>U77</f>
        <v>39268</v>
      </c>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f>T77</f>
        <v>1548</v>
      </c>
      <c r="GK77" s="23">
        <f>T77</f>
        <v>1548</v>
      </c>
      <c r="GL77" s="23"/>
      <c r="GM77" s="23"/>
      <c r="GN77" s="23"/>
      <c r="GO77" s="23"/>
      <c r="GP77" s="23"/>
      <c r="GQ77" s="23"/>
      <c r="GR77" s="23"/>
      <c r="GS77" s="23"/>
      <c r="GT77" s="23"/>
      <c r="GU77" s="23"/>
      <c r="GV77" s="23"/>
      <c r="GW77" s="23"/>
      <c r="GX77" s="23"/>
      <c r="GY77" s="23"/>
      <c r="GZ77" s="23"/>
      <c r="HA77" s="23"/>
      <c r="HB77" s="23">
        <f>T77</f>
        <v>1548</v>
      </c>
      <c r="HC77" s="23"/>
      <c r="HD77" s="23"/>
      <c r="HE77" s="23"/>
      <c r="HF77" s="23">
        <f>T77</f>
        <v>1548</v>
      </c>
      <c r="HG77" s="23"/>
      <c r="HH77" s="23"/>
      <c r="HI77" s="23"/>
      <c r="HJ77" s="23"/>
      <c r="HK77" s="23"/>
      <c r="HL77" s="23">
        <f>T77</f>
        <v>1548</v>
      </c>
      <c r="HM77" s="23"/>
      <c r="HN77" s="23">
        <f>T77</f>
        <v>1548</v>
      </c>
      <c r="HO77" s="23"/>
      <c r="HP77" s="23"/>
      <c r="HQ77" s="23"/>
      <c r="HR77" s="23"/>
      <c r="HS77" s="23"/>
      <c r="HT77" s="23"/>
      <c r="HU77" s="23"/>
      <c r="HV77" s="23"/>
      <c r="HW77" s="23"/>
      <c r="HX77" s="23">
        <f>T77</f>
        <v>1548</v>
      </c>
      <c r="HY77" s="23"/>
      <c r="HZ77" s="23"/>
      <c r="IA77" s="23"/>
      <c r="IB77" s="23"/>
      <c r="IC77" s="23"/>
      <c r="ID77" s="23"/>
      <c r="IE77" s="23"/>
      <c r="IF77" s="23"/>
      <c r="IG77" s="23"/>
      <c r="IH77" s="23"/>
      <c r="II77" s="23"/>
      <c r="IJ77" s="23"/>
      <c r="IK77" s="23"/>
      <c r="IL77" s="23"/>
      <c r="IM77" s="23"/>
      <c r="IN77" s="23"/>
      <c r="IO77" s="23"/>
      <c r="IP77" s="23"/>
      <c r="IQ77" s="23"/>
      <c r="IR77" s="23"/>
      <c r="IS77" s="23"/>
      <c r="IT77" s="23"/>
      <c r="IU77" s="23"/>
    </row>
    <row r="78" spans="1:255" x14ac:dyDescent="0.2">
      <c r="A78" s="78"/>
      <c r="B78" s="79"/>
      <c r="C78" s="79" t="s">
        <v>855</v>
      </c>
      <c r="D78" s="80"/>
      <c r="E78" s="81"/>
      <c r="F78" s="82">
        <v>63.91</v>
      </c>
      <c r="G78" s="83" t="s">
        <v>856</v>
      </c>
      <c r="H78" s="82">
        <f>Source!AD39</f>
        <v>71.58</v>
      </c>
      <c r="I78" s="84">
        <f>T78</f>
        <v>148</v>
      </c>
      <c r="J78" s="85">
        <v>7.84</v>
      </c>
      <c r="K78" s="86">
        <f>U78</f>
        <v>1160</v>
      </c>
      <c r="O78" s="23"/>
      <c r="P78" s="23"/>
      <c r="Q78" s="23"/>
      <c r="R78" s="23"/>
      <c r="S78" s="23"/>
      <c r="T78" s="23">
        <f>ROUND(Source!AD39*Source!AV39*Source!I39,0)</f>
        <v>148</v>
      </c>
      <c r="U78" s="23">
        <f>Source!Q39</f>
        <v>1160</v>
      </c>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v>1</v>
      </c>
      <c r="CW78" s="23"/>
      <c r="CX78" s="23"/>
      <c r="CY78" s="23"/>
      <c r="CZ78" s="23"/>
      <c r="DA78" s="23"/>
      <c r="DB78" s="23"/>
      <c r="DC78" s="23"/>
      <c r="DD78" s="23"/>
      <c r="DE78" s="23"/>
      <c r="DF78" s="23"/>
      <c r="DG78" s="23"/>
      <c r="DH78" s="23"/>
      <c r="DI78" s="23"/>
      <c r="DJ78" s="23"/>
      <c r="DK78" s="23"/>
      <c r="DL78" s="23"/>
      <c r="DM78" s="23"/>
      <c r="DN78" s="23"/>
      <c r="DO78" s="23"/>
      <c r="DP78" s="23"/>
      <c r="DQ78" s="23">
        <f>T78</f>
        <v>148</v>
      </c>
      <c r="DR78" s="23"/>
      <c r="DS78" s="23">
        <f>U78</f>
        <v>1160</v>
      </c>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f>T78</f>
        <v>148</v>
      </c>
      <c r="GK78" s="23"/>
      <c r="GL78" s="23">
        <f>T78</f>
        <v>148</v>
      </c>
      <c r="GM78" s="23"/>
      <c r="GN78" s="23"/>
      <c r="GO78" s="23"/>
      <c r="GP78" s="23"/>
      <c r="GQ78" s="23"/>
      <c r="GR78" s="23"/>
      <c r="GS78" s="23"/>
      <c r="GT78" s="23"/>
      <c r="GU78" s="23"/>
      <c r="GV78" s="23"/>
      <c r="GW78" s="23"/>
      <c r="GX78" s="23"/>
      <c r="GY78" s="23"/>
      <c r="GZ78" s="23"/>
      <c r="HA78" s="23"/>
      <c r="HB78" s="23">
        <f>T78</f>
        <v>148</v>
      </c>
      <c r="HC78" s="23"/>
      <c r="HD78" s="23"/>
      <c r="HE78" s="23"/>
      <c r="HF78" s="23">
        <f>T78</f>
        <v>148</v>
      </c>
      <c r="HG78" s="23"/>
      <c r="HH78" s="23"/>
      <c r="HI78" s="23"/>
      <c r="HJ78" s="23"/>
      <c r="HK78" s="23"/>
      <c r="HL78" s="23">
        <f>T78</f>
        <v>148</v>
      </c>
      <c r="HM78" s="23"/>
      <c r="HN78" s="23">
        <f>T78</f>
        <v>148</v>
      </c>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row>
    <row r="79" spans="1:255" x14ac:dyDescent="0.2">
      <c r="A79" s="78"/>
      <c r="B79" s="79"/>
      <c r="C79" s="79" t="s">
        <v>857</v>
      </c>
      <c r="D79" s="80"/>
      <c r="E79" s="81"/>
      <c r="F79" s="82">
        <v>6.12</v>
      </c>
      <c r="G79" s="83" t="s">
        <v>856</v>
      </c>
      <c r="H79" s="82">
        <f>Source!AE39</f>
        <v>6.85</v>
      </c>
      <c r="I79" s="84">
        <f>GM79</f>
        <v>14</v>
      </c>
      <c r="J79" s="85">
        <v>19.8</v>
      </c>
      <c r="K79" s="86">
        <f>Source!R39</f>
        <v>280</v>
      </c>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f>ROUND(Source!AE39*Source!AV39*Source!I39,0)</f>
        <v>14</v>
      </c>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f>GM79</f>
        <v>14</v>
      </c>
      <c r="HY79" s="23"/>
      <c r="HZ79" s="23"/>
      <c r="IA79" s="23"/>
      <c r="IB79" s="23"/>
      <c r="IC79" s="23"/>
      <c r="ID79" s="23"/>
      <c r="IE79" s="23"/>
      <c r="IF79" s="23"/>
      <c r="IG79" s="23"/>
      <c r="IH79" s="23"/>
      <c r="II79" s="23"/>
      <c r="IJ79" s="23"/>
      <c r="IK79" s="23"/>
      <c r="IL79" s="23"/>
      <c r="IM79" s="23"/>
      <c r="IN79" s="23"/>
      <c r="IO79" s="23"/>
      <c r="IP79" s="23"/>
      <c r="IQ79" s="23"/>
      <c r="IR79" s="23"/>
      <c r="IS79" s="23"/>
      <c r="IT79" s="23"/>
      <c r="IU79" s="23"/>
    </row>
    <row r="80" spans="1:255" x14ac:dyDescent="0.2">
      <c r="A80" s="87"/>
      <c r="B80" s="88"/>
      <c r="C80" s="88" t="s">
        <v>858</v>
      </c>
      <c r="D80" s="89"/>
      <c r="E80" s="90">
        <v>66</v>
      </c>
      <c r="F80" s="91" t="s">
        <v>859</v>
      </c>
      <c r="G80" s="92"/>
      <c r="H80" s="93">
        <f>ROUND((Source!AF39*Source!AV39+Source!AE39*Source!AV39)*(Source!FX39)/100,2)</f>
        <v>499.06</v>
      </c>
      <c r="I80" s="94">
        <f>T80</f>
        <v>1031</v>
      </c>
      <c r="J80" s="96">
        <v>0.63</v>
      </c>
      <c r="K80" s="95" t="e">
        <f>U80</f>
        <v>#REF!</v>
      </c>
      <c r="O80" s="23"/>
      <c r="P80" s="23"/>
      <c r="Q80" s="23"/>
      <c r="R80" s="23"/>
      <c r="S80" s="23"/>
      <c r="T80" s="23">
        <f>ROUND((ROUND(Source!AF39*Source!AV39*Source!I39,0)+ROUND(Source!AE39*Source!AV39*Source!I39,0))*(Source!DN39)/100,0)</f>
        <v>1031</v>
      </c>
      <c r="U80" s="23" t="e">
        <f>Source!X39</f>
        <v>#REF!</v>
      </c>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v>1</v>
      </c>
      <c r="CW80" s="23"/>
      <c r="CX80" s="23"/>
      <c r="CY80" s="23"/>
      <c r="CZ80" s="23"/>
      <c r="DA80" s="23"/>
      <c r="DB80" s="23"/>
      <c r="DC80" s="23"/>
      <c r="DD80" s="23"/>
      <c r="DE80" s="23"/>
      <c r="DF80" s="23"/>
      <c r="DG80" s="23"/>
      <c r="DH80" s="23"/>
      <c r="DI80" s="23"/>
      <c r="DJ80" s="23"/>
      <c r="DK80" s="23"/>
      <c r="DL80" s="23"/>
      <c r="DM80" s="23"/>
      <c r="DN80" s="23"/>
      <c r="DO80" s="23"/>
      <c r="DP80" s="23"/>
      <c r="DQ80" s="23">
        <f>T80</f>
        <v>1031</v>
      </c>
      <c r="DR80" s="23"/>
      <c r="DS80" s="23" t="e">
        <f>U80</f>
        <v>#REF!</v>
      </c>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f>T80</f>
        <v>1031</v>
      </c>
      <c r="GZ80" s="23"/>
      <c r="HA80" s="23"/>
      <c r="HB80" s="23">
        <f>T80</f>
        <v>1031</v>
      </c>
      <c r="HC80" s="23"/>
      <c r="HD80" s="23"/>
      <c r="HE80" s="23"/>
      <c r="HF80" s="23">
        <f>T80</f>
        <v>1031</v>
      </c>
      <c r="HG80" s="23"/>
      <c r="HH80" s="23"/>
      <c r="HI80" s="23"/>
      <c r="HJ80" s="23"/>
      <c r="HK80" s="23"/>
      <c r="HL80" s="23">
        <f>T80</f>
        <v>1031</v>
      </c>
      <c r="HM80" s="23"/>
      <c r="HN80" s="23">
        <f>T80</f>
        <v>1031</v>
      </c>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row>
    <row r="81" spans="1:255" x14ac:dyDescent="0.2">
      <c r="A81" s="87"/>
      <c r="B81" s="88"/>
      <c r="C81" s="88" t="s">
        <v>860</v>
      </c>
      <c r="D81" s="89"/>
      <c r="E81" s="90">
        <v>60</v>
      </c>
      <c r="F81" s="91" t="s">
        <v>859</v>
      </c>
      <c r="G81" s="92"/>
      <c r="H81" s="93">
        <f>ROUND((Source!AF39*Source!AV39+Source!AE39*Source!AV39)*(Source!FY39)/100,2)</f>
        <v>453.69</v>
      </c>
      <c r="I81" s="94">
        <f>T81</f>
        <v>937</v>
      </c>
      <c r="J81" s="96">
        <v>0.51</v>
      </c>
      <c r="K81" s="95" t="e">
        <f>U81</f>
        <v>#REF!</v>
      </c>
      <c r="O81" s="23"/>
      <c r="P81" s="23"/>
      <c r="Q81" s="23"/>
      <c r="R81" s="23"/>
      <c r="S81" s="23"/>
      <c r="T81" s="23">
        <f>ROUND((ROUND(Source!AF39*Source!AV39*Source!I39,0)+ROUND(Source!AE39*Source!AV39*Source!I39,0))*(Source!DO39)/100,0)</f>
        <v>937</v>
      </c>
      <c r="U81" s="23" t="e">
        <f>Source!Y39</f>
        <v>#REF!</v>
      </c>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v>1</v>
      </c>
      <c r="CW81" s="23"/>
      <c r="CX81" s="23"/>
      <c r="CY81" s="23"/>
      <c r="CZ81" s="23"/>
      <c r="DA81" s="23"/>
      <c r="DB81" s="23"/>
      <c r="DC81" s="23"/>
      <c r="DD81" s="23"/>
      <c r="DE81" s="23"/>
      <c r="DF81" s="23"/>
      <c r="DG81" s="23"/>
      <c r="DH81" s="23"/>
      <c r="DI81" s="23"/>
      <c r="DJ81" s="23"/>
      <c r="DK81" s="23"/>
      <c r="DL81" s="23"/>
      <c r="DM81" s="23"/>
      <c r="DN81" s="23"/>
      <c r="DO81" s="23"/>
      <c r="DP81" s="23"/>
      <c r="DQ81" s="23">
        <f>T81</f>
        <v>937</v>
      </c>
      <c r="DR81" s="23"/>
      <c r="DS81" s="23" t="e">
        <f>U81</f>
        <v>#REF!</v>
      </c>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f>T81</f>
        <v>937</v>
      </c>
      <c r="HA81" s="23"/>
      <c r="HB81" s="23">
        <f>T81</f>
        <v>937</v>
      </c>
      <c r="HC81" s="23"/>
      <c r="HD81" s="23"/>
      <c r="HE81" s="23"/>
      <c r="HF81" s="23">
        <f>T81</f>
        <v>937</v>
      </c>
      <c r="HG81" s="23"/>
      <c r="HH81" s="23"/>
      <c r="HI81" s="23"/>
      <c r="HJ81" s="23"/>
      <c r="HK81" s="23"/>
      <c r="HL81" s="23">
        <f>T81</f>
        <v>937</v>
      </c>
      <c r="HM81" s="23"/>
      <c r="HN81" s="23">
        <f>T81</f>
        <v>937</v>
      </c>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row>
    <row r="82" spans="1:255" x14ac:dyDescent="0.2">
      <c r="A82" s="78"/>
      <c r="B82" s="79"/>
      <c r="C82" s="79" t="s">
        <v>861</v>
      </c>
      <c r="D82" s="80" t="s">
        <v>862</v>
      </c>
      <c r="E82" s="81">
        <v>59.866999999999997</v>
      </c>
      <c r="F82" s="82"/>
      <c r="G82" s="83" t="s">
        <v>854</v>
      </c>
      <c r="H82" s="82" t="e">
        <f>ROUND(Source!AH39,2)</f>
        <v>#REF!</v>
      </c>
      <c r="I82" s="97" t="e">
        <f>Source!U39</f>
        <v>#REF!</v>
      </c>
      <c r="J82" s="85"/>
      <c r="K82" s="86"/>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row>
    <row r="83" spans="1:255" ht="24" x14ac:dyDescent="0.2">
      <c r="A83" s="114" t="s">
        <v>66</v>
      </c>
      <c r="B83" s="115" t="s">
        <v>54</v>
      </c>
      <c r="C83" s="116" t="s">
        <v>55</v>
      </c>
      <c r="D83" s="117" t="s">
        <v>33</v>
      </c>
      <c r="E83" s="118">
        <f>Source!I41</f>
        <v>2.0665</v>
      </c>
      <c r="F83" s="119">
        <v>5081.62</v>
      </c>
      <c r="G83" s="71"/>
      <c r="H83" s="119">
        <f>Source!AC40</f>
        <v>5081.62</v>
      </c>
      <c r="I83" s="120">
        <f>T83</f>
        <v>10501</v>
      </c>
      <c r="J83" s="73" t="s">
        <v>863</v>
      </c>
      <c r="K83" s="121">
        <f>U83</f>
        <v>122940</v>
      </c>
      <c r="L83" s="23"/>
      <c r="M83" s="23"/>
      <c r="N83" s="23"/>
      <c r="O83" s="23"/>
      <c r="P83" s="23"/>
      <c r="Q83" s="23"/>
      <c r="R83" s="23"/>
      <c r="S83" s="23"/>
      <c r="T83" s="23">
        <f>ROUND(Source!AC40*Source!AW40*Source!I40,0)</f>
        <v>10501</v>
      </c>
      <c r="U83" s="23">
        <f>Source!P41</f>
        <v>122940</v>
      </c>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v>1</v>
      </c>
      <c r="CW83" s="23"/>
      <c r="CX83" s="23"/>
      <c r="CY83" s="23"/>
      <c r="CZ83" s="23"/>
      <c r="DA83" s="23"/>
      <c r="DB83" s="23"/>
      <c r="DC83" s="23"/>
      <c r="DD83" s="23"/>
      <c r="DE83" s="23"/>
      <c r="DF83" s="23"/>
      <c r="DG83" s="23"/>
      <c r="DH83" s="23"/>
      <c r="DI83" s="23"/>
      <c r="DJ83" s="23"/>
      <c r="DK83" s="23">
        <f>T83</f>
        <v>10501</v>
      </c>
      <c r="DL83" s="23"/>
      <c r="DM83" s="23">
        <f>Source!P41</f>
        <v>122940</v>
      </c>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f>T83</f>
        <v>10501</v>
      </c>
      <c r="GK83" s="23"/>
      <c r="GL83" s="23"/>
      <c r="GM83" s="23"/>
      <c r="GN83" s="23">
        <f>T83</f>
        <v>10501</v>
      </c>
      <c r="GO83" s="23"/>
      <c r="GP83" s="23">
        <f>T83</f>
        <v>10501</v>
      </c>
      <c r="GQ83" s="23">
        <f>T83</f>
        <v>10501</v>
      </c>
      <c r="GR83" s="23"/>
      <c r="GS83" s="23">
        <f>T83</f>
        <v>10501</v>
      </c>
      <c r="GT83" s="23"/>
      <c r="GU83" s="23"/>
      <c r="GV83" s="23"/>
      <c r="GW83" s="23"/>
      <c r="GX83" s="23"/>
      <c r="GY83" s="23"/>
      <c r="GZ83" s="23"/>
      <c r="HA83" s="23"/>
      <c r="HB83" s="23">
        <f>T83</f>
        <v>10501</v>
      </c>
      <c r="HC83" s="23"/>
      <c r="HD83" s="23"/>
      <c r="HE83" s="23"/>
      <c r="HF83" s="23">
        <f>T83</f>
        <v>10501</v>
      </c>
      <c r="HG83" s="23"/>
      <c r="HH83" s="23"/>
      <c r="HI83" s="23"/>
      <c r="HJ83" s="23"/>
      <c r="HK83" s="23"/>
      <c r="HL83" s="23">
        <f>T83</f>
        <v>10501</v>
      </c>
      <c r="HM83" s="23"/>
      <c r="HN83" s="23">
        <f>T83</f>
        <v>10501</v>
      </c>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row>
    <row r="84" spans="1:255" x14ac:dyDescent="0.2">
      <c r="A84" s="98"/>
      <c r="B84" s="113" t="s">
        <v>864</v>
      </c>
      <c r="C84" s="113" t="s">
        <v>870</v>
      </c>
      <c r="D84" s="33"/>
      <c r="E84" s="33"/>
      <c r="F84" s="33"/>
      <c r="G84" s="33"/>
      <c r="H84" s="33"/>
      <c r="I84" s="33"/>
      <c r="J84" s="33"/>
      <c r="K84" s="99"/>
    </row>
    <row r="85" spans="1:255" ht="13.5" thickBot="1" x14ac:dyDescent="0.25">
      <c r="A85" s="124"/>
      <c r="B85" s="125"/>
      <c r="C85" s="125" t="s">
        <v>867</v>
      </c>
      <c r="D85" s="125"/>
      <c r="E85" s="125"/>
      <c r="F85" s="125"/>
      <c r="G85" s="125"/>
      <c r="H85" s="380">
        <f>SUM(DK76:DK84)</f>
        <v>10501</v>
      </c>
      <c r="I85" s="381"/>
      <c r="J85" s="380">
        <f>SUM(DM76:DM84)</f>
        <v>122940</v>
      </c>
      <c r="K85" s="382"/>
      <c r="L85" s="112"/>
      <c r="M85" s="112"/>
      <c r="N85" s="11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row>
    <row r="86" spans="1:255" x14ac:dyDescent="0.2">
      <c r="A86" s="123"/>
      <c r="B86" s="122"/>
      <c r="C86" s="122" t="s">
        <v>868</v>
      </c>
      <c r="D86" s="122"/>
      <c r="E86" s="122"/>
      <c r="F86" s="122"/>
      <c r="G86" s="122"/>
      <c r="H86" s="383">
        <f>R86</f>
        <v>14165</v>
      </c>
      <c r="I86" s="384"/>
      <c r="J86" s="383" t="e">
        <f>S86</f>
        <v>#REF!</v>
      </c>
      <c r="K86" s="385"/>
      <c r="O86" s="23"/>
      <c r="P86" s="23"/>
      <c r="Q86" s="23"/>
      <c r="R86" s="23">
        <f>SUM(T76:T85)</f>
        <v>14165</v>
      </c>
      <c r="S86" s="23" t="e">
        <f>SUM(U76:U85)</f>
        <v>#REF!</v>
      </c>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f>R86</f>
        <v>14165</v>
      </c>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row>
    <row r="87" spans="1:255" x14ac:dyDescent="0.2">
      <c r="A87" s="77"/>
      <c r="B87" s="76"/>
      <c r="C87" s="76"/>
      <c r="D87" s="76"/>
      <c r="E87" s="76"/>
      <c r="F87" s="76"/>
      <c r="G87" s="76"/>
      <c r="H87" s="386"/>
      <c r="I87" s="387"/>
      <c r="J87" s="386"/>
      <c r="K87" s="388"/>
    </row>
    <row r="88" spans="1:255" ht="60" x14ac:dyDescent="0.2">
      <c r="A88" s="126">
        <v>4</v>
      </c>
      <c r="B88" s="133" t="s">
        <v>67</v>
      </c>
      <c r="C88" s="127" t="s">
        <v>872</v>
      </c>
      <c r="D88" s="128" t="s">
        <v>21</v>
      </c>
      <c r="E88" s="129">
        <v>9.1199999999999992</v>
      </c>
      <c r="F88" s="130">
        <f>Source!AK43</f>
        <v>205.41000000000003</v>
      </c>
      <c r="G88" s="134" t="s">
        <v>6</v>
      </c>
      <c r="H88" s="130"/>
      <c r="I88" s="131">
        <f>SUM(DQ88:DQ113)</f>
        <v>898</v>
      </c>
      <c r="J88" s="107" t="s">
        <v>67</v>
      </c>
      <c r="K88" s="132" t="e">
        <f>SUM(DS88:DS113)</f>
        <v>#REF!</v>
      </c>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row>
    <row r="89" spans="1:255" x14ac:dyDescent="0.2">
      <c r="A89" s="66"/>
      <c r="B89" s="67"/>
      <c r="C89" s="67" t="s">
        <v>853</v>
      </c>
      <c r="D89" s="68"/>
      <c r="E89" s="69"/>
      <c r="F89" s="70">
        <v>37.799999999999997</v>
      </c>
      <c r="G89" s="71" t="s">
        <v>854</v>
      </c>
      <c r="H89" s="70">
        <f>Source!AF43</f>
        <v>39.69</v>
      </c>
      <c r="I89" s="72">
        <f>T89</f>
        <v>90</v>
      </c>
      <c r="J89" s="73">
        <v>36.07</v>
      </c>
      <c r="K89" s="74">
        <f>U89</f>
        <v>3264</v>
      </c>
      <c r="O89" s="23"/>
      <c r="P89" s="23"/>
      <c r="Q89" s="23"/>
      <c r="R89" s="23"/>
      <c r="S89" s="23"/>
      <c r="T89" s="23">
        <f>ROUND(Source!AF43*Source!AV43*Source!I43,0)</f>
        <v>90</v>
      </c>
      <c r="U89" s="23">
        <f>Source!S43</f>
        <v>3264</v>
      </c>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v>1</v>
      </c>
      <c r="CW89" s="23"/>
      <c r="CX89" s="23"/>
      <c r="CY89" s="23"/>
      <c r="CZ89" s="23"/>
      <c r="DA89" s="23"/>
      <c r="DB89" s="23"/>
      <c r="DC89" s="23"/>
      <c r="DD89" s="23"/>
      <c r="DE89" s="23"/>
      <c r="DF89" s="23"/>
      <c r="DG89" s="23">
        <f>Source!S43</f>
        <v>3264</v>
      </c>
      <c r="DH89" s="23">
        <v>1003</v>
      </c>
      <c r="DI89" s="23"/>
      <c r="DJ89" s="23"/>
      <c r="DK89" s="23"/>
      <c r="DL89" s="23"/>
      <c r="DM89" s="23"/>
      <c r="DN89" s="23"/>
      <c r="DO89" s="23"/>
      <c r="DP89" s="23"/>
      <c r="DQ89" s="23">
        <f>T89</f>
        <v>90</v>
      </c>
      <c r="DR89" s="23"/>
      <c r="DS89" s="23">
        <f>U89</f>
        <v>3264</v>
      </c>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f>T89</f>
        <v>90</v>
      </c>
      <c r="GK89" s="23">
        <f>T89</f>
        <v>90</v>
      </c>
      <c r="GL89" s="23"/>
      <c r="GM89" s="23"/>
      <c r="GN89" s="23"/>
      <c r="GO89" s="23"/>
      <c r="GP89" s="23"/>
      <c r="GQ89" s="23"/>
      <c r="GR89" s="23"/>
      <c r="GS89" s="23"/>
      <c r="GT89" s="23"/>
      <c r="GU89" s="23"/>
      <c r="GV89" s="23"/>
      <c r="GW89" s="23"/>
      <c r="GX89" s="23"/>
      <c r="GY89" s="23"/>
      <c r="GZ89" s="23"/>
      <c r="HA89" s="23"/>
      <c r="HB89" s="23">
        <f>T89</f>
        <v>90</v>
      </c>
      <c r="HC89" s="23"/>
      <c r="HD89" s="23"/>
      <c r="HE89" s="23"/>
      <c r="HF89" s="23">
        <f>T89</f>
        <v>90</v>
      </c>
      <c r="HG89" s="23"/>
      <c r="HH89" s="23"/>
      <c r="HI89" s="23"/>
      <c r="HJ89" s="23"/>
      <c r="HK89" s="23"/>
      <c r="HL89" s="23">
        <f>T89</f>
        <v>90</v>
      </c>
      <c r="HM89" s="23"/>
      <c r="HN89" s="23">
        <f>T89</f>
        <v>90</v>
      </c>
      <c r="HO89" s="23"/>
      <c r="HP89" s="23"/>
      <c r="HQ89" s="23"/>
      <c r="HR89" s="23"/>
      <c r="HS89" s="23"/>
      <c r="HT89" s="23"/>
      <c r="HU89" s="23"/>
      <c r="HV89" s="23"/>
      <c r="HW89" s="23"/>
      <c r="HX89" s="23">
        <f>T89</f>
        <v>90</v>
      </c>
      <c r="HY89" s="23"/>
      <c r="HZ89" s="23"/>
      <c r="IA89" s="23"/>
      <c r="IB89" s="23"/>
      <c r="IC89" s="23"/>
      <c r="ID89" s="23"/>
      <c r="IE89" s="23"/>
      <c r="IF89" s="23"/>
      <c r="IG89" s="23"/>
      <c r="IH89" s="23"/>
      <c r="II89" s="23"/>
      <c r="IJ89" s="23"/>
      <c r="IK89" s="23"/>
      <c r="IL89" s="23"/>
      <c r="IM89" s="23"/>
      <c r="IN89" s="23"/>
      <c r="IO89" s="23"/>
      <c r="IP89" s="23"/>
      <c r="IQ89" s="23"/>
      <c r="IR89" s="23"/>
      <c r="IS89" s="23"/>
      <c r="IT89" s="23"/>
      <c r="IU89" s="23"/>
    </row>
    <row r="90" spans="1:255" x14ac:dyDescent="0.2">
      <c r="A90" s="78"/>
      <c r="B90" s="79"/>
      <c r="C90" s="79" t="s">
        <v>855</v>
      </c>
      <c r="D90" s="80"/>
      <c r="E90" s="81"/>
      <c r="F90" s="82">
        <v>160.49</v>
      </c>
      <c r="G90" s="83" t="s">
        <v>856</v>
      </c>
      <c r="H90" s="82">
        <f>Source!AD43</f>
        <v>225.62</v>
      </c>
      <c r="I90" s="84">
        <f>T90</f>
        <v>514</v>
      </c>
      <c r="J90" s="85">
        <v>9.3000000000000007</v>
      </c>
      <c r="K90" s="86">
        <f>U90</f>
        <v>4784</v>
      </c>
      <c r="O90" s="23"/>
      <c r="P90" s="23"/>
      <c r="Q90" s="23"/>
      <c r="R90" s="23"/>
      <c r="S90" s="23"/>
      <c r="T90" s="23">
        <f>ROUND(Source!AD43*Source!AV43*Source!I43,0)</f>
        <v>514</v>
      </c>
      <c r="U90" s="23">
        <f>Source!Q43</f>
        <v>4784</v>
      </c>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v>1</v>
      </c>
      <c r="CW90" s="23"/>
      <c r="CX90" s="23"/>
      <c r="CY90" s="23"/>
      <c r="CZ90" s="23"/>
      <c r="DA90" s="23"/>
      <c r="DB90" s="23"/>
      <c r="DC90" s="23"/>
      <c r="DD90" s="23"/>
      <c r="DE90" s="23"/>
      <c r="DF90" s="23"/>
      <c r="DG90" s="23"/>
      <c r="DH90" s="23"/>
      <c r="DI90" s="23"/>
      <c r="DJ90" s="23"/>
      <c r="DK90" s="23"/>
      <c r="DL90" s="23"/>
      <c r="DM90" s="23"/>
      <c r="DN90" s="23"/>
      <c r="DO90" s="23"/>
      <c r="DP90" s="23"/>
      <c r="DQ90" s="23">
        <f>T90</f>
        <v>514</v>
      </c>
      <c r="DR90" s="23"/>
      <c r="DS90" s="23">
        <f>U90</f>
        <v>4784</v>
      </c>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f>T90</f>
        <v>514</v>
      </c>
      <c r="GK90" s="23"/>
      <c r="GL90" s="23">
        <f>T90</f>
        <v>514</v>
      </c>
      <c r="GM90" s="23"/>
      <c r="GN90" s="23"/>
      <c r="GO90" s="23"/>
      <c r="GP90" s="23"/>
      <c r="GQ90" s="23"/>
      <c r="GR90" s="23"/>
      <c r="GS90" s="23"/>
      <c r="GT90" s="23"/>
      <c r="GU90" s="23"/>
      <c r="GV90" s="23"/>
      <c r="GW90" s="23"/>
      <c r="GX90" s="23"/>
      <c r="GY90" s="23"/>
      <c r="GZ90" s="23"/>
      <c r="HA90" s="23"/>
      <c r="HB90" s="23">
        <f>T90</f>
        <v>514</v>
      </c>
      <c r="HC90" s="23"/>
      <c r="HD90" s="23"/>
      <c r="HE90" s="23"/>
      <c r="HF90" s="23">
        <f>T90</f>
        <v>514</v>
      </c>
      <c r="HG90" s="23"/>
      <c r="HH90" s="23"/>
      <c r="HI90" s="23"/>
      <c r="HJ90" s="23"/>
      <c r="HK90" s="23"/>
      <c r="HL90" s="23">
        <f>T90</f>
        <v>514</v>
      </c>
      <c r="HM90" s="23"/>
      <c r="HN90" s="23">
        <f>T90</f>
        <v>514</v>
      </c>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row>
    <row r="91" spans="1:255" x14ac:dyDescent="0.2">
      <c r="A91" s="78"/>
      <c r="B91" s="79"/>
      <c r="C91" s="79" t="s">
        <v>857</v>
      </c>
      <c r="D91" s="80"/>
      <c r="E91" s="81"/>
      <c r="F91" s="82">
        <v>23.27</v>
      </c>
      <c r="G91" s="83" t="s">
        <v>856</v>
      </c>
      <c r="H91" s="82">
        <f>Source!AE43</f>
        <v>26.06</v>
      </c>
      <c r="I91" s="84">
        <f>GM91</f>
        <v>59</v>
      </c>
      <c r="J91" s="85">
        <v>19.8</v>
      </c>
      <c r="K91" s="86">
        <f>Source!R43</f>
        <v>1176</v>
      </c>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f>ROUND(Source!AE43*Source!AV43*Source!I43,0)</f>
        <v>59</v>
      </c>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f>GM91</f>
        <v>59</v>
      </c>
      <c r="HY91" s="23"/>
      <c r="HZ91" s="23"/>
      <c r="IA91" s="23"/>
      <c r="IB91" s="23"/>
      <c r="IC91" s="23"/>
      <c r="ID91" s="23"/>
      <c r="IE91" s="23"/>
      <c r="IF91" s="23"/>
      <c r="IG91" s="23"/>
      <c r="IH91" s="23"/>
      <c r="II91" s="23"/>
      <c r="IJ91" s="23"/>
      <c r="IK91" s="23"/>
      <c r="IL91" s="23"/>
      <c r="IM91" s="23"/>
      <c r="IN91" s="23"/>
      <c r="IO91" s="23"/>
      <c r="IP91" s="23"/>
      <c r="IQ91" s="23"/>
      <c r="IR91" s="23"/>
      <c r="IS91" s="23"/>
      <c r="IT91" s="23"/>
      <c r="IU91" s="23"/>
    </row>
    <row r="92" spans="1:255" x14ac:dyDescent="0.2">
      <c r="A92" s="87"/>
      <c r="B92" s="88"/>
      <c r="C92" s="88" t="s">
        <v>858</v>
      </c>
      <c r="D92" s="89"/>
      <c r="E92" s="90">
        <v>120</v>
      </c>
      <c r="F92" s="91" t="s">
        <v>859</v>
      </c>
      <c r="G92" s="92"/>
      <c r="H92" s="93">
        <f>ROUND((Source!AF43*Source!AV43+Source!AE43*Source!AV43)*(Source!FX43)/100,2)</f>
        <v>78.900000000000006</v>
      </c>
      <c r="I92" s="94">
        <f>T92</f>
        <v>179</v>
      </c>
      <c r="J92" s="96">
        <v>1.1399999999999999</v>
      </c>
      <c r="K92" s="95" t="e">
        <f>U92</f>
        <v>#REF!</v>
      </c>
      <c r="O92" s="23"/>
      <c r="P92" s="23"/>
      <c r="Q92" s="23"/>
      <c r="R92" s="23"/>
      <c r="S92" s="23"/>
      <c r="T92" s="23">
        <f>ROUND((ROUND(Source!AF43*Source!AV43*Source!I43,0)+ROUND(Source!AE43*Source!AV43*Source!I43,0))*(Source!DN43)/100,0)</f>
        <v>179</v>
      </c>
      <c r="U92" s="23" t="e">
        <f>Source!X43</f>
        <v>#REF!</v>
      </c>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v>1</v>
      </c>
      <c r="CW92" s="23"/>
      <c r="CX92" s="23"/>
      <c r="CY92" s="23"/>
      <c r="CZ92" s="23"/>
      <c r="DA92" s="23"/>
      <c r="DB92" s="23"/>
      <c r="DC92" s="23"/>
      <c r="DD92" s="23"/>
      <c r="DE92" s="23"/>
      <c r="DF92" s="23"/>
      <c r="DG92" s="23"/>
      <c r="DH92" s="23"/>
      <c r="DI92" s="23"/>
      <c r="DJ92" s="23"/>
      <c r="DK92" s="23"/>
      <c r="DL92" s="23"/>
      <c r="DM92" s="23"/>
      <c r="DN92" s="23"/>
      <c r="DO92" s="23"/>
      <c r="DP92" s="23"/>
      <c r="DQ92" s="23">
        <f>T92</f>
        <v>179</v>
      </c>
      <c r="DR92" s="23"/>
      <c r="DS92" s="23" t="e">
        <f>U92</f>
        <v>#REF!</v>
      </c>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f>T92</f>
        <v>179</v>
      </c>
      <c r="GZ92" s="23"/>
      <c r="HA92" s="23"/>
      <c r="HB92" s="23">
        <f>T92</f>
        <v>179</v>
      </c>
      <c r="HC92" s="23"/>
      <c r="HD92" s="23"/>
      <c r="HE92" s="23"/>
      <c r="HF92" s="23">
        <f>T92</f>
        <v>179</v>
      </c>
      <c r="HG92" s="23"/>
      <c r="HH92" s="23"/>
      <c r="HI92" s="23"/>
      <c r="HJ92" s="23"/>
      <c r="HK92" s="23"/>
      <c r="HL92" s="23">
        <f>T92</f>
        <v>179</v>
      </c>
      <c r="HM92" s="23"/>
      <c r="HN92" s="23">
        <f>T92</f>
        <v>179</v>
      </c>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row>
    <row r="93" spans="1:255" x14ac:dyDescent="0.2">
      <c r="A93" s="87"/>
      <c r="B93" s="88"/>
      <c r="C93" s="88" t="s">
        <v>860</v>
      </c>
      <c r="D93" s="89"/>
      <c r="E93" s="90">
        <v>77</v>
      </c>
      <c r="F93" s="91" t="s">
        <v>859</v>
      </c>
      <c r="G93" s="92"/>
      <c r="H93" s="93">
        <f>ROUND((Source!AF43*Source!AV43+Source!AE43*Source!AV43)*(Source!FY43)/100,2)</f>
        <v>50.63</v>
      </c>
      <c r="I93" s="94">
        <f>T93</f>
        <v>115</v>
      </c>
      <c r="J93" s="96">
        <v>0.65</v>
      </c>
      <c r="K93" s="95" t="e">
        <f>U93</f>
        <v>#REF!</v>
      </c>
      <c r="O93" s="23"/>
      <c r="P93" s="23"/>
      <c r="Q93" s="23"/>
      <c r="R93" s="23"/>
      <c r="S93" s="23"/>
      <c r="T93" s="23">
        <f>ROUND((ROUND(Source!AF43*Source!AV43*Source!I43,0)+ROUND(Source!AE43*Source!AV43*Source!I43,0))*(Source!DO43)/100,0)</f>
        <v>115</v>
      </c>
      <c r="U93" s="23" t="e">
        <f>Source!Y43</f>
        <v>#REF!</v>
      </c>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v>1</v>
      </c>
      <c r="CW93" s="23"/>
      <c r="CX93" s="23"/>
      <c r="CY93" s="23"/>
      <c r="CZ93" s="23"/>
      <c r="DA93" s="23"/>
      <c r="DB93" s="23"/>
      <c r="DC93" s="23"/>
      <c r="DD93" s="23"/>
      <c r="DE93" s="23"/>
      <c r="DF93" s="23"/>
      <c r="DG93" s="23"/>
      <c r="DH93" s="23"/>
      <c r="DI93" s="23"/>
      <c r="DJ93" s="23"/>
      <c r="DK93" s="23"/>
      <c r="DL93" s="23"/>
      <c r="DM93" s="23"/>
      <c r="DN93" s="23"/>
      <c r="DO93" s="23"/>
      <c r="DP93" s="23"/>
      <c r="DQ93" s="23">
        <f>T93</f>
        <v>115</v>
      </c>
      <c r="DR93" s="23"/>
      <c r="DS93" s="23" t="e">
        <f>U93</f>
        <v>#REF!</v>
      </c>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f>T93</f>
        <v>115</v>
      </c>
      <c r="HA93" s="23"/>
      <c r="HB93" s="23">
        <f>T93</f>
        <v>115</v>
      </c>
      <c r="HC93" s="23"/>
      <c r="HD93" s="23"/>
      <c r="HE93" s="23"/>
      <c r="HF93" s="23">
        <f>T93</f>
        <v>115</v>
      </c>
      <c r="HG93" s="23"/>
      <c r="HH93" s="23"/>
      <c r="HI93" s="23"/>
      <c r="HJ93" s="23"/>
      <c r="HK93" s="23"/>
      <c r="HL93" s="23">
        <f>T93</f>
        <v>115</v>
      </c>
      <c r="HM93" s="23"/>
      <c r="HN93" s="23">
        <f>T93</f>
        <v>115</v>
      </c>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row>
    <row r="94" spans="1:255" x14ac:dyDescent="0.2">
      <c r="A94" s="78"/>
      <c r="B94" s="79"/>
      <c r="C94" s="79" t="s">
        <v>861</v>
      </c>
      <c r="D94" s="80" t="s">
        <v>862</v>
      </c>
      <c r="E94" s="81">
        <v>4.34</v>
      </c>
      <c r="F94" s="82"/>
      <c r="G94" s="83" t="s">
        <v>854</v>
      </c>
      <c r="H94" s="82" t="e">
        <f>ROUND(Source!AH43,2)</f>
        <v>#REF!</v>
      </c>
      <c r="I94" s="97" t="e">
        <f>Source!U43</f>
        <v>#REF!</v>
      </c>
      <c r="J94" s="85"/>
      <c r="K94" s="86"/>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row>
    <row r="95" spans="1:255" x14ac:dyDescent="0.2">
      <c r="A95" s="100" t="s">
        <v>70</v>
      </c>
      <c r="B95" s="109" t="s">
        <v>71</v>
      </c>
      <c r="C95" s="101" t="s">
        <v>72</v>
      </c>
      <c r="D95" s="102" t="s">
        <v>33</v>
      </c>
      <c r="E95" s="103">
        <f>Source!I45</f>
        <v>9.5759999999999994E-3</v>
      </c>
      <c r="F95" s="104">
        <v>1696.01</v>
      </c>
      <c r="G95" s="105"/>
      <c r="H95" s="104">
        <f>Source!AC44</f>
        <v>1696.01</v>
      </c>
      <c r="I95" s="106">
        <f>T95</f>
        <v>16</v>
      </c>
      <c r="J95" s="107" t="s">
        <v>863</v>
      </c>
      <c r="K95" s="108">
        <f>U95</f>
        <v>838</v>
      </c>
      <c r="L95" s="23"/>
      <c r="M95" s="23"/>
      <c r="N95" s="23"/>
      <c r="O95" s="23"/>
      <c r="P95" s="23"/>
      <c r="Q95" s="23"/>
      <c r="R95" s="23"/>
      <c r="S95" s="23"/>
      <c r="T95" s="23">
        <f>ROUND(Source!AC44*Source!AW44*Source!I44,0)</f>
        <v>16</v>
      </c>
      <c r="U95" s="23">
        <f>Source!P45</f>
        <v>838</v>
      </c>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v>1</v>
      </c>
      <c r="CW95" s="23"/>
      <c r="CX95" s="23"/>
      <c r="CY95" s="23"/>
      <c r="CZ95" s="23"/>
      <c r="DA95" s="23"/>
      <c r="DB95" s="23"/>
      <c r="DC95" s="23"/>
      <c r="DD95" s="23"/>
      <c r="DE95" s="23"/>
      <c r="DF95" s="23"/>
      <c r="DG95" s="23"/>
      <c r="DH95" s="23"/>
      <c r="DI95" s="23"/>
      <c r="DJ95" s="23"/>
      <c r="DK95" s="23">
        <f>T95</f>
        <v>16</v>
      </c>
      <c r="DL95" s="23"/>
      <c r="DM95" s="23">
        <f>Source!P45</f>
        <v>838</v>
      </c>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f>T95</f>
        <v>16</v>
      </c>
      <c r="GK95" s="23"/>
      <c r="GL95" s="23"/>
      <c r="GM95" s="23"/>
      <c r="GN95" s="23">
        <f>T95</f>
        <v>16</v>
      </c>
      <c r="GO95" s="23"/>
      <c r="GP95" s="23">
        <f>T95</f>
        <v>16</v>
      </c>
      <c r="GQ95" s="23">
        <f>T95</f>
        <v>16</v>
      </c>
      <c r="GR95" s="23"/>
      <c r="GS95" s="23">
        <f>T95</f>
        <v>16</v>
      </c>
      <c r="GT95" s="23"/>
      <c r="GU95" s="23"/>
      <c r="GV95" s="23"/>
      <c r="GW95" s="23"/>
      <c r="GX95" s="23"/>
      <c r="GY95" s="23"/>
      <c r="GZ95" s="23"/>
      <c r="HA95" s="23"/>
      <c r="HB95" s="23">
        <f>T95</f>
        <v>16</v>
      </c>
      <c r="HC95" s="23"/>
      <c r="HD95" s="23"/>
      <c r="HE95" s="23"/>
      <c r="HF95" s="23">
        <f>T95</f>
        <v>16</v>
      </c>
      <c r="HG95" s="23"/>
      <c r="HH95" s="23"/>
      <c r="HI95" s="23"/>
      <c r="HJ95" s="23"/>
      <c r="HK95" s="23"/>
      <c r="HL95" s="23">
        <f>T95</f>
        <v>16</v>
      </c>
      <c r="HM95" s="23"/>
      <c r="HN95" s="23">
        <f>T95</f>
        <v>16</v>
      </c>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row>
    <row r="96" spans="1:255" x14ac:dyDescent="0.2">
      <c r="A96" s="64"/>
      <c r="B96" s="111" t="s">
        <v>864</v>
      </c>
      <c r="C96" s="111" t="s">
        <v>873</v>
      </c>
      <c r="D96" s="63"/>
      <c r="E96" s="63"/>
      <c r="F96" s="63"/>
      <c r="G96" s="63"/>
      <c r="H96" s="63"/>
      <c r="I96" s="63"/>
      <c r="J96" s="63"/>
      <c r="K96" s="65"/>
    </row>
    <row r="97" spans="1:255" ht="24" x14ac:dyDescent="0.2">
      <c r="A97" s="100" t="s">
        <v>75</v>
      </c>
      <c r="B97" s="109" t="s">
        <v>76</v>
      </c>
      <c r="C97" s="101" t="s">
        <v>77</v>
      </c>
      <c r="D97" s="102" t="s">
        <v>78</v>
      </c>
      <c r="E97" s="103">
        <f>Source!I47</f>
        <v>6.84</v>
      </c>
      <c r="F97" s="104">
        <v>87.58</v>
      </c>
      <c r="G97" s="105"/>
      <c r="H97" s="104">
        <f>Source!AC46</f>
        <v>87.58</v>
      </c>
      <c r="I97" s="106">
        <f>T97</f>
        <v>599</v>
      </c>
      <c r="J97" s="107" t="s">
        <v>863</v>
      </c>
      <c r="K97" s="108">
        <f>U97</f>
        <v>2390</v>
      </c>
      <c r="L97" s="23"/>
      <c r="M97" s="23"/>
      <c r="N97" s="23"/>
      <c r="O97" s="23"/>
      <c r="P97" s="23"/>
      <c r="Q97" s="23"/>
      <c r="R97" s="23"/>
      <c r="S97" s="23"/>
      <c r="T97" s="23">
        <f>ROUND(Source!AC46*Source!AW46*Source!I46,0)</f>
        <v>599</v>
      </c>
      <c r="U97" s="23">
        <f>Source!P47</f>
        <v>2390</v>
      </c>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v>1</v>
      </c>
      <c r="CW97" s="23"/>
      <c r="CX97" s="23"/>
      <c r="CY97" s="23"/>
      <c r="CZ97" s="23"/>
      <c r="DA97" s="23"/>
      <c r="DB97" s="23"/>
      <c r="DC97" s="23"/>
      <c r="DD97" s="23"/>
      <c r="DE97" s="23"/>
      <c r="DF97" s="23"/>
      <c r="DG97" s="23"/>
      <c r="DH97" s="23"/>
      <c r="DI97" s="23"/>
      <c r="DJ97" s="23"/>
      <c r="DK97" s="23">
        <f>T97</f>
        <v>599</v>
      </c>
      <c r="DL97" s="23"/>
      <c r="DM97" s="23">
        <f>Source!P47</f>
        <v>2390</v>
      </c>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f>T97</f>
        <v>599</v>
      </c>
      <c r="GK97" s="23"/>
      <c r="GL97" s="23"/>
      <c r="GM97" s="23"/>
      <c r="GN97" s="23">
        <f>T97</f>
        <v>599</v>
      </c>
      <c r="GO97" s="23"/>
      <c r="GP97" s="23">
        <f>T97</f>
        <v>599</v>
      </c>
      <c r="GQ97" s="23">
        <f>T97</f>
        <v>599</v>
      </c>
      <c r="GR97" s="23"/>
      <c r="GS97" s="23">
        <f>T97</f>
        <v>599</v>
      </c>
      <c r="GT97" s="23"/>
      <c r="GU97" s="23"/>
      <c r="GV97" s="23"/>
      <c r="GW97" s="23"/>
      <c r="GX97" s="23"/>
      <c r="GY97" s="23"/>
      <c r="GZ97" s="23"/>
      <c r="HA97" s="23"/>
      <c r="HB97" s="23">
        <f>T97</f>
        <v>599</v>
      </c>
      <c r="HC97" s="23"/>
      <c r="HD97" s="23"/>
      <c r="HE97" s="23"/>
      <c r="HF97" s="23">
        <f>T97</f>
        <v>599</v>
      </c>
      <c r="HG97" s="23"/>
      <c r="HH97" s="23"/>
      <c r="HI97" s="23"/>
      <c r="HJ97" s="23"/>
      <c r="HK97" s="23"/>
      <c r="HL97" s="23">
        <f>T97</f>
        <v>599</v>
      </c>
      <c r="HM97" s="23"/>
      <c r="HN97" s="23">
        <f>T97</f>
        <v>599</v>
      </c>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row>
    <row r="98" spans="1:255" x14ac:dyDescent="0.2">
      <c r="A98" s="64"/>
      <c r="B98" s="111" t="s">
        <v>864</v>
      </c>
      <c r="C98" s="111" t="s">
        <v>874</v>
      </c>
      <c r="D98" s="63"/>
      <c r="E98" s="63"/>
      <c r="F98" s="63"/>
      <c r="G98" s="63"/>
      <c r="H98" s="63"/>
      <c r="I98" s="63"/>
      <c r="J98" s="63"/>
      <c r="K98" s="65"/>
    </row>
    <row r="99" spans="1:255" ht="24" x14ac:dyDescent="0.2">
      <c r="A99" s="100" t="s">
        <v>81</v>
      </c>
      <c r="B99" s="109" t="s">
        <v>82</v>
      </c>
      <c r="C99" s="101" t="s">
        <v>83</v>
      </c>
      <c r="D99" s="102" t="s">
        <v>78</v>
      </c>
      <c r="E99" s="103">
        <f>Source!I49</f>
        <v>6.84</v>
      </c>
      <c r="F99" s="104">
        <v>56.57</v>
      </c>
      <c r="G99" s="105"/>
      <c r="H99" s="104">
        <f>Source!AC48</f>
        <v>56.57</v>
      </c>
      <c r="I99" s="106">
        <f>T99</f>
        <v>387</v>
      </c>
      <c r="J99" s="107" t="s">
        <v>863</v>
      </c>
      <c r="K99" s="108">
        <f>U99</f>
        <v>1563</v>
      </c>
      <c r="L99" s="23"/>
      <c r="M99" s="23"/>
      <c r="N99" s="23"/>
      <c r="O99" s="23"/>
      <c r="P99" s="23"/>
      <c r="Q99" s="23"/>
      <c r="R99" s="23"/>
      <c r="S99" s="23"/>
      <c r="T99" s="23">
        <f>ROUND(Source!AC48*Source!AW48*Source!I48,0)</f>
        <v>387</v>
      </c>
      <c r="U99" s="23">
        <f>Source!P49</f>
        <v>1563</v>
      </c>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v>1</v>
      </c>
      <c r="CW99" s="23"/>
      <c r="CX99" s="23"/>
      <c r="CY99" s="23"/>
      <c r="CZ99" s="23"/>
      <c r="DA99" s="23"/>
      <c r="DB99" s="23"/>
      <c r="DC99" s="23"/>
      <c r="DD99" s="23"/>
      <c r="DE99" s="23"/>
      <c r="DF99" s="23"/>
      <c r="DG99" s="23"/>
      <c r="DH99" s="23"/>
      <c r="DI99" s="23"/>
      <c r="DJ99" s="23"/>
      <c r="DK99" s="23">
        <f>T99</f>
        <v>387</v>
      </c>
      <c r="DL99" s="23"/>
      <c r="DM99" s="23">
        <f>Source!P49</f>
        <v>1563</v>
      </c>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f>T99</f>
        <v>387</v>
      </c>
      <c r="GK99" s="23"/>
      <c r="GL99" s="23"/>
      <c r="GM99" s="23"/>
      <c r="GN99" s="23">
        <f>T99</f>
        <v>387</v>
      </c>
      <c r="GO99" s="23"/>
      <c r="GP99" s="23">
        <f>T99</f>
        <v>387</v>
      </c>
      <c r="GQ99" s="23">
        <f>T99</f>
        <v>387</v>
      </c>
      <c r="GR99" s="23"/>
      <c r="GS99" s="23">
        <f>T99</f>
        <v>387</v>
      </c>
      <c r="GT99" s="23"/>
      <c r="GU99" s="23"/>
      <c r="GV99" s="23"/>
      <c r="GW99" s="23"/>
      <c r="GX99" s="23"/>
      <c r="GY99" s="23"/>
      <c r="GZ99" s="23"/>
      <c r="HA99" s="23"/>
      <c r="HB99" s="23">
        <f>T99</f>
        <v>387</v>
      </c>
      <c r="HC99" s="23"/>
      <c r="HD99" s="23"/>
      <c r="HE99" s="23"/>
      <c r="HF99" s="23">
        <f>T99</f>
        <v>387</v>
      </c>
      <c r="HG99" s="23"/>
      <c r="HH99" s="23"/>
      <c r="HI99" s="23"/>
      <c r="HJ99" s="23"/>
      <c r="HK99" s="23"/>
      <c r="HL99" s="23">
        <f>T99</f>
        <v>387</v>
      </c>
      <c r="HM99" s="23"/>
      <c r="HN99" s="23">
        <f>T99</f>
        <v>387</v>
      </c>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row>
    <row r="100" spans="1:255" x14ac:dyDescent="0.2">
      <c r="A100" s="64"/>
      <c r="B100" s="111" t="s">
        <v>864</v>
      </c>
      <c r="C100" s="111" t="s">
        <v>875</v>
      </c>
      <c r="D100" s="63"/>
      <c r="E100" s="63"/>
      <c r="F100" s="63"/>
      <c r="G100" s="63"/>
      <c r="H100" s="63"/>
      <c r="I100" s="63"/>
      <c r="J100" s="63"/>
      <c r="K100" s="65"/>
    </row>
    <row r="101" spans="1:255" ht="24" x14ac:dyDescent="0.2">
      <c r="A101" s="100" t="s">
        <v>86</v>
      </c>
      <c r="B101" s="109" t="s">
        <v>87</v>
      </c>
      <c r="C101" s="101" t="s">
        <v>88</v>
      </c>
      <c r="D101" s="102" t="s">
        <v>44</v>
      </c>
      <c r="E101" s="103">
        <f>Source!I51</f>
        <v>6.9425999999999997</v>
      </c>
      <c r="F101" s="104">
        <v>878.79</v>
      </c>
      <c r="G101" s="105"/>
      <c r="H101" s="104">
        <f>Source!AC50</f>
        <v>878.79</v>
      </c>
      <c r="I101" s="106">
        <f>T101</f>
        <v>6101</v>
      </c>
      <c r="J101" s="107" t="s">
        <v>863</v>
      </c>
      <c r="K101" s="108">
        <f>U101</f>
        <v>51174</v>
      </c>
      <c r="L101" s="23"/>
      <c r="M101" s="23"/>
      <c r="N101" s="23"/>
      <c r="O101" s="23"/>
      <c r="P101" s="23"/>
      <c r="Q101" s="23"/>
      <c r="R101" s="23"/>
      <c r="S101" s="23"/>
      <c r="T101" s="23">
        <f>ROUND(Source!AC50*Source!AW50*Source!I50,0)</f>
        <v>6101</v>
      </c>
      <c r="U101" s="23">
        <f>Source!P51</f>
        <v>51174</v>
      </c>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v>1</v>
      </c>
      <c r="CW101" s="23"/>
      <c r="CX101" s="23"/>
      <c r="CY101" s="23"/>
      <c r="CZ101" s="23"/>
      <c r="DA101" s="23"/>
      <c r="DB101" s="23"/>
      <c r="DC101" s="23"/>
      <c r="DD101" s="23"/>
      <c r="DE101" s="23"/>
      <c r="DF101" s="23"/>
      <c r="DG101" s="23"/>
      <c r="DH101" s="23"/>
      <c r="DI101" s="23"/>
      <c r="DJ101" s="23"/>
      <c r="DK101" s="23">
        <f>T101</f>
        <v>6101</v>
      </c>
      <c r="DL101" s="23"/>
      <c r="DM101" s="23">
        <f>Source!P51</f>
        <v>51174</v>
      </c>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f>T101</f>
        <v>6101</v>
      </c>
      <c r="GK101" s="23"/>
      <c r="GL101" s="23"/>
      <c r="GM101" s="23"/>
      <c r="GN101" s="23">
        <f>T101</f>
        <v>6101</v>
      </c>
      <c r="GO101" s="23"/>
      <c r="GP101" s="23">
        <f>T101</f>
        <v>6101</v>
      </c>
      <c r="GQ101" s="23">
        <f>T101</f>
        <v>6101</v>
      </c>
      <c r="GR101" s="23"/>
      <c r="GS101" s="23">
        <f>T101</f>
        <v>6101</v>
      </c>
      <c r="GT101" s="23"/>
      <c r="GU101" s="23"/>
      <c r="GV101" s="23"/>
      <c r="GW101" s="23"/>
      <c r="GX101" s="23"/>
      <c r="GY101" s="23"/>
      <c r="GZ101" s="23"/>
      <c r="HA101" s="23"/>
      <c r="HB101" s="23">
        <f>T101</f>
        <v>6101</v>
      </c>
      <c r="HC101" s="23"/>
      <c r="HD101" s="23"/>
      <c r="HE101" s="23"/>
      <c r="HF101" s="23">
        <f>T101</f>
        <v>6101</v>
      </c>
      <c r="HG101" s="23"/>
      <c r="HH101" s="23"/>
      <c r="HI101" s="23"/>
      <c r="HJ101" s="23"/>
      <c r="HK101" s="23"/>
      <c r="HL101" s="23">
        <f>T101</f>
        <v>6101</v>
      </c>
      <c r="HM101" s="23"/>
      <c r="HN101" s="23">
        <f>T101</f>
        <v>6101</v>
      </c>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row>
    <row r="102" spans="1:255" x14ac:dyDescent="0.2">
      <c r="A102" s="64"/>
      <c r="B102" s="111" t="s">
        <v>864</v>
      </c>
      <c r="C102" s="111" t="s">
        <v>876</v>
      </c>
      <c r="D102" s="63"/>
      <c r="E102" s="63"/>
      <c r="F102" s="63"/>
      <c r="G102" s="63"/>
      <c r="H102" s="63"/>
      <c r="I102" s="63"/>
      <c r="J102" s="63"/>
      <c r="K102" s="65"/>
    </row>
    <row r="103" spans="1:255" x14ac:dyDescent="0.2">
      <c r="A103" s="100" t="s">
        <v>91</v>
      </c>
      <c r="B103" s="109" t="s">
        <v>92</v>
      </c>
      <c r="C103" s="101" t="s">
        <v>93</v>
      </c>
      <c r="D103" s="102" t="s">
        <v>94</v>
      </c>
      <c r="E103" s="103">
        <f>Source!I53</f>
        <v>12.28464</v>
      </c>
      <c r="F103" s="104">
        <v>4.6900000000000004</v>
      </c>
      <c r="G103" s="105"/>
      <c r="H103" s="104">
        <f>Source!AC52</f>
        <v>4.6900000000000004</v>
      </c>
      <c r="I103" s="106">
        <f>T103</f>
        <v>58</v>
      </c>
      <c r="J103" s="107" t="s">
        <v>863</v>
      </c>
      <c r="K103" s="108">
        <f>U103</f>
        <v>397</v>
      </c>
      <c r="L103" s="23"/>
      <c r="M103" s="23"/>
      <c r="N103" s="23"/>
      <c r="O103" s="23"/>
      <c r="P103" s="23"/>
      <c r="Q103" s="23"/>
      <c r="R103" s="23"/>
      <c r="S103" s="23"/>
      <c r="T103" s="23">
        <f>ROUND(Source!AC52*Source!AW52*Source!I52,0)</f>
        <v>58</v>
      </c>
      <c r="U103" s="23">
        <f>Source!P53</f>
        <v>397</v>
      </c>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v>2</v>
      </c>
      <c r="CW103" s="23"/>
      <c r="CX103" s="23"/>
      <c r="CY103" s="23"/>
      <c r="CZ103" s="23"/>
      <c r="DA103" s="23"/>
      <c r="DB103" s="23"/>
      <c r="DC103" s="23"/>
      <c r="DD103" s="23"/>
      <c r="DE103" s="23"/>
      <c r="DF103" s="23"/>
      <c r="DG103" s="23"/>
      <c r="DH103" s="23"/>
      <c r="DI103" s="23"/>
      <c r="DJ103" s="23"/>
      <c r="DK103" s="23">
        <f>T103</f>
        <v>58</v>
      </c>
      <c r="DL103" s="23"/>
      <c r="DM103" s="23">
        <f>Source!P53</f>
        <v>397</v>
      </c>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f>T103</f>
        <v>58</v>
      </c>
      <c r="GK103" s="23"/>
      <c r="GL103" s="23"/>
      <c r="GM103" s="23"/>
      <c r="GN103" s="23">
        <f>T103</f>
        <v>58</v>
      </c>
      <c r="GO103" s="23"/>
      <c r="GP103" s="23">
        <f>T103</f>
        <v>58</v>
      </c>
      <c r="GQ103" s="23">
        <f>T103</f>
        <v>58</v>
      </c>
      <c r="GR103" s="23"/>
      <c r="GS103" s="23">
        <f>T103</f>
        <v>58</v>
      </c>
      <c r="GT103" s="23"/>
      <c r="GU103" s="23"/>
      <c r="GV103" s="23"/>
      <c r="GW103" s="23"/>
      <c r="GX103" s="23"/>
      <c r="GY103" s="23"/>
      <c r="GZ103" s="23"/>
      <c r="HA103" s="23"/>
      <c r="HB103" s="23"/>
      <c r="HC103" s="23">
        <f>T103</f>
        <v>58</v>
      </c>
      <c r="HD103" s="23"/>
      <c r="HE103" s="23"/>
      <c r="HF103" s="23">
        <f>T103</f>
        <v>58</v>
      </c>
      <c r="HG103" s="23"/>
      <c r="HH103" s="23"/>
      <c r="HI103" s="23"/>
      <c r="HJ103" s="23"/>
      <c r="HK103" s="23"/>
      <c r="HL103" s="23">
        <f>T103</f>
        <v>58</v>
      </c>
      <c r="HM103" s="23"/>
      <c r="HN103" s="23"/>
      <c r="HO103" s="23"/>
      <c r="HP103" s="23">
        <f>T103</f>
        <v>58</v>
      </c>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row>
    <row r="104" spans="1:255" x14ac:dyDescent="0.2">
      <c r="A104" s="64"/>
      <c r="B104" s="111" t="s">
        <v>864</v>
      </c>
      <c r="C104" s="111" t="s">
        <v>877</v>
      </c>
      <c r="D104" s="63"/>
      <c r="E104" s="63"/>
      <c r="F104" s="63"/>
      <c r="G104" s="63"/>
      <c r="H104" s="63"/>
      <c r="I104" s="63"/>
      <c r="J104" s="63"/>
      <c r="K104" s="65"/>
    </row>
    <row r="105" spans="1:255" x14ac:dyDescent="0.2">
      <c r="A105" s="100" t="s">
        <v>100</v>
      </c>
      <c r="B105" s="109" t="s">
        <v>101</v>
      </c>
      <c r="C105" s="101" t="s">
        <v>102</v>
      </c>
      <c r="D105" s="102" t="s">
        <v>103</v>
      </c>
      <c r="E105" s="103">
        <f>Source!I55</f>
        <v>52.44</v>
      </c>
      <c r="F105" s="104">
        <v>0.24</v>
      </c>
      <c r="G105" s="105"/>
      <c r="H105" s="104">
        <f>Source!AC54</f>
        <v>0.24</v>
      </c>
      <c r="I105" s="106">
        <f>T105</f>
        <v>13</v>
      </c>
      <c r="J105" s="107" t="s">
        <v>863</v>
      </c>
      <c r="K105" s="108">
        <f>U105</f>
        <v>63</v>
      </c>
      <c r="L105" s="23"/>
      <c r="M105" s="23"/>
      <c r="N105" s="23"/>
      <c r="O105" s="23"/>
      <c r="P105" s="23"/>
      <c r="Q105" s="23"/>
      <c r="R105" s="23"/>
      <c r="S105" s="23"/>
      <c r="T105" s="23">
        <f>ROUND(Source!AC54*Source!AW54*Source!I54,0)</f>
        <v>13</v>
      </c>
      <c r="U105" s="23">
        <f>Source!P55</f>
        <v>63</v>
      </c>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v>1</v>
      </c>
      <c r="CW105" s="23"/>
      <c r="CX105" s="23"/>
      <c r="CY105" s="23"/>
      <c r="CZ105" s="23"/>
      <c r="DA105" s="23"/>
      <c r="DB105" s="23"/>
      <c r="DC105" s="23"/>
      <c r="DD105" s="23"/>
      <c r="DE105" s="23"/>
      <c r="DF105" s="23"/>
      <c r="DG105" s="23"/>
      <c r="DH105" s="23"/>
      <c r="DI105" s="23"/>
      <c r="DJ105" s="23"/>
      <c r="DK105" s="23">
        <f>T105</f>
        <v>13</v>
      </c>
      <c r="DL105" s="23"/>
      <c r="DM105" s="23">
        <f>Source!P55</f>
        <v>63</v>
      </c>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f>T105</f>
        <v>13</v>
      </c>
      <c r="GK105" s="23"/>
      <c r="GL105" s="23"/>
      <c r="GM105" s="23"/>
      <c r="GN105" s="23">
        <f>T105</f>
        <v>13</v>
      </c>
      <c r="GO105" s="23"/>
      <c r="GP105" s="23">
        <f>T105</f>
        <v>13</v>
      </c>
      <c r="GQ105" s="23">
        <f>T105</f>
        <v>13</v>
      </c>
      <c r="GR105" s="23"/>
      <c r="GS105" s="23">
        <f>T105</f>
        <v>13</v>
      </c>
      <c r="GT105" s="23"/>
      <c r="GU105" s="23"/>
      <c r="GV105" s="23"/>
      <c r="GW105" s="23"/>
      <c r="GX105" s="23"/>
      <c r="GY105" s="23"/>
      <c r="GZ105" s="23"/>
      <c r="HA105" s="23"/>
      <c r="HB105" s="23">
        <f>T105</f>
        <v>13</v>
      </c>
      <c r="HC105" s="23"/>
      <c r="HD105" s="23"/>
      <c r="HE105" s="23"/>
      <c r="HF105" s="23">
        <f>T105</f>
        <v>13</v>
      </c>
      <c r="HG105" s="23"/>
      <c r="HH105" s="23"/>
      <c r="HI105" s="23"/>
      <c r="HJ105" s="23"/>
      <c r="HK105" s="23"/>
      <c r="HL105" s="23">
        <f>T105</f>
        <v>13</v>
      </c>
      <c r="HM105" s="23"/>
      <c r="HN105" s="23">
        <f>T105</f>
        <v>13</v>
      </c>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row>
    <row r="106" spans="1:255" x14ac:dyDescent="0.2">
      <c r="A106" s="64"/>
      <c r="B106" s="111" t="s">
        <v>864</v>
      </c>
      <c r="C106" s="111" t="s">
        <v>878</v>
      </c>
      <c r="D106" s="63"/>
      <c r="E106" s="63"/>
      <c r="F106" s="63"/>
      <c r="G106" s="63"/>
      <c r="H106" s="63"/>
      <c r="I106" s="63"/>
      <c r="J106" s="63"/>
      <c r="K106" s="65"/>
    </row>
    <row r="107" spans="1:255" x14ac:dyDescent="0.2">
      <c r="A107" s="100" t="s">
        <v>106</v>
      </c>
      <c r="B107" s="109" t="s">
        <v>107</v>
      </c>
      <c r="C107" s="101" t="s">
        <v>108</v>
      </c>
      <c r="D107" s="102" t="s">
        <v>103</v>
      </c>
      <c r="E107" s="103">
        <f>Source!I57</f>
        <v>27.36</v>
      </c>
      <c r="F107" s="104">
        <v>0.24</v>
      </c>
      <c r="G107" s="105"/>
      <c r="H107" s="104">
        <f>Source!AC56</f>
        <v>0.24</v>
      </c>
      <c r="I107" s="106">
        <f>T107</f>
        <v>7</v>
      </c>
      <c r="J107" s="107" t="s">
        <v>863</v>
      </c>
      <c r="K107" s="108">
        <f>U107</f>
        <v>17</v>
      </c>
      <c r="L107" s="23"/>
      <c r="M107" s="23"/>
      <c r="N107" s="23"/>
      <c r="O107" s="23"/>
      <c r="P107" s="23"/>
      <c r="Q107" s="23"/>
      <c r="R107" s="23"/>
      <c r="S107" s="23"/>
      <c r="T107" s="23">
        <f>ROUND(Source!AC56*Source!AW56*Source!I56,0)</f>
        <v>7</v>
      </c>
      <c r="U107" s="23">
        <f>Source!P57</f>
        <v>17</v>
      </c>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v>1</v>
      </c>
      <c r="CW107" s="23"/>
      <c r="CX107" s="23"/>
      <c r="CY107" s="23"/>
      <c r="CZ107" s="23"/>
      <c r="DA107" s="23"/>
      <c r="DB107" s="23"/>
      <c r="DC107" s="23"/>
      <c r="DD107" s="23"/>
      <c r="DE107" s="23"/>
      <c r="DF107" s="23"/>
      <c r="DG107" s="23"/>
      <c r="DH107" s="23"/>
      <c r="DI107" s="23"/>
      <c r="DJ107" s="23"/>
      <c r="DK107" s="23">
        <f>T107</f>
        <v>7</v>
      </c>
      <c r="DL107" s="23"/>
      <c r="DM107" s="23">
        <f>Source!P57</f>
        <v>17</v>
      </c>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f>T107</f>
        <v>7</v>
      </c>
      <c r="GK107" s="23"/>
      <c r="GL107" s="23"/>
      <c r="GM107" s="23"/>
      <c r="GN107" s="23">
        <f>T107</f>
        <v>7</v>
      </c>
      <c r="GO107" s="23"/>
      <c r="GP107" s="23">
        <f>T107</f>
        <v>7</v>
      </c>
      <c r="GQ107" s="23">
        <f>T107</f>
        <v>7</v>
      </c>
      <c r="GR107" s="23"/>
      <c r="GS107" s="23">
        <f>T107</f>
        <v>7</v>
      </c>
      <c r="GT107" s="23"/>
      <c r="GU107" s="23"/>
      <c r="GV107" s="23"/>
      <c r="GW107" s="23"/>
      <c r="GX107" s="23"/>
      <c r="GY107" s="23"/>
      <c r="GZ107" s="23"/>
      <c r="HA107" s="23"/>
      <c r="HB107" s="23">
        <f>T107</f>
        <v>7</v>
      </c>
      <c r="HC107" s="23"/>
      <c r="HD107" s="23"/>
      <c r="HE107" s="23"/>
      <c r="HF107" s="23">
        <f>T107</f>
        <v>7</v>
      </c>
      <c r="HG107" s="23"/>
      <c r="HH107" s="23"/>
      <c r="HI107" s="23"/>
      <c r="HJ107" s="23"/>
      <c r="HK107" s="23"/>
      <c r="HL107" s="23">
        <f>T107</f>
        <v>7</v>
      </c>
      <c r="HM107" s="23"/>
      <c r="HN107" s="23">
        <f>T107</f>
        <v>7</v>
      </c>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row>
    <row r="108" spans="1:255" x14ac:dyDescent="0.2">
      <c r="A108" s="64"/>
      <c r="B108" s="111" t="s">
        <v>864</v>
      </c>
      <c r="C108" s="111" t="s">
        <v>879</v>
      </c>
      <c r="D108" s="63"/>
      <c r="E108" s="63"/>
      <c r="F108" s="63"/>
      <c r="G108" s="63"/>
      <c r="H108" s="63"/>
      <c r="I108" s="63"/>
      <c r="J108" s="63"/>
      <c r="K108" s="65"/>
    </row>
    <row r="109" spans="1:255" x14ac:dyDescent="0.2">
      <c r="A109" s="100" t="s">
        <v>111</v>
      </c>
      <c r="B109" s="109" t="s">
        <v>112</v>
      </c>
      <c r="C109" s="101" t="s">
        <v>113</v>
      </c>
      <c r="D109" s="102" t="s">
        <v>103</v>
      </c>
      <c r="E109" s="103">
        <f>Source!I59</f>
        <v>27.36</v>
      </c>
      <c r="F109" s="104">
        <v>0.3</v>
      </c>
      <c r="G109" s="105"/>
      <c r="H109" s="104">
        <f>Source!AC58</f>
        <v>0.3</v>
      </c>
      <c r="I109" s="106">
        <f>T109</f>
        <v>8</v>
      </c>
      <c r="J109" s="107" t="s">
        <v>863</v>
      </c>
      <c r="K109" s="108">
        <f>U109</f>
        <v>29</v>
      </c>
      <c r="L109" s="23"/>
      <c r="M109" s="23"/>
      <c r="N109" s="23"/>
      <c r="O109" s="23"/>
      <c r="P109" s="23"/>
      <c r="Q109" s="23"/>
      <c r="R109" s="23"/>
      <c r="S109" s="23"/>
      <c r="T109" s="23">
        <f>ROUND(Source!AC58*Source!AW58*Source!I58,0)</f>
        <v>8</v>
      </c>
      <c r="U109" s="23">
        <f>Source!P59</f>
        <v>29</v>
      </c>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v>1</v>
      </c>
      <c r="CW109" s="23"/>
      <c r="CX109" s="23"/>
      <c r="CY109" s="23"/>
      <c r="CZ109" s="23"/>
      <c r="DA109" s="23"/>
      <c r="DB109" s="23"/>
      <c r="DC109" s="23"/>
      <c r="DD109" s="23"/>
      <c r="DE109" s="23"/>
      <c r="DF109" s="23"/>
      <c r="DG109" s="23"/>
      <c r="DH109" s="23"/>
      <c r="DI109" s="23"/>
      <c r="DJ109" s="23"/>
      <c r="DK109" s="23">
        <f>T109</f>
        <v>8</v>
      </c>
      <c r="DL109" s="23"/>
      <c r="DM109" s="23">
        <f>Source!P59</f>
        <v>29</v>
      </c>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f>T109</f>
        <v>8</v>
      </c>
      <c r="GK109" s="23"/>
      <c r="GL109" s="23"/>
      <c r="GM109" s="23"/>
      <c r="GN109" s="23">
        <f>T109</f>
        <v>8</v>
      </c>
      <c r="GO109" s="23"/>
      <c r="GP109" s="23">
        <f>T109</f>
        <v>8</v>
      </c>
      <c r="GQ109" s="23">
        <f>T109</f>
        <v>8</v>
      </c>
      <c r="GR109" s="23"/>
      <c r="GS109" s="23">
        <f>T109</f>
        <v>8</v>
      </c>
      <c r="GT109" s="23"/>
      <c r="GU109" s="23"/>
      <c r="GV109" s="23"/>
      <c r="GW109" s="23"/>
      <c r="GX109" s="23"/>
      <c r="GY109" s="23"/>
      <c r="GZ109" s="23"/>
      <c r="HA109" s="23"/>
      <c r="HB109" s="23">
        <f>T109</f>
        <v>8</v>
      </c>
      <c r="HC109" s="23"/>
      <c r="HD109" s="23"/>
      <c r="HE109" s="23"/>
      <c r="HF109" s="23">
        <f>T109</f>
        <v>8</v>
      </c>
      <c r="HG109" s="23"/>
      <c r="HH109" s="23"/>
      <c r="HI109" s="23"/>
      <c r="HJ109" s="23"/>
      <c r="HK109" s="23"/>
      <c r="HL109" s="23">
        <f>T109</f>
        <v>8</v>
      </c>
      <c r="HM109" s="23"/>
      <c r="HN109" s="23">
        <f>T109</f>
        <v>8</v>
      </c>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row>
    <row r="110" spans="1:255" x14ac:dyDescent="0.2">
      <c r="A110" s="64"/>
      <c r="B110" s="111" t="s">
        <v>864</v>
      </c>
      <c r="C110" s="111" t="s">
        <v>880</v>
      </c>
      <c r="D110" s="63"/>
      <c r="E110" s="63"/>
      <c r="F110" s="63"/>
      <c r="G110" s="63"/>
      <c r="H110" s="63"/>
      <c r="I110" s="63"/>
      <c r="J110" s="63"/>
      <c r="K110" s="65"/>
    </row>
    <row r="111" spans="1:255" ht="24" x14ac:dyDescent="0.2">
      <c r="A111" s="114" t="s">
        <v>116</v>
      </c>
      <c r="B111" s="115" t="s">
        <v>117</v>
      </c>
      <c r="C111" s="116" t="s">
        <v>118</v>
      </c>
      <c r="D111" s="117" t="s">
        <v>33</v>
      </c>
      <c r="E111" s="118">
        <f>Source!I61</f>
        <v>2.16825E-3</v>
      </c>
      <c r="F111" s="119">
        <v>10633.86</v>
      </c>
      <c r="G111" s="71"/>
      <c r="H111" s="119">
        <f>Source!AC60</f>
        <v>10633.86</v>
      </c>
      <c r="I111" s="120">
        <f>T111</f>
        <v>23</v>
      </c>
      <c r="J111" s="73" t="s">
        <v>863</v>
      </c>
      <c r="K111" s="121">
        <f>U111</f>
        <v>183</v>
      </c>
      <c r="L111" s="23"/>
      <c r="M111" s="23"/>
      <c r="N111" s="23"/>
      <c r="O111" s="23"/>
      <c r="P111" s="23"/>
      <c r="Q111" s="23"/>
      <c r="R111" s="23"/>
      <c r="S111" s="23"/>
      <c r="T111" s="23">
        <f>ROUND(Source!AC60*Source!AW60*Source!I60,0)</f>
        <v>23</v>
      </c>
      <c r="U111" s="23">
        <f>Source!P61</f>
        <v>183</v>
      </c>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v>1</v>
      </c>
      <c r="CW111" s="23"/>
      <c r="CX111" s="23"/>
      <c r="CY111" s="23"/>
      <c r="CZ111" s="23"/>
      <c r="DA111" s="23"/>
      <c r="DB111" s="23"/>
      <c r="DC111" s="23"/>
      <c r="DD111" s="23"/>
      <c r="DE111" s="23"/>
      <c r="DF111" s="23"/>
      <c r="DG111" s="23"/>
      <c r="DH111" s="23"/>
      <c r="DI111" s="23"/>
      <c r="DJ111" s="23"/>
      <c r="DK111" s="23">
        <f>T111</f>
        <v>23</v>
      </c>
      <c r="DL111" s="23"/>
      <c r="DM111" s="23">
        <f>Source!P61</f>
        <v>183</v>
      </c>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f>T111</f>
        <v>23</v>
      </c>
      <c r="GK111" s="23"/>
      <c r="GL111" s="23"/>
      <c r="GM111" s="23"/>
      <c r="GN111" s="23">
        <f>T111</f>
        <v>23</v>
      </c>
      <c r="GO111" s="23"/>
      <c r="GP111" s="23">
        <f>T111</f>
        <v>23</v>
      </c>
      <c r="GQ111" s="23">
        <f>T111</f>
        <v>23</v>
      </c>
      <c r="GR111" s="23"/>
      <c r="GS111" s="23">
        <f>T111</f>
        <v>23</v>
      </c>
      <c r="GT111" s="23"/>
      <c r="GU111" s="23"/>
      <c r="GV111" s="23"/>
      <c r="GW111" s="23"/>
      <c r="GX111" s="23"/>
      <c r="GY111" s="23"/>
      <c r="GZ111" s="23"/>
      <c r="HA111" s="23"/>
      <c r="HB111" s="23">
        <f>T111</f>
        <v>23</v>
      </c>
      <c r="HC111" s="23"/>
      <c r="HD111" s="23"/>
      <c r="HE111" s="23"/>
      <c r="HF111" s="23">
        <f>T111</f>
        <v>23</v>
      </c>
      <c r="HG111" s="23"/>
      <c r="HH111" s="23"/>
      <c r="HI111" s="23"/>
      <c r="HJ111" s="23"/>
      <c r="HK111" s="23"/>
      <c r="HL111" s="23">
        <f>T111</f>
        <v>23</v>
      </c>
      <c r="HM111" s="23"/>
      <c r="HN111" s="23">
        <f>T111</f>
        <v>23</v>
      </c>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row>
    <row r="112" spans="1:255" x14ac:dyDescent="0.2">
      <c r="A112" s="98"/>
      <c r="B112" s="113" t="s">
        <v>864</v>
      </c>
      <c r="C112" s="113" t="s">
        <v>881</v>
      </c>
      <c r="D112" s="33"/>
      <c r="E112" s="33"/>
      <c r="F112" s="33"/>
      <c r="G112" s="33"/>
      <c r="H112" s="33"/>
      <c r="I112" s="33"/>
      <c r="J112" s="33"/>
      <c r="K112" s="99"/>
    </row>
    <row r="113" spans="1:255" ht="13.5" thickBot="1" x14ac:dyDescent="0.25">
      <c r="A113" s="124"/>
      <c r="B113" s="125"/>
      <c r="C113" s="125" t="s">
        <v>867</v>
      </c>
      <c r="D113" s="125"/>
      <c r="E113" s="125"/>
      <c r="F113" s="125"/>
      <c r="G113" s="125"/>
      <c r="H113" s="380">
        <f>SUM(DK88:DK112)</f>
        <v>7212</v>
      </c>
      <c r="I113" s="381"/>
      <c r="J113" s="380">
        <f>SUM(DM88:DM112)</f>
        <v>56654</v>
      </c>
      <c r="K113" s="382"/>
      <c r="L113" s="112"/>
      <c r="M113" s="112"/>
      <c r="N113" s="11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row>
    <row r="114" spans="1:255" x14ac:dyDescent="0.2">
      <c r="A114" s="123"/>
      <c r="B114" s="122"/>
      <c r="C114" s="122" t="s">
        <v>868</v>
      </c>
      <c r="D114" s="122"/>
      <c r="E114" s="122"/>
      <c r="F114" s="122"/>
      <c r="G114" s="122"/>
      <c r="H114" s="383">
        <f>R114</f>
        <v>8110</v>
      </c>
      <c r="I114" s="384"/>
      <c r="J114" s="383" t="e">
        <f>S114</f>
        <v>#REF!</v>
      </c>
      <c r="K114" s="385"/>
      <c r="O114" s="23"/>
      <c r="P114" s="23"/>
      <c r="Q114" s="23"/>
      <c r="R114" s="23">
        <f>SUM(T88:T113)</f>
        <v>8110</v>
      </c>
      <c r="S114" s="23" t="e">
        <f>SUM(U88:U113)</f>
        <v>#REF!</v>
      </c>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f>R114</f>
        <v>8110</v>
      </c>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row>
    <row r="115" spans="1:255" x14ac:dyDescent="0.2">
      <c r="A115" s="77"/>
      <c r="B115" s="76"/>
      <c r="C115" s="76"/>
      <c r="D115" s="76"/>
      <c r="E115" s="76"/>
      <c r="F115" s="76"/>
      <c r="G115" s="76"/>
      <c r="H115" s="386"/>
      <c r="I115" s="387"/>
      <c r="J115" s="386"/>
      <c r="K115" s="388"/>
    </row>
    <row r="116" spans="1:255" ht="60" x14ac:dyDescent="0.2">
      <c r="A116" s="126">
        <v>5</v>
      </c>
      <c r="B116" s="133" t="s">
        <v>122</v>
      </c>
      <c r="C116" s="127" t="s">
        <v>882</v>
      </c>
      <c r="D116" s="128" t="s">
        <v>21</v>
      </c>
      <c r="E116" s="129">
        <v>17.649999999999999</v>
      </c>
      <c r="F116" s="130">
        <f>Source!AK63</f>
        <v>233.52</v>
      </c>
      <c r="G116" s="134" t="s">
        <v>6</v>
      </c>
      <c r="H116" s="130"/>
      <c r="I116" s="131">
        <f>SUM(DQ116:DQ141)</f>
        <v>1985</v>
      </c>
      <c r="J116" s="107" t="s">
        <v>122</v>
      </c>
      <c r="K116" s="132" t="e">
        <f>SUM(DS116:DS141)</f>
        <v>#REF!</v>
      </c>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row>
    <row r="117" spans="1:255" x14ac:dyDescent="0.2">
      <c r="A117" s="66"/>
      <c r="B117" s="67"/>
      <c r="C117" s="67" t="s">
        <v>853</v>
      </c>
      <c r="D117" s="68"/>
      <c r="E117" s="69"/>
      <c r="F117" s="70">
        <v>42.59</v>
      </c>
      <c r="G117" s="71" t="s">
        <v>854</v>
      </c>
      <c r="H117" s="70">
        <f>Source!AF63</f>
        <v>44.72</v>
      </c>
      <c r="I117" s="72">
        <f>T117</f>
        <v>197</v>
      </c>
      <c r="J117" s="73">
        <v>36.07</v>
      </c>
      <c r="K117" s="74">
        <f>U117</f>
        <v>7118</v>
      </c>
      <c r="O117" s="23"/>
      <c r="P117" s="23"/>
      <c r="Q117" s="23"/>
      <c r="R117" s="23"/>
      <c r="S117" s="23"/>
      <c r="T117" s="23">
        <f>ROUND(Source!AF63*Source!AV63*Source!I63,0)</f>
        <v>197</v>
      </c>
      <c r="U117" s="23">
        <f>Source!S63</f>
        <v>7118</v>
      </c>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v>1</v>
      </c>
      <c r="CW117" s="23"/>
      <c r="CX117" s="23"/>
      <c r="CY117" s="23"/>
      <c r="CZ117" s="23"/>
      <c r="DA117" s="23"/>
      <c r="DB117" s="23"/>
      <c r="DC117" s="23"/>
      <c r="DD117" s="23"/>
      <c r="DE117" s="23"/>
      <c r="DF117" s="23"/>
      <c r="DG117" s="23">
        <f>Source!S63</f>
        <v>7118</v>
      </c>
      <c r="DH117" s="23">
        <v>1003</v>
      </c>
      <c r="DI117" s="23"/>
      <c r="DJ117" s="23"/>
      <c r="DK117" s="23"/>
      <c r="DL117" s="23"/>
      <c r="DM117" s="23"/>
      <c r="DN117" s="23"/>
      <c r="DO117" s="23"/>
      <c r="DP117" s="23"/>
      <c r="DQ117" s="23">
        <f>T117</f>
        <v>197</v>
      </c>
      <c r="DR117" s="23"/>
      <c r="DS117" s="23">
        <f>U117</f>
        <v>7118</v>
      </c>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f>T117</f>
        <v>197</v>
      </c>
      <c r="GK117" s="23">
        <f>T117</f>
        <v>197</v>
      </c>
      <c r="GL117" s="23"/>
      <c r="GM117" s="23"/>
      <c r="GN117" s="23"/>
      <c r="GO117" s="23"/>
      <c r="GP117" s="23"/>
      <c r="GQ117" s="23"/>
      <c r="GR117" s="23"/>
      <c r="GS117" s="23"/>
      <c r="GT117" s="23"/>
      <c r="GU117" s="23"/>
      <c r="GV117" s="23"/>
      <c r="GW117" s="23"/>
      <c r="GX117" s="23"/>
      <c r="GY117" s="23"/>
      <c r="GZ117" s="23"/>
      <c r="HA117" s="23"/>
      <c r="HB117" s="23">
        <f>T117</f>
        <v>197</v>
      </c>
      <c r="HC117" s="23"/>
      <c r="HD117" s="23"/>
      <c r="HE117" s="23"/>
      <c r="HF117" s="23">
        <f>T117</f>
        <v>197</v>
      </c>
      <c r="HG117" s="23"/>
      <c r="HH117" s="23"/>
      <c r="HI117" s="23"/>
      <c r="HJ117" s="23"/>
      <c r="HK117" s="23"/>
      <c r="HL117" s="23">
        <f>T117</f>
        <v>197</v>
      </c>
      <c r="HM117" s="23"/>
      <c r="HN117" s="23">
        <f>T117</f>
        <v>197</v>
      </c>
      <c r="HO117" s="23"/>
      <c r="HP117" s="23"/>
      <c r="HQ117" s="23"/>
      <c r="HR117" s="23"/>
      <c r="HS117" s="23"/>
      <c r="HT117" s="23"/>
      <c r="HU117" s="23"/>
      <c r="HV117" s="23"/>
      <c r="HW117" s="23"/>
      <c r="HX117" s="23">
        <f>T117</f>
        <v>197</v>
      </c>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row>
    <row r="118" spans="1:255" x14ac:dyDescent="0.2">
      <c r="A118" s="78"/>
      <c r="B118" s="79"/>
      <c r="C118" s="79" t="s">
        <v>855</v>
      </c>
      <c r="D118" s="80"/>
      <c r="E118" s="81"/>
      <c r="F118" s="82">
        <v>183.81</v>
      </c>
      <c r="G118" s="83" t="s">
        <v>856</v>
      </c>
      <c r="H118" s="82">
        <f>Source!AD63</f>
        <v>258.44</v>
      </c>
      <c r="I118" s="84">
        <f>T118</f>
        <v>1140</v>
      </c>
      <c r="J118" s="85">
        <v>9.3000000000000007</v>
      </c>
      <c r="K118" s="86">
        <f>U118</f>
        <v>10605</v>
      </c>
      <c r="O118" s="23"/>
      <c r="P118" s="23"/>
      <c r="Q118" s="23"/>
      <c r="R118" s="23"/>
      <c r="S118" s="23"/>
      <c r="T118" s="23">
        <f>ROUND(Source!AD63*Source!AV63*Source!I63,0)</f>
        <v>1140</v>
      </c>
      <c r="U118" s="23">
        <f>Source!Q63</f>
        <v>10605</v>
      </c>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v>1</v>
      </c>
      <c r="CW118" s="23"/>
      <c r="CX118" s="23"/>
      <c r="CY118" s="23"/>
      <c r="CZ118" s="23"/>
      <c r="DA118" s="23"/>
      <c r="DB118" s="23"/>
      <c r="DC118" s="23"/>
      <c r="DD118" s="23"/>
      <c r="DE118" s="23"/>
      <c r="DF118" s="23"/>
      <c r="DG118" s="23"/>
      <c r="DH118" s="23"/>
      <c r="DI118" s="23"/>
      <c r="DJ118" s="23"/>
      <c r="DK118" s="23"/>
      <c r="DL118" s="23"/>
      <c r="DM118" s="23"/>
      <c r="DN118" s="23"/>
      <c r="DO118" s="23"/>
      <c r="DP118" s="23"/>
      <c r="DQ118" s="23">
        <f>T118</f>
        <v>1140</v>
      </c>
      <c r="DR118" s="23"/>
      <c r="DS118" s="23">
        <f>U118</f>
        <v>10605</v>
      </c>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f>T118</f>
        <v>1140</v>
      </c>
      <c r="GK118" s="23"/>
      <c r="GL118" s="23">
        <f>T118</f>
        <v>1140</v>
      </c>
      <c r="GM118" s="23"/>
      <c r="GN118" s="23"/>
      <c r="GO118" s="23"/>
      <c r="GP118" s="23"/>
      <c r="GQ118" s="23"/>
      <c r="GR118" s="23"/>
      <c r="GS118" s="23"/>
      <c r="GT118" s="23"/>
      <c r="GU118" s="23"/>
      <c r="GV118" s="23"/>
      <c r="GW118" s="23"/>
      <c r="GX118" s="23"/>
      <c r="GY118" s="23"/>
      <c r="GZ118" s="23"/>
      <c r="HA118" s="23"/>
      <c r="HB118" s="23">
        <f>T118</f>
        <v>1140</v>
      </c>
      <c r="HC118" s="23"/>
      <c r="HD118" s="23"/>
      <c r="HE118" s="23"/>
      <c r="HF118" s="23">
        <f>T118</f>
        <v>1140</v>
      </c>
      <c r="HG118" s="23"/>
      <c r="HH118" s="23"/>
      <c r="HI118" s="23"/>
      <c r="HJ118" s="23"/>
      <c r="HK118" s="23"/>
      <c r="HL118" s="23">
        <f>T118</f>
        <v>1140</v>
      </c>
      <c r="HM118" s="23"/>
      <c r="HN118" s="23">
        <f>T118</f>
        <v>1140</v>
      </c>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row>
    <row r="119" spans="1:255" x14ac:dyDescent="0.2">
      <c r="A119" s="78"/>
      <c r="B119" s="79"/>
      <c r="C119" s="79" t="s">
        <v>857</v>
      </c>
      <c r="D119" s="80"/>
      <c r="E119" s="81"/>
      <c r="F119" s="82">
        <v>26.68</v>
      </c>
      <c r="G119" s="83" t="s">
        <v>856</v>
      </c>
      <c r="H119" s="82">
        <f>Source!AE63</f>
        <v>29.88</v>
      </c>
      <c r="I119" s="84">
        <f>GM119</f>
        <v>132</v>
      </c>
      <c r="J119" s="85">
        <v>19.8</v>
      </c>
      <c r="K119" s="86">
        <f>Source!R63</f>
        <v>2611</v>
      </c>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f>ROUND(Source!AE63*Source!AV63*Source!I63,0)</f>
        <v>132</v>
      </c>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f>GM119</f>
        <v>132</v>
      </c>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row>
    <row r="120" spans="1:255" x14ac:dyDescent="0.2">
      <c r="A120" s="87"/>
      <c r="B120" s="88"/>
      <c r="C120" s="88" t="s">
        <v>858</v>
      </c>
      <c r="D120" s="89"/>
      <c r="E120" s="90">
        <v>120</v>
      </c>
      <c r="F120" s="91" t="s">
        <v>859</v>
      </c>
      <c r="G120" s="92"/>
      <c r="H120" s="93">
        <f>ROUND((Source!AF63*Source!AV63+Source!AE63*Source!AV63)*(Source!FX63)/100,2)</f>
        <v>89.52</v>
      </c>
      <c r="I120" s="94">
        <f>T120</f>
        <v>395</v>
      </c>
      <c r="J120" s="96">
        <v>1.1399999999999999</v>
      </c>
      <c r="K120" s="95" t="e">
        <f>U120</f>
        <v>#REF!</v>
      </c>
      <c r="O120" s="23"/>
      <c r="P120" s="23"/>
      <c r="Q120" s="23"/>
      <c r="R120" s="23"/>
      <c r="S120" s="23"/>
      <c r="T120" s="23">
        <f>ROUND((ROUND(Source!AF63*Source!AV63*Source!I63,0)+ROUND(Source!AE63*Source!AV63*Source!I63,0))*(Source!DN63)/100,0)</f>
        <v>395</v>
      </c>
      <c r="U120" s="23" t="e">
        <f>Source!X63</f>
        <v>#REF!</v>
      </c>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v>1</v>
      </c>
      <c r="CW120" s="23"/>
      <c r="CX120" s="23"/>
      <c r="CY120" s="23"/>
      <c r="CZ120" s="23"/>
      <c r="DA120" s="23"/>
      <c r="DB120" s="23"/>
      <c r="DC120" s="23"/>
      <c r="DD120" s="23"/>
      <c r="DE120" s="23"/>
      <c r="DF120" s="23"/>
      <c r="DG120" s="23"/>
      <c r="DH120" s="23"/>
      <c r="DI120" s="23"/>
      <c r="DJ120" s="23"/>
      <c r="DK120" s="23"/>
      <c r="DL120" s="23"/>
      <c r="DM120" s="23"/>
      <c r="DN120" s="23"/>
      <c r="DO120" s="23"/>
      <c r="DP120" s="23"/>
      <c r="DQ120" s="23">
        <f>T120</f>
        <v>395</v>
      </c>
      <c r="DR120" s="23"/>
      <c r="DS120" s="23" t="e">
        <f>U120</f>
        <v>#REF!</v>
      </c>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f>T120</f>
        <v>395</v>
      </c>
      <c r="GZ120" s="23"/>
      <c r="HA120" s="23"/>
      <c r="HB120" s="23">
        <f>T120</f>
        <v>395</v>
      </c>
      <c r="HC120" s="23"/>
      <c r="HD120" s="23"/>
      <c r="HE120" s="23"/>
      <c r="HF120" s="23">
        <f>T120</f>
        <v>395</v>
      </c>
      <c r="HG120" s="23"/>
      <c r="HH120" s="23"/>
      <c r="HI120" s="23"/>
      <c r="HJ120" s="23"/>
      <c r="HK120" s="23"/>
      <c r="HL120" s="23">
        <f>T120</f>
        <v>395</v>
      </c>
      <c r="HM120" s="23"/>
      <c r="HN120" s="23">
        <f>T120</f>
        <v>395</v>
      </c>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row>
    <row r="121" spans="1:255" x14ac:dyDescent="0.2">
      <c r="A121" s="87"/>
      <c r="B121" s="88"/>
      <c r="C121" s="88" t="s">
        <v>860</v>
      </c>
      <c r="D121" s="89"/>
      <c r="E121" s="90">
        <v>77</v>
      </c>
      <c r="F121" s="91" t="s">
        <v>859</v>
      </c>
      <c r="G121" s="92"/>
      <c r="H121" s="93">
        <f>ROUND((Source!AF63*Source!AV63+Source!AE63*Source!AV63)*(Source!FY63)/100,2)</f>
        <v>57.44</v>
      </c>
      <c r="I121" s="94">
        <f>T121</f>
        <v>253</v>
      </c>
      <c r="J121" s="96">
        <v>0.65</v>
      </c>
      <c r="K121" s="95" t="e">
        <f>U121</f>
        <v>#REF!</v>
      </c>
      <c r="O121" s="23"/>
      <c r="P121" s="23"/>
      <c r="Q121" s="23"/>
      <c r="R121" s="23"/>
      <c r="S121" s="23"/>
      <c r="T121" s="23">
        <f>ROUND((ROUND(Source!AF63*Source!AV63*Source!I63,0)+ROUND(Source!AE63*Source!AV63*Source!I63,0))*(Source!DO63)/100,0)</f>
        <v>253</v>
      </c>
      <c r="U121" s="23" t="e">
        <f>Source!Y63</f>
        <v>#REF!</v>
      </c>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v>1</v>
      </c>
      <c r="CW121" s="23"/>
      <c r="CX121" s="23"/>
      <c r="CY121" s="23"/>
      <c r="CZ121" s="23"/>
      <c r="DA121" s="23"/>
      <c r="DB121" s="23"/>
      <c r="DC121" s="23"/>
      <c r="DD121" s="23"/>
      <c r="DE121" s="23"/>
      <c r="DF121" s="23"/>
      <c r="DG121" s="23"/>
      <c r="DH121" s="23"/>
      <c r="DI121" s="23"/>
      <c r="DJ121" s="23"/>
      <c r="DK121" s="23"/>
      <c r="DL121" s="23"/>
      <c r="DM121" s="23"/>
      <c r="DN121" s="23"/>
      <c r="DO121" s="23"/>
      <c r="DP121" s="23"/>
      <c r="DQ121" s="23">
        <f>T121</f>
        <v>253</v>
      </c>
      <c r="DR121" s="23"/>
      <c r="DS121" s="23" t="e">
        <f>U121</f>
        <v>#REF!</v>
      </c>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f>T121</f>
        <v>253</v>
      </c>
      <c r="HA121" s="23"/>
      <c r="HB121" s="23">
        <f>T121</f>
        <v>253</v>
      </c>
      <c r="HC121" s="23"/>
      <c r="HD121" s="23"/>
      <c r="HE121" s="23"/>
      <c r="HF121" s="23">
        <f>T121</f>
        <v>253</v>
      </c>
      <c r="HG121" s="23"/>
      <c r="HH121" s="23"/>
      <c r="HI121" s="23"/>
      <c r="HJ121" s="23"/>
      <c r="HK121" s="23"/>
      <c r="HL121" s="23">
        <f>T121</f>
        <v>253</v>
      </c>
      <c r="HM121" s="23"/>
      <c r="HN121" s="23">
        <f>T121</f>
        <v>253</v>
      </c>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row>
    <row r="122" spans="1:255" x14ac:dyDescent="0.2">
      <c r="A122" s="78"/>
      <c r="B122" s="79"/>
      <c r="C122" s="79" t="s">
        <v>861</v>
      </c>
      <c r="D122" s="80" t="s">
        <v>862</v>
      </c>
      <c r="E122" s="81">
        <v>4.8899999999999997</v>
      </c>
      <c r="F122" s="82"/>
      <c r="G122" s="83" t="s">
        <v>854</v>
      </c>
      <c r="H122" s="82" t="e">
        <f>ROUND(Source!AH63,2)</f>
        <v>#REF!</v>
      </c>
      <c r="I122" s="97" t="e">
        <f>Source!U63</f>
        <v>#REF!</v>
      </c>
      <c r="J122" s="85"/>
      <c r="K122" s="86"/>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row>
    <row r="123" spans="1:255" x14ac:dyDescent="0.2">
      <c r="A123" s="100" t="s">
        <v>125</v>
      </c>
      <c r="B123" s="109" t="s">
        <v>71</v>
      </c>
      <c r="C123" s="101" t="s">
        <v>72</v>
      </c>
      <c r="D123" s="102" t="s">
        <v>33</v>
      </c>
      <c r="E123" s="103">
        <f>Source!I65</f>
        <v>1.85325E-2</v>
      </c>
      <c r="F123" s="104">
        <v>1696.01</v>
      </c>
      <c r="G123" s="105"/>
      <c r="H123" s="104">
        <f>Source!AC64</f>
        <v>1696.01</v>
      </c>
      <c r="I123" s="106">
        <f>T123</f>
        <v>31</v>
      </c>
      <c r="J123" s="107" t="s">
        <v>863</v>
      </c>
      <c r="K123" s="108">
        <f>U123</f>
        <v>1622</v>
      </c>
      <c r="L123" s="23"/>
      <c r="M123" s="23"/>
      <c r="N123" s="23"/>
      <c r="O123" s="23"/>
      <c r="P123" s="23"/>
      <c r="Q123" s="23"/>
      <c r="R123" s="23"/>
      <c r="S123" s="23"/>
      <c r="T123" s="23">
        <f>ROUND(Source!AC64*Source!AW64*Source!I64,0)</f>
        <v>31</v>
      </c>
      <c r="U123" s="23">
        <f>Source!P65</f>
        <v>1622</v>
      </c>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v>1</v>
      </c>
      <c r="CW123" s="23"/>
      <c r="CX123" s="23"/>
      <c r="CY123" s="23"/>
      <c r="CZ123" s="23"/>
      <c r="DA123" s="23"/>
      <c r="DB123" s="23"/>
      <c r="DC123" s="23"/>
      <c r="DD123" s="23"/>
      <c r="DE123" s="23"/>
      <c r="DF123" s="23"/>
      <c r="DG123" s="23"/>
      <c r="DH123" s="23"/>
      <c r="DI123" s="23"/>
      <c r="DJ123" s="23"/>
      <c r="DK123" s="23">
        <f>T123</f>
        <v>31</v>
      </c>
      <c r="DL123" s="23"/>
      <c r="DM123" s="23">
        <f>Source!P65</f>
        <v>1622</v>
      </c>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f>T123</f>
        <v>31</v>
      </c>
      <c r="GK123" s="23"/>
      <c r="GL123" s="23"/>
      <c r="GM123" s="23"/>
      <c r="GN123" s="23">
        <f>T123</f>
        <v>31</v>
      </c>
      <c r="GO123" s="23"/>
      <c r="GP123" s="23">
        <f>T123</f>
        <v>31</v>
      </c>
      <c r="GQ123" s="23">
        <f>T123</f>
        <v>31</v>
      </c>
      <c r="GR123" s="23"/>
      <c r="GS123" s="23">
        <f>T123</f>
        <v>31</v>
      </c>
      <c r="GT123" s="23"/>
      <c r="GU123" s="23"/>
      <c r="GV123" s="23"/>
      <c r="GW123" s="23"/>
      <c r="GX123" s="23"/>
      <c r="GY123" s="23"/>
      <c r="GZ123" s="23"/>
      <c r="HA123" s="23"/>
      <c r="HB123" s="23">
        <f>T123</f>
        <v>31</v>
      </c>
      <c r="HC123" s="23"/>
      <c r="HD123" s="23"/>
      <c r="HE123" s="23"/>
      <c r="HF123" s="23">
        <f>T123</f>
        <v>31</v>
      </c>
      <c r="HG123" s="23"/>
      <c r="HH123" s="23"/>
      <c r="HI123" s="23"/>
      <c r="HJ123" s="23"/>
      <c r="HK123" s="23"/>
      <c r="HL123" s="23">
        <f>T123</f>
        <v>31</v>
      </c>
      <c r="HM123" s="23"/>
      <c r="HN123" s="23">
        <f>T123</f>
        <v>31</v>
      </c>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row>
    <row r="124" spans="1:255" x14ac:dyDescent="0.2">
      <c r="A124" s="64"/>
      <c r="B124" s="111" t="s">
        <v>864</v>
      </c>
      <c r="C124" s="111" t="s">
        <v>873</v>
      </c>
      <c r="D124" s="63"/>
      <c r="E124" s="63"/>
      <c r="F124" s="63"/>
      <c r="G124" s="63"/>
      <c r="H124" s="63"/>
      <c r="I124" s="63"/>
      <c r="J124" s="63"/>
      <c r="K124" s="65"/>
    </row>
    <row r="125" spans="1:255" ht="24" x14ac:dyDescent="0.2">
      <c r="A125" s="100" t="s">
        <v>126</v>
      </c>
      <c r="B125" s="109" t="s">
        <v>76</v>
      </c>
      <c r="C125" s="101" t="s">
        <v>77</v>
      </c>
      <c r="D125" s="102" t="s">
        <v>78</v>
      </c>
      <c r="E125" s="103">
        <f>Source!I67</f>
        <v>11.75</v>
      </c>
      <c r="F125" s="104">
        <v>87.58</v>
      </c>
      <c r="G125" s="105"/>
      <c r="H125" s="104">
        <f>Source!AC66</f>
        <v>87.58</v>
      </c>
      <c r="I125" s="106">
        <f>T125</f>
        <v>1029</v>
      </c>
      <c r="J125" s="107" t="s">
        <v>863</v>
      </c>
      <c r="K125" s="108">
        <f>U125</f>
        <v>4105</v>
      </c>
      <c r="L125" s="23"/>
      <c r="M125" s="23"/>
      <c r="N125" s="23"/>
      <c r="O125" s="23"/>
      <c r="P125" s="23"/>
      <c r="Q125" s="23"/>
      <c r="R125" s="23"/>
      <c r="S125" s="23"/>
      <c r="T125" s="23">
        <f>ROUND(Source!AC66*Source!AW66*Source!I66,0)</f>
        <v>1029</v>
      </c>
      <c r="U125" s="23">
        <f>Source!P67</f>
        <v>4105</v>
      </c>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v>1</v>
      </c>
      <c r="CW125" s="23"/>
      <c r="CX125" s="23"/>
      <c r="CY125" s="23"/>
      <c r="CZ125" s="23"/>
      <c r="DA125" s="23"/>
      <c r="DB125" s="23"/>
      <c r="DC125" s="23"/>
      <c r="DD125" s="23"/>
      <c r="DE125" s="23"/>
      <c r="DF125" s="23"/>
      <c r="DG125" s="23"/>
      <c r="DH125" s="23"/>
      <c r="DI125" s="23"/>
      <c r="DJ125" s="23"/>
      <c r="DK125" s="23">
        <f>T125</f>
        <v>1029</v>
      </c>
      <c r="DL125" s="23"/>
      <c r="DM125" s="23">
        <f>Source!P67</f>
        <v>4105</v>
      </c>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f>T125</f>
        <v>1029</v>
      </c>
      <c r="GK125" s="23"/>
      <c r="GL125" s="23"/>
      <c r="GM125" s="23"/>
      <c r="GN125" s="23">
        <f>T125</f>
        <v>1029</v>
      </c>
      <c r="GO125" s="23"/>
      <c r="GP125" s="23">
        <f>T125</f>
        <v>1029</v>
      </c>
      <c r="GQ125" s="23">
        <f>T125</f>
        <v>1029</v>
      </c>
      <c r="GR125" s="23"/>
      <c r="GS125" s="23">
        <f>T125</f>
        <v>1029</v>
      </c>
      <c r="GT125" s="23"/>
      <c r="GU125" s="23"/>
      <c r="GV125" s="23"/>
      <c r="GW125" s="23"/>
      <c r="GX125" s="23"/>
      <c r="GY125" s="23"/>
      <c r="GZ125" s="23"/>
      <c r="HA125" s="23"/>
      <c r="HB125" s="23">
        <f>T125</f>
        <v>1029</v>
      </c>
      <c r="HC125" s="23"/>
      <c r="HD125" s="23"/>
      <c r="HE125" s="23"/>
      <c r="HF125" s="23">
        <f>T125</f>
        <v>1029</v>
      </c>
      <c r="HG125" s="23"/>
      <c r="HH125" s="23"/>
      <c r="HI125" s="23"/>
      <c r="HJ125" s="23"/>
      <c r="HK125" s="23"/>
      <c r="HL125" s="23">
        <f>T125</f>
        <v>1029</v>
      </c>
      <c r="HM125" s="23"/>
      <c r="HN125" s="23">
        <f>T125</f>
        <v>1029</v>
      </c>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row>
    <row r="126" spans="1:255" x14ac:dyDescent="0.2">
      <c r="A126" s="64"/>
      <c r="B126" s="111" t="s">
        <v>864</v>
      </c>
      <c r="C126" s="111" t="s">
        <v>874</v>
      </c>
      <c r="D126" s="63"/>
      <c r="E126" s="63"/>
      <c r="F126" s="63"/>
      <c r="G126" s="63"/>
      <c r="H126" s="63"/>
      <c r="I126" s="63"/>
      <c r="J126" s="63"/>
      <c r="K126" s="65"/>
    </row>
    <row r="127" spans="1:255" ht="24" x14ac:dyDescent="0.2">
      <c r="A127" s="100" t="s">
        <v>127</v>
      </c>
      <c r="B127" s="109" t="s">
        <v>82</v>
      </c>
      <c r="C127" s="101" t="s">
        <v>83</v>
      </c>
      <c r="D127" s="102" t="s">
        <v>78</v>
      </c>
      <c r="E127" s="103">
        <f>Source!I69</f>
        <v>11.75</v>
      </c>
      <c r="F127" s="104">
        <v>56.57</v>
      </c>
      <c r="G127" s="105"/>
      <c r="H127" s="104">
        <f>Source!AC68</f>
        <v>56.57</v>
      </c>
      <c r="I127" s="106">
        <f>T127</f>
        <v>665</v>
      </c>
      <c r="J127" s="107" t="s">
        <v>863</v>
      </c>
      <c r="K127" s="108">
        <f>U127</f>
        <v>2684</v>
      </c>
      <c r="L127" s="23"/>
      <c r="M127" s="23"/>
      <c r="N127" s="23"/>
      <c r="O127" s="23"/>
      <c r="P127" s="23"/>
      <c r="Q127" s="23"/>
      <c r="R127" s="23"/>
      <c r="S127" s="23"/>
      <c r="T127" s="23">
        <f>ROUND(Source!AC68*Source!AW68*Source!I68,0)</f>
        <v>665</v>
      </c>
      <c r="U127" s="23">
        <f>Source!P69</f>
        <v>2684</v>
      </c>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v>1</v>
      </c>
      <c r="CW127" s="23"/>
      <c r="CX127" s="23"/>
      <c r="CY127" s="23"/>
      <c r="CZ127" s="23"/>
      <c r="DA127" s="23"/>
      <c r="DB127" s="23"/>
      <c r="DC127" s="23"/>
      <c r="DD127" s="23"/>
      <c r="DE127" s="23"/>
      <c r="DF127" s="23"/>
      <c r="DG127" s="23"/>
      <c r="DH127" s="23"/>
      <c r="DI127" s="23"/>
      <c r="DJ127" s="23"/>
      <c r="DK127" s="23">
        <f>T127</f>
        <v>665</v>
      </c>
      <c r="DL127" s="23"/>
      <c r="DM127" s="23">
        <f>Source!P69</f>
        <v>2684</v>
      </c>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f>T127</f>
        <v>665</v>
      </c>
      <c r="GK127" s="23"/>
      <c r="GL127" s="23"/>
      <c r="GM127" s="23"/>
      <c r="GN127" s="23">
        <f>T127</f>
        <v>665</v>
      </c>
      <c r="GO127" s="23"/>
      <c r="GP127" s="23">
        <f>T127</f>
        <v>665</v>
      </c>
      <c r="GQ127" s="23">
        <f>T127</f>
        <v>665</v>
      </c>
      <c r="GR127" s="23"/>
      <c r="GS127" s="23">
        <f>T127</f>
        <v>665</v>
      </c>
      <c r="GT127" s="23"/>
      <c r="GU127" s="23"/>
      <c r="GV127" s="23"/>
      <c r="GW127" s="23"/>
      <c r="GX127" s="23"/>
      <c r="GY127" s="23"/>
      <c r="GZ127" s="23"/>
      <c r="HA127" s="23"/>
      <c r="HB127" s="23">
        <f>T127</f>
        <v>665</v>
      </c>
      <c r="HC127" s="23"/>
      <c r="HD127" s="23"/>
      <c r="HE127" s="23"/>
      <c r="HF127" s="23">
        <f>T127</f>
        <v>665</v>
      </c>
      <c r="HG127" s="23"/>
      <c r="HH127" s="23"/>
      <c r="HI127" s="23"/>
      <c r="HJ127" s="23"/>
      <c r="HK127" s="23"/>
      <c r="HL127" s="23">
        <f>T127</f>
        <v>665</v>
      </c>
      <c r="HM127" s="23"/>
      <c r="HN127" s="23">
        <f>T127</f>
        <v>665</v>
      </c>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row>
    <row r="128" spans="1:255" x14ac:dyDescent="0.2">
      <c r="A128" s="64"/>
      <c r="B128" s="111" t="s">
        <v>864</v>
      </c>
      <c r="C128" s="111" t="s">
        <v>875</v>
      </c>
      <c r="D128" s="63"/>
      <c r="E128" s="63"/>
      <c r="F128" s="63"/>
      <c r="G128" s="63"/>
      <c r="H128" s="63"/>
      <c r="I128" s="63"/>
      <c r="J128" s="63"/>
      <c r="K128" s="65"/>
    </row>
    <row r="129" spans="1:255" ht="24" x14ac:dyDescent="0.2">
      <c r="A129" s="100" t="s">
        <v>128</v>
      </c>
      <c r="B129" s="109" t="s">
        <v>87</v>
      </c>
      <c r="C129" s="101" t="s">
        <v>88</v>
      </c>
      <c r="D129" s="102" t="s">
        <v>44</v>
      </c>
      <c r="E129" s="103">
        <f>Source!I71</f>
        <v>11.926250000000001</v>
      </c>
      <c r="F129" s="104">
        <v>878.79</v>
      </c>
      <c r="G129" s="105"/>
      <c r="H129" s="104">
        <f>Source!AC70</f>
        <v>878.79</v>
      </c>
      <c r="I129" s="106">
        <f>T129</f>
        <v>10481</v>
      </c>
      <c r="J129" s="107" t="s">
        <v>863</v>
      </c>
      <c r="K129" s="108">
        <f>U129</f>
        <v>87908</v>
      </c>
      <c r="L129" s="23"/>
      <c r="M129" s="23"/>
      <c r="N129" s="23"/>
      <c r="O129" s="23"/>
      <c r="P129" s="23"/>
      <c r="Q129" s="23"/>
      <c r="R129" s="23"/>
      <c r="S129" s="23"/>
      <c r="T129" s="23">
        <f>ROUND(Source!AC70*Source!AW70*Source!I70,0)</f>
        <v>10481</v>
      </c>
      <c r="U129" s="23">
        <f>Source!P71</f>
        <v>87908</v>
      </c>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v>1</v>
      </c>
      <c r="CW129" s="23"/>
      <c r="CX129" s="23"/>
      <c r="CY129" s="23"/>
      <c r="CZ129" s="23"/>
      <c r="DA129" s="23"/>
      <c r="DB129" s="23"/>
      <c r="DC129" s="23"/>
      <c r="DD129" s="23"/>
      <c r="DE129" s="23"/>
      <c r="DF129" s="23"/>
      <c r="DG129" s="23"/>
      <c r="DH129" s="23"/>
      <c r="DI129" s="23"/>
      <c r="DJ129" s="23"/>
      <c r="DK129" s="23">
        <f>T129</f>
        <v>10481</v>
      </c>
      <c r="DL129" s="23"/>
      <c r="DM129" s="23">
        <f>Source!P71</f>
        <v>87908</v>
      </c>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f>T129</f>
        <v>10481</v>
      </c>
      <c r="GK129" s="23"/>
      <c r="GL129" s="23"/>
      <c r="GM129" s="23"/>
      <c r="GN129" s="23">
        <f>T129</f>
        <v>10481</v>
      </c>
      <c r="GO129" s="23"/>
      <c r="GP129" s="23">
        <f>T129</f>
        <v>10481</v>
      </c>
      <c r="GQ129" s="23">
        <f>T129</f>
        <v>10481</v>
      </c>
      <c r="GR129" s="23"/>
      <c r="GS129" s="23">
        <f>T129</f>
        <v>10481</v>
      </c>
      <c r="GT129" s="23"/>
      <c r="GU129" s="23"/>
      <c r="GV129" s="23"/>
      <c r="GW129" s="23"/>
      <c r="GX129" s="23"/>
      <c r="GY129" s="23"/>
      <c r="GZ129" s="23"/>
      <c r="HA129" s="23"/>
      <c r="HB129" s="23">
        <f>T129</f>
        <v>10481</v>
      </c>
      <c r="HC129" s="23"/>
      <c r="HD129" s="23"/>
      <c r="HE129" s="23"/>
      <c r="HF129" s="23">
        <f>T129</f>
        <v>10481</v>
      </c>
      <c r="HG129" s="23"/>
      <c r="HH129" s="23"/>
      <c r="HI129" s="23"/>
      <c r="HJ129" s="23"/>
      <c r="HK129" s="23"/>
      <c r="HL129" s="23">
        <f>T129</f>
        <v>10481</v>
      </c>
      <c r="HM129" s="23"/>
      <c r="HN129" s="23">
        <f>T129</f>
        <v>10481</v>
      </c>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row>
    <row r="130" spans="1:255" x14ac:dyDescent="0.2">
      <c r="A130" s="64"/>
      <c r="B130" s="111" t="s">
        <v>864</v>
      </c>
      <c r="C130" s="111" t="s">
        <v>876</v>
      </c>
      <c r="D130" s="63"/>
      <c r="E130" s="63"/>
      <c r="F130" s="63"/>
      <c r="G130" s="63"/>
      <c r="H130" s="63"/>
      <c r="I130" s="63"/>
      <c r="J130" s="63"/>
      <c r="K130" s="65"/>
    </row>
    <row r="131" spans="1:255" x14ac:dyDescent="0.2">
      <c r="A131" s="100" t="s">
        <v>129</v>
      </c>
      <c r="B131" s="109" t="s">
        <v>92</v>
      </c>
      <c r="C131" s="101" t="s">
        <v>93</v>
      </c>
      <c r="D131" s="102" t="s">
        <v>94</v>
      </c>
      <c r="E131" s="103">
        <f>Source!I73</f>
        <v>23.774550000000001</v>
      </c>
      <c r="F131" s="104">
        <v>4.6900000000000004</v>
      </c>
      <c r="G131" s="105"/>
      <c r="H131" s="104">
        <f>Source!AC72</f>
        <v>4.6900000000000004</v>
      </c>
      <c r="I131" s="106">
        <f>T131</f>
        <v>112</v>
      </c>
      <c r="J131" s="107" t="s">
        <v>863</v>
      </c>
      <c r="K131" s="108">
        <f>U131</f>
        <v>769</v>
      </c>
      <c r="L131" s="23"/>
      <c r="M131" s="23"/>
      <c r="N131" s="23"/>
      <c r="O131" s="23"/>
      <c r="P131" s="23"/>
      <c r="Q131" s="23"/>
      <c r="R131" s="23"/>
      <c r="S131" s="23"/>
      <c r="T131" s="23">
        <f>ROUND(Source!AC72*Source!AW72*Source!I72,0)</f>
        <v>112</v>
      </c>
      <c r="U131" s="23">
        <f>Source!P73</f>
        <v>769</v>
      </c>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v>2</v>
      </c>
      <c r="CW131" s="23"/>
      <c r="CX131" s="23"/>
      <c r="CY131" s="23"/>
      <c r="CZ131" s="23"/>
      <c r="DA131" s="23"/>
      <c r="DB131" s="23"/>
      <c r="DC131" s="23"/>
      <c r="DD131" s="23"/>
      <c r="DE131" s="23"/>
      <c r="DF131" s="23"/>
      <c r="DG131" s="23"/>
      <c r="DH131" s="23"/>
      <c r="DI131" s="23"/>
      <c r="DJ131" s="23"/>
      <c r="DK131" s="23">
        <f>T131</f>
        <v>112</v>
      </c>
      <c r="DL131" s="23"/>
      <c r="DM131" s="23">
        <f>Source!P73</f>
        <v>769</v>
      </c>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f>T131</f>
        <v>112</v>
      </c>
      <c r="GK131" s="23"/>
      <c r="GL131" s="23"/>
      <c r="GM131" s="23"/>
      <c r="GN131" s="23">
        <f>T131</f>
        <v>112</v>
      </c>
      <c r="GO131" s="23"/>
      <c r="GP131" s="23">
        <f>T131</f>
        <v>112</v>
      </c>
      <c r="GQ131" s="23">
        <f>T131</f>
        <v>112</v>
      </c>
      <c r="GR131" s="23"/>
      <c r="GS131" s="23">
        <f>T131</f>
        <v>112</v>
      </c>
      <c r="GT131" s="23"/>
      <c r="GU131" s="23"/>
      <c r="GV131" s="23"/>
      <c r="GW131" s="23"/>
      <c r="GX131" s="23"/>
      <c r="GY131" s="23"/>
      <c r="GZ131" s="23"/>
      <c r="HA131" s="23"/>
      <c r="HB131" s="23"/>
      <c r="HC131" s="23">
        <f>T131</f>
        <v>112</v>
      </c>
      <c r="HD131" s="23"/>
      <c r="HE131" s="23"/>
      <c r="HF131" s="23">
        <f>T131</f>
        <v>112</v>
      </c>
      <c r="HG131" s="23"/>
      <c r="HH131" s="23"/>
      <c r="HI131" s="23"/>
      <c r="HJ131" s="23"/>
      <c r="HK131" s="23"/>
      <c r="HL131" s="23">
        <f>T131</f>
        <v>112</v>
      </c>
      <c r="HM131" s="23"/>
      <c r="HN131" s="23"/>
      <c r="HO131" s="23"/>
      <c r="HP131" s="23">
        <f>T131</f>
        <v>112</v>
      </c>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row>
    <row r="132" spans="1:255" x14ac:dyDescent="0.2">
      <c r="A132" s="64"/>
      <c r="B132" s="111" t="s">
        <v>864</v>
      </c>
      <c r="C132" s="111" t="s">
        <v>877</v>
      </c>
      <c r="D132" s="63"/>
      <c r="E132" s="63"/>
      <c r="F132" s="63"/>
      <c r="G132" s="63"/>
      <c r="H132" s="63"/>
      <c r="I132" s="63"/>
      <c r="J132" s="63"/>
      <c r="K132" s="65"/>
    </row>
    <row r="133" spans="1:255" x14ac:dyDescent="0.2">
      <c r="A133" s="100" t="s">
        <v>130</v>
      </c>
      <c r="B133" s="109" t="s">
        <v>101</v>
      </c>
      <c r="C133" s="101" t="s">
        <v>102</v>
      </c>
      <c r="D133" s="102" t="s">
        <v>103</v>
      </c>
      <c r="E133" s="103">
        <f>Source!I75</f>
        <v>101.4875</v>
      </c>
      <c r="F133" s="104">
        <v>0.24</v>
      </c>
      <c r="G133" s="105"/>
      <c r="H133" s="104">
        <f>Source!AC74</f>
        <v>0.24</v>
      </c>
      <c r="I133" s="106">
        <f>T133</f>
        <v>24</v>
      </c>
      <c r="J133" s="107" t="s">
        <v>863</v>
      </c>
      <c r="K133" s="108">
        <f>U133</f>
        <v>123</v>
      </c>
      <c r="L133" s="23"/>
      <c r="M133" s="23"/>
      <c r="N133" s="23"/>
      <c r="O133" s="23"/>
      <c r="P133" s="23"/>
      <c r="Q133" s="23"/>
      <c r="R133" s="23"/>
      <c r="S133" s="23"/>
      <c r="T133" s="23">
        <f>ROUND(Source!AC74*Source!AW74*Source!I74,0)</f>
        <v>24</v>
      </c>
      <c r="U133" s="23">
        <f>Source!P75</f>
        <v>123</v>
      </c>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v>1</v>
      </c>
      <c r="CW133" s="23"/>
      <c r="CX133" s="23"/>
      <c r="CY133" s="23"/>
      <c r="CZ133" s="23"/>
      <c r="DA133" s="23"/>
      <c r="DB133" s="23"/>
      <c r="DC133" s="23"/>
      <c r="DD133" s="23"/>
      <c r="DE133" s="23"/>
      <c r="DF133" s="23"/>
      <c r="DG133" s="23"/>
      <c r="DH133" s="23"/>
      <c r="DI133" s="23"/>
      <c r="DJ133" s="23"/>
      <c r="DK133" s="23">
        <f>T133</f>
        <v>24</v>
      </c>
      <c r="DL133" s="23"/>
      <c r="DM133" s="23">
        <f>Source!P75</f>
        <v>123</v>
      </c>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f>T133</f>
        <v>24</v>
      </c>
      <c r="GK133" s="23"/>
      <c r="GL133" s="23"/>
      <c r="GM133" s="23"/>
      <c r="GN133" s="23">
        <f>T133</f>
        <v>24</v>
      </c>
      <c r="GO133" s="23"/>
      <c r="GP133" s="23">
        <f>T133</f>
        <v>24</v>
      </c>
      <c r="GQ133" s="23">
        <f>T133</f>
        <v>24</v>
      </c>
      <c r="GR133" s="23"/>
      <c r="GS133" s="23">
        <f>T133</f>
        <v>24</v>
      </c>
      <c r="GT133" s="23"/>
      <c r="GU133" s="23"/>
      <c r="GV133" s="23"/>
      <c r="GW133" s="23"/>
      <c r="GX133" s="23"/>
      <c r="GY133" s="23"/>
      <c r="GZ133" s="23"/>
      <c r="HA133" s="23"/>
      <c r="HB133" s="23">
        <f>T133</f>
        <v>24</v>
      </c>
      <c r="HC133" s="23"/>
      <c r="HD133" s="23"/>
      <c r="HE133" s="23"/>
      <c r="HF133" s="23">
        <f>T133</f>
        <v>24</v>
      </c>
      <c r="HG133" s="23"/>
      <c r="HH133" s="23"/>
      <c r="HI133" s="23"/>
      <c r="HJ133" s="23"/>
      <c r="HK133" s="23"/>
      <c r="HL133" s="23">
        <f>T133</f>
        <v>24</v>
      </c>
      <c r="HM133" s="23"/>
      <c r="HN133" s="23">
        <f>T133</f>
        <v>24</v>
      </c>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row>
    <row r="134" spans="1:255" x14ac:dyDescent="0.2">
      <c r="A134" s="64"/>
      <c r="B134" s="111" t="s">
        <v>864</v>
      </c>
      <c r="C134" s="111" t="s">
        <v>878</v>
      </c>
      <c r="D134" s="63"/>
      <c r="E134" s="63"/>
      <c r="F134" s="63"/>
      <c r="G134" s="63"/>
      <c r="H134" s="63"/>
      <c r="I134" s="63"/>
      <c r="J134" s="63"/>
      <c r="K134" s="65"/>
    </row>
    <row r="135" spans="1:255" x14ac:dyDescent="0.2">
      <c r="A135" s="100" t="s">
        <v>131</v>
      </c>
      <c r="B135" s="109" t="s">
        <v>107</v>
      </c>
      <c r="C135" s="101" t="s">
        <v>108</v>
      </c>
      <c r="D135" s="102" t="s">
        <v>103</v>
      </c>
      <c r="E135" s="103">
        <f>Source!I77</f>
        <v>52.95</v>
      </c>
      <c r="F135" s="104">
        <v>0.24</v>
      </c>
      <c r="G135" s="105"/>
      <c r="H135" s="104">
        <f>Source!AC76</f>
        <v>0.24</v>
      </c>
      <c r="I135" s="106">
        <f>T135</f>
        <v>13</v>
      </c>
      <c r="J135" s="107" t="s">
        <v>863</v>
      </c>
      <c r="K135" s="108">
        <f>U135</f>
        <v>32</v>
      </c>
      <c r="L135" s="23"/>
      <c r="M135" s="23"/>
      <c r="N135" s="23"/>
      <c r="O135" s="23"/>
      <c r="P135" s="23"/>
      <c r="Q135" s="23"/>
      <c r="R135" s="23"/>
      <c r="S135" s="23"/>
      <c r="T135" s="23">
        <f>ROUND(Source!AC76*Source!AW76*Source!I76,0)</f>
        <v>13</v>
      </c>
      <c r="U135" s="23">
        <f>Source!P77</f>
        <v>32</v>
      </c>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v>1</v>
      </c>
      <c r="CW135" s="23"/>
      <c r="CX135" s="23"/>
      <c r="CY135" s="23"/>
      <c r="CZ135" s="23"/>
      <c r="DA135" s="23"/>
      <c r="DB135" s="23"/>
      <c r="DC135" s="23"/>
      <c r="DD135" s="23"/>
      <c r="DE135" s="23"/>
      <c r="DF135" s="23"/>
      <c r="DG135" s="23"/>
      <c r="DH135" s="23"/>
      <c r="DI135" s="23"/>
      <c r="DJ135" s="23"/>
      <c r="DK135" s="23">
        <f>T135</f>
        <v>13</v>
      </c>
      <c r="DL135" s="23"/>
      <c r="DM135" s="23">
        <f>Source!P77</f>
        <v>32</v>
      </c>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f>T135</f>
        <v>13</v>
      </c>
      <c r="GK135" s="23"/>
      <c r="GL135" s="23"/>
      <c r="GM135" s="23"/>
      <c r="GN135" s="23">
        <f>T135</f>
        <v>13</v>
      </c>
      <c r="GO135" s="23"/>
      <c r="GP135" s="23">
        <f>T135</f>
        <v>13</v>
      </c>
      <c r="GQ135" s="23">
        <f>T135</f>
        <v>13</v>
      </c>
      <c r="GR135" s="23"/>
      <c r="GS135" s="23">
        <f>T135</f>
        <v>13</v>
      </c>
      <c r="GT135" s="23"/>
      <c r="GU135" s="23"/>
      <c r="GV135" s="23"/>
      <c r="GW135" s="23"/>
      <c r="GX135" s="23"/>
      <c r="GY135" s="23"/>
      <c r="GZ135" s="23"/>
      <c r="HA135" s="23"/>
      <c r="HB135" s="23">
        <f>T135</f>
        <v>13</v>
      </c>
      <c r="HC135" s="23"/>
      <c r="HD135" s="23"/>
      <c r="HE135" s="23"/>
      <c r="HF135" s="23">
        <f>T135</f>
        <v>13</v>
      </c>
      <c r="HG135" s="23"/>
      <c r="HH135" s="23"/>
      <c r="HI135" s="23"/>
      <c r="HJ135" s="23"/>
      <c r="HK135" s="23"/>
      <c r="HL135" s="23">
        <f>T135</f>
        <v>13</v>
      </c>
      <c r="HM135" s="23"/>
      <c r="HN135" s="23">
        <f>T135</f>
        <v>13</v>
      </c>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row>
    <row r="136" spans="1:255" x14ac:dyDescent="0.2">
      <c r="A136" s="64"/>
      <c r="B136" s="111" t="s">
        <v>864</v>
      </c>
      <c r="C136" s="111" t="s">
        <v>879</v>
      </c>
      <c r="D136" s="63"/>
      <c r="E136" s="63"/>
      <c r="F136" s="63"/>
      <c r="G136" s="63"/>
      <c r="H136" s="63"/>
      <c r="I136" s="63"/>
      <c r="J136" s="63"/>
      <c r="K136" s="65"/>
    </row>
    <row r="137" spans="1:255" x14ac:dyDescent="0.2">
      <c r="A137" s="100" t="s">
        <v>132</v>
      </c>
      <c r="B137" s="109" t="s">
        <v>112</v>
      </c>
      <c r="C137" s="101" t="s">
        <v>113</v>
      </c>
      <c r="D137" s="102" t="s">
        <v>103</v>
      </c>
      <c r="E137" s="103">
        <f>Source!I79</f>
        <v>52.95</v>
      </c>
      <c r="F137" s="104">
        <v>0.3</v>
      </c>
      <c r="G137" s="105"/>
      <c r="H137" s="104">
        <f>Source!AC78</f>
        <v>0.3</v>
      </c>
      <c r="I137" s="106">
        <f>T137</f>
        <v>16</v>
      </c>
      <c r="J137" s="107" t="s">
        <v>863</v>
      </c>
      <c r="K137" s="108">
        <f>U137</f>
        <v>56</v>
      </c>
      <c r="L137" s="23"/>
      <c r="M137" s="23"/>
      <c r="N137" s="23"/>
      <c r="O137" s="23"/>
      <c r="P137" s="23"/>
      <c r="Q137" s="23"/>
      <c r="R137" s="23"/>
      <c r="S137" s="23"/>
      <c r="T137" s="23">
        <f>ROUND(Source!AC78*Source!AW78*Source!I78,0)</f>
        <v>16</v>
      </c>
      <c r="U137" s="23">
        <f>Source!P79</f>
        <v>56</v>
      </c>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v>1</v>
      </c>
      <c r="CW137" s="23"/>
      <c r="CX137" s="23"/>
      <c r="CY137" s="23"/>
      <c r="CZ137" s="23"/>
      <c r="DA137" s="23"/>
      <c r="DB137" s="23"/>
      <c r="DC137" s="23"/>
      <c r="DD137" s="23"/>
      <c r="DE137" s="23"/>
      <c r="DF137" s="23"/>
      <c r="DG137" s="23"/>
      <c r="DH137" s="23"/>
      <c r="DI137" s="23"/>
      <c r="DJ137" s="23"/>
      <c r="DK137" s="23">
        <f>T137</f>
        <v>16</v>
      </c>
      <c r="DL137" s="23"/>
      <c r="DM137" s="23">
        <f>Source!P79</f>
        <v>56</v>
      </c>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f>T137</f>
        <v>16</v>
      </c>
      <c r="GK137" s="23"/>
      <c r="GL137" s="23"/>
      <c r="GM137" s="23"/>
      <c r="GN137" s="23">
        <f>T137</f>
        <v>16</v>
      </c>
      <c r="GO137" s="23"/>
      <c r="GP137" s="23">
        <f>T137</f>
        <v>16</v>
      </c>
      <c r="GQ137" s="23">
        <f>T137</f>
        <v>16</v>
      </c>
      <c r="GR137" s="23"/>
      <c r="GS137" s="23">
        <f>T137</f>
        <v>16</v>
      </c>
      <c r="GT137" s="23"/>
      <c r="GU137" s="23"/>
      <c r="GV137" s="23"/>
      <c r="GW137" s="23"/>
      <c r="GX137" s="23"/>
      <c r="GY137" s="23"/>
      <c r="GZ137" s="23"/>
      <c r="HA137" s="23"/>
      <c r="HB137" s="23">
        <f>T137</f>
        <v>16</v>
      </c>
      <c r="HC137" s="23"/>
      <c r="HD137" s="23"/>
      <c r="HE137" s="23"/>
      <c r="HF137" s="23">
        <f>T137</f>
        <v>16</v>
      </c>
      <c r="HG137" s="23"/>
      <c r="HH137" s="23"/>
      <c r="HI137" s="23"/>
      <c r="HJ137" s="23"/>
      <c r="HK137" s="23"/>
      <c r="HL137" s="23">
        <f>T137</f>
        <v>16</v>
      </c>
      <c r="HM137" s="23"/>
      <c r="HN137" s="23">
        <f>T137</f>
        <v>16</v>
      </c>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row>
    <row r="138" spans="1:255" x14ac:dyDescent="0.2">
      <c r="A138" s="64"/>
      <c r="B138" s="111" t="s">
        <v>864</v>
      </c>
      <c r="C138" s="111" t="s">
        <v>880</v>
      </c>
      <c r="D138" s="63"/>
      <c r="E138" s="63"/>
      <c r="F138" s="63"/>
      <c r="G138" s="63"/>
      <c r="H138" s="63"/>
      <c r="I138" s="63"/>
      <c r="J138" s="63"/>
      <c r="K138" s="65"/>
    </row>
    <row r="139" spans="1:255" ht="24" x14ac:dyDescent="0.2">
      <c r="A139" s="114" t="s">
        <v>133</v>
      </c>
      <c r="B139" s="115" t="s">
        <v>117</v>
      </c>
      <c r="C139" s="116" t="s">
        <v>118</v>
      </c>
      <c r="D139" s="117" t="s">
        <v>33</v>
      </c>
      <c r="E139" s="118">
        <f>Source!I81</f>
        <v>4.1962500000000003E-3</v>
      </c>
      <c r="F139" s="119">
        <v>10633.86</v>
      </c>
      <c r="G139" s="71"/>
      <c r="H139" s="119">
        <f>Source!AC80</f>
        <v>10633.86</v>
      </c>
      <c r="I139" s="120">
        <f>T139</f>
        <v>45</v>
      </c>
      <c r="J139" s="73" t="s">
        <v>863</v>
      </c>
      <c r="K139" s="121">
        <f>U139</f>
        <v>353</v>
      </c>
      <c r="L139" s="23"/>
      <c r="M139" s="23"/>
      <c r="N139" s="23"/>
      <c r="O139" s="23"/>
      <c r="P139" s="23"/>
      <c r="Q139" s="23"/>
      <c r="R139" s="23"/>
      <c r="S139" s="23"/>
      <c r="T139" s="23">
        <f>ROUND(Source!AC80*Source!AW80*Source!I80,0)</f>
        <v>45</v>
      </c>
      <c r="U139" s="23">
        <f>Source!P81</f>
        <v>353</v>
      </c>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v>1</v>
      </c>
      <c r="CW139" s="23"/>
      <c r="CX139" s="23"/>
      <c r="CY139" s="23"/>
      <c r="CZ139" s="23"/>
      <c r="DA139" s="23"/>
      <c r="DB139" s="23"/>
      <c r="DC139" s="23"/>
      <c r="DD139" s="23"/>
      <c r="DE139" s="23"/>
      <c r="DF139" s="23"/>
      <c r="DG139" s="23"/>
      <c r="DH139" s="23"/>
      <c r="DI139" s="23"/>
      <c r="DJ139" s="23"/>
      <c r="DK139" s="23">
        <f>T139</f>
        <v>45</v>
      </c>
      <c r="DL139" s="23"/>
      <c r="DM139" s="23">
        <f>Source!P81</f>
        <v>353</v>
      </c>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f>T139</f>
        <v>45</v>
      </c>
      <c r="GK139" s="23"/>
      <c r="GL139" s="23"/>
      <c r="GM139" s="23"/>
      <c r="GN139" s="23">
        <f>T139</f>
        <v>45</v>
      </c>
      <c r="GO139" s="23"/>
      <c r="GP139" s="23">
        <f>T139</f>
        <v>45</v>
      </c>
      <c r="GQ139" s="23">
        <f>T139</f>
        <v>45</v>
      </c>
      <c r="GR139" s="23"/>
      <c r="GS139" s="23">
        <f>T139</f>
        <v>45</v>
      </c>
      <c r="GT139" s="23"/>
      <c r="GU139" s="23"/>
      <c r="GV139" s="23"/>
      <c r="GW139" s="23"/>
      <c r="GX139" s="23"/>
      <c r="GY139" s="23"/>
      <c r="GZ139" s="23"/>
      <c r="HA139" s="23"/>
      <c r="HB139" s="23">
        <f>T139</f>
        <v>45</v>
      </c>
      <c r="HC139" s="23"/>
      <c r="HD139" s="23"/>
      <c r="HE139" s="23"/>
      <c r="HF139" s="23">
        <f>T139</f>
        <v>45</v>
      </c>
      <c r="HG139" s="23"/>
      <c r="HH139" s="23"/>
      <c r="HI139" s="23"/>
      <c r="HJ139" s="23"/>
      <c r="HK139" s="23"/>
      <c r="HL139" s="23">
        <f>T139</f>
        <v>45</v>
      </c>
      <c r="HM139" s="23"/>
      <c r="HN139" s="23">
        <f>T139</f>
        <v>45</v>
      </c>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row>
    <row r="140" spans="1:255" x14ac:dyDescent="0.2">
      <c r="A140" s="98"/>
      <c r="B140" s="113" t="s">
        <v>864</v>
      </c>
      <c r="C140" s="113" t="s">
        <v>881</v>
      </c>
      <c r="D140" s="33"/>
      <c r="E140" s="33"/>
      <c r="F140" s="33"/>
      <c r="G140" s="33"/>
      <c r="H140" s="33"/>
      <c r="I140" s="33"/>
      <c r="J140" s="33"/>
      <c r="K140" s="99"/>
    </row>
    <row r="141" spans="1:255" ht="13.5" thickBot="1" x14ac:dyDescent="0.25">
      <c r="A141" s="124"/>
      <c r="B141" s="125"/>
      <c r="C141" s="125" t="s">
        <v>867</v>
      </c>
      <c r="D141" s="125"/>
      <c r="E141" s="125"/>
      <c r="F141" s="125"/>
      <c r="G141" s="125"/>
      <c r="H141" s="380">
        <f>SUM(DK116:DK140)</f>
        <v>12416</v>
      </c>
      <c r="I141" s="381"/>
      <c r="J141" s="380">
        <f>SUM(DM116:DM140)</f>
        <v>97652</v>
      </c>
      <c r="K141" s="382"/>
      <c r="L141" s="112"/>
      <c r="M141" s="112"/>
      <c r="N141" s="11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row>
    <row r="142" spans="1:255" x14ac:dyDescent="0.2">
      <c r="A142" s="123"/>
      <c r="B142" s="122"/>
      <c r="C142" s="122" t="s">
        <v>868</v>
      </c>
      <c r="D142" s="122"/>
      <c r="E142" s="122"/>
      <c r="F142" s="122"/>
      <c r="G142" s="122"/>
      <c r="H142" s="383">
        <f>R142</f>
        <v>14401</v>
      </c>
      <c r="I142" s="384"/>
      <c r="J142" s="383" t="e">
        <f>S142</f>
        <v>#REF!</v>
      </c>
      <c r="K142" s="385"/>
      <c r="O142" s="23"/>
      <c r="P142" s="23"/>
      <c r="Q142" s="23"/>
      <c r="R142" s="23">
        <f>SUM(T116:T141)</f>
        <v>14401</v>
      </c>
      <c r="S142" s="23" t="e">
        <f>SUM(U116:U141)</f>
        <v>#REF!</v>
      </c>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f>R142</f>
        <v>14401</v>
      </c>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row>
    <row r="143" spans="1:255" x14ac:dyDescent="0.2">
      <c r="A143" s="77"/>
      <c r="B143" s="76"/>
      <c r="C143" s="76"/>
      <c r="D143" s="76"/>
      <c r="E143" s="76"/>
      <c r="F143" s="76"/>
      <c r="G143" s="76"/>
      <c r="H143" s="386"/>
      <c r="I143" s="387"/>
      <c r="J143" s="386"/>
      <c r="K143" s="388"/>
    </row>
    <row r="144" spans="1:255" ht="13.5" thickBot="1" x14ac:dyDescent="0.25">
      <c r="A144" s="135">
        <v>6</v>
      </c>
      <c r="B144" s="136" t="s">
        <v>135</v>
      </c>
      <c r="C144" s="137" t="s">
        <v>136</v>
      </c>
      <c r="D144" s="138" t="s">
        <v>137</v>
      </c>
      <c r="E144" s="139">
        <v>22.64</v>
      </c>
      <c r="F144" s="140">
        <v>105.9</v>
      </c>
      <c r="G144" s="141"/>
      <c r="H144" s="140">
        <f>Source!AD83</f>
        <v>105.9</v>
      </c>
      <c r="I144" s="142" t="e">
        <f>T144</f>
        <v>#REF!</v>
      </c>
      <c r="J144" s="143">
        <v>7.84</v>
      </c>
      <c r="K144" s="144" t="e">
        <f>U144</f>
        <v>#REF!</v>
      </c>
      <c r="L144" s="23"/>
      <c r="M144" s="23"/>
      <c r="N144" s="23"/>
      <c r="O144" s="23"/>
      <c r="P144" s="23"/>
      <c r="Q144" s="23"/>
      <c r="R144" s="23"/>
      <c r="S144" s="23"/>
      <c r="T144" s="23" t="e">
        <f>ROUND(Source!AD83*Source!AV83*Source!I83,0)</f>
        <v>#REF!</v>
      </c>
      <c r="U144" s="23" t="e">
        <f>Source!Q83</f>
        <v>#REF!</v>
      </c>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v>1</v>
      </c>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t="e">
        <f>T144</f>
        <v>#REF!</v>
      </c>
      <c r="GK144" s="23"/>
      <c r="GL144" s="23" t="e">
        <f>T144</f>
        <v>#REF!</v>
      </c>
      <c r="GM144" s="23"/>
      <c r="GN144" s="23"/>
      <c r="GO144" s="23"/>
      <c r="GP144" s="23"/>
      <c r="GQ144" s="23"/>
      <c r="GR144" s="23"/>
      <c r="GS144" s="23"/>
      <c r="GT144" s="23"/>
      <c r="GU144" s="23"/>
      <c r="GV144" s="23"/>
      <c r="GW144" s="23"/>
      <c r="GX144" s="23"/>
      <c r="GY144" s="23"/>
      <c r="GZ144" s="23"/>
      <c r="HA144" s="23"/>
      <c r="HB144" s="23" t="e">
        <f>T144</f>
        <v>#REF!</v>
      </c>
      <c r="HC144" s="23"/>
      <c r="HD144" s="23"/>
      <c r="HE144" s="23"/>
      <c r="HF144" s="23" t="e">
        <f>T144</f>
        <v>#REF!</v>
      </c>
      <c r="HG144" s="23"/>
      <c r="HH144" s="23"/>
      <c r="HI144" s="23"/>
      <c r="HJ144" s="23"/>
      <c r="HK144" s="23"/>
      <c r="HL144" s="23" t="e">
        <f>T144</f>
        <v>#REF!</v>
      </c>
      <c r="HM144" s="23"/>
      <c r="HN144" s="23" t="e">
        <f>T144</f>
        <v>#REF!</v>
      </c>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row>
    <row r="145" spans="1:255" x14ac:dyDescent="0.2">
      <c r="A145" s="123"/>
      <c r="B145" s="122"/>
      <c r="C145" s="122" t="s">
        <v>868</v>
      </c>
      <c r="D145" s="122"/>
      <c r="E145" s="122"/>
      <c r="F145" s="122"/>
      <c r="G145" s="122"/>
      <c r="H145" s="383" t="e">
        <f>R145</f>
        <v>#REF!</v>
      </c>
      <c r="I145" s="384"/>
      <c r="J145" s="383" t="e">
        <f>S145</f>
        <v>#REF!</v>
      </c>
      <c r="K145" s="385"/>
      <c r="O145" s="23"/>
      <c r="P145" s="23"/>
      <c r="Q145" s="23"/>
      <c r="R145" s="23" t="e">
        <f>SUM(T144:T144)</f>
        <v>#REF!</v>
      </c>
      <c r="S145" s="23" t="e">
        <f>SUM(U144:U144)</f>
        <v>#REF!</v>
      </c>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t="e">
        <f>R145</f>
        <v>#REF!</v>
      </c>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row>
    <row r="146" spans="1:255" ht="13.5" thickBot="1" x14ac:dyDescent="0.25">
      <c r="A146" s="77"/>
      <c r="B146" s="76"/>
      <c r="C146" s="76"/>
      <c r="D146" s="76"/>
      <c r="E146" s="76"/>
      <c r="F146" s="76"/>
      <c r="G146" s="76"/>
      <c r="H146" s="386"/>
      <c r="I146" s="387"/>
      <c r="J146" s="386"/>
      <c r="K146" s="388"/>
    </row>
    <row r="147" spans="1:255" x14ac:dyDescent="0.2">
      <c r="A147" s="145"/>
      <c r="B147" s="145"/>
      <c r="C147" s="146" t="s">
        <v>883</v>
      </c>
      <c r="D147" s="146"/>
      <c r="E147" s="146"/>
      <c r="F147" s="146"/>
      <c r="G147" s="146"/>
      <c r="H147" s="146"/>
      <c r="I147" s="147" t="e">
        <f>SUM(HA49:HA146)</f>
        <v>#REF!</v>
      </c>
      <c r="J147" s="146"/>
      <c r="K147" s="147" t="e">
        <f>Source!EJ85</f>
        <v>#REF!</v>
      </c>
      <c r="P147" s="23" t="e">
        <f>SUM(R49:R146)</f>
        <v>#REF!</v>
      </c>
      <c r="Q147" s="23" t="e">
        <f>SUM(S49:S146)</f>
        <v>#REF!</v>
      </c>
      <c r="R147" s="23"/>
      <c r="S147" s="23"/>
      <c r="T147" s="23"/>
      <c r="U147" s="23"/>
      <c r="V147" s="23"/>
      <c r="W147" s="23"/>
    </row>
    <row r="149" spans="1:255" x14ac:dyDescent="0.2">
      <c r="C149" s="149" t="s">
        <v>885</v>
      </c>
      <c r="D149" s="149"/>
      <c r="E149" s="149"/>
      <c r="F149" s="149"/>
      <c r="G149" s="149"/>
      <c r="H149" s="149"/>
      <c r="I149" s="149"/>
      <c r="J149" s="149"/>
      <c r="K149" s="149"/>
    </row>
    <row r="150" spans="1:255" x14ac:dyDescent="0.2">
      <c r="C150" s="13" t="s">
        <v>143</v>
      </c>
      <c r="D150" s="13"/>
      <c r="E150" s="13"/>
      <c r="F150" s="13"/>
      <c r="G150" s="13"/>
      <c r="H150" s="13"/>
      <c r="I150" s="150" t="e">
        <f>SUM(GK49:GK146)+SUM(GL49:GL146)+SUM(GQ49:GQ146)+SUM(IA49:IA146)+SUM(HK49:HK146)</f>
        <v>#REF!</v>
      </c>
      <c r="J150" s="13"/>
      <c r="K150" s="150" t="e">
        <f>Source!DK85+Source!DI85+Source!EO85+SUM(DB49:DB146)+SUM(DD49:DD146)</f>
        <v>#REF!</v>
      </c>
    </row>
    <row r="151" spans="1:255" hidden="1" x14ac:dyDescent="0.2">
      <c r="C151" s="151" t="s">
        <v>885</v>
      </c>
      <c r="D151" s="149"/>
      <c r="E151" s="149"/>
      <c r="F151" s="149"/>
      <c r="G151" s="149"/>
      <c r="H151" s="149"/>
      <c r="I151" s="149"/>
      <c r="J151" s="149"/>
      <c r="K151" s="149"/>
    </row>
    <row r="152" spans="1:255" hidden="1" x14ac:dyDescent="0.2">
      <c r="C152" s="153" t="s">
        <v>886</v>
      </c>
      <c r="D152" s="152"/>
      <c r="E152" s="152"/>
      <c r="F152" s="152"/>
      <c r="G152" s="152"/>
      <c r="H152" s="152"/>
      <c r="I152" s="154">
        <f>SUM(GK49:GK146)</f>
        <v>3033</v>
      </c>
      <c r="J152" s="152"/>
      <c r="K152" s="154" t="e">
        <f>Source!DK85</f>
        <v>#REF!</v>
      </c>
    </row>
    <row r="153" spans="1:255" hidden="1" x14ac:dyDescent="0.2">
      <c r="C153" s="155" t="s">
        <v>887</v>
      </c>
      <c r="D153" s="149"/>
      <c r="E153" s="149"/>
      <c r="F153" s="149"/>
      <c r="G153" s="149"/>
      <c r="H153" s="149"/>
      <c r="I153" s="149"/>
      <c r="J153" s="149"/>
      <c r="K153" s="149"/>
    </row>
    <row r="154" spans="1:255" hidden="1" x14ac:dyDescent="0.2">
      <c r="C154" s="156" t="s">
        <v>888</v>
      </c>
      <c r="D154" s="152"/>
      <c r="E154" s="152"/>
      <c r="F154" s="152"/>
      <c r="G154" s="152"/>
      <c r="H154" s="152"/>
      <c r="I154" s="154">
        <f>SUMIF(DH49:DH146,1001,GK49:GK146)</f>
        <v>0</v>
      </c>
      <c r="J154" s="152"/>
      <c r="K154" s="154">
        <f>SUMIF(DH49:DH146,1001,DG49:DG146)</f>
        <v>0</v>
      </c>
    </row>
    <row r="155" spans="1:255" hidden="1" x14ac:dyDescent="0.2">
      <c r="C155" s="156" t="s">
        <v>889</v>
      </c>
      <c r="D155" s="152"/>
      <c r="E155" s="152"/>
      <c r="F155" s="152"/>
      <c r="G155" s="152"/>
      <c r="H155" s="152"/>
      <c r="I155" s="154">
        <f>SUMIF(DH49:DH146,1002,GK49:GK146)</f>
        <v>0</v>
      </c>
      <c r="J155" s="152"/>
      <c r="K155" s="154">
        <f>SUMIF(DH49:DH146,1002,DG49:DG146)</f>
        <v>0</v>
      </c>
    </row>
    <row r="156" spans="1:255" hidden="1" x14ac:dyDescent="0.2">
      <c r="C156" s="156" t="s">
        <v>890</v>
      </c>
      <c r="D156" s="152"/>
      <c r="E156" s="152"/>
      <c r="F156" s="152"/>
      <c r="G156" s="152"/>
      <c r="H156" s="152"/>
      <c r="I156" s="154">
        <f>SUMIF(DH49:DH146,1003,GK49:GK146)</f>
        <v>1206</v>
      </c>
      <c r="J156" s="152"/>
      <c r="K156" s="154">
        <f>SUMIF(DH49:DH146,1003,DG49:DG146)</f>
        <v>43516</v>
      </c>
    </row>
    <row r="157" spans="1:255" hidden="1" x14ac:dyDescent="0.2">
      <c r="C157" s="156" t="s">
        <v>891</v>
      </c>
      <c r="D157" s="152"/>
      <c r="E157" s="152"/>
      <c r="F157" s="152"/>
      <c r="G157" s="152"/>
      <c r="H157" s="152"/>
      <c r="I157" s="154">
        <f>SUMIF(DH49:DH146,1004,GK49:GK146)</f>
        <v>0</v>
      </c>
      <c r="J157" s="152"/>
      <c r="K157" s="154">
        <f>SUMIF(DH49:DH146,1004,DG49:DG146)</f>
        <v>0</v>
      </c>
    </row>
    <row r="158" spans="1:255" hidden="1" x14ac:dyDescent="0.2">
      <c r="C158" s="156" t="s">
        <v>892</v>
      </c>
      <c r="D158" s="152"/>
      <c r="E158" s="152"/>
      <c r="F158" s="152"/>
      <c r="G158" s="152"/>
      <c r="H158" s="152"/>
      <c r="I158" s="154">
        <f>SUMIF(DH49:DH146,1005,GK49:GK146)</f>
        <v>0</v>
      </c>
      <c r="J158" s="152"/>
      <c r="K158" s="154">
        <f>SUMIF(DH49:DH146,1005,DG49:DG146)</f>
        <v>0</v>
      </c>
    </row>
    <row r="159" spans="1:255" hidden="1" x14ac:dyDescent="0.2">
      <c r="C159" s="156" t="s">
        <v>893</v>
      </c>
      <c r="D159" s="152"/>
      <c r="E159" s="152"/>
      <c r="F159" s="152"/>
      <c r="G159" s="152"/>
      <c r="H159" s="152"/>
      <c r="I159" s="154">
        <f>SUMIF(DH49:DH146,1006,GK49:GK146)</f>
        <v>0</v>
      </c>
      <c r="J159" s="152"/>
      <c r="K159" s="154">
        <f>SUMIF(DH49:DH146,1006,DG49:DG146)</f>
        <v>0</v>
      </c>
    </row>
    <row r="160" spans="1:255" hidden="1" x14ac:dyDescent="0.2">
      <c r="C160" s="156" t="s">
        <v>894</v>
      </c>
      <c r="D160" s="152"/>
      <c r="E160" s="152"/>
      <c r="F160" s="152"/>
      <c r="G160" s="152"/>
      <c r="H160" s="152"/>
      <c r="I160" s="154">
        <f>SUMIF(DH49:DH146,1007,GK49:GK146)</f>
        <v>0</v>
      </c>
      <c r="J160" s="152"/>
      <c r="K160" s="154">
        <f>SUMIF(DH49:DH146,1007,DG49:DG146)</f>
        <v>0</v>
      </c>
    </row>
    <row r="161" spans="3:11" hidden="1" x14ac:dyDescent="0.2">
      <c r="C161" s="156" t="s">
        <v>895</v>
      </c>
      <c r="D161" s="152"/>
      <c r="E161" s="152"/>
      <c r="F161" s="152"/>
      <c r="G161" s="152"/>
      <c r="H161" s="152"/>
      <c r="I161" s="154">
        <f>SUMIF(DH49:DH146,1008,GK49:GK146)</f>
        <v>0</v>
      </c>
      <c r="J161" s="152"/>
      <c r="K161" s="154">
        <f>SUMIF(DH49:DH146,1008,DG49:DG146)</f>
        <v>0</v>
      </c>
    </row>
    <row r="162" spans="3:11" hidden="1" x14ac:dyDescent="0.2">
      <c r="C162" s="156" t="s">
        <v>896</v>
      </c>
      <c r="D162" s="152"/>
      <c r="E162" s="152"/>
      <c r="F162" s="152"/>
      <c r="G162" s="152"/>
      <c r="H162" s="152"/>
      <c r="I162" s="154">
        <f>SUMIF(DH49:DH146,1009,GK49:GK146)</f>
        <v>0</v>
      </c>
      <c r="J162" s="152"/>
      <c r="K162" s="154">
        <f>SUMIF(DH49:DH146,1009,DG49:DG146)</f>
        <v>0</v>
      </c>
    </row>
    <row r="163" spans="3:11" hidden="1" x14ac:dyDescent="0.2">
      <c r="C163" s="156" t="s">
        <v>897</v>
      </c>
      <c r="D163" s="152"/>
      <c r="E163" s="152"/>
      <c r="F163" s="152"/>
      <c r="G163" s="152"/>
      <c r="H163" s="152"/>
      <c r="I163" s="154">
        <f>SUMIF(DH49:DH146,1010,GK49:GK146)</f>
        <v>0</v>
      </c>
      <c r="J163" s="152"/>
      <c r="K163" s="154">
        <f>SUMIF(DH49:DH146,1010,DG49:DG146)</f>
        <v>0</v>
      </c>
    </row>
    <row r="164" spans="3:11" hidden="1" x14ac:dyDescent="0.2">
      <c r="C164" s="156" t="s">
        <v>898</v>
      </c>
      <c r="D164" s="152"/>
      <c r="E164" s="152"/>
      <c r="F164" s="152"/>
      <c r="G164" s="152"/>
      <c r="H164" s="152"/>
      <c r="I164" s="154">
        <f>SUMIF(DH49:DH146,1011,GK49:GK146)</f>
        <v>0</v>
      </c>
      <c r="J164" s="152"/>
      <c r="K164" s="154">
        <f>SUMIF(DH49:DH146,1011,DG49:DG146)</f>
        <v>0</v>
      </c>
    </row>
    <row r="165" spans="3:11" hidden="1" x14ac:dyDescent="0.2">
      <c r="C165" s="156" t="s">
        <v>899</v>
      </c>
      <c r="D165" s="152"/>
      <c r="E165" s="152"/>
      <c r="F165" s="152"/>
      <c r="G165" s="152"/>
      <c r="H165" s="152"/>
      <c r="I165" s="154">
        <f>SUMIF(DH49:DH146,1012,GK49:GK146)</f>
        <v>0</v>
      </c>
      <c r="J165" s="152"/>
      <c r="K165" s="154">
        <f>SUMIF(DH49:DH146,1012,DG49:DG146)</f>
        <v>0</v>
      </c>
    </row>
    <row r="166" spans="3:11" hidden="1" x14ac:dyDescent="0.2">
      <c r="C166" s="156" t="s">
        <v>900</v>
      </c>
      <c r="D166" s="152"/>
      <c r="E166" s="152"/>
      <c r="F166" s="152"/>
      <c r="G166" s="152"/>
      <c r="H166" s="152"/>
      <c r="I166" s="154">
        <f>SUMIF(DH49:DH146,1013,GK49:GK146)</f>
        <v>0</v>
      </c>
      <c r="J166" s="152"/>
      <c r="K166" s="154">
        <f>SUMIF(DH49:DH146,1013,DG49:DG146)</f>
        <v>0</v>
      </c>
    </row>
    <row r="167" spans="3:11" hidden="1" x14ac:dyDescent="0.2">
      <c r="C167" s="156" t="s">
        <v>901</v>
      </c>
      <c r="D167" s="152"/>
      <c r="E167" s="152"/>
      <c r="F167" s="152"/>
      <c r="G167" s="152"/>
      <c r="H167" s="152"/>
      <c r="I167" s="154">
        <f>SUMIF(DH49:DH146,1014,GK49:GK146)</f>
        <v>0</v>
      </c>
      <c r="J167" s="152"/>
      <c r="K167" s="154">
        <f>SUMIF(DH49:DH146,1014,DG49:DG146)</f>
        <v>0</v>
      </c>
    </row>
    <row r="168" spans="3:11" hidden="1" x14ac:dyDescent="0.2">
      <c r="C168" s="156" t="s">
        <v>902</v>
      </c>
      <c r="D168" s="152"/>
      <c r="E168" s="152"/>
      <c r="F168" s="152"/>
      <c r="G168" s="152"/>
      <c r="H168" s="152"/>
      <c r="I168" s="154">
        <f>SUMIF(DH49:DH146,1015,GK49:GK146)</f>
        <v>1827</v>
      </c>
      <c r="J168" s="152"/>
      <c r="K168" s="154">
        <f>SUMIF(DH49:DH146,1015,DG49:DG146)</f>
        <v>46346</v>
      </c>
    </row>
    <row r="169" spans="3:11" hidden="1" x14ac:dyDescent="0.2">
      <c r="C169" s="156" t="s">
        <v>903</v>
      </c>
      <c r="D169" s="152"/>
      <c r="E169" s="152"/>
      <c r="F169" s="152"/>
      <c r="G169" s="152"/>
      <c r="H169" s="152"/>
      <c r="I169" s="154">
        <f>SUMIF(DH49:DH146,1,GK49:GK146)</f>
        <v>0</v>
      </c>
      <c r="J169" s="152"/>
      <c r="K169" s="154">
        <f>SUMIF(DH49:DH146,1,DG49:DG146)</f>
        <v>0</v>
      </c>
    </row>
    <row r="170" spans="3:11" hidden="1" x14ac:dyDescent="0.2">
      <c r="C170" s="158" t="s">
        <v>904</v>
      </c>
      <c r="D170" s="157"/>
      <c r="E170" s="157"/>
      <c r="F170" s="157"/>
      <c r="G170" s="157"/>
      <c r="H170" s="157"/>
      <c r="I170" s="159" t="e">
        <f>SUM(GL49:GL146)</f>
        <v>#REF!</v>
      </c>
      <c r="J170" s="157"/>
      <c r="K170" s="159" t="e">
        <f>Source!DI85</f>
        <v>#REF!</v>
      </c>
    </row>
    <row r="171" spans="3:11" hidden="1" x14ac:dyDescent="0.2">
      <c r="C171" s="155" t="s">
        <v>885</v>
      </c>
      <c r="D171" s="149"/>
      <c r="E171" s="149"/>
      <c r="F171" s="149"/>
      <c r="G171" s="149"/>
      <c r="H171" s="149"/>
      <c r="I171" s="149"/>
      <c r="J171" s="149"/>
      <c r="K171" s="149"/>
    </row>
    <row r="172" spans="3:11" hidden="1" x14ac:dyDescent="0.2">
      <c r="C172" s="160" t="s">
        <v>905</v>
      </c>
      <c r="D172" s="157"/>
      <c r="E172" s="157"/>
      <c r="F172" s="157"/>
      <c r="G172" s="157"/>
      <c r="H172" s="157"/>
      <c r="I172" s="159">
        <f>SUM(GM49:GM146)</f>
        <v>722</v>
      </c>
      <c r="J172" s="157"/>
      <c r="K172" s="159" t="e">
        <f>Source!DJ85</f>
        <v>#REF!</v>
      </c>
    </row>
    <row r="173" spans="3:11" hidden="1" x14ac:dyDescent="0.2">
      <c r="C173" s="161" t="s">
        <v>906</v>
      </c>
      <c r="D173" s="112"/>
      <c r="E173" s="112"/>
      <c r="F173" s="112"/>
      <c r="G173" s="112"/>
      <c r="H173" s="112"/>
      <c r="I173" s="162">
        <f>SUM(GQ49:GQ146)+SUM(IA49:IA146)</f>
        <v>32103</v>
      </c>
      <c r="J173" s="112"/>
      <c r="K173" s="162" t="e">
        <f>Source!EO85+SUM(DB49:DB146)</f>
        <v>#REF!</v>
      </c>
    </row>
    <row r="174" spans="3:11" hidden="1" x14ac:dyDescent="0.2">
      <c r="C174" s="163" t="s">
        <v>885</v>
      </c>
      <c r="D174" s="112"/>
      <c r="E174" s="112"/>
      <c r="F174" s="112"/>
      <c r="G174" s="112"/>
      <c r="H174" s="112"/>
      <c r="I174" s="162"/>
      <c r="J174" s="112"/>
      <c r="K174" s="162"/>
    </row>
    <row r="175" spans="3:11" hidden="1" x14ac:dyDescent="0.2">
      <c r="C175" s="164" t="s">
        <v>907</v>
      </c>
      <c r="D175" s="112"/>
      <c r="E175" s="112"/>
      <c r="F175" s="112"/>
      <c r="G175" s="112"/>
      <c r="H175" s="112"/>
      <c r="I175" s="162">
        <f>SUM(GQ49:GQ146)</f>
        <v>32103</v>
      </c>
      <c r="J175" s="112"/>
      <c r="K175" s="162" t="e">
        <f>Source!EO85</f>
        <v>#REF!</v>
      </c>
    </row>
    <row r="176" spans="3:11" hidden="1" x14ac:dyDescent="0.2">
      <c r="C176" s="165" t="s">
        <v>908</v>
      </c>
      <c r="D176" s="112"/>
      <c r="E176" s="112"/>
      <c r="F176" s="112"/>
      <c r="G176" s="112"/>
      <c r="H176" s="112"/>
      <c r="I176" s="162">
        <f>SUM(GR49:GR146)</f>
        <v>0</v>
      </c>
      <c r="J176" s="112"/>
      <c r="K176" s="162">
        <f>Source!EP85</f>
        <v>0</v>
      </c>
    </row>
    <row r="177" spans="1:11" hidden="1" x14ac:dyDescent="0.2">
      <c r="C177" s="165" t="s">
        <v>909</v>
      </c>
      <c r="D177" s="112"/>
      <c r="E177" s="112"/>
      <c r="F177" s="112"/>
      <c r="G177" s="112"/>
      <c r="H177" s="112"/>
      <c r="I177" s="162">
        <f>SUM(GS49:GS146)</f>
        <v>32103</v>
      </c>
      <c r="J177" s="112"/>
      <c r="K177" s="162" t="e">
        <f>Source!EQ85</f>
        <v>#REF!</v>
      </c>
    </row>
    <row r="178" spans="1:11" hidden="1" x14ac:dyDescent="0.2">
      <c r="C178" s="164" t="s">
        <v>910</v>
      </c>
      <c r="D178" s="112"/>
      <c r="E178" s="112"/>
      <c r="F178" s="112"/>
      <c r="G178" s="112"/>
      <c r="H178" s="112"/>
      <c r="I178" s="162">
        <f>SUM(IA49:IA146)</f>
        <v>0</v>
      </c>
      <c r="J178" s="112"/>
      <c r="K178" s="162">
        <f>SUM(DB49:DB146)</f>
        <v>0</v>
      </c>
    </row>
    <row r="179" spans="1:11" hidden="1" x14ac:dyDescent="0.2">
      <c r="C179" s="166" t="s">
        <v>911</v>
      </c>
      <c r="D179" s="148"/>
      <c r="E179" s="148"/>
      <c r="F179" s="148"/>
      <c r="G179" s="148"/>
      <c r="H179" s="148"/>
      <c r="I179" s="167">
        <f>SUM(HK49:HK146)</f>
        <v>0</v>
      </c>
      <c r="J179" s="148"/>
      <c r="K179" s="167">
        <f>SUM(DD49:DD146)</f>
        <v>0</v>
      </c>
    </row>
    <row r="181" spans="1:11" hidden="1" x14ac:dyDescent="0.2">
      <c r="C181" s="152" t="s">
        <v>912</v>
      </c>
      <c r="D181" s="152"/>
      <c r="E181" s="152"/>
      <c r="F181" s="152"/>
      <c r="G181" s="152"/>
      <c r="H181" s="152"/>
      <c r="I181" s="154">
        <f>SUM(GK49:GK146)+SUM(GM49:GM146)</f>
        <v>3755</v>
      </c>
      <c r="J181" s="152"/>
      <c r="K181" s="154" t="e">
        <f>Source!DK85+Source!DJ85</f>
        <v>#REF!</v>
      </c>
    </row>
    <row r="183" spans="1:11" x14ac:dyDescent="0.2">
      <c r="A183" s="168"/>
      <c r="B183" s="168"/>
      <c r="C183" s="168" t="s">
        <v>913</v>
      </c>
      <c r="D183" s="168"/>
      <c r="E183" s="168"/>
      <c r="F183" s="168"/>
      <c r="G183" s="168"/>
      <c r="H183" s="168"/>
      <c r="I183" s="169">
        <f>SUM(GY49:GY146)</f>
        <v>3511</v>
      </c>
      <c r="J183" s="168"/>
      <c r="K183" s="169" t="e">
        <f>Source!DP85</f>
        <v>#REF!</v>
      </c>
    </row>
    <row r="184" spans="1:11" x14ac:dyDescent="0.2">
      <c r="A184" s="168"/>
      <c r="B184" s="168"/>
      <c r="C184" s="168" t="s">
        <v>914</v>
      </c>
      <c r="D184" s="168"/>
      <c r="E184" s="168"/>
      <c r="F184" s="168"/>
      <c r="G184" s="168"/>
      <c r="H184" s="168"/>
      <c r="I184" s="169">
        <f>SUM(GZ49:GZ146)</f>
        <v>2577</v>
      </c>
      <c r="J184" s="168"/>
      <c r="K184" s="169" t="e">
        <f>Source!DQ85</f>
        <v>#REF!</v>
      </c>
    </row>
    <row r="186" spans="1:11" hidden="1" x14ac:dyDescent="0.2">
      <c r="C186" s="170" t="s">
        <v>915</v>
      </c>
      <c r="D186" s="170"/>
      <c r="E186" s="170"/>
      <c r="F186" s="170"/>
      <c r="G186" s="170"/>
      <c r="H186" s="170"/>
      <c r="I186" s="171">
        <f>SUM(GT49:GT146)+SUM(IB49:IB146)</f>
        <v>0</v>
      </c>
      <c r="J186" s="170"/>
      <c r="K186" s="171">
        <f>Source!EH85+SUM(DC49:DC146)</f>
        <v>0</v>
      </c>
    </row>
    <row r="187" spans="1:11" hidden="1" x14ac:dyDescent="0.2">
      <c r="C187" s="172" t="s">
        <v>885</v>
      </c>
      <c r="D187" s="173"/>
      <c r="E187" s="173"/>
      <c r="F187" s="173"/>
      <c r="G187" s="173"/>
      <c r="H187" s="173"/>
      <c r="I187" s="173"/>
      <c r="J187" s="173"/>
      <c r="K187" s="173"/>
    </row>
    <row r="188" spans="1:11" hidden="1" x14ac:dyDescent="0.2">
      <c r="C188" s="174" t="s">
        <v>916</v>
      </c>
      <c r="D188" s="170"/>
      <c r="E188" s="170"/>
      <c r="F188" s="170"/>
      <c r="G188" s="170"/>
      <c r="H188" s="170"/>
      <c r="I188" s="171">
        <f>SUM(GT49:GT146)</f>
        <v>0</v>
      </c>
      <c r="J188" s="170"/>
      <c r="K188" s="171">
        <f>Source!EH85</f>
        <v>0</v>
      </c>
    </row>
    <row r="189" spans="1:11" hidden="1" x14ac:dyDescent="0.2">
      <c r="C189" s="175" t="s">
        <v>917</v>
      </c>
      <c r="D189" s="170"/>
      <c r="E189" s="170"/>
      <c r="F189" s="170"/>
      <c r="G189" s="170"/>
      <c r="H189" s="170"/>
      <c r="I189" s="171">
        <f>SUM(GU49:GU146)</f>
        <v>0</v>
      </c>
      <c r="J189" s="170"/>
      <c r="K189" s="171">
        <f>Source!EI85</f>
        <v>0</v>
      </c>
    </row>
    <row r="190" spans="1:11" hidden="1" x14ac:dyDescent="0.2">
      <c r="C190" s="175" t="s">
        <v>918</v>
      </c>
      <c r="D190" s="170"/>
      <c r="E190" s="170"/>
      <c r="F190" s="170"/>
      <c r="G190" s="170"/>
      <c r="H190" s="170"/>
      <c r="I190" s="171">
        <f>SUM(GV49:GV146)</f>
        <v>0</v>
      </c>
      <c r="J190" s="170"/>
      <c r="K190" s="171">
        <f>Source!ER85</f>
        <v>0</v>
      </c>
    </row>
    <row r="191" spans="1:11" hidden="1" x14ac:dyDescent="0.2">
      <c r="C191" s="174" t="s">
        <v>919</v>
      </c>
      <c r="D191" s="170"/>
      <c r="E191" s="170"/>
      <c r="F191" s="170"/>
      <c r="G191" s="170"/>
      <c r="H191" s="170"/>
      <c r="I191" s="171">
        <f>SUM(IB49:IB146)</f>
        <v>0</v>
      </c>
      <c r="J191" s="170"/>
      <c r="K191" s="171">
        <f>SUM(DC49:DC146)</f>
        <v>0</v>
      </c>
    </row>
    <row r="193" spans="3:11" x14ac:dyDescent="0.2">
      <c r="C193" s="13" t="s">
        <v>920</v>
      </c>
      <c r="D193" s="13"/>
      <c r="E193" s="13"/>
      <c r="F193" s="13"/>
      <c r="G193" s="13"/>
      <c r="H193" s="13"/>
      <c r="I193" s="150" t="e">
        <f>SUM(HA49:HA146)</f>
        <v>#REF!</v>
      </c>
      <c r="J193" s="13"/>
      <c r="K193" s="150" t="e">
        <f>Source!EJ85</f>
        <v>#REF!</v>
      </c>
    </row>
    <row r="194" spans="3:11" hidden="1" x14ac:dyDescent="0.2">
      <c r="C194" s="151" t="s">
        <v>921</v>
      </c>
      <c r="D194" s="149"/>
      <c r="E194" s="149"/>
      <c r="F194" s="149"/>
      <c r="G194" s="149"/>
      <c r="H194" s="149"/>
      <c r="I194" s="149"/>
      <c r="J194" s="149"/>
      <c r="K194" s="149"/>
    </row>
    <row r="195" spans="3:11" hidden="1" x14ac:dyDescent="0.2">
      <c r="C195" s="176" t="s">
        <v>922</v>
      </c>
      <c r="D195" s="13"/>
      <c r="E195" s="13"/>
      <c r="F195" s="13"/>
      <c r="G195" s="13"/>
      <c r="H195" s="13"/>
      <c r="I195" s="150" t="e">
        <f>SUM(HB49:HB146)</f>
        <v>#REF!</v>
      </c>
      <c r="J195" s="13"/>
      <c r="K195" s="150" t="e">
        <f>Source!EK85</f>
        <v>#REF!</v>
      </c>
    </row>
    <row r="196" spans="3:11" hidden="1" x14ac:dyDescent="0.2">
      <c r="C196" s="176" t="s">
        <v>312</v>
      </c>
      <c r="D196" s="13"/>
      <c r="E196" s="13"/>
      <c r="F196" s="13"/>
      <c r="G196" s="13"/>
      <c r="H196" s="13"/>
      <c r="I196" s="150">
        <f>SUM(HC49:HC146)</f>
        <v>170</v>
      </c>
      <c r="J196" s="13"/>
      <c r="K196" s="150">
        <f>Source!EL85</f>
        <v>1166</v>
      </c>
    </row>
    <row r="197" spans="3:11" hidden="1" x14ac:dyDescent="0.2">
      <c r="C197" s="174" t="s">
        <v>923</v>
      </c>
      <c r="D197" s="170"/>
      <c r="E197" s="170"/>
      <c r="F197" s="170"/>
      <c r="G197" s="170"/>
      <c r="H197" s="170"/>
      <c r="I197" s="171">
        <f>SUM(HD49:HD146)</f>
        <v>0</v>
      </c>
      <c r="J197" s="170"/>
      <c r="K197" s="171">
        <f>Source!EH85+SUM(DC49:DC146)</f>
        <v>0</v>
      </c>
    </row>
    <row r="198" spans="3:11" hidden="1" x14ac:dyDescent="0.2">
      <c r="C198" s="176" t="s">
        <v>176</v>
      </c>
      <c r="D198" s="13"/>
      <c r="E198" s="13"/>
      <c r="F198" s="13"/>
      <c r="G198" s="13"/>
      <c r="H198" s="13"/>
      <c r="I198" s="150">
        <f>SUM(HE49:HE146)</f>
        <v>0</v>
      </c>
      <c r="J198" s="13"/>
      <c r="K198" s="150">
        <f>Source!EM85</f>
        <v>0</v>
      </c>
    </row>
    <row r="199" spans="3:11" hidden="1" x14ac:dyDescent="0.2"/>
    <row r="200" spans="3:11" hidden="1" x14ac:dyDescent="0.2">
      <c r="C200" s="13" t="s">
        <v>924</v>
      </c>
      <c r="D200" s="13"/>
      <c r="E200" s="13"/>
      <c r="F200" s="13"/>
      <c r="G200" s="13"/>
      <c r="H200" s="13"/>
      <c r="I200" s="150" t="e">
        <f>SUM(HB49:HB146)+SUM(HC49:HC146)</f>
        <v>#REF!</v>
      </c>
      <c r="J200" s="13"/>
      <c r="K200" s="150" t="e">
        <f>Source!EK85+Source!EL85</f>
        <v>#REF!</v>
      </c>
    </row>
    <row r="202" spans="3:11" hidden="1" x14ac:dyDescent="0.2">
      <c r="C202" s="25" t="s">
        <v>194</v>
      </c>
      <c r="D202" s="25"/>
      <c r="E202" s="25"/>
      <c r="F202" s="25"/>
      <c r="G202" s="25"/>
      <c r="H202" s="25"/>
      <c r="I202" s="177" t="e">
        <f>I200+SUM(HD49:HD146)+SUM(HE49:HE146)</f>
        <v>#REF!</v>
      </c>
      <c r="J202" s="25"/>
      <c r="K202" s="177" t="e">
        <f>K200+Source!EH85+SUM(DC49:DC146)+Source!EM85</f>
        <v>#REF!</v>
      </c>
    </row>
    <row r="204" spans="3:11" hidden="1" x14ac:dyDescent="0.2">
      <c r="C204" s="149" t="s">
        <v>925</v>
      </c>
      <c r="D204" s="149"/>
      <c r="E204" s="149"/>
      <c r="F204" s="149"/>
      <c r="G204" s="149"/>
      <c r="H204" s="149"/>
      <c r="I204" s="149"/>
      <c r="J204" s="149"/>
      <c r="K204" s="149"/>
    </row>
    <row r="205" spans="3:11" hidden="1" x14ac:dyDescent="0.2">
      <c r="C205" s="178" t="s">
        <v>926</v>
      </c>
      <c r="D205" s="13"/>
      <c r="E205" s="13"/>
      <c r="F205" s="13"/>
      <c r="G205" s="13"/>
      <c r="H205" s="13"/>
      <c r="I205" s="150">
        <f>SUM(GN49:GN146)+SUM(IA49:IA146)+SUM(IB49:IB146)</f>
        <v>32103</v>
      </c>
      <c r="J205" s="13"/>
      <c r="K205" s="150" t="e">
        <f>Source!DH85+SUM(DB49:DB146)+SUM(DC49:DC146)</f>
        <v>#REF!</v>
      </c>
    </row>
    <row r="206" spans="3:11" hidden="1" x14ac:dyDescent="0.2">
      <c r="C206" s="151" t="s">
        <v>885</v>
      </c>
      <c r="D206" s="149"/>
      <c r="E206" s="149"/>
      <c r="F206" s="149"/>
      <c r="G206" s="149"/>
      <c r="H206" s="149"/>
      <c r="I206" s="149"/>
      <c r="J206" s="149"/>
      <c r="K206" s="149"/>
    </row>
    <row r="207" spans="3:11" hidden="1" x14ac:dyDescent="0.2">
      <c r="C207" s="176" t="s">
        <v>927</v>
      </c>
      <c r="D207" s="13"/>
      <c r="E207" s="13"/>
      <c r="F207" s="13"/>
      <c r="G207" s="13"/>
      <c r="H207" s="13"/>
      <c r="I207" s="150">
        <f>SUM(GO49:GO146)</f>
        <v>0</v>
      </c>
      <c r="J207" s="13"/>
      <c r="K207" s="150">
        <f>Source!EG85</f>
        <v>0</v>
      </c>
    </row>
    <row r="208" spans="3:11" hidden="1" x14ac:dyDescent="0.2">
      <c r="C208" s="176" t="s">
        <v>928</v>
      </c>
      <c r="D208" s="13"/>
      <c r="E208" s="13"/>
      <c r="F208" s="13"/>
      <c r="G208" s="13"/>
      <c r="H208" s="13"/>
      <c r="I208" s="150">
        <f>SUM(GP49:GP146)</f>
        <v>32103</v>
      </c>
      <c r="J208" s="13"/>
      <c r="K208" s="150" t="e">
        <f>Source!EN85</f>
        <v>#REF!</v>
      </c>
    </row>
    <row r="209" spans="1:255" hidden="1" x14ac:dyDescent="0.2">
      <c r="C209" s="178" t="s">
        <v>929</v>
      </c>
      <c r="D209" s="13"/>
      <c r="E209" s="13"/>
      <c r="F209" s="13"/>
      <c r="G209" s="13"/>
      <c r="H209" s="179" t="e">
        <f>Source!DM85</f>
        <v>#REF!</v>
      </c>
      <c r="I209" s="13"/>
      <c r="J209" s="13"/>
      <c r="K209" s="13"/>
    </row>
    <row r="210" spans="1:255" hidden="1" x14ac:dyDescent="0.2">
      <c r="C210" s="178" t="s">
        <v>185</v>
      </c>
      <c r="D210" s="13"/>
      <c r="E210" s="13"/>
      <c r="F210" s="13"/>
      <c r="G210" s="13"/>
      <c r="H210" s="179" t="e">
        <f>Source!DN85</f>
        <v>#REF!</v>
      </c>
      <c r="I210" s="13"/>
      <c r="J210" s="13"/>
      <c r="K210" s="13"/>
    </row>
    <row r="211" spans="1:255" ht="13.5" thickBot="1" x14ac:dyDescent="0.25"/>
    <row r="212" spans="1:255" x14ac:dyDescent="0.2">
      <c r="A212" s="50"/>
      <c r="B212" s="50"/>
      <c r="C212" s="50"/>
      <c r="D212" s="50"/>
      <c r="E212" s="50"/>
      <c r="F212" s="50"/>
      <c r="G212" s="50"/>
      <c r="H212" s="50"/>
      <c r="I212" s="50"/>
      <c r="J212" s="50"/>
      <c r="K212" s="50"/>
    </row>
    <row r="213" spans="1:255" x14ac:dyDescent="0.2">
      <c r="A213" s="330" t="s">
        <v>849</v>
      </c>
      <c r="B213" s="330"/>
      <c r="C213" s="331" t="s">
        <v>931</v>
      </c>
      <c r="D213" s="331"/>
      <c r="E213" s="331"/>
      <c r="F213" s="331"/>
      <c r="G213" s="331"/>
      <c r="H213" s="331"/>
      <c r="I213" s="331"/>
      <c r="J213" s="331"/>
      <c r="K213" s="331"/>
      <c r="BX213" s="51" t="str">
        <f>C213</f>
        <v xml:space="preserve"> Стены монолит 17-20 этажи</v>
      </c>
      <c r="IU213" s="23"/>
    </row>
    <row r="214" spans="1:255" ht="13.5" thickBot="1" x14ac:dyDescent="0.25"/>
    <row r="215" spans="1:255" ht="33.75" x14ac:dyDescent="0.2">
      <c r="A215" s="53">
        <v>7</v>
      </c>
      <c r="B215" s="61" t="s">
        <v>19</v>
      </c>
      <c r="C215" s="54" t="s">
        <v>932</v>
      </c>
      <c r="D215" s="55" t="s">
        <v>21</v>
      </c>
      <c r="E215" s="56">
        <v>126.25</v>
      </c>
      <c r="F215" s="57">
        <f>Source!AK120</f>
        <v>710.58</v>
      </c>
      <c r="G215" s="62" t="s">
        <v>6</v>
      </c>
      <c r="H215" s="57"/>
      <c r="I215" s="58">
        <f>SUM(DQ215:DQ227)</f>
        <v>36647</v>
      </c>
      <c r="J215" s="59" t="s">
        <v>19</v>
      </c>
      <c r="K215" s="60" t="e">
        <f>SUM(DS215:DS227)</f>
        <v>#REF!</v>
      </c>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row>
    <row r="216" spans="1:255" x14ac:dyDescent="0.2">
      <c r="A216" s="64"/>
      <c r="B216" s="180" t="str">
        <f>IF(Source!I120=126.25," Расчет объема","")</f>
        <v/>
      </c>
      <c r="C216" s="180" t="str">
        <f>IF(Source!I120=126.25,"   163,37-37,12 = 126,25","")</f>
        <v/>
      </c>
      <c r="D216" s="63"/>
      <c r="E216" s="63"/>
      <c r="F216" s="63"/>
      <c r="G216" s="63"/>
      <c r="H216" s="63"/>
      <c r="I216" s="63"/>
      <c r="J216" s="63"/>
      <c r="K216" s="65"/>
    </row>
    <row r="217" spans="1:255" x14ac:dyDescent="0.2">
      <c r="A217" s="78"/>
      <c r="B217" s="79"/>
      <c r="C217" s="79" t="s">
        <v>853</v>
      </c>
      <c r="D217" s="80"/>
      <c r="E217" s="81"/>
      <c r="F217" s="82">
        <v>130.72</v>
      </c>
      <c r="G217" s="83" t="s">
        <v>854</v>
      </c>
      <c r="H217" s="82">
        <f>Source!AF120</f>
        <v>137.26</v>
      </c>
      <c r="I217" s="84">
        <f>T217</f>
        <v>4332</v>
      </c>
      <c r="J217" s="85">
        <v>36.07</v>
      </c>
      <c r="K217" s="86">
        <f>U217</f>
        <v>156265</v>
      </c>
      <c r="O217" s="23"/>
      <c r="P217" s="23"/>
      <c r="Q217" s="23"/>
      <c r="R217" s="23"/>
      <c r="S217" s="23"/>
      <c r="T217" s="23">
        <f>ROUND(Source!AF120*Source!AV120*Source!I120,0)</f>
        <v>4332</v>
      </c>
      <c r="U217" s="23">
        <f>Source!S120</f>
        <v>156265</v>
      </c>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v>1</v>
      </c>
      <c r="CW217" s="23"/>
      <c r="CX217" s="23"/>
      <c r="CY217" s="23"/>
      <c r="CZ217" s="23"/>
      <c r="DA217" s="23"/>
      <c r="DB217" s="23"/>
      <c r="DC217" s="23"/>
      <c r="DD217" s="23"/>
      <c r="DE217" s="23"/>
      <c r="DF217" s="23"/>
      <c r="DG217" s="23">
        <f>Source!S120</f>
        <v>156265</v>
      </c>
      <c r="DH217" s="23">
        <v>1003</v>
      </c>
      <c r="DI217" s="23"/>
      <c r="DJ217" s="23"/>
      <c r="DK217" s="23"/>
      <c r="DL217" s="23"/>
      <c r="DM217" s="23"/>
      <c r="DN217" s="23"/>
      <c r="DO217" s="23"/>
      <c r="DP217" s="23"/>
      <c r="DQ217" s="23">
        <f>T217</f>
        <v>4332</v>
      </c>
      <c r="DR217" s="23"/>
      <c r="DS217" s="23">
        <f>U217</f>
        <v>156265</v>
      </c>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f>T217</f>
        <v>4332</v>
      </c>
      <c r="GK217" s="23">
        <f>T217</f>
        <v>4332</v>
      </c>
      <c r="GL217" s="23"/>
      <c r="GM217" s="23"/>
      <c r="GN217" s="23"/>
      <c r="GO217" s="23"/>
      <c r="GP217" s="23"/>
      <c r="GQ217" s="23"/>
      <c r="GR217" s="23"/>
      <c r="GS217" s="23"/>
      <c r="GT217" s="23"/>
      <c r="GU217" s="23"/>
      <c r="GV217" s="23"/>
      <c r="GW217" s="23"/>
      <c r="GX217" s="23"/>
      <c r="GY217" s="23"/>
      <c r="GZ217" s="23"/>
      <c r="HA217" s="23"/>
      <c r="HB217" s="23">
        <f>T217</f>
        <v>4332</v>
      </c>
      <c r="HC217" s="23"/>
      <c r="HD217" s="23"/>
      <c r="HE217" s="23"/>
      <c r="HF217" s="23">
        <f>T217</f>
        <v>4332</v>
      </c>
      <c r="HG217" s="23"/>
      <c r="HH217" s="23"/>
      <c r="HI217" s="23"/>
      <c r="HJ217" s="23"/>
      <c r="HK217" s="23"/>
      <c r="HL217" s="23">
        <f>T217</f>
        <v>4332</v>
      </c>
      <c r="HM217" s="23"/>
      <c r="HN217" s="23">
        <f>T217</f>
        <v>4332</v>
      </c>
      <c r="HO217" s="23"/>
      <c r="HP217" s="23"/>
      <c r="HQ217" s="23"/>
      <c r="HR217" s="23"/>
      <c r="HS217" s="23"/>
      <c r="HT217" s="23"/>
      <c r="HU217" s="23"/>
      <c r="HV217" s="23"/>
      <c r="HW217" s="23"/>
      <c r="HX217" s="23">
        <f>T217</f>
        <v>4332</v>
      </c>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row>
    <row r="218" spans="1:255" x14ac:dyDescent="0.2">
      <c r="A218" s="78"/>
      <c r="B218" s="79"/>
      <c r="C218" s="79" t="s">
        <v>855</v>
      </c>
      <c r="D218" s="80"/>
      <c r="E218" s="81"/>
      <c r="F218" s="82">
        <v>465.76</v>
      </c>
      <c r="G218" s="83" t="s">
        <v>856</v>
      </c>
      <c r="H218" s="82">
        <f>Source!AD120</f>
        <v>602.12</v>
      </c>
      <c r="I218" s="84">
        <f>T218</f>
        <v>19004</v>
      </c>
      <c r="J218" s="85">
        <v>9.3000000000000007</v>
      </c>
      <c r="K218" s="86">
        <f>U218</f>
        <v>176741</v>
      </c>
      <c r="O218" s="23"/>
      <c r="P218" s="23"/>
      <c r="Q218" s="23"/>
      <c r="R218" s="23"/>
      <c r="S218" s="23"/>
      <c r="T218" s="23">
        <f>ROUND(Source!AD120*Source!AV120*Source!I120,0)</f>
        <v>19004</v>
      </c>
      <c r="U218" s="23">
        <f>Source!Q120</f>
        <v>176741</v>
      </c>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v>1</v>
      </c>
      <c r="CW218" s="23"/>
      <c r="CX218" s="23"/>
      <c r="CY218" s="23"/>
      <c r="CZ218" s="23"/>
      <c r="DA218" s="23"/>
      <c r="DB218" s="23"/>
      <c r="DC218" s="23"/>
      <c r="DD218" s="23"/>
      <c r="DE218" s="23"/>
      <c r="DF218" s="23"/>
      <c r="DG218" s="23"/>
      <c r="DH218" s="23"/>
      <c r="DI218" s="23"/>
      <c r="DJ218" s="23"/>
      <c r="DK218" s="23"/>
      <c r="DL218" s="23"/>
      <c r="DM218" s="23"/>
      <c r="DN218" s="23"/>
      <c r="DO218" s="23"/>
      <c r="DP218" s="23"/>
      <c r="DQ218" s="23">
        <f>T218</f>
        <v>19004</v>
      </c>
      <c r="DR218" s="23"/>
      <c r="DS218" s="23">
        <f>U218</f>
        <v>176741</v>
      </c>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f>T218</f>
        <v>19004</v>
      </c>
      <c r="GK218" s="23"/>
      <c r="GL218" s="23">
        <f>T218</f>
        <v>19004</v>
      </c>
      <c r="GM218" s="23"/>
      <c r="GN218" s="23"/>
      <c r="GO218" s="23"/>
      <c r="GP218" s="23"/>
      <c r="GQ218" s="23"/>
      <c r="GR218" s="23"/>
      <c r="GS218" s="23"/>
      <c r="GT218" s="23"/>
      <c r="GU218" s="23"/>
      <c r="GV218" s="23"/>
      <c r="GW218" s="23"/>
      <c r="GX218" s="23"/>
      <c r="GY218" s="23"/>
      <c r="GZ218" s="23"/>
      <c r="HA218" s="23"/>
      <c r="HB218" s="23">
        <f>T218</f>
        <v>19004</v>
      </c>
      <c r="HC218" s="23"/>
      <c r="HD218" s="23"/>
      <c r="HE218" s="23"/>
      <c r="HF218" s="23">
        <f>T218</f>
        <v>19004</v>
      </c>
      <c r="HG218" s="23"/>
      <c r="HH218" s="23"/>
      <c r="HI218" s="23"/>
      <c r="HJ218" s="23"/>
      <c r="HK218" s="23"/>
      <c r="HL218" s="23">
        <f>T218</f>
        <v>19004</v>
      </c>
      <c r="HM218" s="23"/>
      <c r="HN218" s="23">
        <f>T218</f>
        <v>19004</v>
      </c>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row>
    <row r="219" spans="1:255" x14ac:dyDescent="0.2">
      <c r="A219" s="78"/>
      <c r="B219" s="79"/>
      <c r="C219" s="79" t="s">
        <v>857</v>
      </c>
      <c r="D219" s="80"/>
      <c r="E219" s="81"/>
      <c r="F219" s="82">
        <v>68.59</v>
      </c>
      <c r="G219" s="83" t="s">
        <v>856</v>
      </c>
      <c r="H219" s="82">
        <f>Source!AE120</f>
        <v>76.819999999999993</v>
      </c>
      <c r="I219" s="84">
        <f>GM219</f>
        <v>2425</v>
      </c>
      <c r="J219" s="85">
        <v>19.8</v>
      </c>
      <c r="K219" s="86">
        <f>Source!R120</f>
        <v>48008</v>
      </c>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f>ROUND(Source!AE120*Source!AV120*Source!I120,0)</f>
        <v>2425</v>
      </c>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f>GM219</f>
        <v>2425</v>
      </c>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row>
    <row r="220" spans="1:255" x14ac:dyDescent="0.2">
      <c r="A220" s="87"/>
      <c r="B220" s="88"/>
      <c r="C220" s="88" t="s">
        <v>858</v>
      </c>
      <c r="D220" s="89"/>
      <c r="E220" s="90">
        <v>120</v>
      </c>
      <c r="F220" s="91" t="s">
        <v>859</v>
      </c>
      <c r="G220" s="92"/>
      <c r="H220" s="93">
        <f>ROUND((Source!AF120*Source!AV120+Source!AE120*Source!AV120)*(Source!FX120)/100,2)</f>
        <v>256.89999999999998</v>
      </c>
      <c r="I220" s="94">
        <f>T220</f>
        <v>8108</v>
      </c>
      <c r="J220" s="96">
        <v>1.1399999999999999</v>
      </c>
      <c r="K220" s="95" t="e">
        <f>U220</f>
        <v>#REF!</v>
      </c>
      <c r="O220" s="23"/>
      <c r="P220" s="23"/>
      <c r="Q220" s="23"/>
      <c r="R220" s="23"/>
      <c r="S220" s="23"/>
      <c r="T220" s="23">
        <f>ROUND((ROUND(Source!AF120*Source!AV120*Source!I120,0)+ROUND(Source!AE120*Source!AV120*Source!I120,0))*(Source!DN120)/100,0)</f>
        <v>8108</v>
      </c>
      <c r="U220" s="23" t="e">
        <f>Source!X120</f>
        <v>#REF!</v>
      </c>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v>1</v>
      </c>
      <c r="CW220" s="23"/>
      <c r="CX220" s="23"/>
      <c r="CY220" s="23"/>
      <c r="CZ220" s="23"/>
      <c r="DA220" s="23"/>
      <c r="DB220" s="23"/>
      <c r="DC220" s="23"/>
      <c r="DD220" s="23"/>
      <c r="DE220" s="23"/>
      <c r="DF220" s="23"/>
      <c r="DG220" s="23"/>
      <c r="DH220" s="23"/>
      <c r="DI220" s="23"/>
      <c r="DJ220" s="23"/>
      <c r="DK220" s="23"/>
      <c r="DL220" s="23"/>
      <c r="DM220" s="23"/>
      <c r="DN220" s="23"/>
      <c r="DO220" s="23"/>
      <c r="DP220" s="23"/>
      <c r="DQ220" s="23">
        <f>T220</f>
        <v>8108</v>
      </c>
      <c r="DR220" s="23"/>
      <c r="DS220" s="23" t="e">
        <f>U220</f>
        <v>#REF!</v>
      </c>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f>T220</f>
        <v>8108</v>
      </c>
      <c r="GZ220" s="23"/>
      <c r="HA220" s="23"/>
      <c r="HB220" s="23">
        <f>T220</f>
        <v>8108</v>
      </c>
      <c r="HC220" s="23"/>
      <c r="HD220" s="23"/>
      <c r="HE220" s="23"/>
      <c r="HF220" s="23">
        <f>T220</f>
        <v>8108</v>
      </c>
      <c r="HG220" s="23"/>
      <c r="HH220" s="23"/>
      <c r="HI220" s="23"/>
      <c r="HJ220" s="23"/>
      <c r="HK220" s="23"/>
      <c r="HL220" s="23">
        <f>T220</f>
        <v>8108</v>
      </c>
      <c r="HM220" s="23"/>
      <c r="HN220" s="23">
        <f>T220</f>
        <v>8108</v>
      </c>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row>
    <row r="221" spans="1:255" x14ac:dyDescent="0.2">
      <c r="A221" s="87"/>
      <c r="B221" s="88"/>
      <c r="C221" s="88" t="s">
        <v>860</v>
      </c>
      <c r="D221" s="89"/>
      <c r="E221" s="90">
        <v>77</v>
      </c>
      <c r="F221" s="91" t="s">
        <v>859</v>
      </c>
      <c r="G221" s="92"/>
      <c r="H221" s="93">
        <f>ROUND((Source!AF120*Source!AV120+Source!AE120*Source!AV120)*(Source!FY120)/100,2)</f>
        <v>164.84</v>
      </c>
      <c r="I221" s="94">
        <f>T221</f>
        <v>5203</v>
      </c>
      <c r="J221" s="96">
        <v>0.65</v>
      </c>
      <c r="K221" s="95" t="e">
        <f>U221</f>
        <v>#REF!</v>
      </c>
      <c r="O221" s="23"/>
      <c r="P221" s="23"/>
      <c r="Q221" s="23"/>
      <c r="R221" s="23"/>
      <c r="S221" s="23"/>
      <c r="T221" s="23">
        <f>ROUND((ROUND(Source!AF120*Source!AV120*Source!I120,0)+ROUND(Source!AE120*Source!AV120*Source!I120,0))*(Source!DO120)/100,0)</f>
        <v>5203</v>
      </c>
      <c r="U221" s="23" t="e">
        <f>Source!Y120</f>
        <v>#REF!</v>
      </c>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v>1</v>
      </c>
      <c r="CW221" s="23"/>
      <c r="CX221" s="23"/>
      <c r="CY221" s="23"/>
      <c r="CZ221" s="23"/>
      <c r="DA221" s="23"/>
      <c r="DB221" s="23"/>
      <c r="DC221" s="23"/>
      <c r="DD221" s="23"/>
      <c r="DE221" s="23"/>
      <c r="DF221" s="23"/>
      <c r="DG221" s="23"/>
      <c r="DH221" s="23"/>
      <c r="DI221" s="23"/>
      <c r="DJ221" s="23"/>
      <c r="DK221" s="23"/>
      <c r="DL221" s="23"/>
      <c r="DM221" s="23"/>
      <c r="DN221" s="23"/>
      <c r="DO221" s="23"/>
      <c r="DP221" s="23"/>
      <c r="DQ221" s="23">
        <f>T221</f>
        <v>5203</v>
      </c>
      <c r="DR221" s="23"/>
      <c r="DS221" s="23" t="e">
        <f>U221</f>
        <v>#REF!</v>
      </c>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f>T221</f>
        <v>5203</v>
      </c>
      <c r="HA221" s="23"/>
      <c r="HB221" s="23">
        <f>T221</f>
        <v>5203</v>
      </c>
      <c r="HC221" s="23"/>
      <c r="HD221" s="23"/>
      <c r="HE221" s="23"/>
      <c r="HF221" s="23">
        <f>T221</f>
        <v>5203</v>
      </c>
      <c r="HG221" s="23"/>
      <c r="HH221" s="23"/>
      <c r="HI221" s="23"/>
      <c r="HJ221" s="23"/>
      <c r="HK221" s="23"/>
      <c r="HL221" s="23">
        <f>T221</f>
        <v>5203</v>
      </c>
      <c r="HM221" s="23"/>
      <c r="HN221" s="23">
        <f>T221</f>
        <v>5203</v>
      </c>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row>
    <row r="222" spans="1:255" x14ac:dyDescent="0.2">
      <c r="A222" s="78"/>
      <c r="B222" s="79"/>
      <c r="C222" s="79" t="s">
        <v>861</v>
      </c>
      <c r="D222" s="80" t="s">
        <v>862</v>
      </c>
      <c r="E222" s="81">
        <v>16.61</v>
      </c>
      <c r="F222" s="82"/>
      <c r="G222" s="83" t="s">
        <v>854</v>
      </c>
      <c r="H222" s="82" t="e">
        <f>ROUND(Source!AH120,2)</f>
        <v>#REF!</v>
      </c>
      <c r="I222" s="97" t="e">
        <f>Source!U120</f>
        <v>#REF!</v>
      </c>
      <c r="J222" s="85"/>
      <c r="K222" s="86"/>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row>
    <row r="223" spans="1:255" x14ac:dyDescent="0.2">
      <c r="A223" s="100" t="s">
        <v>199</v>
      </c>
      <c r="B223" s="109" t="s">
        <v>31</v>
      </c>
      <c r="C223" s="101" t="s">
        <v>32</v>
      </c>
      <c r="D223" s="102" t="s">
        <v>33</v>
      </c>
      <c r="E223" s="103">
        <f>Source!I122</f>
        <v>8.3639999999999999E-3</v>
      </c>
      <c r="F223" s="104">
        <v>8475</v>
      </c>
      <c r="G223" s="105"/>
      <c r="H223" s="104">
        <f>Source!AC121</f>
        <v>8475</v>
      </c>
      <c r="I223" s="106">
        <f>T223</f>
        <v>71</v>
      </c>
      <c r="J223" s="107" t="s">
        <v>863</v>
      </c>
      <c r="K223" s="108">
        <f>U223</f>
        <v>630</v>
      </c>
      <c r="L223" s="23"/>
      <c r="M223" s="23"/>
      <c r="N223" s="23"/>
      <c r="O223" s="23"/>
      <c r="P223" s="23"/>
      <c r="Q223" s="23"/>
      <c r="R223" s="23"/>
      <c r="S223" s="23"/>
      <c r="T223" s="23">
        <f>ROUND(Source!AC121*Source!AW121*Source!I121,0)</f>
        <v>71</v>
      </c>
      <c r="U223" s="23">
        <f>Source!P122</f>
        <v>630</v>
      </c>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v>1</v>
      </c>
      <c r="CW223" s="23"/>
      <c r="CX223" s="23"/>
      <c r="CY223" s="23"/>
      <c r="CZ223" s="23"/>
      <c r="DA223" s="23"/>
      <c r="DB223" s="23"/>
      <c r="DC223" s="23"/>
      <c r="DD223" s="23"/>
      <c r="DE223" s="23"/>
      <c r="DF223" s="23"/>
      <c r="DG223" s="23"/>
      <c r="DH223" s="23"/>
      <c r="DI223" s="23"/>
      <c r="DJ223" s="23"/>
      <c r="DK223" s="23">
        <f>T223</f>
        <v>71</v>
      </c>
      <c r="DL223" s="23"/>
      <c r="DM223" s="23">
        <f>Source!P122</f>
        <v>630</v>
      </c>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f>T223</f>
        <v>71</v>
      </c>
      <c r="GK223" s="23"/>
      <c r="GL223" s="23"/>
      <c r="GM223" s="23"/>
      <c r="GN223" s="23">
        <f>T223</f>
        <v>71</v>
      </c>
      <c r="GO223" s="23"/>
      <c r="GP223" s="23">
        <f>T223</f>
        <v>71</v>
      </c>
      <c r="GQ223" s="23">
        <f>T223</f>
        <v>71</v>
      </c>
      <c r="GR223" s="23"/>
      <c r="GS223" s="23">
        <f>T223</f>
        <v>71</v>
      </c>
      <c r="GT223" s="23"/>
      <c r="GU223" s="23"/>
      <c r="GV223" s="23"/>
      <c r="GW223" s="23"/>
      <c r="GX223" s="23"/>
      <c r="GY223" s="23"/>
      <c r="GZ223" s="23"/>
      <c r="HA223" s="23"/>
      <c r="HB223" s="23">
        <f>T223</f>
        <v>71</v>
      </c>
      <c r="HC223" s="23"/>
      <c r="HD223" s="23"/>
      <c r="HE223" s="23"/>
      <c r="HF223" s="23">
        <f>T223</f>
        <v>71</v>
      </c>
      <c r="HG223" s="23"/>
      <c r="HH223" s="23"/>
      <c r="HI223" s="23"/>
      <c r="HJ223" s="23"/>
      <c r="HK223" s="23"/>
      <c r="HL223" s="23">
        <f>T223</f>
        <v>71</v>
      </c>
      <c r="HM223" s="23"/>
      <c r="HN223" s="23">
        <f>T223</f>
        <v>71</v>
      </c>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row>
    <row r="224" spans="1:255" x14ac:dyDescent="0.2">
      <c r="A224" s="64"/>
      <c r="B224" s="111" t="s">
        <v>864</v>
      </c>
      <c r="C224" s="111" t="s">
        <v>865</v>
      </c>
      <c r="D224" s="63"/>
      <c r="E224" s="63"/>
      <c r="F224" s="63"/>
      <c r="G224" s="63"/>
      <c r="H224" s="63"/>
      <c r="I224" s="63"/>
      <c r="J224" s="63"/>
      <c r="K224" s="65"/>
    </row>
    <row r="225" spans="1:255" ht="36" x14ac:dyDescent="0.2">
      <c r="A225" s="114" t="s">
        <v>200</v>
      </c>
      <c r="B225" s="115" t="s">
        <v>42</v>
      </c>
      <c r="C225" s="116" t="s">
        <v>43</v>
      </c>
      <c r="D225" s="117" t="s">
        <v>44</v>
      </c>
      <c r="E225" s="118">
        <f>Source!I124</f>
        <v>0.28365224999999999</v>
      </c>
      <c r="F225" s="119">
        <v>1100</v>
      </c>
      <c r="G225" s="71"/>
      <c r="H225" s="119">
        <f>Source!AC123</f>
        <v>1100</v>
      </c>
      <c r="I225" s="120">
        <f>T225</f>
        <v>312</v>
      </c>
      <c r="J225" s="73" t="s">
        <v>863</v>
      </c>
      <c r="K225" s="121">
        <f>U225</f>
        <v>5015</v>
      </c>
      <c r="L225" s="23"/>
      <c r="M225" s="23"/>
      <c r="N225" s="23"/>
      <c r="O225" s="23"/>
      <c r="P225" s="23"/>
      <c r="Q225" s="23"/>
      <c r="R225" s="23"/>
      <c r="S225" s="23"/>
      <c r="T225" s="23">
        <f>ROUND(Source!AC123*Source!AW123*Source!I123,0)</f>
        <v>312</v>
      </c>
      <c r="U225" s="23">
        <f>Source!P124</f>
        <v>5015</v>
      </c>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v>1</v>
      </c>
      <c r="CW225" s="23"/>
      <c r="CX225" s="23"/>
      <c r="CY225" s="23"/>
      <c r="CZ225" s="23"/>
      <c r="DA225" s="23"/>
      <c r="DB225" s="23"/>
      <c r="DC225" s="23"/>
      <c r="DD225" s="23"/>
      <c r="DE225" s="23"/>
      <c r="DF225" s="23"/>
      <c r="DG225" s="23"/>
      <c r="DH225" s="23"/>
      <c r="DI225" s="23"/>
      <c r="DJ225" s="23"/>
      <c r="DK225" s="23">
        <f>T225</f>
        <v>312</v>
      </c>
      <c r="DL225" s="23"/>
      <c r="DM225" s="23">
        <f>Source!P124</f>
        <v>5015</v>
      </c>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f>T225</f>
        <v>312</v>
      </c>
      <c r="GK225" s="23"/>
      <c r="GL225" s="23"/>
      <c r="GM225" s="23"/>
      <c r="GN225" s="23">
        <f>T225</f>
        <v>312</v>
      </c>
      <c r="GO225" s="23"/>
      <c r="GP225" s="23">
        <f>T225</f>
        <v>312</v>
      </c>
      <c r="GQ225" s="23">
        <f>T225</f>
        <v>312</v>
      </c>
      <c r="GR225" s="23"/>
      <c r="GS225" s="23">
        <f>T225</f>
        <v>312</v>
      </c>
      <c r="GT225" s="23"/>
      <c r="GU225" s="23"/>
      <c r="GV225" s="23"/>
      <c r="GW225" s="23"/>
      <c r="GX225" s="23"/>
      <c r="GY225" s="23"/>
      <c r="GZ225" s="23"/>
      <c r="HA225" s="23"/>
      <c r="HB225" s="23">
        <f>T225</f>
        <v>312</v>
      </c>
      <c r="HC225" s="23"/>
      <c r="HD225" s="23"/>
      <c r="HE225" s="23"/>
      <c r="HF225" s="23">
        <f>T225</f>
        <v>312</v>
      </c>
      <c r="HG225" s="23"/>
      <c r="HH225" s="23"/>
      <c r="HI225" s="23"/>
      <c r="HJ225" s="23"/>
      <c r="HK225" s="23"/>
      <c r="HL225" s="23">
        <f>T225</f>
        <v>312</v>
      </c>
      <c r="HM225" s="23"/>
      <c r="HN225" s="23">
        <f>T225</f>
        <v>312</v>
      </c>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row>
    <row r="226" spans="1:255" x14ac:dyDescent="0.2">
      <c r="A226" s="98"/>
      <c r="B226" s="113" t="s">
        <v>864</v>
      </c>
      <c r="C226" s="113" t="s">
        <v>866</v>
      </c>
      <c r="D226" s="33"/>
      <c r="E226" s="33"/>
      <c r="F226" s="33"/>
      <c r="G226" s="33"/>
      <c r="H226" s="33"/>
      <c r="I226" s="33"/>
      <c r="J226" s="33"/>
      <c r="K226" s="99"/>
    </row>
    <row r="227" spans="1:255" ht="13.5" thickBot="1" x14ac:dyDescent="0.25">
      <c r="A227" s="124"/>
      <c r="B227" s="125"/>
      <c r="C227" s="125" t="s">
        <v>867</v>
      </c>
      <c r="D227" s="125"/>
      <c r="E227" s="125"/>
      <c r="F227" s="125"/>
      <c r="G227" s="125"/>
      <c r="H227" s="380">
        <f>SUM(DK215:DK226)</f>
        <v>383</v>
      </c>
      <c r="I227" s="381"/>
      <c r="J227" s="380">
        <f>SUM(DM215:DM226)</f>
        <v>5645</v>
      </c>
      <c r="K227" s="382"/>
      <c r="L227" s="112"/>
      <c r="M227" s="112"/>
      <c r="N227" s="11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row>
    <row r="228" spans="1:255" x14ac:dyDescent="0.2">
      <c r="A228" s="123"/>
      <c r="B228" s="122"/>
      <c r="C228" s="122" t="s">
        <v>868</v>
      </c>
      <c r="D228" s="122"/>
      <c r="E228" s="122"/>
      <c r="F228" s="122"/>
      <c r="G228" s="122"/>
      <c r="H228" s="383">
        <f>R228</f>
        <v>37030</v>
      </c>
      <c r="I228" s="384"/>
      <c r="J228" s="383" t="e">
        <f>S228</f>
        <v>#REF!</v>
      </c>
      <c r="K228" s="385"/>
      <c r="O228" s="23"/>
      <c r="P228" s="23"/>
      <c r="Q228" s="23"/>
      <c r="R228" s="23">
        <f>SUM(T215:T227)</f>
        <v>37030</v>
      </c>
      <c r="S228" s="23" t="e">
        <f>SUM(U215:U227)</f>
        <v>#REF!</v>
      </c>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f>R228</f>
        <v>37030</v>
      </c>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row>
    <row r="229" spans="1:255" x14ac:dyDescent="0.2">
      <c r="A229" s="77"/>
      <c r="B229" s="76"/>
      <c r="C229" s="76"/>
      <c r="D229" s="76"/>
      <c r="E229" s="76"/>
      <c r="F229" s="76"/>
      <c r="G229" s="76"/>
      <c r="H229" s="386"/>
      <c r="I229" s="387"/>
      <c r="J229" s="386"/>
      <c r="K229" s="388"/>
    </row>
    <row r="230" spans="1:255" ht="35.25" x14ac:dyDescent="0.2">
      <c r="A230" s="126">
        <v>8</v>
      </c>
      <c r="B230" s="133" t="s">
        <v>19</v>
      </c>
      <c r="C230" s="127" t="s">
        <v>933</v>
      </c>
      <c r="D230" s="128" t="s">
        <v>21</v>
      </c>
      <c r="E230" s="129">
        <v>37.119999999999997</v>
      </c>
      <c r="F230" s="130">
        <f>Source!AK126</f>
        <v>710.58</v>
      </c>
      <c r="G230" s="134" t="s">
        <v>6</v>
      </c>
      <c r="H230" s="130"/>
      <c r="I230" s="131">
        <f>SUM(DQ230:DQ243)</f>
        <v>8429</v>
      </c>
      <c r="J230" s="107" t="s">
        <v>19</v>
      </c>
      <c r="K230" s="132" t="e">
        <f>SUM(DS230:DS243)</f>
        <v>#REF!</v>
      </c>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row>
    <row r="231" spans="1:255" x14ac:dyDescent="0.2">
      <c r="A231" s="66"/>
      <c r="B231" s="67"/>
      <c r="C231" s="67" t="s">
        <v>853</v>
      </c>
      <c r="D231" s="68"/>
      <c r="E231" s="69"/>
      <c r="F231" s="70">
        <v>130.72</v>
      </c>
      <c r="G231" s="71" t="s">
        <v>934</v>
      </c>
      <c r="H231" s="70">
        <f>Source!AF126</f>
        <v>102.94</v>
      </c>
      <c r="I231" s="72">
        <f>T231</f>
        <v>955</v>
      </c>
      <c r="J231" s="73">
        <v>36.07</v>
      </c>
      <c r="K231" s="74">
        <f>U231</f>
        <v>34457</v>
      </c>
      <c r="O231" s="23"/>
      <c r="P231" s="23"/>
      <c r="Q231" s="23"/>
      <c r="R231" s="23"/>
      <c r="S231" s="23"/>
      <c r="T231" s="23">
        <f>ROUND(Source!AF126*Source!AV126*Source!I126,0)</f>
        <v>955</v>
      </c>
      <c r="U231" s="23">
        <f>Source!S126</f>
        <v>34457</v>
      </c>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v>1</v>
      </c>
      <c r="CW231" s="23"/>
      <c r="CX231" s="23"/>
      <c r="CY231" s="23"/>
      <c r="CZ231" s="23"/>
      <c r="DA231" s="23"/>
      <c r="DB231" s="23"/>
      <c r="DC231" s="23"/>
      <c r="DD231" s="23"/>
      <c r="DE231" s="23"/>
      <c r="DF231" s="23"/>
      <c r="DG231" s="23">
        <f>Source!S126</f>
        <v>34457</v>
      </c>
      <c r="DH231" s="23">
        <v>1003</v>
      </c>
      <c r="DI231" s="23"/>
      <c r="DJ231" s="23"/>
      <c r="DK231" s="23"/>
      <c r="DL231" s="23"/>
      <c r="DM231" s="23"/>
      <c r="DN231" s="23"/>
      <c r="DO231" s="23"/>
      <c r="DP231" s="23"/>
      <c r="DQ231" s="23">
        <f>T231</f>
        <v>955</v>
      </c>
      <c r="DR231" s="23"/>
      <c r="DS231" s="23">
        <f>U231</f>
        <v>34457</v>
      </c>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f>T231</f>
        <v>955</v>
      </c>
      <c r="GK231" s="23">
        <f>T231</f>
        <v>955</v>
      </c>
      <c r="GL231" s="23"/>
      <c r="GM231" s="23"/>
      <c r="GN231" s="23"/>
      <c r="GO231" s="23"/>
      <c r="GP231" s="23"/>
      <c r="GQ231" s="23"/>
      <c r="GR231" s="23"/>
      <c r="GS231" s="23"/>
      <c r="GT231" s="23"/>
      <c r="GU231" s="23"/>
      <c r="GV231" s="23"/>
      <c r="GW231" s="23"/>
      <c r="GX231" s="23"/>
      <c r="GY231" s="23"/>
      <c r="GZ231" s="23"/>
      <c r="HA231" s="23"/>
      <c r="HB231" s="23">
        <f>T231</f>
        <v>955</v>
      </c>
      <c r="HC231" s="23"/>
      <c r="HD231" s="23"/>
      <c r="HE231" s="23"/>
      <c r="HF231" s="23">
        <f>T231</f>
        <v>955</v>
      </c>
      <c r="HG231" s="23"/>
      <c r="HH231" s="23"/>
      <c r="HI231" s="23"/>
      <c r="HJ231" s="23"/>
      <c r="HK231" s="23"/>
      <c r="HL231" s="23">
        <f>T231</f>
        <v>955</v>
      </c>
      <c r="HM231" s="23"/>
      <c r="HN231" s="23">
        <f>T231</f>
        <v>955</v>
      </c>
      <c r="HO231" s="23"/>
      <c r="HP231" s="23"/>
      <c r="HQ231" s="23"/>
      <c r="HR231" s="23"/>
      <c r="HS231" s="23"/>
      <c r="HT231" s="23"/>
      <c r="HU231" s="23"/>
      <c r="HV231" s="23"/>
      <c r="HW231" s="23"/>
      <c r="HX231" s="23">
        <f>T231</f>
        <v>955</v>
      </c>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row>
    <row r="232" spans="1:255" x14ac:dyDescent="0.2">
      <c r="A232" s="78"/>
      <c r="B232" s="79"/>
      <c r="C232" s="79" t="s">
        <v>855</v>
      </c>
      <c r="D232" s="80"/>
      <c r="E232" s="81"/>
      <c r="F232" s="82">
        <v>465.76</v>
      </c>
      <c r="G232" s="83" t="s">
        <v>935</v>
      </c>
      <c r="H232" s="82">
        <f>Source!AD126</f>
        <v>481.7</v>
      </c>
      <c r="I232" s="84">
        <f>T232</f>
        <v>4470</v>
      </c>
      <c r="J232" s="85">
        <v>9.3000000000000007</v>
      </c>
      <c r="K232" s="86">
        <f>U232</f>
        <v>41573</v>
      </c>
      <c r="O232" s="23"/>
      <c r="P232" s="23"/>
      <c r="Q232" s="23"/>
      <c r="R232" s="23"/>
      <c r="S232" s="23"/>
      <c r="T232" s="23">
        <f>ROUND(Source!AD126*Source!AV126*Source!I126,0)</f>
        <v>4470</v>
      </c>
      <c r="U232" s="23">
        <f>Source!Q126</f>
        <v>41573</v>
      </c>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v>1</v>
      </c>
      <c r="CW232" s="23"/>
      <c r="CX232" s="23"/>
      <c r="CY232" s="23"/>
      <c r="CZ232" s="23"/>
      <c r="DA232" s="23"/>
      <c r="DB232" s="23"/>
      <c r="DC232" s="23"/>
      <c r="DD232" s="23"/>
      <c r="DE232" s="23"/>
      <c r="DF232" s="23"/>
      <c r="DG232" s="23"/>
      <c r="DH232" s="23"/>
      <c r="DI232" s="23"/>
      <c r="DJ232" s="23"/>
      <c r="DK232" s="23"/>
      <c r="DL232" s="23"/>
      <c r="DM232" s="23"/>
      <c r="DN232" s="23"/>
      <c r="DO232" s="23"/>
      <c r="DP232" s="23"/>
      <c r="DQ232" s="23">
        <f>T232</f>
        <v>4470</v>
      </c>
      <c r="DR232" s="23"/>
      <c r="DS232" s="23">
        <f>U232</f>
        <v>41573</v>
      </c>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f>T232</f>
        <v>4470</v>
      </c>
      <c r="GK232" s="23"/>
      <c r="GL232" s="23">
        <f>T232</f>
        <v>4470</v>
      </c>
      <c r="GM232" s="23"/>
      <c r="GN232" s="23"/>
      <c r="GO232" s="23"/>
      <c r="GP232" s="23"/>
      <c r="GQ232" s="23"/>
      <c r="GR232" s="23"/>
      <c r="GS232" s="23"/>
      <c r="GT232" s="23"/>
      <c r="GU232" s="23"/>
      <c r="GV232" s="23"/>
      <c r="GW232" s="23"/>
      <c r="GX232" s="23"/>
      <c r="GY232" s="23"/>
      <c r="GZ232" s="23"/>
      <c r="HA232" s="23"/>
      <c r="HB232" s="23">
        <f>T232</f>
        <v>4470</v>
      </c>
      <c r="HC232" s="23"/>
      <c r="HD232" s="23"/>
      <c r="HE232" s="23"/>
      <c r="HF232" s="23">
        <f>T232</f>
        <v>4470</v>
      </c>
      <c r="HG232" s="23"/>
      <c r="HH232" s="23"/>
      <c r="HI232" s="23"/>
      <c r="HJ232" s="23"/>
      <c r="HK232" s="23"/>
      <c r="HL232" s="23">
        <f>T232</f>
        <v>4470</v>
      </c>
      <c r="HM232" s="23"/>
      <c r="HN232" s="23">
        <f>T232</f>
        <v>4470</v>
      </c>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row>
    <row r="233" spans="1:255" x14ac:dyDescent="0.2">
      <c r="A233" s="78"/>
      <c r="B233" s="79"/>
      <c r="C233" s="79" t="s">
        <v>857</v>
      </c>
      <c r="D233" s="80"/>
      <c r="E233" s="81"/>
      <c r="F233" s="82">
        <v>68.59</v>
      </c>
      <c r="G233" s="83" t="s">
        <v>935</v>
      </c>
      <c r="H233" s="82">
        <f>Source!AE126</f>
        <v>61.46</v>
      </c>
      <c r="I233" s="84">
        <f>GM233</f>
        <v>570</v>
      </c>
      <c r="J233" s="85">
        <v>19.8</v>
      </c>
      <c r="K233" s="86">
        <f>Source!R126</f>
        <v>11293</v>
      </c>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f>ROUND(Source!AE126*Source!AV126*Source!I126,0)</f>
        <v>570</v>
      </c>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f>GM233</f>
        <v>570</v>
      </c>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row>
    <row r="234" spans="1:255" x14ac:dyDescent="0.2">
      <c r="A234" s="87"/>
      <c r="B234" s="88"/>
      <c r="C234" s="88" t="s">
        <v>858</v>
      </c>
      <c r="D234" s="89"/>
      <c r="E234" s="90">
        <v>120</v>
      </c>
      <c r="F234" s="91" t="s">
        <v>859</v>
      </c>
      <c r="G234" s="92"/>
      <c r="H234" s="93">
        <f>ROUND((Source!AF126*Source!AV126+Source!AE126*Source!AV126)*(Source!FX126)/100,2)</f>
        <v>197.28</v>
      </c>
      <c r="I234" s="94">
        <f>T234</f>
        <v>1830</v>
      </c>
      <c r="J234" s="96">
        <v>1.1399999999999999</v>
      </c>
      <c r="K234" s="95" t="e">
        <f>U234</f>
        <v>#REF!</v>
      </c>
      <c r="O234" s="23"/>
      <c r="P234" s="23"/>
      <c r="Q234" s="23"/>
      <c r="R234" s="23"/>
      <c r="S234" s="23"/>
      <c r="T234" s="23">
        <f>ROUND((ROUND(Source!AF126*Source!AV126*Source!I126,0)+ROUND(Source!AE126*Source!AV126*Source!I126,0))*(Source!DN126)/100,0)</f>
        <v>1830</v>
      </c>
      <c r="U234" s="23" t="e">
        <f>Source!X126</f>
        <v>#REF!</v>
      </c>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v>1</v>
      </c>
      <c r="CW234" s="23"/>
      <c r="CX234" s="23"/>
      <c r="CY234" s="23"/>
      <c r="CZ234" s="23"/>
      <c r="DA234" s="23"/>
      <c r="DB234" s="23"/>
      <c r="DC234" s="23"/>
      <c r="DD234" s="23"/>
      <c r="DE234" s="23"/>
      <c r="DF234" s="23"/>
      <c r="DG234" s="23"/>
      <c r="DH234" s="23"/>
      <c r="DI234" s="23"/>
      <c r="DJ234" s="23"/>
      <c r="DK234" s="23"/>
      <c r="DL234" s="23"/>
      <c r="DM234" s="23"/>
      <c r="DN234" s="23"/>
      <c r="DO234" s="23"/>
      <c r="DP234" s="23"/>
      <c r="DQ234" s="23">
        <f>T234</f>
        <v>1830</v>
      </c>
      <c r="DR234" s="23"/>
      <c r="DS234" s="23" t="e">
        <f>U234</f>
        <v>#REF!</v>
      </c>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f>T234</f>
        <v>1830</v>
      </c>
      <c r="GZ234" s="23"/>
      <c r="HA234" s="23"/>
      <c r="HB234" s="23">
        <f>T234</f>
        <v>1830</v>
      </c>
      <c r="HC234" s="23"/>
      <c r="HD234" s="23"/>
      <c r="HE234" s="23"/>
      <c r="HF234" s="23">
        <f>T234</f>
        <v>1830</v>
      </c>
      <c r="HG234" s="23"/>
      <c r="HH234" s="23"/>
      <c r="HI234" s="23"/>
      <c r="HJ234" s="23"/>
      <c r="HK234" s="23"/>
      <c r="HL234" s="23">
        <f>T234</f>
        <v>1830</v>
      </c>
      <c r="HM234" s="23"/>
      <c r="HN234" s="23">
        <f>T234</f>
        <v>1830</v>
      </c>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row>
    <row r="235" spans="1:255" x14ac:dyDescent="0.2">
      <c r="A235" s="87"/>
      <c r="B235" s="88"/>
      <c r="C235" s="88" t="s">
        <v>860</v>
      </c>
      <c r="D235" s="89"/>
      <c r="E235" s="90">
        <v>77</v>
      </c>
      <c r="F235" s="91" t="s">
        <v>859</v>
      </c>
      <c r="G235" s="92"/>
      <c r="H235" s="93">
        <f>ROUND((Source!AF126*Source!AV126+Source!AE126*Source!AV126)*(Source!FY126)/100,2)</f>
        <v>126.59</v>
      </c>
      <c r="I235" s="94">
        <f>T235</f>
        <v>1174</v>
      </c>
      <c r="J235" s="96">
        <v>0.65</v>
      </c>
      <c r="K235" s="95" t="e">
        <f>U235</f>
        <v>#REF!</v>
      </c>
      <c r="O235" s="23"/>
      <c r="P235" s="23"/>
      <c r="Q235" s="23"/>
      <c r="R235" s="23"/>
      <c r="S235" s="23"/>
      <c r="T235" s="23">
        <f>ROUND((ROUND(Source!AF126*Source!AV126*Source!I126,0)+ROUND(Source!AE126*Source!AV126*Source!I126,0))*(Source!DO126)/100,0)</f>
        <v>1174</v>
      </c>
      <c r="U235" s="23" t="e">
        <f>Source!Y126</f>
        <v>#REF!</v>
      </c>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v>1</v>
      </c>
      <c r="CW235" s="23"/>
      <c r="CX235" s="23"/>
      <c r="CY235" s="23"/>
      <c r="CZ235" s="23"/>
      <c r="DA235" s="23"/>
      <c r="DB235" s="23"/>
      <c r="DC235" s="23"/>
      <c r="DD235" s="23"/>
      <c r="DE235" s="23"/>
      <c r="DF235" s="23"/>
      <c r="DG235" s="23"/>
      <c r="DH235" s="23"/>
      <c r="DI235" s="23"/>
      <c r="DJ235" s="23"/>
      <c r="DK235" s="23"/>
      <c r="DL235" s="23"/>
      <c r="DM235" s="23"/>
      <c r="DN235" s="23"/>
      <c r="DO235" s="23"/>
      <c r="DP235" s="23"/>
      <c r="DQ235" s="23">
        <f>T235</f>
        <v>1174</v>
      </c>
      <c r="DR235" s="23"/>
      <c r="DS235" s="23" t="e">
        <f>U235</f>
        <v>#REF!</v>
      </c>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f>T235</f>
        <v>1174</v>
      </c>
      <c r="HA235" s="23"/>
      <c r="HB235" s="23">
        <f>T235</f>
        <v>1174</v>
      </c>
      <c r="HC235" s="23"/>
      <c r="HD235" s="23"/>
      <c r="HE235" s="23"/>
      <c r="HF235" s="23">
        <f>T235</f>
        <v>1174</v>
      </c>
      <c r="HG235" s="23"/>
      <c r="HH235" s="23"/>
      <c r="HI235" s="23"/>
      <c r="HJ235" s="23"/>
      <c r="HK235" s="23"/>
      <c r="HL235" s="23">
        <f>T235</f>
        <v>1174</v>
      </c>
      <c r="HM235" s="23"/>
      <c r="HN235" s="23">
        <f>T235</f>
        <v>1174</v>
      </c>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row>
    <row r="236" spans="1:255" x14ac:dyDescent="0.2">
      <c r="A236" s="78"/>
      <c r="B236" s="79"/>
      <c r="C236" s="79" t="s">
        <v>861</v>
      </c>
      <c r="D236" s="80" t="s">
        <v>862</v>
      </c>
      <c r="E236" s="81">
        <v>16.61</v>
      </c>
      <c r="F236" s="82"/>
      <c r="G236" s="83" t="s">
        <v>934</v>
      </c>
      <c r="H236" s="82" t="e">
        <f>ROUND(Source!AH126,2)</f>
        <v>#REF!</v>
      </c>
      <c r="I236" s="97" t="e">
        <f>Source!U126</f>
        <v>#REF!</v>
      </c>
      <c r="J236" s="85"/>
      <c r="K236" s="86"/>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row>
    <row r="237" spans="1:255" ht="24" x14ac:dyDescent="0.2">
      <c r="A237" s="100" t="s">
        <v>205</v>
      </c>
      <c r="B237" s="109" t="s">
        <v>206</v>
      </c>
      <c r="C237" s="101" t="s">
        <v>207</v>
      </c>
      <c r="D237" s="102" t="s">
        <v>208</v>
      </c>
      <c r="E237" s="103">
        <f>Source!I128</f>
        <v>46.4</v>
      </c>
      <c r="F237" s="104">
        <v>6.26</v>
      </c>
      <c r="G237" s="105"/>
      <c r="H237" s="104">
        <f>Source!AC127</f>
        <v>6.26</v>
      </c>
      <c r="I237" s="106">
        <f>T237</f>
        <v>290</v>
      </c>
      <c r="J237" s="107" t="s">
        <v>863</v>
      </c>
      <c r="K237" s="108">
        <f>U237</f>
        <v>3483</v>
      </c>
      <c r="L237" s="23"/>
      <c r="M237" s="23"/>
      <c r="N237" s="23"/>
      <c r="O237" s="23"/>
      <c r="P237" s="23"/>
      <c r="Q237" s="23"/>
      <c r="R237" s="23"/>
      <c r="S237" s="23"/>
      <c r="T237" s="23">
        <f>ROUND(Source!AC127*Source!AW127*Source!I127,0)</f>
        <v>290</v>
      </c>
      <c r="U237" s="23">
        <f>Source!P128</f>
        <v>3483</v>
      </c>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v>1</v>
      </c>
      <c r="CW237" s="23"/>
      <c r="CX237" s="23"/>
      <c r="CY237" s="23"/>
      <c r="CZ237" s="23"/>
      <c r="DA237" s="23"/>
      <c r="DB237" s="23"/>
      <c r="DC237" s="23"/>
      <c r="DD237" s="23"/>
      <c r="DE237" s="23"/>
      <c r="DF237" s="23"/>
      <c r="DG237" s="23"/>
      <c r="DH237" s="23"/>
      <c r="DI237" s="23"/>
      <c r="DJ237" s="23"/>
      <c r="DK237" s="23">
        <f>T237</f>
        <v>290</v>
      </c>
      <c r="DL237" s="23"/>
      <c r="DM237" s="23">
        <f>Source!P128</f>
        <v>3483</v>
      </c>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f>T237</f>
        <v>290</v>
      </c>
      <c r="GK237" s="23"/>
      <c r="GL237" s="23"/>
      <c r="GM237" s="23"/>
      <c r="GN237" s="23">
        <f>T237</f>
        <v>290</v>
      </c>
      <c r="GO237" s="23"/>
      <c r="GP237" s="23">
        <f>T237</f>
        <v>290</v>
      </c>
      <c r="GQ237" s="23">
        <f>T237</f>
        <v>290</v>
      </c>
      <c r="GR237" s="23"/>
      <c r="GS237" s="23">
        <f>T237</f>
        <v>290</v>
      </c>
      <c r="GT237" s="23"/>
      <c r="GU237" s="23"/>
      <c r="GV237" s="23"/>
      <c r="GW237" s="23"/>
      <c r="GX237" s="23"/>
      <c r="GY237" s="23"/>
      <c r="GZ237" s="23"/>
      <c r="HA237" s="23"/>
      <c r="HB237" s="23">
        <f>T237</f>
        <v>290</v>
      </c>
      <c r="HC237" s="23"/>
      <c r="HD237" s="23"/>
      <c r="HE237" s="23"/>
      <c r="HF237" s="23">
        <f>T237</f>
        <v>290</v>
      </c>
      <c r="HG237" s="23"/>
      <c r="HH237" s="23"/>
      <c r="HI237" s="23"/>
      <c r="HJ237" s="23"/>
      <c r="HK237" s="23"/>
      <c r="HL237" s="23">
        <f>T237</f>
        <v>290</v>
      </c>
      <c r="HM237" s="23"/>
      <c r="HN237" s="23">
        <f>T237</f>
        <v>290</v>
      </c>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row>
    <row r="238" spans="1:255" x14ac:dyDescent="0.2">
      <c r="A238" s="64"/>
      <c r="B238" s="111" t="s">
        <v>864</v>
      </c>
      <c r="C238" s="111" t="s">
        <v>936</v>
      </c>
      <c r="D238" s="63"/>
      <c r="E238" s="63"/>
      <c r="F238" s="63"/>
      <c r="G238" s="63"/>
      <c r="H238" s="63"/>
      <c r="I238" s="63"/>
      <c r="J238" s="63"/>
      <c r="K238" s="65"/>
    </row>
    <row r="239" spans="1:255" ht="24" x14ac:dyDescent="0.2">
      <c r="A239" s="100" t="s">
        <v>211</v>
      </c>
      <c r="B239" s="109" t="s">
        <v>212</v>
      </c>
      <c r="C239" s="101" t="s">
        <v>213</v>
      </c>
      <c r="D239" s="102" t="s">
        <v>44</v>
      </c>
      <c r="E239" s="103">
        <f>Source!I130</f>
        <v>3.6720000000000003E-2</v>
      </c>
      <c r="F239" s="104">
        <v>626.89</v>
      </c>
      <c r="G239" s="105"/>
      <c r="H239" s="104">
        <f>Source!AC129</f>
        <v>626.89</v>
      </c>
      <c r="I239" s="106">
        <f>T239</f>
        <v>23</v>
      </c>
      <c r="J239" s="107" t="s">
        <v>863</v>
      </c>
      <c r="K239" s="108">
        <f>U239</f>
        <v>328</v>
      </c>
      <c r="L239" s="23"/>
      <c r="M239" s="23"/>
      <c r="N239" s="23"/>
      <c r="O239" s="23"/>
      <c r="P239" s="23"/>
      <c r="Q239" s="23"/>
      <c r="R239" s="23"/>
      <c r="S239" s="23"/>
      <c r="T239" s="23">
        <f>ROUND(Source!AC129*Source!AW129*Source!I129,0)</f>
        <v>23</v>
      </c>
      <c r="U239" s="23">
        <f>Source!P130</f>
        <v>328</v>
      </c>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v>1</v>
      </c>
      <c r="CW239" s="23"/>
      <c r="CX239" s="23"/>
      <c r="CY239" s="23"/>
      <c r="CZ239" s="23"/>
      <c r="DA239" s="23"/>
      <c r="DB239" s="23"/>
      <c r="DC239" s="23"/>
      <c r="DD239" s="23"/>
      <c r="DE239" s="23"/>
      <c r="DF239" s="23"/>
      <c r="DG239" s="23"/>
      <c r="DH239" s="23"/>
      <c r="DI239" s="23"/>
      <c r="DJ239" s="23"/>
      <c r="DK239" s="23">
        <f>T239</f>
        <v>23</v>
      </c>
      <c r="DL239" s="23"/>
      <c r="DM239" s="23">
        <f>Source!P130</f>
        <v>328</v>
      </c>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f>T239</f>
        <v>23</v>
      </c>
      <c r="GK239" s="23"/>
      <c r="GL239" s="23"/>
      <c r="GM239" s="23"/>
      <c r="GN239" s="23">
        <f>T239</f>
        <v>23</v>
      </c>
      <c r="GO239" s="23"/>
      <c r="GP239" s="23">
        <f>T239</f>
        <v>23</v>
      </c>
      <c r="GQ239" s="23">
        <f>T239</f>
        <v>23</v>
      </c>
      <c r="GR239" s="23"/>
      <c r="GS239" s="23">
        <f>T239</f>
        <v>23</v>
      </c>
      <c r="GT239" s="23"/>
      <c r="GU239" s="23"/>
      <c r="GV239" s="23"/>
      <c r="GW239" s="23"/>
      <c r="GX239" s="23"/>
      <c r="GY239" s="23"/>
      <c r="GZ239" s="23"/>
      <c r="HA239" s="23"/>
      <c r="HB239" s="23">
        <f>T239</f>
        <v>23</v>
      </c>
      <c r="HC239" s="23"/>
      <c r="HD239" s="23"/>
      <c r="HE239" s="23"/>
      <c r="HF239" s="23">
        <f>T239</f>
        <v>23</v>
      </c>
      <c r="HG239" s="23"/>
      <c r="HH239" s="23"/>
      <c r="HI239" s="23"/>
      <c r="HJ239" s="23"/>
      <c r="HK239" s="23"/>
      <c r="HL239" s="23">
        <f>T239</f>
        <v>23</v>
      </c>
      <c r="HM239" s="23"/>
      <c r="HN239" s="23">
        <f>T239</f>
        <v>23</v>
      </c>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row>
    <row r="240" spans="1:255" x14ac:dyDescent="0.2">
      <c r="A240" s="64"/>
      <c r="B240" s="111" t="s">
        <v>864</v>
      </c>
      <c r="C240" s="111" t="s">
        <v>937</v>
      </c>
      <c r="D240" s="63"/>
      <c r="E240" s="63"/>
      <c r="F240" s="63"/>
      <c r="G240" s="63"/>
      <c r="H240" s="63"/>
      <c r="I240" s="63"/>
      <c r="J240" s="63"/>
      <c r="K240" s="65"/>
    </row>
    <row r="241" spans="1:255" x14ac:dyDescent="0.2">
      <c r="A241" s="114" t="s">
        <v>216</v>
      </c>
      <c r="B241" s="115" t="s">
        <v>217</v>
      </c>
      <c r="C241" s="116" t="s">
        <v>218</v>
      </c>
      <c r="D241" s="117" t="s">
        <v>44</v>
      </c>
      <c r="E241" s="118">
        <f>Source!I132</f>
        <v>4.2431999999999999</v>
      </c>
      <c r="F241" s="119">
        <v>459.1</v>
      </c>
      <c r="G241" s="71"/>
      <c r="H241" s="119">
        <f>Source!AC131</f>
        <v>459.1</v>
      </c>
      <c r="I241" s="120">
        <f>T241</f>
        <v>1948</v>
      </c>
      <c r="J241" s="73" t="s">
        <v>863</v>
      </c>
      <c r="K241" s="121">
        <f>U241</f>
        <v>16903</v>
      </c>
      <c r="L241" s="23"/>
      <c r="M241" s="23"/>
      <c r="N241" s="23"/>
      <c r="O241" s="23"/>
      <c r="P241" s="23"/>
      <c r="Q241" s="23"/>
      <c r="R241" s="23"/>
      <c r="S241" s="23"/>
      <c r="T241" s="23">
        <f>ROUND(Source!AC131*Source!AW131*Source!I131,0)</f>
        <v>1948</v>
      </c>
      <c r="U241" s="23">
        <f>Source!P132</f>
        <v>16903</v>
      </c>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v>1</v>
      </c>
      <c r="CW241" s="23"/>
      <c r="CX241" s="23"/>
      <c r="CY241" s="23"/>
      <c r="CZ241" s="23"/>
      <c r="DA241" s="23"/>
      <c r="DB241" s="23"/>
      <c r="DC241" s="23"/>
      <c r="DD241" s="23"/>
      <c r="DE241" s="23"/>
      <c r="DF241" s="23"/>
      <c r="DG241" s="23"/>
      <c r="DH241" s="23"/>
      <c r="DI241" s="23"/>
      <c r="DJ241" s="23"/>
      <c r="DK241" s="23">
        <f>T241</f>
        <v>1948</v>
      </c>
      <c r="DL241" s="23"/>
      <c r="DM241" s="23">
        <f>Source!P132</f>
        <v>16903</v>
      </c>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f>T241</f>
        <v>1948</v>
      </c>
      <c r="GK241" s="23"/>
      <c r="GL241" s="23"/>
      <c r="GM241" s="23"/>
      <c r="GN241" s="23">
        <f>T241</f>
        <v>1948</v>
      </c>
      <c r="GO241" s="23"/>
      <c r="GP241" s="23">
        <f>T241</f>
        <v>1948</v>
      </c>
      <c r="GQ241" s="23">
        <f>T241</f>
        <v>1948</v>
      </c>
      <c r="GR241" s="23"/>
      <c r="GS241" s="23">
        <f>T241</f>
        <v>1948</v>
      </c>
      <c r="GT241" s="23"/>
      <c r="GU241" s="23"/>
      <c r="GV241" s="23"/>
      <c r="GW241" s="23"/>
      <c r="GX241" s="23"/>
      <c r="GY241" s="23"/>
      <c r="GZ241" s="23"/>
      <c r="HA241" s="23"/>
      <c r="HB241" s="23">
        <f>T241</f>
        <v>1948</v>
      </c>
      <c r="HC241" s="23"/>
      <c r="HD241" s="23"/>
      <c r="HE241" s="23"/>
      <c r="HF241" s="23">
        <f>T241</f>
        <v>1948</v>
      </c>
      <c r="HG241" s="23"/>
      <c r="HH241" s="23"/>
      <c r="HI241" s="23"/>
      <c r="HJ241" s="23"/>
      <c r="HK241" s="23"/>
      <c r="HL241" s="23">
        <f>T241</f>
        <v>1948</v>
      </c>
      <c r="HM241" s="23"/>
      <c r="HN241" s="23">
        <f>T241</f>
        <v>1948</v>
      </c>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row>
    <row r="242" spans="1:255" x14ac:dyDescent="0.2">
      <c r="A242" s="98"/>
      <c r="B242" s="113" t="s">
        <v>864</v>
      </c>
      <c r="C242" s="113" t="s">
        <v>938</v>
      </c>
      <c r="D242" s="33"/>
      <c r="E242" s="33"/>
      <c r="F242" s="33"/>
      <c r="G242" s="33"/>
      <c r="H242" s="33"/>
      <c r="I242" s="33"/>
      <c r="J242" s="33"/>
      <c r="K242" s="99"/>
    </row>
    <row r="243" spans="1:255" ht="13.5" thickBot="1" x14ac:dyDescent="0.25">
      <c r="A243" s="124"/>
      <c r="B243" s="125"/>
      <c r="C243" s="125" t="s">
        <v>867</v>
      </c>
      <c r="D243" s="125"/>
      <c r="E243" s="125"/>
      <c r="F243" s="125"/>
      <c r="G243" s="125"/>
      <c r="H243" s="380">
        <f>SUM(DK230:DK242)</f>
        <v>2261</v>
      </c>
      <c r="I243" s="381"/>
      <c r="J243" s="380">
        <f>SUM(DM230:DM242)</f>
        <v>20714</v>
      </c>
      <c r="K243" s="382"/>
      <c r="L243" s="112"/>
      <c r="M243" s="112"/>
      <c r="N243" s="11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row>
    <row r="244" spans="1:255" x14ac:dyDescent="0.2">
      <c r="A244" s="123"/>
      <c r="B244" s="122"/>
      <c r="C244" s="122" t="s">
        <v>868</v>
      </c>
      <c r="D244" s="122"/>
      <c r="E244" s="122"/>
      <c r="F244" s="122"/>
      <c r="G244" s="122"/>
      <c r="H244" s="383">
        <f>R244</f>
        <v>10690</v>
      </c>
      <c r="I244" s="384"/>
      <c r="J244" s="383" t="e">
        <f>S244</f>
        <v>#REF!</v>
      </c>
      <c r="K244" s="385"/>
      <c r="O244" s="23"/>
      <c r="P244" s="23"/>
      <c r="Q244" s="23"/>
      <c r="R244" s="23">
        <f>SUM(T230:T243)</f>
        <v>10690</v>
      </c>
      <c r="S244" s="23" t="e">
        <f>SUM(U230:U243)</f>
        <v>#REF!</v>
      </c>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f>R244</f>
        <v>10690</v>
      </c>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row>
    <row r="245" spans="1:255" x14ac:dyDescent="0.2">
      <c r="A245" s="77"/>
      <c r="B245" s="76"/>
      <c r="C245" s="76"/>
      <c r="D245" s="76"/>
      <c r="E245" s="76"/>
      <c r="F245" s="76"/>
      <c r="G245" s="76"/>
      <c r="H245" s="386"/>
      <c r="I245" s="387"/>
      <c r="J245" s="386"/>
      <c r="K245" s="388"/>
    </row>
    <row r="246" spans="1:255" ht="47.25" x14ac:dyDescent="0.2">
      <c r="A246" s="126">
        <v>9</v>
      </c>
      <c r="B246" s="133" t="s">
        <v>222</v>
      </c>
      <c r="C246" s="127" t="s">
        <v>939</v>
      </c>
      <c r="D246" s="128" t="s">
        <v>49</v>
      </c>
      <c r="E246" s="129">
        <v>2.6440000000000001</v>
      </c>
      <c r="F246" s="130">
        <f>Source!AK134</f>
        <v>5443.87</v>
      </c>
      <c r="G246" s="134" t="s">
        <v>6</v>
      </c>
      <c r="H246" s="130"/>
      <c r="I246" s="131">
        <f>SUM(DQ246:DQ255)</f>
        <v>1018</v>
      </c>
      <c r="J246" s="107" t="s">
        <v>222</v>
      </c>
      <c r="K246" s="132" t="e">
        <f>SUM(DS246:DS255)</f>
        <v>#REF!</v>
      </c>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row>
    <row r="247" spans="1:255" x14ac:dyDescent="0.2">
      <c r="A247" s="66"/>
      <c r="B247" s="67"/>
      <c r="C247" s="67" t="s">
        <v>853</v>
      </c>
      <c r="D247" s="68"/>
      <c r="E247" s="69"/>
      <c r="F247" s="70">
        <v>614.29</v>
      </c>
      <c r="G247" s="71" t="s">
        <v>854</v>
      </c>
      <c r="H247" s="70">
        <f>Source!AF134</f>
        <v>645</v>
      </c>
      <c r="I247" s="72">
        <f>T247</f>
        <v>426</v>
      </c>
      <c r="J247" s="73">
        <v>25.36</v>
      </c>
      <c r="K247" s="74">
        <f>U247</f>
        <v>10812</v>
      </c>
      <c r="O247" s="23"/>
      <c r="P247" s="23"/>
      <c r="Q247" s="23"/>
      <c r="R247" s="23"/>
      <c r="S247" s="23"/>
      <c r="T247" s="23">
        <f>ROUND(Source!AF134*Source!AV134*Source!I134,0)</f>
        <v>426</v>
      </c>
      <c r="U247" s="23">
        <f>Source!S134</f>
        <v>10812</v>
      </c>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v>1</v>
      </c>
      <c r="CW247" s="23"/>
      <c r="CX247" s="23"/>
      <c r="CY247" s="23"/>
      <c r="CZ247" s="23"/>
      <c r="DA247" s="23"/>
      <c r="DB247" s="23"/>
      <c r="DC247" s="23"/>
      <c r="DD247" s="23"/>
      <c r="DE247" s="23"/>
      <c r="DF247" s="23"/>
      <c r="DG247" s="23">
        <f>Source!S134</f>
        <v>10812</v>
      </c>
      <c r="DH247" s="23">
        <v>1015</v>
      </c>
      <c r="DI247" s="23"/>
      <c r="DJ247" s="23"/>
      <c r="DK247" s="23"/>
      <c r="DL247" s="23"/>
      <c r="DM247" s="23"/>
      <c r="DN247" s="23"/>
      <c r="DO247" s="23"/>
      <c r="DP247" s="23"/>
      <c r="DQ247" s="23">
        <f>T247</f>
        <v>426</v>
      </c>
      <c r="DR247" s="23"/>
      <c r="DS247" s="23">
        <f>U247</f>
        <v>10812</v>
      </c>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f>T247</f>
        <v>426</v>
      </c>
      <c r="GK247" s="23">
        <f>T247</f>
        <v>426</v>
      </c>
      <c r="GL247" s="23"/>
      <c r="GM247" s="23"/>
      <c r="GN247" s="23"/>
      <c r="GO247" s="23"/>
      <c r="GP247" s="23"/>
      <c r="GQ247" s="23"/>
      <c r="GR247" s="23"/>
      <c r="GS247" s="23"/>
      <c r="GT247" s="23"/>
      <c r="GU247" s="23"/>
      <c r="GV247" s="23"/>
      <c r="GW247" s="23"/>
      <c r="GX247" s="23"/>
      <c r="GY247" s="23"/>
      <c r="GZ247" s="23"/>
      <c r="HA247" s="23"/>
      <c r="HB247" s="23">
        <f>T247</f>
        <v>426</v>
      </c>
      <c r="HC247" s="23"/>
      <c r="HD247" s="23"/>
      <c r="HE247" s="23"/>
      <c r="HF247" s="23">
        <f>T247</f>
        <v>426</v>
      </c>
      <c r="HG247" s="23"/>
      <c r="HH247" s="23"/>
      <c r="HI247" s="23"/>
      <c r="HJ247" s="23"/>
      <c r="HK247" s="23"/>
      <c r="HL247" s="23">
        <f>T247</f>
        <v>426</v>
      </c>
      <c r="HM247" s="23"/>
      <c r="HN247" s="23">
        <f>T247</f>
        <v>426</v>
      </c>
      <c r="HO247" s="23"/>
      <c r="HP247" s="23"/>
      <c r="HQ247" s="23"/>
      <c r="HR247" s="23"/>
      <c r="HS247" s="23"/>
      <c r="HT247" s="23"/>
      <c r="HU247" s="23"/>
      <c r="HV247" s="23"/>
      <c r="HW247" s="23"/>
      <c r="HX247" s="23">
        <f>T247</f>
        <v>426</v>
      </c>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row>
    <row r="248" spans="1:255" x14ac:dyDescent="0.2">
      <c r="A248" s="78"/>
      <c r="B248" s="79"/>
      <c r="C248" s="79" t="s">
        <v>855</v>
      </c>
      <c r="D248" s="80"/>
      <c r="E248" s="81"/>
      <c r="F248" s="82">
        <v>65.97</v>
      </c>
      <c r="G248" s="83" t="s">
        <v>856</v>
      </c>
      <c r="H248" s="82">
        <f>Source!AD134</f>
        <v>73.89</v>
      </c>
      <c r="I248" s="84">
        <f>T248</f>
        <v>49</v>
      </c>
      <c r="J248" s="85">
        <v>7.84</v>
      </c>
      <c r="K248" s="86">
        <f>U248</f>
        <v>383</v>
      </c>
      <c r="O248" s="23"/>
      <c r="P248" s="23"/>
      <c r="Q248" s="23"/>
      <c r="R248" s="23"/>
      <c r="S248" s="23"/>
      <c r="T248" s="23">
        <f>ROUND(Source!AD134*Source!AV134*Source!I134,0)</f>
        <v>49</v>
      </c>
      <c r="U248" s="23">
        <f>Source!Q134</f>
        <v>383</v>
      </c>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v>1</v>
      </c>
      <c r="CW248" s="23"/>
      <c r="CX248" s="23"/>
      <c r="CY248" s="23"/>
      <c r="CZ248" s="23"/>
      <c r="DA248" s="23"/>
      <c r="DB248" s="23"/>
      <c r="DC248" s="23"/>
      <c r="DD248" s="23"/>
      <c r="DE248" s="23"/>
      <c r="DF248" s="23"/>
      <c r="DG248" s="23"/>
      <c r="DH248" s="23"/>
      <c r="DI248" s="23"/>
      <c r="DJ248" s="23"/>
      <c r="DK248" s="23"/>
      <c r="DL248" s="23"/>
      <c r="DM248" s="23"/>
      <c r="DN248" s="23"/>
      <c r="DO248" s="23"/>
      <c r="DP248" s="23"/>
      <c r="DQ248" s="23">
        <f>T248</f>
        <v>49</v>
      </c>
      <c r="DR248" s="23"/>
      <c r="DS248" s="23">
        <f>U248</f>
        <v>383</v>
      </c>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f>T248</f>
        <v>49</v>
      </c>
      <c r="GK248" s="23"/>
      <c r="GL248" s="23">
        <f>T248</f>
        <v>49</v>
      </c>
      <c r="GM248" s="23"/>
      <c r="GN248" s="23"/>
      <c r="GO248" s="23"/>
      <c r="GP248" s="23"/>
      <c r="GQ248" s="23"/>
      <c r="GR248" s="23"/>
      <c r="GS248" s="23"/>
      <c r="GT248" s="23"/>
      <c r="GU248" s="23"/>
      <c r="GV248" s="23"/>
      <c r="GW248" s="23"/>
      <c r="GX248" s="23"/>
      <c r="GY248" s="23"/>
      <c r="GZ248" s="23"/>
      <c r="HA248" s="23"/>
      <c r="HB248" s="23">
        <f>T248</f>
        <v>49</v>
      </c>
      <c r="HC248" s="23"/>
      <c r="HD248" s="23"/>
      <c r="HE248" s="23"/>
      <c r="HF248" s="23">
        <f>T248</f>
        <v>49</v>
      </c>
      <c r="HG248" s="23"/>
      <c r="HH248" s="23"/>
      <c r="HI248" s="23"/>
      <c r="HJ248" s="23"/>
      <c r="HK248" s="23"/>
      <c r="HL248" s="23">
        <f>T248</f>
        <v>49</v>
      </c>
      <c r="HM248" s="23"/>
      <c r="HN248" s="23">
        <f>T248</f>
        <v>49</v>
      </c>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row>
    <row r="249" spans="1:255" x14ac:dyDescent="0.2">
      <c r="A249" s="78"/>
      <c r="B249" s="79"/>
      <c r="C249" s="79" t="s">
        <v>857</v>
      </c>
      <c r="D249" s="80"/>
      <c r="E249" s="81"/>
      <c r="F249" s="82">
        <v>6.26</v>
      </c>
      <c r="G249" s="83" t="s">
        <v>856</v>
      </c>
      <c r="H249" s="82">
        <f>Source!AE134</f>
        <v>7.01</v>
      </c>
      <c r="I249" s="84">
        <f>GM249</f>
        <v>5</v>
      </c>
      <c r="J249" s="85">
        <v>19.8</v>
      </c>
      <c r="K249" s="86">
        <f>Source!R134</f>
        <v>92</v>
      </c>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f>ROUND(Source!AE134*Source!AV134*Source!I134,0)</f>
        <v>5</v>
      </c>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f>GM249</f>
        <v>5</v>
      </c>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row>
    <row r="250" spans="1:255" x14ac:dyDescent="0.2">
      <c r="A250" s="87"/>
      <c r="B250" s="88"/>
      <c r="C250" s="88" t="s">
        <v>858</v>
      </c>
      <c r="D250" s="89"/>
      <c r="E250" s="90">
        <v>66</v>
      </c>
      <c r="F250" s="91" t="s">
        <v>859</v>
      </c>
      <c r="G250" s="92"/>
      <c r="H250" s="93">
        <f>ROUND((Source!AF134*Source!AV134+Source!AE134*Source!AV134)*(Source!FX134)/100,2)</f>
        <v>430.33</v>
      </c>
      <c r="I250" s="94">
        <f>T250</f>
        <v>284</v>
      </c>
      <c r="J250" s="96">
        <v>0.63</v>
      </c>
      <c r="K250" s="95" t="e">
        <f>U250</f>
        <v>#REF!</v>
      </c>
      <c r="O250" s="23"/>
      <c r="P250" s="23"/>
      <c r="Q250" s="23"/>
      <c r="R250" s="23"/>
      <c r="S250" s="23"/>
      <c r="T250" s="23">
        <f>ROUND((ROUND(Source!AF134*Source!AV134*Source!I134,0)+ROUND(Source!AE134*Source!AV134*Source!I134,0))*(Source!DN134)/100,0)</f>
        <v>284</v>
      </c>
      <c r="U250" s="23" t="e">
        <f>Source!X134</f>
        <v>#REF!</v>
      </c>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v>1</v>
      </c>
      <c r="CW250" s="23"/>
      <c r="CX250" s="23"/>
      <c r="CY250" s="23"/>
      <c r="CZ250" s="23"/>
      <c r="DA250" s="23"/>
      <c r="DB250" s="23"/>
      <c r="DC250" s="23"/>
      <c r="DD250" s="23"/>
      <c r="DE250" s="23"/>
      <c r="DF250" s="23"/>
      <c r="DG250" s="23"/>
      <c r="DH250" s="23"/>
      <c r="DI250" s="23"/>
      <c r="DJ250" s="23"/>
      <c r="DK250" s="23"/>
      <c r="DL250" s="23"/>
      <c r="DM250" s="23"/>
      <c r="DN250" s="23"/>
      <c r="DO250" s="23"/>
      <c r="DP250" s="23"/>
      <c r="DQ250" s="23">
        <f>T250</f>
        <v>284</v>
      </c>
      <c r="DR250" s="23"/>
      <c r="DS250" s="23" t="e">
        <f>U250</f>
        <v>#REF!</v>
      </c>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f>T250</f>
        <v>284</v>
      </c>
      <c r="GZ250" s="23"/>
      <c r="HA250" s="23"/>
      <c r="HB250" s="23">
        <f>T250</f>
        <v>284</v>
      </c>
      <c r="HC250" s="23"/>
      <c r="HD250" s="23"/>
      <c r="HE250" s="23"/>
      <c r="HF250" s="23">
        <f>T250</f>
        <v>284</v>
      </c>
      <c r="HG250" s="23"/>
      <c r="HH250" s="23"/>
      <c r="HI250" s="23"/>
      <c r="HJ250" s="23"/>
      <c r="HK250" s="23"/>
      <c r="HL250" s="23">
        <f>T250</f>
        <v>284</v>
      </c>
      <c r="HM250" s="23"/>
      <c r="HN250" s="23">
        <f>T250</f>
        <v>284</v>
      </c>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row>
    <row r="251" spans="1:255" x14ac:dyDescent="0.2">
      <c r="A251" s="87"/>
      <c r="B251" s="88"/>
      <c r="C251" s="88" t="s">
        <v>860</v>
      </c>
      <c r="D251" s="89"/>
      <c r="E251" s="90">
        <v>60</v>
      </c>
      <c r="F251" s="91" t="s">
        <v>859</v>
      </c>
      <c r="G251" s="92"/>
      <c r="H251" s="93">
        <f>ROUND((Source!AF134*Source!AV134+Source!AE134*Source!AV134)*(Source!FY134)/100,2)</f>
        <v>391.21</v>
      </c>
      <c r="I251" s="94">
        <f>T251</f>
        <v>259</v>
      </c>
      <c r="J251" s="96">
        <v>0.51</v>
      </c>
      <c r="K251" s="95" t="e">
        <f>U251</f>
        <v>#REF!</v>
      </c>
      <c r="O251" s="23"/>
      <c r="P251" s="23"/>
      <c r="Q251" s="23"/>
      <c r="R251" s="23"/>
      <c r="S251" s="23"/>
      <c r="T251" s="23">
        <f>ROUND((ROUND(Source!AF134*Source!AV134*Source!I134,0)+ROUND(Source!AE134*Source!AV134*Source!I134,0))*(Source!DO134)/100,0)</f>
        <v>259</v>
      </c>
      <c r="U251" s="23" t="e">
        <f>Source!Y134</f>
        <v>#REF!</v>
      </c>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v>1</v>
      </c>
      <c r="CW251" s="23"/>
      <c r="CX251" s="23"/>
      <c r="CY251" s="23"/>
      <c r="CZ251" s="23"/>
      <c r="DA251" s="23"/>
      <c r="DB251" s="23"/>
      <c r="DC251" s="23"/>
      <c r="DD251" s="23"/>
      <c r="DE251" s="23"/>
      <c r="DF251" s="23"/>
      <c r="DG251" s="23"/>
      <c r="DH251" s="23"/>
      <c r="DI251" s="23"/>
      <c r="DJ251" s="23"/>
      <c r="DK251" s="23"/>
      <c r="DL251" s="23"/>
      <c r="DM251" s="23"/>
      <c r="DN251" s="23"/>
      <c r="DO251" s="23"/>
      <c r="DP251" s="23"/>
      <c r="DQ251" s="23">
        <f>T251</f>
        <v>259</v>
      </c>
      <c r="DR251" s="23"/>
      <c r="DS251" s="23" t="e">
        <f>U251</f>
        <v>#REF!</v>
      </c>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f>T251</f>
        <v>259</v>
      </c>
      <c r="HA251" s="23"/>
      <c r="HB251" s="23">
        <f>T251</f>
        <v>259</v>
      </c>
      <c r="HC251" s="23"/>
      <c r="HD251" s="23"/>
      <c r="HE251" s="23"/>
      <c r="HF251" s="23">
        <f>T251</f>
        <v>259</v>
      </c>
      <c r="HG251" s="23"/>
      <c r="HH251" s="23"/>
      <c r="HI251" s="23"/>
      <c r="HJ251" s="23"/>
      <c r="HK251" s="23"/>
      <c r="HL251" s="23">
        <f>T251</f>
        <v>259</v>
      </c>
      <c r="HM251" s="23"/>
      <c r="HN251" s="23">
        <f>T251</f>
        <v>259</v>
      </c>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row>
    <row r="252" spans="1:255" x14ac:dyDescent="0.2">
      <c r="A252" s="78"/>
      <c r="B252" s="79"/>
      <c r="C252" s="79" t="s">
        <v>861</v>
      </c>
      <c r="D252" s="80" t="s">
        <v>862</v>
      </c>
      <c r="E252" s="81">
        <v>51.533999999999999</v>
      </c>
      <c r="F252" s="82"/>
      <c r="G252" s="83" t="s">
        <v>854</v>
      </c>
      <c r="H252" s="82" t="e">
        <f>ROUND(Source!AH134,2)</f>
        <v>#REF!</v>
      </c>
      <c r="I252" s="97" t="e">
        <f>Source!U134</f>
        <v>#REF!</v>
      </c>
      <c r="J252" s="85"/>
      <c r="K252" s="86"/>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row>
    <row r="253" spans="1:255" ht="24" x14ac:dyDescent="0.2">
      <c r="A253" s="114" t="s">
        <v>225</v>
      </c>
      <c r="B253" s="115" t="s">
        <v>226</v>
      </c>
      <c r="C253" s="116" t="s">
        <v>227</v>
      </c>
      <c r="D253" s="117" t="s">
        <v>33</v>
      </c>
      <c r="E253" s="118">
        <f>Source!I136</f>
        <v>0.66100000000000003</v>
      </c>
      <c r="F253" s="119">
        <v>5132.8999999999996</v>
      </c>
      <c r="G253" s="71"/>
      <c r="H253" s="119">
        <f>Source!AC135</f>
        <v>5132.8999999999996</v>
      </c>
      <c r="I253" s="120">
        <f>T253</f>
        <v>3393</v>
      </c>
      <c r="J253" s="73" t="s">
        <v>863</v>
      </c>
      <c r="K253" s="121">
        <f>U253</f>
        <v>41130</v>
      </c>
      <c r="L253" s="23"/>
      <c r="M253" s="23"/>
      <c r="N253" s="23"/>
      <c r="O253" s="23"/>
      <c r="P253" s="23"/>
      <c r="Q253" s="23"/>
      <c r="R253" s="23"/>
      <c r="S253" s="23"/>
      <c r="T253" s="23">
        <f>ROUND(Source!AC135*Source!AW135*Source!I135,0)</f>
        <v>3393</v>
      </c>
      <c r="U253" s="23">
        <f>Source!P136</f>
        <v>41130</v>
      </c>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v>1</v>
      </c>
      <c r="CW253" s="23"/>
      <c r="CX253" s="23"/>
      <c r="CY253" s="23"/>
      <c r="CZ253" s="23"/>
      <c r="DA253" s="23"/>
      <c r="DB253" s="23"/>
      <c r="DC253" s="23"/>
      <c r="DD253" s="23"/>
      <c r="DE253" s="23"/>
      <c r="DF253" s="23"/>
      <c r="DG253" s="23"/>
      <c r="DH253" s="23"/>
      <c r="DI253" s="23"/>
      <c r="DJ253" s="23"/>
      <c r="DK253" s="23">
        <f>T253</f>
        <v>3393</v>
      </c>
      <c r="DL253" s="23"/>
      <c r="DM253" s="23">
        <f>Source!P136</f>
        <v>41130</v>
      </c>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f>T253</f>
        <v>3393</v>
      </c>
      <c r="GK253" s="23"/>
      <c r="GL253" s="23"/>
      <c r="GM253" s="23"/>
      <c r="GN253" s="23">
        <f>T253</f>
        <v>3393</v>
      </c>
      <c r="GO253" s="23"/>
      <c r="GP253" s="23">
        <f>T253</f>
        <v>3393</v>
      </c>
      <c r="GQ253" s="23">
        <f>T253</f>
        <v>3393</v>
      </c>
      <c r="GR253" s="23"/>
      <c r="GS253" s="23">
        <f>T253</f>
        <v>3393</v>
      </c>
      <c r="GT253" s="23"/>
      <c r="GU253" s="23"/>
      <c r="GV253" s="23"/>
      <c r="GW253" s="23"/>
      <c r="GX253" s="23"/>
      <c r="GY253" s="23"/>
      <c r="GZ253" s="23"/>
      <c r="HA253" s="23"/>
      <c r="HB253" s="23">
        <f>T253</f>
        <v>3393</v>
      </c>
      <c r="HC253" s="23"/>
      <c r="HD253" s="23"/>
      <c r="HE253" s="23"/>
      <c r="HF253" s="23">
        <f>T253</f>
        <v>3393</v>
      </c>
      <c r="HG253" s="23"/>
      <c r="HH253" s="23"/>
      <c r="HI253" s="23"/>
      <c r="HJ253" s="23"/>
      <c r="HK253" s="23"/>
      <c r="HL253" s="23">
        <f>T253</f>
        <v>3393</v>
      </c>
      <c r="HM253" s="23"/>
      <c r="HN253" s="23">
        <f>T253</f>
        <v>3393</v>
      </c>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row>
    <row r="254" spans="1:255" x14ac:dyDescent="0.2">
      <c r="A254" s="98"/>
      <c r="B254" s="113" t="s">
        <v>864</v>
      </c>
      <c r="C254" s="113" t="s">
        <v>940</v>
      </c>
      <c r="D254" s="33"/>
      <c r="E254" s="33"/>
      <c r="F254" s="33"/>
      <c r="G254" s="33"/>
      <c r="H254" s="33"/>
      <c r="I254" s="33"/>
      <c r="J254" s="33"/>
      <c r="K254" s="99"/>
    </row>
    <row r="255" spans="1:255" ht="13.5" thickBot="1" x14ac:dyDescent="0.25">
      <c r="A255" s="124"/>
      <c r="B255" s="125"/>
      <c r="C255" s="125" t="s">
        <v>867</v>
      </c>
      <c r="D255" s="125"/>
      <c r="E255" s="125"/>
      <c r="F255" s="125"/>
      <c r="G255" s="125"/>
      <c r="H255" s="380">
        <f>SUM(DK246:DK254)</f>
        <v>3393</v>
      </c>
      <c r="I255" s="381"/>
      <c r="J255" s="380">
        <f>SUM(DM246:DM254)</f>
        <v>41130</v>
      </c>
      <c r="K255" s="382"/>
      <c r="L255" s="112"/>
      <c r="M255" s="112"/>
      <c r="N255" s="11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row>
    <row r="256" spans="1:255" x14ac:dyDescent="0.2">
      <c r="A256" s="123"/>
      <c r="B256" s="122"/>
      <c r="C256" s="122" t="s">
        <v>868</v>
      </c>
      <c r="D256" s="122"/>
      <c r="E256" s="122"/>
      <c r="F256" s="122"/>
      <c r="G256" s="122"/>
      <c r="H256" s="383">
        <f>R256</f>
        <v>4411</v>
      </c>
      <c r="I256" s="384"/>
      <c r="J256" s="383" t="e">
        <f>S256</f>
        <v>#REF!</v>
      </c>
      <c r="K256" s="385"/>
      <c r="O256" s="23"/>
      <c r="P256" s="23"/>
      <c r="Q256" s="23"/>
      <c r="R256" s="23">
        <f>SUM(T246:T255)</f>
        <v>4411</v>
      </c>
      <c r="S256" s="23" t="e">
        <f>SUM(U246:U255)</f>
        <v>#REF!</v>
      </c>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f>R256</f>
        <v>4411</v>
      </c>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row>
    <row r="257" spans="1:255" x14ac:dyDescent="0.2">
      <c r="A257" s="77"/>
      <c r="B257" s="76"/>
      <c r="C257" s="76"/>
      <c r="D257" s="76"/>
      <c r="E257" s="76"/>
      <c r="F257" s="76"/>
      <c r="G257" s="76"/>
      <c r="H257" s="386"/>
      <c r="I257" s="387"/>
      <c r="J257" s="386"/>
      <c r="K257" s="388"/>
    </row>
    <row r="258" spans="1:255" ht="47.25" x14ac:dyDescent="0.2">
      <c r="A258" s="126">
        <v>10</v>
      </c>
      <c r="B258" s="133" t="s">
        <v>231</v>
      </c>
      <c r="C258" s="127" t="s">
        <v>941</v>
      </c>
      <c r="D258" s="128" t="s">
        <v>49</v>
      </c>
      <c r="E258" s="129">
        <v>40.454999999999998</v>
      </c>
      <c r="F258" s="130">
        <f>Source!AK138</f>
        <v>5431.26</v>
      </c>
      <c r="G258" s="134" t="s">
        <v>6</v>
      </c>
      <c r="H258" s="130"/>
      <c r="I258" s="131">
        <f>SUM(DQ258:DQ269)</f>
        <v>15553</v>
      </c>
      <c r="J258" s="107" t="s">
        <v>231</v>
      </c>
      <c r="K258" s="132" t="e">
        <f>SUM(DS258:DS269)</f>
        <v>#REF!</v>
      </c>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row>
    <row r="259" spans="1:255" x14ac:dyDescent="0.2">
      <c r="A259" s="66"/>
      <c r="B259" s="67"/>
      <c r="C259" s="67" t="s">
        <v>853</v>
      </c>
      <c r="D259" s="68"/>
      <c r="E259" s="69"/>
      <c r="F259" s="70">
        <v>614.29</v>
      </c>
      <c r="G259" s="71" t="s">
        <v>854</v>
      </c>
      <c r="H259" s="70">
        <f>Source!AF138</f>
        <v>645</v>
      </c>
      <c r="I259" s="72">
        <f>T259</f>
        <v>6523</v>
      </c>
      <c r="J259" s="73">
        <v>25.36</v>
      </c>
      <c r="K259" s="74">
        <f>U259</f>
        <v>165433</v>
      </c>
      <c r="O259" s="23"/>
      <c r="P259" s="23"/>
      <c r="Q259" s="23"/>
      <c r="R259" s="23"/>
      <c r="S259" s="23"/>
      <c r="T259" s="23">
        <f>ROUND(Source!AF138*Source!AV138*Source!I138,0)</f>
        <v>6523</v>
      </c>
      <c r="U259" s="23">
        <f>Source!S138</f>
        <v>165433</v>
      </c>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v>1</v>
      </c>
      <c r="CW259" s="23"/>
      <c r="CX259" s="23"/>
      <c r="CY259" s="23"/>
      <c r="CZ259" s="23"/>
      <c r="DA259" s="23"/>
      <c r="DB259" s="23"/>
      <c r="DC259" s="23"/>
      <c r="DD259" s="23"/>
      <c r="DE259" s="23"/>
      <c r="DF259" s="23"/>
      <c r="DG259" s="23">
        <f>Source!S138</f>
        <v>165433</v>
      </c>
      <c r="DH259" s="23">
        <v>1015</v>
      </c>
      <c r="DI259" s="23"/>
      <c r="DJ259" s="23"/>
      <c r="DK259" s="23"/>
      <c r="DL259" s="23"/>
      <c r="DM259" s="23"/>
      <c r="DN259" s="23"/>
      <c r="DO259" s="23"/>
      <c r="DP259" s="23"/>
      <c r="DQ259" s="23">
        <f>T259</f>
        <v>6523</v>
      </c>
      <c r="DR259" s="23"/>
      <c r="DS259" s="23">
        <f>U259</f>
        <v>165433</v>
      </c>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f>T259</f>
        <v>6523</v>
      </c>
      <c r="GK259" s="23">
        <f>T259</f>
        <v>6523</v>
      </c>
      <c r="GL259" s="23"/>
      <c r="GM259" s="23"/>
      <c r="GN259" s="23"/>
      <c r="GO259" s="23"/>
      <c r="GP259" s="23"/>
      <c r="GQ259" s="23"/>
      <c r="GR259" s="23"/>
      <c r="GS259" s="23"/>
      <c r="GT259" s="23"/>
      <c r="GU259" s="23"/>
      <c r="GV259" s="23"/>
      <c r="GW259" s="23"/>
      <c r="GX259" s="23"/>
      <c r="GY259" s="23"/>
      <c r="GZ259" s="23"/>
      <c r="HA259" s="23"/>
      <c r="HB259" s="23">
        <f>T259</f>
        <v>6523</v>
      </c>
      <c r="HC259" s="23"/>
      <c r="HD259" s="23"/>
      <c r="HE259" s="23"/>
      <c r="HF259" s="23">
        <f>T259</f>
        <v>6523</v>
      </c>
      <c r="HG259" s="23"/>
      <c r="HH259" s="23"/>
      <c r="HI259" s="23"/>
      <c r="HJ259" s="23"/>
      <c r="HK259" s="23"/>
      <c r="HL259" s="23">
        <f>T259</f>
        <v>6523</v>
      </c>
      <c r="HM259" s="23"/>
      <c r="HN259" s="23">
        <f>T259</f>
        <v>6523</v>
      </c>
      <c r="HO259" s="23"/>
      <c r="HP259" s="23"/>
      <c r="HQ259" s="23"/>
      <c r="HR259" s="23"/>
      <c r="HS259" s="23"/>
      <c r="HT259" s="23"/>
      <c r="HU259" s="23"/>
      <c r="HV259" s="23"/>
      <c r="HW259" s="23"/>
      <c r="HX259" s="23">
        <f>T259</f>
        <v>6523</v>
      </c>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row>
    <row r="260" spans="1:255" x14ac:dyDescent="0.2">
      <c r="A260" s="78"/>
      <c r="B260" s="79"/>
      <c r="C260" s="79" t="s">
        <v>855</v>
      </c>
      <c r="D260" s="80"/>
      <c r="E260" s="81"/>
      <c r="F260" s="82">
        <v>63.91</v>
      </c>
      <c r="G260" s="83" t="s">
        <v>856</v>
      </c>
      <c r="H260" s="82">
        <f>Source!AD138</f>
        <v>71.58</v>
      </c>
      <c r="I260" s="84">
        <f>T260</f>
        <v>724</v>
      </c>
      <c r="J260" s="85">
        <v>7.84</v>
      </c>
      <c r="K260" s="86">
        <f>U260</f>
        <v>5676</v>
      </c>
      <c r="O260" s="23"/>
      <c r="P260" s="23"/>
      <c r="Q260" s="23"/>
      <c r="R260" s="23"/>
      <c r="S260" s="23"/>
      <c r="T260" s="23">
        <f>ROUND(Source!AD138*Source!AV138*Source!I138,0)</f>
        <v>724</v>
      </c>
      <c r="U260" s="23">
        <f>Source!Q138</f>
        <v>5676</v>
      </c>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v>1</v>
      </c>
      <c r="CW260" s="23"/>
      <c r="CX260" s="23"/>
      <c r="CY260" s="23"/>
      <c r="CZ260" s="23"/>
      <c r="DA260" s="23"/>
      <c r="DB260" s="23"/>
      <c r="DC260" s="23"/>
      <c r="DD260" s="23"/>
      <c r="DE260" s="23"/>
      <c r="DF260" s="23"/>
      <c r="DG260" s="23"/>
      <c r="DH260" s="23"/>
      <c r="DI260" s="23"/>
      <c r="DJ260" s="23"/>
      <c r="DK260" s="23"/>
      <c r="DL260" s="23"/>
      <c r="DM260" s="23"/>
      <c r="DN260" s="23"/>
      <c r="DO260" s="23"/>
      <c r="DP260" s="23"/>
      <c r="DQ260" s="23">
        <f>T260</f>
        <v>724</v>
      </c>
      <c r="DR260" s="23"/>
      <c r="DS260" s="23">
        <f>U260</f>
        <v>5676</v>
      </c>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f>T260</f>
        <v>724</v>
      </c>
      <c r="GK260" s="23"/>
      <c r="GL260" s="23">
        <f>T260</f>
        <v>724</v>
      </c>
      <c r="GM260" s="23"/>
      <c r="GN260" s="23"/>
      <c r="GO260" s="23"/>
      <c r="GP260" s="23"/>
      <c r="GQ260" s="23"/>
      <c r="GR260" s="23"/>
      <c r="GS260" s="23"/>
      <c r="GT260" s="23"/>
      <c r="GU260" s="23"/>
      <c r="GV260" s="23"/>
      <c r="GW260" s="23"/>
      <c r="GX260" s="23"/>
      <c r="GY260" s="23"/>
      <c r="GZ260" s="23"/>
      <c r="HA260" s="23"/>
      <c r="HB260" s="23">
        <f>T260</f>
        <v>724</v>
      </c>
      <c r="HC260" s="23"/>
      <c r="HD260" s="23"/>
      <c r="HE260" s="23"/>
      <c r="HF260" s="23">
        <f>T260</f>
        <v>724</v>
      </c>
      <c r="HG260" s="23"/>
      <c r="HH260" s="23"/>
      <c r="HI260" s="23"/>
      <c r="HJ260" s="23"/>
      <c r="HK260" s="23"/>
      <c r="HL260" s="23">
        <f>T260</f>
        <v>724</v>
      </c>
      <c r="HM260" s="23"/>
      <c r="HN260" s="23">
        <f>T260</f>
        <v>724</v>
      </c>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row>
    <row r="261" spans="1:255" x14ac:dyDescent="0.2">
      <c r="A261" s="78"/>
      <c r="B261" s="79"/>
      <c r="C261" s="79" t="s">
        <v>857</v>
      </c>
      <c r="D261" s="80"/>
      <c r="E261" s="81"/>
      <c r="F261" s="82">
        <v>6.12</v>
      </c>
      <c r="G261" s="83" t="s">
        <v>856</v>
      </c>
      <c r="H261" s="82">
        <f>Source!AE138</f>
        <v>6.85</v>
      </c>
      <c r="I261" s="84">
        <f>GM261</f>
        <v>69</v>
      </c>
      <c r="J261" s="85">
        <v>19.8</v>
      </c>
      <c r="K261" s="86">
        <f>Source!R138</f>
        <v>1372</v>
      </c>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f>ROUND(Source!AE138*Source!AV138*Source!I138,0)</f>
        <v>69</v>
      </c>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f>GM261</f>
        <v>69</v>
      </c>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row>
    <row r="262" spans="1:255" x14ac:dyDescent="0.2">
      <c r="A262" s="87"/>
      <c r="B262" s="88"/>
      <c r="C262" s="88" t="s">
        <v>858</v>
      </c>
      <c r="D262" s="89"/>
      <c r="E262" s="90">
        <v>66</v>
      </c>
      <c r="F262" s="91" t="s">
        <v>859</v>
      </c>
      <c r="G262" s="92"/>
      <c r="H262" s="93">
        <f>ROUND((Source!AF138*Source!AV138+Source!AE138*Source!AV138)*(Source!FX138)/100,2)</f>
        <v>430.22</v>
      </c>
      <c r="I262" s="94">
        <f>T262</f>
        <v>4351</v>
      </c>
      <c r="J262" s="96">
        <v>0.63</v>
      </c>
      <c r="K262" s="95" t="e">
        <f>U262</f>
        <v>#REF!</v>
      </c>
      <c r="O262" s="23"/>
      <c r="P262" s="23"/>
      <c r="Q262" s="23"/>
      <c r="R262" s="23"/>
      <c r="S262" s="23"/>
      <c r="T262" s="23">
        <f>ROUND((ROUND(Source!AF138*Source!AV138*Source!I138,0)+ROUND(Source!AE138*Source!AV138*Source!I138,0))*(Source!DN138)/100,0)</f>
        <v>4351</v>
      </c>
      <c r="U262" s="23" t="e">
        <f>Source!X138</f>
        <v>#REF!</v>
      </c>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v>1</v>
      </c>
      <c r="CW262" s="23"/>
      <c r="CX262" s="23"/>
      <c r="CY262" s="23"/>
      <c r="CZ262" s="23"/>
      <c r="DA262" s="23"/>
      <c r="DB262" s="23"/>
      <c r="DC262" s="23"/>
      <c r="DD262" s="23"/>
      <c r="DE262" s="23"/>
      <c r="DF262" s="23"/>
      <c r="DG262" s="23"/>
      <c r="DH262" s="23"/>
      <c r="DI262" s="23"/>
      <c r="DJ262" s="23"/>
      <c r="DK262" s="23"/>
      <c r="DL262" s="23"/>
      <c r="DM262" s="23"/>
      <c r="DN262" s="23"/>
      <c r="DO262" s="23"/>
      <c r="DP262" s="23"/>
      <c r="DQ262" s="23">
        <f>T262</f>
        <v>4351</v>
      </c>
      <c r="DR262" s="23"/>
      <c r="DS262" s="23" t="e">
        <f>U262</f>
        <v>#REF!</v>
      </c>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f>T262</f>
        <v>4351</v>
      </c>
      <c r="GZ262" s="23"/>
      <c r="HA262" s="23"/>
      <c r="HB262" s="23">
        <f>T262</f>
        <v>4351</v>
      </c>
      <c r="HC262" s="23"/>
      <c r="HD262" s="23"/>
      <c r="HE262" s="23"/>
      <c r="HF262" s="23">
        <f>T262</f>
        <v>4351</v>
      </c>
      <c r="HG262" s="23"/>
      <c r="HH262" s="23"/>
      <c r="HI262" s="23"/>
      <c r="HJ262" s="23"/>
      <c r="HK262" s="23"/>
      <c r="HL262" s="23">
        <f>T262</f>
        <v>4351</v>
      </c>
      <c r="HM262" s="23"/>
      <c r="HN262" s="23">
        <f>T262</f>
        <v>4351</v>
      </c>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row>
    <row r="263" spans="1:255" x14ac:dyDescent="0.2">
      <c r="A263" s="87"/>
      <c r="B263" s="88"/>
      <c r="C263" s="88" t="s">
        <v>860</v>
      </c>
      <c r="D263" s="89"/>
      <c r="E263" s="90">
        <v>60</v>
      </c>
      <c r="F263" s="91" t="s">
        <v>859</v>
      </c>
      <c r="G263" s="92"/>
      <c r="H263" s="93">
        <f>ROUND((Source!AF138*Source!AV138+Source!AE138*Source!AV138)*(Source!FY138)/100,2)</f>
        <v>391.11</v>
      </c>
      <c r="I263" s="94">
        <f>T263</f>
        <v>3955</v>
      </c>
      <c r="J263" s="96">
        <v>0.51</v>
      </c>
      <c r="K263" s="95" t="e">
        <f>U263</f>
        <v>#REF!</v>
      </c>
      <c r="O263" s="23"/>
      <c r="P263" s="23"/>
      <c r="Q263" s="23"/>
      <c r="R263" s="23"/>
      <c r="S263" s="23"/>
      <c r="T263" s="23">
        <f>ROUND((ROUND(Source!AF138*Source!AV138*Source!I138,0)+ROUND(Source!AE138*Source!AV138*Source!I138,0))*(Source!DO138)/100,0)</f>
        <v>3955</v>
      </c>
      <c r="U263" s="23" t="e">
        <f>Source!Y138</f>
        <v>#REF!</v>
      </c>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v>1</v>
      </c>
      <c r="CW263" s="23"/>
      <c r="CX263" s="23"/>
      <c r="CY263" s="23"/>
      <c r="CZ263" s="23"/>
      <c r="DA263" s="23"/>
      <c r="DB263" s="23"/>
      <c r="DC263" s="23"/>
      <c r="DD263" s="23"/>
      <c r="DE263" s="23"/>
      <c r="DF263" s="23"/>
      <c r="DG263" s="23"/>
      <c r="DH263" s="23"/>
      <c r="DI263" s="23"/>
      <c r="DJ263" s="23"/>
      <c r="DK263" s="23"/>
      <c r="DL263" s="23"/>
      <c r="DM263" s="23"/>
      <c r="DN263" s="23"/>
      <c r="DO263" s="23"/>
      <c r="DP263" s="23"/>
      <c r="DQ263" s="23">
        <f>T263</f>
        <v>3955</v>
      </c>
      <c r="DR263" s="23"/>
      <c r="DS263" s="23" t="e">
        <f>U263</f>
        <v>#REF!</v>
      </c>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f>T263</f>
        <v>3955</v>
      </c>
      <c r="HA263" s="23"/>
      <c r="HB263" s="23">
        <f>T263</f>
        <v>3955</v>
      </c>
      <c r="HC263" s="23"/>
      <c r="HD263" s="23"/>
      <c r="HE263" s="23"/>
      <c r="HF263" s="23">
        <f>T263</f>
        <v>3955</v>
      </c>
      <c r="HG263" s="23"/>
      <c r="HH263" s="23"/>
      <c r="HI263" s="23"/>
      <c r="HJ263" s="23"/>
      <c r="HK263" s="23"/>
      <c r="HL263" s="23">
        <f>T263</f>
        <v>3955</v>
      </c>
      <c r="HM263" s="23"/>
      <c r="HN263" s="23">
        <f>T263</f>
        <v>3955</v>
      </c>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row>
    <row r="264" spans="1:255" x14ac:dyDescent="0.2">
      <c r="A264" s="78"/>
      <c r="B264" s="79"/>
      <c r="C264" s="79" t="s">
        <v>861</v>
      </c>
      <c r="D264" s="80" t="s">
        <v>862</v>
      </c>
      <c r="E264" s="81">
        <v>51.533999999999999</v>
      </c>
      <c r="F264" s="82"/>
      <c r="G264" s="83" t="s">
        <v>854</v>
      </c>
      <c r="H264" s="82" t="e">
        <f>ROUND(Source!AH138,2)</f>
        <v>#REF!</v>
      </c>
      <c r="I264" s="97" t="e">
        <f>Source!U138</f>
        <v>#REF!</v>
      </c>
      <c r="J264" s="85"/>
      <c r="K264" s="86"/>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row>
    <row r="265" spans="1:255" ht="24" x14ac:dyDescent="0.2">
      <c r="A265" s="100" t="s">
        <v>234</v>
      </c>
      <c r="B265" s="109" t="s">
        <v>226</v>
      </c>
      <c r="C265" s="101" t="s">
        <v>227</v>
      </c>
      <c r="D265" s="102" t="s">
        <v>33</v>
      </c>
      <c r="E265" s="103">
        <f>Source!I140</f>
        <v>10.112</v>
      </c>
      <c r="F265" s="104">
        <v>5132.8999999999996</v>
      </c>
      <c r="G265" s="105"/>
      <c r="H265" s="104">
        <f>Source!AC139</f>
        <v>5132.8999999999996</v>
      </c>
      <c r="I265" s="106">
        <f>T265</f>
        <v>51904</v>
      </c>
      <c r="J265" s="107" t="s">
        <v>863</v>
      </c>
      <c r="K265" s="108">
        <f>U265</f>
        <v>629208</v>
      </c>
      <c r="L265" s="23"/>
      <c r="M265" s="23"/>
      <c r="N265" s="23"/>
      <c r="O265" s="23"/>
      <c r="P265" s="23"/>
      <c r="Q265" s="23"/>
      <c r="R265" s="23"/>
      <c r="S265" s="23"/>
      <c r="T265" s="23">
        <f>ROUND(Source!AC139*Source!AW139*Source!I139,0)</f>
        <v>51904</v>
      </c>
      <c r="U265" s="23">
        <f>Source!P140</f>
        <v>629208</v>
      </c>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v>1</v>
      </c>
      <c r="CW265" s="23"/>
      <c r="CX265" s="23"/>
      <c r="CY265" s="23"/>
      <c r="CZ265" s="23"/>
      <c r="DA265" s="23"/>
      <c r="DB265" s="23"/>
      <c r="DC265" s="23"/>
      <c r="DD265" s="23"/>
      <c r="DE265" s="23"/>
      <c r="DF265" s="23"/>
      <c r="DG265" s="23"/>
      <c r="DH265" s="23"/>
      <c r="DI265" s="23"/>
      <c r="DJ265" s="23"/>
      <c r="DK265" s="23">
        <f>T265</f>
        <v>51904</v>
      </c>
      <c r="DL265" s="23"/>
      <c r="DM265" s="23">
        <f>Source!P140</f>
        <v>629208</v>
      </c>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f>T265</f>
        <v>51904</v>
      </c>
      <c r="GK265" s="23"/>
      <c r="GL265" s="23"/>
      <c r="GM265" s="23"/>
      <c r="GN265" s="23">
        <f>T265</f>
        <v>51904</v>
      </c>
      <c r="GO265" s="23"/>
      <c r="GP265" s="23">
        <f>T265</f>
        <v>51904</v>
      </c>
      <c r="GQ265" s="23">
        <f>T265</f>
        <v>51904</v>
      </c>
      <c r="GR265" s="23"/>
      <c r="GS265" s="23">
        <f>T265</f>
        <v>51904</v>
      </c>
      <c r="GT265" s="23"/>
      <c r="GU265" s="23"/>
      <c r="GV265" s="23"/>
      <c r="GW265" s="23"/>
      <c r="GX265" s="23"/>
      <c r="GY265" s="23"/>
      <c r="GZ265" s="23"/>
      <c r="HA265" s="23"/>
      <c r="HB265" s="23">
        <f>T265</f>
        <v>51904</v>
      </c>
      <c r="HC265" s="23"/>
      <c r="HD265" s="23"/>
      <c r="HE265" s="23"/>
      <c r="HF265" s="23">
        <f>T265</f>
        <v>51904</v>
      </c>
      <c r="HG265" s="23"/>
      <c r="HH265" s="23"/>
      <c r="HI265" s="23"/>
      <c r="HJ265" s="23"/>
      <c r="HK265" s="23"/>
      <c r="HL265" s="23">
        <f>T265</f>
        <v>51904</v>
      </c>
      <c r="HM265" s="23"/>
      <c r="HN265" s="23">
        <f>T265</f>
        <v>51904</v>
      </c>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row>
    <row r="266" spans="1:255" x14ac:dyDescent="0.2">
      <c r="A266" s="64"/>
      <c r="B266" s="111" t="s">
        <v>864</v>
      </c>
      <c r="C266" s="111" t="s">
        <v>940</v>
      </c>
      <c r="D266" s="63"/>
      <c r="E266" s="63"/>
      <c r="F266" s="63"/>
      <c r="G266" s="63"/>
      <c r="H266" s="63"/>
      <c r="I266" s="63"/>
      <c r="J266" s="63"/>
      <c r="K266" s="65"/>
    </row>
    <row r="267" spans="1:255" x14ac:dyDescent="0.2">
      <c r="A267" s="114" t="s">
        <v>235</v>
      </c>
      <c r="B267" s="115" t="s">
        <v>236</v>
      </c>
      <c r="C267" s="116" t="s">
        <v>237</v>
      </c>
      <c r="D267" s="117" t="s">
        <v>33</v>
      </c>
      <c r="E267" s="118">
        <f>Source!I142</f>
        <v>1.8450000000000001E-3</v>
      </c>
      <c r="F267" s="119">
        <v>18322.43</v>
      </c>
      <c r="G267" s="71"/>
      <c r="H267" s="119">
        <f>Source!AC141</f>
        <v>18322.43</v>
      </c>
      <c r="I267" s="120">
        <f>T267</f>
        <v>34</v>
      </c>
      <c r="J267" s="73" t="s">
        <v>863</v>
      </c>
      <c r="K267" s="121">
        <f>U267</f>
        <v>256</v>
      </c>
      <c r="L267" s="23"/>
      <c r="M267" s="23"/>
      <c r="N267" s="23"/>
      <c r="O267" s="23"/>
      <c r="P267" s="23"/>
      <c r="Q267" s="23"/>
      <c r="R267" s="23"/>
      <c r="S267" s="23"/>
      <c r="T267" s="23">
        <f>ROUND(Source!AC141*Source!AW141*Source!I141,0)</f>
        <v>34</v>
      </c>
      <c r="U267" s="23">
        <f>Source!P142</f>
        <v>256</v>
      </c>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v>1</v>
      </c>
      <c r="CW267" s="23"/>
      <c r="CX267" s="23"/>
      <c r="CY267" s="23"/>
      <c r="CZ267" s="23"/>
      <c r="DA267" s="23"/>
      <c r="DB267" s="23"/>
      <c r="DC267" s="23"/>
      <c r="DD267" s="23"/>
      <c r="DE267" s="23"/>
      <c r="DF267" s="23"/>
      <c r="DG267" s="23"/>
      <c r="DH267" s="23"/>
      <c r="DI267" s="23"/>
      <c r="DJ267" s="23"/>
      <c r="DK267" s="23">
        <f>T267</f>
        <v>34</v>
      </c>
      <c r="DL267" s="23"/>
      <c r="DM267" s="23">
        <f>Source!P142</f>
        <v>256</v>
      </c>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f>T267</f>
        <v>34</v>
      </c>
      <c r="GK267" s="23"/>
      <c r="GL267" s="23"/>
      <c r="GM267" s="23"/>
      <c r="GN267" s="23">
        <f>T267</f>
        <v>34</v>
      </c>
      <c r="GO267" s="23"/>
      <c r="GP267" s="23">
        <f>T267</f>
        <v>34</v>
      </c>
      <c r="GQ267" s="23">
        <f>T267</f>
        <v>34</v>
      </c>
      <c r="GR267" s="23"/>
      <c r="GS267" s="23">
        <f>T267</f>
        <v>34</v>
      </c>
      <c r="GT267" s="23"/>
      <c r="GU267" s="23"/>
      <c r="GV267" s="23"/>
      <c r="GW267" s="23"/>
      <c r="GX267" s="23"/>
      <c r="GY267" s="23"/>
      <c r="GZ267" s="23"/>
      <c r="HA267" s="23"/>
      <c r="HB267" s="23">
        <f>T267</f>
        <v>34</v>
      </c>
      <c r="HC267" s="23"/>
      <c r="HD267" s="23"/>
      <c r="HE267" s="23"/>
      <c r="HF267" s="23">
        <f>T267</f>
        <v>34</v>
      </c>
      <c r="HG267" s="23"/>
      <c r="HH267" s="23"/>
      <c r="HI267" s="23"/>
      <c r="HJ267" s="23"/>
      <c r="HK267" s="23"/>
      <c r="HL267" s="23">
        <f>T267</f>
        <v>34</v>
      </c>
      <c r="HM267" s="23"/>
      <c r="HN267" s="23">
        <f>T267</f>
        <v>34</v>
      </c>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row>
    <row r="268" spans="1:255" x14ac:dyDescent="0.2">
      <c r="A268" s="98"/>
      <c r="B268" s="113" t="s">
        <v>864</v>
      </c>
      <c r="C268" s="113" t="s">
        <v>942</v>
      </c>
      <c r="D268" s="33"/>
      <c r="E268" s="33"/>
      <c r="F268" s="33"/>
      <c r="G268" s="33"/>
      <c r="H268" s="33"/>
      <c r="I268" s="33"/>
      <c r="J268" s="33"/>
      <c r="K268" s="99"/>
    </row>
    <row r="269" spans="1:255" ht="13.5" thickBot="1" x14ac:dyDescent="0.25">
      <c r="A269" s="124"/>
      <c r="B269" s="125"/>
      <c r="C269" s="125" t="s">
        <v>867</v>
      </c>
      <c r="D269" s="125"/>
      <c r="E269" s="125"/>
      <c r="F269" s="125"/>
      <c r="G269" s="125"/>
      <c r="H269" s="380">
        <f>SUM(DK258:DK268)</f>
        <v>51938</v>
      </c>
      <c r="I269" s="381"/>
      <c r="J269" s="380">
        <f>SUM(DM258:DM268)</f>
        <v>629464</v>
      </c>
      <c r="K269" s="382"/>
      <c r="L269" s="112"/>
      <c r="M269" s="112"/>
      <c r="N269" s="11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row>
    <row r="270" spans="1:255" x14ac:dyDescent="0.2">
      <c r="A270" s="123"/>
      <c r="B270" s="122"/>
      <c r="C270" s="122" t="s">
        <v>868</v>
      </c>
      <c r="D270" s="122"/>
      <c r="E270" s="122"/>
      <c r="F270" s="122"/>
      <c r="G270" s="122"/>
      <c r="H270" s="383">
        <f>R270</f>
        <v>67491</v>
      </c>
      <c r="I270" s="384"/>
      <c r="J270" s="383" t="e">
        <f>S270</f>
        <v>#REF!</v>
      </c>
      <c r="K270" s="385"/>
      <c r="O270" s="23"/>
      <c r="P270" s="23"/>
      <c r="Q270" s="23"/>
      <c r="R270" s="23">
        <f>SUM(T258:T269)</f>
        <v>67491</v>
      </c>
      <c r="S270" s="23" t="e">
        <f>SUM(U258:U269)</f>
        <v>#REF!</v>
      </c>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f>R270</f>
        <v>67491</v>
      </c>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row>
    <row r="271" spans="1:255" x14ac:dyDescent="0.2">
      <c r="A271" s="77"/>
      <c r="B271" s="76"/>
      <c r="C271" s="76"/>
      <c r="D271" s="76"/>
      <c r="E271" s="76"/>
      <c r="F271" s="76"/>
      <c r="G271" s="76"/>
      <c r="H271" s="386"/>
      <c r="I271" s="387"/>
      <c r="J271" s="386"/>
      <c r="K271" s="388"/>
    </row>
    <row r="272" spans="1:255" ht="59.25" x14ac:dyDescent="0.2">
      <c r="A272" s="126">
        <v>11</v>
      </c>
      <c r="B272" s="133" t="s">
        <v>240</v>
      </c>
      <c r="C272" s="127" t="s">
        <v>943</v>
      </c>
      <c r="D272" s="128" t="s">
        <v>21</v>
      </c>
      <c r="E272" s="129">
        <v>19.802</v>
      </c>
      <c r="F272" s="130">
        <f>Source!AK144</f>
        <v>177.88</v>
      </c>
      <c r="G272" s="134" t="s">
        <v>6</v>
      </c>
      <c r="H272" s="130"/>
      <c r="I272" s="131">
        <f>SUM(DQ272:DQ297)</f>
        <v>1491</v>
      </c>
      <c r="J272" s="107" t="s">
        <v>240</v>
      </c>
      <c r="K272" s="132" t="e">
        <f>SUM(DS272:DS297)</f>
        <v>#REF!</v>
      </c>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row>
    <row r="273" spans="1:255" x14ac:dyDescent="0.2">
      <c r="A273" s="66"/>
      <c r="B273" s="67"/>
      <c r="C273" s="67" t="s">
        <v>853</v>
      </c>
      <c r="D273" s="68"/>
      <c r="E273" s="69"/>
      <c r="F273" s="70">
        <v>32.659999999999997</v>
      </c>
      <c r="G273" s="71" t="s">
        <v>854</v>
      </c>
      <c r="H273" s="70">
        <f>Source!AF144</f>
        <v>34.29</v>
      </c>
      <c r="I273" s="72">
        <f>T273</f>
        <v>170</v>
      </c>
      <c r="J273" s="73">
        <v>36.07</v>
      </c>
      <c r="K273" s="74">
        <f>U273</f>
        <v>6123</v>
      </c>
      <c r="O273" s="23"/>
      <c r="P273" s="23"/>
      <c r="Q273" s="23"/>
      <c r="R273" s="23"/>
      <c r="S273" s="23"/>
      <c r="T273" s="23">
        <f>ROUND(Source!AF144*Source!AV144*Source!I144,0)</f>
        <v>170</v>
      </c>
      <c r="U273" s="23">
        <f>Source!S144</f>
        <v>6123</v>
      </c>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v>1</v>
      </c>
      <c r="CW273" s="23"/>
      <c r="CX273" s="23"/>
      <c r="CY273" s="23"/>
      <c r="CZ273" s="23"/>
      <c r="DA273" s="23"/>
      <c r="DB273" s="23"/>
      <c r="DC273" s="23"/>
      <c r="DD273" s="23"/>
      <c r="DE273" s="23"/>
      <c r="DF273" s="23"/>
      <c r="DG273" s="23">
        <f>Source!S144</f>
        <v>6123</v>
      </c>
      <c r="DH273" s="23">
        <v>1003</v>
      </c>
      <c r="DI273" s="23"/>
      <c r="DJ273" s="23"/>
      <c r="DK273" s="23"/>
      <c r="DL273" s="23"/>
      <c r="DM273" s="23"/>
      <c r="DN273" s="23"/>
      <c r="DO273" s="23"/>
      <c r="DP273" s="23"/>
      <c r="DQ273" s="23">
        <f>T273</f>
        <v>170</v>
      </c>
      <c r="DR273" s="23"/>
      <c r="DS273" s="23">
        <f>U273</f>
        <v>6123</v>
      </c>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f>T273</f>
        <v>170</v>
      </c>
      <c r="GK273" s="23">
        <f>T273</f>
        <v>170</v>
      </c>
      <c r="GL273" s="23"/>
      <c r="GM273" s="23"/>
      <c r="GN273" s="23"/>
      <c r="GO273" s="23"/>
      <c r="GP273" s="23"/>
      <c r="GQ273" s="23"/>
      <c r="GR273" s="23"/>
      <c r="GS273" s="23"/>
      <c r="GT273" s="23"/>
      <c r="GU273" s="23"/>
      <c r="GV273" s="23"/>
      <c r="GW273" s="23"/>
      <c r="GX273" s="23"/>
      <c r="GY273" s="23"/>
      <c r="GZ273" s="23"/>
      <c r="HA273" s="23"/>
      <c r="HB273" s="23">
        <f>T273</f>
        <v>170</v>
      </c>
      <c r="HC273" s="23"/>
      <c r="HD273" s="23"/>
      <c r="HE273" s="23"/>
      <c r="HF273" s="23">
        <f>T273</f>
        <v>170</v>
      </c>
      <c r="HG273" s="23"/>
      <c r="HH273" s="23"/>
      <c r="HI273" s="23"/>
      <c r="HJ273" s="23"/>
      <c r="HK273" s="23"/>
      <c r="HL273" s="23">
        <f>T273</f>
        <v>170</v>
      </c>
      <c r="HM273" s="23"/>
      <c r="HN273" s="23">
        <f>T273</f>
        <v>170</v>
      </c>
      <c r="HO273" s="23"/>
      <c r="HP273" s="23"/>
      <c r="HQ273" s="23"/>
      <c r="HR273" s="23"/>
      <c r="HS273" s="23"/>
      <c r="HT273" s="23"/>
      <c r="HU273" s="23"/>
      <c r="HV273" s="23"/>
      <c r="HW273" s="23"/>
      <c r="HX273" s="23">
        <f>T273</f>
        <v>170</v>
      </c>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row>
    <row r="274" spans="1:255" x14ac:dyDescent="0.2">
      <c r="A274" s="78"/>
      <c r="B274" s="79"/>
      <c r="C274" s="79" t="s">
        <v>855</v>
      </c>
      <c r="D274" s="80"/>
      <c r="E274" s="81"/>
      <c r="F274" s="82">
        <v>138.1</v>
      </c>
      <c r="G274" s="83" t="s">
        <v>856</v>
      </c>
      <c r="H274" s="82">
        <f>Source!AD144</f>
        <v>154.68</v>
      </c>
      <c r="I274" s="84">
        <f>T274</f>
        <v>766</v>
      </c>
      <c r="J274" s="85">
        <v>9.3000000000000007</v>
      </c>
      <c r="K274" s="86">
        <f>U274</f>
        <v>7121</v>
      </c>
      <c r="O274" s="23"/>
      <c r="P274" s="23"/>
      <c r="Q274" s="23"/>
      <c r="R274" s="23"/>
      <c r="S274" s="23"/>
      <c r="T274" s="23">
        <f>ROUND(Source!AD144*Source!AV144*Source!I144,0)</f>
        <v>766</v>
      </c>
      <c r="U274" s="23">
        <f>Source!Q144</f>
        <v>7121</v>
      </c>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v>1</v>
      </c>
      <c r="CW274" s="23"/>
      <c r="CX274" s="23"/>
      <c r="CY274" s="23"/>
      <c r="CZ274" s="23"/>
      <c r="DA274" s="23"/>
      <c r="DB274" s="23"/>
      <c r="DC274" s="23"/>
      <c r="DD274" s="23"/>
      <c r="DE274" s="23"/>
      <c r="DF274" s="23"/>
      <c r="DG274" s="23"/>
      <c r="DH274" s="23"/>
      <c r="DI274" s="23"/>
      <c r="DJ274" s="23"/>
      <c r="DK274" s="23"/>
      <c r="DL274" s="23"/>
      <c r="DM274" s="23"/>
      <c r="DN274" s="23"/>
      <c r="DO274" s="23"/>
      <c r="DP274" s="23"/>
      <c r="DQ274" s="23">
        <f>T274</f>
        <v>766</v>
      </c>
      <c r="DR274" s="23"/>
      <c r="DS274" s="23">
        <f>U274</f>
        <v>7121</v>
      </c>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f>T274</f>
        <v>766</v>
      </c>
      <c r="GK274" s="23"/>
      <c r="GL274" s="23">
        <f>T274</f>
        <v>766</v>
      </c>
      <c r="GM274" s="23"/>
      <c r="GN274" s="23"/>
      <c r="GO274" s="23"/>
      <c r="GP274" s="23"/>
      <c r="GQ274" s="23"/>
      <c r="GR274" s="23"/>
      <c r="GS274" s="23"/>
      <c r="GT274" s="23"/>
      <c r="GU274" s="23"/>
      <c r="GV274" s="23"/>
      <c r="GW274" s="23"/>
      <c r="GX274" s="23"/>
      <c r="GY274" s="23"/>
      <c r="GZ274" s="23"/>
      <c r="HA274" s="23"/>
      <c r="HB274" s="23">
        <f>T274</f>
        <v>766</v>
      </c>
      <c r="HC274" s="23"/>
      <c r="HD274" s="23"/>
      <c r="HE274" s="23"/>
      <c r="HF274" s="23">
        <f>T274</f>
        <v>766</v>
      </c>
      <c r="HG274" s="23"/>
      <c r="HH274" s="23"/>
      <c r="HI274" s="23"/>
      <c r="HJ274" s="23"/>
      <c r="HK274" s="23"/>
      <c r="HL274" s="23">
        <f>T274</f>
        <v>766</v>
      </c>
      <c r="HM274" s="23"/>
      <c r="HN274" s="23">
        <f>T274</f>
        <v>766</v>
      </c>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row>
    <row r="275" spans="1:255" x14ac:dyDescent="0.2">
      <c r="A275" s="78"/>
      <c r="B275" s="79"/>
      <c r="C275" s="79" t="s">
        <v>857</v>
      </c>
      <c r="D275" s="80"/>
      <c r="E275" s="81"/>
      <c r="F275" s="82">
        <v>20.14</v>
      </c>
      <c r="G275" s="83" t="s">
        <v>856</v>
      </c>
      <c r="H275" s="82">
        <f>Source!AE144</f>
        <v>22.56</v>
      </c>
      <c r="I275" s="84">
        <f>GM275</f>
        <v>112</v>
      </c>
      <c r="J275" s="85">
        <v>19.8</v>
      </c>
      <c r="K275" s="86">
        <f>Source!R144</f>
        <v>2211</v>
      </c>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f>ROUND(Source!AE144*Source!AV144*Source!I144,0)</f>
        <v>112</v>
      </c>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f>GM275</f>
        <v>112</v>
      </c>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row>
    <row r="276" spans="1:255" x14ac:dyDescent="0.2">
      <c r="A276" s="87"/>
      <c r="B276" s="88"/>
      <c r="C276" s="88" t="s">
        <v>858</v>
      </c>
      <c r="D276" s="89"/>
      <c r="E276" s="90">
        <v>120</v>
      </c>
      <c r="F276" s="91" t="s">
        <v>859</v>
      </c>
      <c r="G276" s="92"/>
      <c r="H276" s="93">
        <f>ROUND((Source!AF144*Source!AV144+Source!AE144*Source!AV144)*(Source!FX144)/100,2)</f>
        <v>68.22</v>
      </c>
      <c r="I276" s="94">
        <f>T276</f>
        <v>338</v>
      </c>
      <c r="J276" s="96">
        <v>1.1399999999999999</v>
      </c>
      <c r="K276" s="95" t="e">
        <f>U276</f>
        <v>#REF!</v>
      </c>
      <c r="O276" s="23"/>
      <c r="P276" s="23"/>
      <c r="Q276" s="23"/>
      <c r="R276" s="23"/>
      <c r="S276" s="23"/>
      <c r="T276" s="23">
        <f>ROUND((ROUND(Source!AF144*Source!AV144*Source!I144,0)+ROUND(Source!AE144*Source!AV144*Source!I144,0))*(Source!DN144)/100,0)</f>
        <v>338</v>
      </c>
      <c r="U276" s="23" t="e">
        <f>Source!X144</f>
        <v>#REF!</v>
      </c>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v>1</v>
      </c>
      <c r="CW276" s="23"/>
      <c r="CX276" s="23"/>
      <c r="CY276" s="23"/>
      <c r="CZ276" s="23"/>
      <c r="DA276" s="23"/>
      <c r="DB276" s="23"/>
      <c r="DC276" s="23"/>
      <c r="DD276" s="23"/>
      <c r="DE276" s="23"/>
      <c r="DF276" s="23"/>
      <c r="DG276" s="23"/>
      <c r="DH276" s="23"/>
      <c r="DI276" s="23"/>
      <c r="DJ276" s="23"/>
      <c r="DK276" s="23"/>
      <c r="DL276" s="23"/>
      <c r="DM276" s="23"/>
      <c r="DN276" s="23"/>
      <c r="DO276" s="23"/>
      <c r="DP276" s="23"/>
      <c r="DQ276" s="23">
        <f>T276</f>
        <v>338</v>
      </c>
      <c r="DR276" s="23"/>
      <c r="DS276" s="23" t="e">
        <f>U276</f>
        <v>#REF!</v>
      </c>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f>T276</f>
        <v>338</v>
      </c>
      <c r="GZ276" s="23"/>
      <c r="HA276" s="23"/>
      <c r="HB276" s="23">
        <f>T276</f>
        <v>338</v>
      </c>
      <c r="HC276" s="23"/>
      <c r="HD276" s="23"/>
      <c r="HE276" s="23"/>
      <c r="HF276" s="23">
        <f>T276</f>
        <v>338</v>
      </c>
      <c r="HG276" s="23"/>
      <c r="HH276" s="23"/>
      <c r="HI276" s="23"/>
      <c r="HJ276" s="23"/>
      <c r="HK276" s="23"/>
      <c r="HL276" s="23">
        <f>T276</f>
        <v>338</v>
      </c>
      <c r="HM276" s="23"/>
      <c r="HN276" s="23">
        <f>T276</f>
        <v>338</v>
      </c>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row>
    <row r="277" spans="1:255" x14ac:dyDescent="0.2">
      <c r="A277" s="87"/>
      <c r="B277" s="88"/>
      <c r="C277" s="88" t="s">
        <v>860</v>
      </c>
      <c r="D277" s="89"/>
      <c r="E277" s="90">
        <v>77</v>
      </c>
      <c r="F277" s="91" t="s">
        <v>859</v>
      </c>
      <c r="G277" s="92"/>
      <c r="H277" s="93">
        <f>ROUND((Source!AF144*Source!AV144+Source!AE144*Source!AV144)*(Source!FY144)/100,2)</f>
        <v>43.77</v>
      </c>
      <c r="I277" s="94">
        <f>T277</f>
        <v>217</v>
      </c>
      <c r="J277" s="96">
        <v>0.65</v>
      </c>
      <c r="K277" s="95" t="e">
        <f>U277</f>
        <v>#REF!</v>
      </c>
      <c r="O277" s="23"/>
      <c r="P277" s="23"/>
      <c r="Q277" s="23"/>
      <c r="R277" s="23"/>
      <c r="S277" s="23"/>
      <c r="T277" s="23">
        <f>ROUND((ROUND(Source!AF144*Source!AV144*Source!I144,0)+ROUND(Source!AE144*Source!AV144*Source!I144,0))*(Source!DO144)/100,0)</f>
        <v>217</v>
      </c>
      <c r="U277" s="23" t="e">
        <f>Source!Y144</f>
        <v>#REF!</v>
      </c>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v>1</v>
      </c>
      <c r="CW277" s="23"/>
      <c r="CX277" s="23"/>
      <c r="CY277" s="23"/>
      <c r="CZ277" s="23"/>
      <c r="DA277" s="23"/>
      <c r="DB277" s="23"/>
      <c r="DC277" s="23"/>
      <c r="DD277" s="23"/>
      <c r="DE277" s="23"/>
      <c r="DF277" s="23"/>
      <c r="DG277" s="23"/>
      <c r="DH277" s="23"/>
      <c r="DI277" s="23"/>
      <c r="DJ277" s="23"/>
      <c r="DK277" s="23"/>
      <c r="DL277" s="23"/>
      <c r="DM277" s="23"/>
      <c r="DN277" s="23"/>
      <c r="DO277" s="23"/>
      <c r="DP277" s="23"/>
      <c r="DQ277" s="23">
        <f>T277</f>
        <v>217</v>
      </c>
      <c r="DR277" s="23"/>
      <c r="DS277" s="23" t="e">
        <f>U277</f>
        <v>#REF!</v>
      </c>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f>T277</f>
        <v>217</v>
      </c>
      <c r="HA277" s="23"/>
      <c r="HB277" s="23">
        <f>T277</f>
        <v>217</v>
      </c>
      <c r="HC277" s="23"/>
      <c r="HD277" s="23"/>
      <c r="HE277" s="23"/>
      <c r="HF277" s="23">
        <f>T277</f>
        <v>217</v>
      </c>
      <c r="HG277" s="23"/>
      <c r="HH277" s="23"/>
      <c r="HI277" s="23"/>
      <c r="HJ277" s="23"/>
      <c r="HK277" s="23"/>
      <c r="HL277" s="23">
        <f>T277</f>
        <v>217</v>
      </c>
      <c r="HM277" s="23"/>
      <c r="HN277" s="23">
        <f>T277</f>
        <v>217</v>
      </c>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row>
    <row r="278" spans="1:255" x14ac:dyDescent="0.2">
      <c r="A278" s="78"/>
      <c r="B278" s="79"/>
      <c r="C278" s="79" t="s">
        <v>861</v>
      </c>
      <c r="D278" s="80" t="s">
        <v>862</v>
      </c>
      <c r="E278" s="81">
        <v>3.75</v>
      </c>
      <c r="F278" s="82"/>
      <c r="G278" s="83" t="s">
        <v>854</v>
      </c>
      <c r="H278" s="82" t="e">
        <f>ROUND(Source!AH144,2)</f>
        <v>#REF!</v>
      </c>
      <c r="I278" s="97" t="e">
        <f>Source!U144</f>
        <v>#REF!</v>
      </c>
      <c r="J278" s="85"/>
      <c r="K278" s="86"/>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row>
    <row r="279" spans="1:255" x14ac:dyDescent="0.2">
      <c r="A279" s="100" t="s">
        <v>243</v>
      </c>
      <c r="B279" s="109" t="s">
        <v>71</v>
      </c>
      <c r="C279" s="101" t="s">
        <v>72</v>
      </c>
      <c r="D279" s="102" t="s">
        <v>33</v>
      </c>
      <c r="E279" s="103">
        <f>Source!I146</f>
        <v>2.0792000000000001E-2</v>
      </c>
      <c r="F279" s="104">
        <v>1696.01</v>
      </c>
      <c r="G279" s="105"/>
      <c r="H279" s="104">
        <f>Source!AC145</f>
        <v>1696.01</v>
      </c>
      <c r="I279" s="106">
        <f>T279</f>
        <v>35</v>
      </c>
      <c r="J279" s="107" t="s">
        <v>863</v>
      </c>
      <c r="K279" s="108">
        <f>U279</f>
        <v>1820</v>
      </c>
      <c r="L279" s="23"/>
      <c r="M279" s="23"/>
      <c r="N279" s="23"/>
      <c r="O279" s="23"/>
      <c r="P279" s="23"/>
      <c r="Q279" s="23"/>
      <c r="R279" s="23"/>
      <c r="S279" s="23"/>
      <c r="T279" s="23">
        <f>ROUND(Source!AC145*Source!AW145*Source!I145,0)</f>
        <v>35</v>
      </c>
      <c r="U279" s="23">
        <f>Source!P146</f>
        <v>1820</v>
      </c>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v>1</v>
      </c>
      <c r="CW279" s="23"/>
      <c r="CX279" s="23"/>
      <c r="CY279" s="23"/>
      <c r="CZ279" s="23"/>
      <c r="DA279" s="23"/>
      <c r="DB279" s="23"/>
      <c r="DC279" s="23"/>
      <c r="DD279" s="23"/>
      <c r="DE279" s="23"/>
      <c r="DF279" s="23"/>
      <c r="DG279" s="23"/>
      <c r="DH279" s="23"/>
      <c r="DI279" s="23"/>
      <c r="DJ279" s="23"/>
      <c r="DK279" s="23">
        <f>T279</f>
        <v>35</v>
      </c>
      <c r="DL279" s="23"/>
      <c r="DM279" s="23">
        <f>Source!P146</f>
        <v>1820</v>
      </c>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f>T279</f>
        <v>35</v>
      </c>
      <c r="GK279" s="23"/>
      <c r="GL279" s="23"/>
      <c r="GM279" s="23"/>
      <c r="GN279" s="23">
        <f>T279</f>
        <v>35</v>
      </c>
      <c r="GO279" s="23"/>
      <c r="GP279" s="23">
        <f>T279</f>
        <v>35</v>
      </c>
      <c r="GQ279" s="23">
        <f>T279</f>
        <v>35</v>
      </c>
      <c r="GR279" s="23"/>
      <c r="GS279" s="23">
        <f>T279</f>
        <v>35</v>
      </c>
      <c r="GT279" s="23"/>
      <c r="GU279" s="23"/>
      <c r="GV279" s="23"/>
      <c r="GW279" s="23"/>
      <c r="GX279" s="23"/>
      <c r="GY279" s="23"/>
      <c r="GZ279" s="23"/>
      <c r="HA279" s="23"/>
      <c r="HB279" s="23">
        <f>T279</f>
        <v>35</v>
      </c>
      <c r="HC279" s="23"/>
      <c r="HD279" s="23"/>
      <c r="HE279" s="23"/>
      <c r="HF279" s="23">
        <f>T279</f>
        <v>35</v>
      </c>
      <c r="HG279" s="23"/>
      <c r="HH279" s="23"/>
      <c r="HI279" s="23"/>
      <c r="HJ279" s="23"/>
      <c r="HK279" s="23"/>
      <c r="HL279" s="23">
        <f>T279</f>
        <v>35</v>
      </c>
      <c r="HM279" s="23"/>
      <c r="HN279" s="23">
        <f>T279</f>
        <v>35</v>
      </c>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row>
    <row r="280" spans="1:255" x14ac:dyDescent="0.2">
      <c r="A280" s="64"/>
      <c r="B280" s="111" t="s">
        <v>864</v>
      </c>
      <c r="C280" s="111" t="s">
        <v>873</v>
      </c>
      <c r="D280" s="63"/>
      <c r="E280" s="63"/>
      <c r="F280" s="63"/>
      <c r="G280" s="63"/>
      <c r="H280" s="63"/>
      <c r="I280" s="63"/>
      <c r="J280" s="63"/>
      <c r="K280" s="65"/>
    </row>
    <row r="281" spans="1:255" ht="24" x14ac:dyDescent="0.2">
      <c r="A281" s="100" t="s">
        <v>244</v>
      </c>
      <c r="B281" s="109" t="s">
        <v>76</v>
      </c>
      <c r="C281" s="101" t="s">
        <v>245</v>
      </c>
      <c r="D281" s="102" t="s">
        <v>78</v>
      </c>
      <c r="E281" s="103">
        <f>Source!I148</f>
        <v>8.7899999999999991</v>
      </c>
      <c r="F281" s="104">
        <v>87.58</v>
      </c>
      <c r="G281" s="105"/>
      <c r="H281" s="104">
        <f>Source!AC147</f>
        <v>87.58</v>
      </c>
      <c r="I281" s="106">
        <f>T281</f>
        <v>770</v>
      </c>
      <c r="J281" s="107" t="s">
        <v>863</v>
      </c>
      <c r="K281" s="108">
        <f>U281</f>
        <v>3071</v>
      </c>
      <c r="L281" s="23"/>
      <c r="M281" s="23"/>
      <c r="N281" s="23"/>
      <c r="O281" s="23"/>
      <c r="P281" s="23"/>
      <c r="Q281" s="23"/>
      <c r="R281" s="23"/>
      <c r="S281" s="23"/>
      <c r="T281" s="23">
        <f>ROUND(Source!AC147*Source!AW147*Source!I147,0)</f>
        <v>770</v>
      </c>
      <c r="U281" s="23">
        <f>Source!P148</f>
        <v>3071</v>
      </c>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v>1</v>
      </c>
      <c r="CW281" s="23"/>
      <c r="CX281" s="23"/>
      <c r="CY281" s="23"/>
      <c r="CZ281" s="23"/>
      <c r="DA281" s="23"/>
      <c r="DB281" s="23"/>
      <c r="DC281" s="23"/>
      <c r="DD281" s="23"/>
      <c r="DE281" s="23"/>
      <c r="DF281" s="23"/>
      <c r="DG281" s="23"/>
      <c r="DH281" s="23"/>
      <c r="DI281" s="23"/>
      <c r="DJ281" s="23"/>
      <c r="DK281" s="23">
        <f>T281</f>
        <v>770</v>
      </c>
      <c r="DL281" s="23"/>
      <c r="DM281" s="23">
        <f>Source!P148</f>
        <v>3071</v>
      </c>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f>T281</f>
        <v>770</v>
      </c>
      <c r="GK281" s="23"/>
      <c r="GL281" s="23"/>
      <c r="GM281" s="23"/>
      <c r="GN281" s="23">
        <f>T281</f>
        <v>770</v>
      </c>
      <c r="GO281" s="23"/>
      <c r="GP281" s="23">
        <f>T281</f>
        <v>770</v>
      </c>
      <c r="GQ281" s="23">
        <f>T281</f>
        <v>770</v>
      </c>
      <c r="GR281" s="23"/>
      <c r="GS281" s="23">
        <f>T281</f>
        <v>770</v>
      </c>
      <c r="GT281" s="23"/>
      <c r="GU281" s="23"/>
      <c r="GV281" s="23"/>
      <c r="GW281" s="23"/>
      <c r="GX281" s="23"/>
      <c r="GY281" s="23"/>
      <c r="GZ281" s="23"/>
      <c r="HA281" s="23"/>
      <c r="HB281" s="23">
        <f>T281</f>
        <v>770</v>
      </c>
      <c r="HC281" s="23"/>
      <c r="HD281" s="23"/>
      <c r="HE281" s="23"/>
      <c r="HF281" s="23">
        <f>T281</f>
        <v>770</v>
      </c>
      <c r="HG281" s="23"/>
      <c r="HH281" s="23"/>
      <c r="HI281" s="23"/>
      <c r="HJ281" s="23"/>
      <c r="HK281" s="23"/>
      <c r="HL281" s="23">
        <f>T281</f>
        <v>770</v>
      </c>
      <c r="HM281" s="23"/>
      <c r="HN281" s="23">
        <f>T281</f>
        <v>770</v>
      </c>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row>
    <row r="282" spans="1:255" x14ac:dyDescent="0.2">
      <c r="A282" s="64"/>
      <c r="B282" s="111" t="s">
        <v>864</v>
      </c>
      <c r="C282" s="111" t="s">
        <v>874</v>
      </c>
      <c r="D282" s="63"/>
      <c r="E282" s="63"/>
      <c r="F282" s="63"/>
      <c r="G282" s="63"/>
      <c r="H282" s="63"/>
      <c r="I282" s="63"/>
      <c r="J282" s="63"/>
      <c r="K282" s="65"/>
    </row>
    <row r="283" spans="1:255" ht="24" x14ac:dyDescent="0.2">
      <c r="A283" s="100" t="s">
        <v>246</v>
      </c>
      <c r="B283" s="109" t="s">
        <v>82</v>
      </c>
      <c r="C283" s="101" t="s">
        <v>247</v>
      </c>
      <c r="D283" s="102" t="s">
        <v>78</v>
      </c>
      <c r="E283" s="103">
        <f>Source!I150</f>
        <v>8.7899999999999991</v>
      </c>
      <c r="F283" s="104">
        <v>56.57</v>
      </c>
      <c r="G283" s="105"/>
      <c r="H283" s="104">
        <f>Source!AC149</f>
        <v>56.57</v>
      </c>
      <c r="I283" s="106">
        <f>T283</f>
        <v>497</v>
      </c>
      <c r="J283" s="107" t="s">
        <v>863</v>
      </c>
      <c r="K283" s="108">
        <f>U283</f>
        <v>2008</v>
      </c>
      <c r="L283" s="23"/>
      <c r="M283" s="23"/>
      <c r="N283" s="23"/>
      <c r="O283" s="23"/>
      <c r="P283" s="23"/>
      <c r="Q283" s="23"/>
      <c r="R283" s="23"/>
      <c r="S283" s="23"/>
      <c r="T283" s="23">
        <f>ROUND(Source!AC149*Source!AW149*Source!I149,0)</f>
        <v>497</v>
      </c>
      <c r="U283" s="23">
        <f>Source!P150</f>
        <v>2008</v>
      </c>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v>1</v>
      </c>
      <c r="CW283" s="23"/>
      <c r="CX283" s="23"/>
      <c r="CY283" s="23"/>
      <c r="CZ283" s="23"/>
      <c r="DA283" s="23"/>
      <c r="DB283" s="23"/>
      <c r="DC283" s="23"/>
      <c r="DD283" s="23"/>
      <c r="DE283" s="23"/>
      <c r="DF283" s="23"/>
      <c r="DG283" s="23"/>
      <c r="DH283" s="23"/>
      <c r="DI283" s="23"/>
      <c r="DJ283" s="23"/>
      <c r="DK283" s="23">
        <f>T283</f>
        <v>497</v>
      </c>
      <c r="DL283" s="23"/>
      <c r="DM283" s="23">
        <f>Source!P150</f>
        <v>2008</v>
      </c>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f>T283</f>
        <v>497</v>
      </c>
      <c r="GK283" s="23"/>
      <c r="GL283" s="23"/>
      <c r="GM283" s="23"/>
      <c r="GN283" s="23">
        <f>T283</f>
        <v>497</v>
      </c>
      <c r="GO283" s="23"/>
      <c r="GP283" s="23">
        <f>T283</f>
        <v>497</v>
      </c>
      <c r="GQ283" s="23">
        <f>T283</f>
        <v>497</v>
      </c>
      <c r="GR283" s="23"/>
      <c r="GS283" s="23">
        <f>T283</f>
        <v>497</v>
      </c>
      <c r="GT283" s="23"/>
      <c r="GU283" s="23"/>
      <c r="GV283" s="23"/>
      <c r="GW283" s="23"/>
      <c r="GX283" s="23"/>
      <c r="GY283" s="23"/>
      <c r="GZ283" s="23"/>
      <c r="HA283" s="23"/>
      <c r="HB283" s="23">
        <f>T283</f>
        <v>497</v>
      </c>
      <c r="HC283" s="23"/>
      <c r="HD283" s="23"/>
      <c r="HE283" s="23"/>
      <c r="HF283" s="23">
        <f>T283</f>
        <v>497</v>
      </c>
      <c r="HG283" s="23"/>
      <c r="HH283" s="23"/>
      <c r="HI283" s="23"/>
      <c r="HJ283" s="23"/>
      <c r="HK283" s="23"/>
      <c r="HL283" s="23">
        <f>T283</f>
        <v>497</v>
      </c>
      <c r="HM283" s="23"/>
      <c r="HN283" s="23">
        <f>T283</f>
        <v>497</v>
      </c>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row>
    <row r="284" spans="1:255" x14ac:dyDescent="0.2">
      <c r="A284" s="64"/>
      <c r="B284" s="111" t="s">
        <v>864</v>
      </c>
      <c r="C284" s="111" t="s">
        <v>875</v>
      </c>
      <c r="D284" s="63"/>
      <c r="E284" s="63"/>
      <c r="F284" s="63"/>
      <c r="G284" s="63"/>
      <c r="H284" s="63"/>
      <c r="I284" s="63"/>
      <c r="J284" s="63"/>
      <c r="K284" s="65"/>
    </row>
    <row r="285" spans="1:255" ht="24" x14ac:dyDescent="0.2">
      <c r="A285" s="100" t="s">
        <v>248</v>
      </c>
      <c r="B285" s="109" t="s">
        <v>87</v>
      </c>
      <c r="C285" s="101" t="s">
        <v>88</v>
      </c>
      <c r="D285" s="102" t="s">
        <v>44</v>
      </c>
      <c r="E285" s="103">
        <f>Source!I152</f>
        <v>8.9218499999999992</v>
      </c>
      <c r="F285" s="104">
        <v>878.79</v>
      </c>
      <c r="G285" s="105"/>
      <c r="H285" s="104">
        <f>Source!AC151</f>
        <v>878.79</v>
      </c>
      <c r="I285" s="106">
        <f>T285</f>
        <v>7840</v>
      </c>
      <c r="J285" s="107" t="s">
        <v>863</v>
      </c>
      <c r="K285" s="108">
        <f>U285</f>
        <v>65763</v>
      </c>
      <c r="L285" s="23"/>
      <c r="M285" s="23"/>
      <c r="N285" s="23"/>
      <c r="O285" s="23"/>
      <c r="P285" s="23"/>
      <c r="Q285" s="23"/>
      <c r="R285" s="23"/>
      <c r="S285" s="23"/>
      <c r="T285" s="23">
        <f>ROUND(Source!AC151*Source!AW151*Source!I151,0)</f>
        <v>7840</v>
      </c>
      <c r="U285" s="23">
        <f>Source!P152</f>
        <v>65763</v>
      </c>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v>1</v>
      </c>
      <c r="CW285" s="23"/>
      <c r="CX285" s="23"/>
      <c r="CY285" s="23"/>
      <c r="CZ285" s="23"/>
      <c r="DA285" s="23"/>
      <c r="DB285" s="23"/>
      <c r="DC285" s="23"/>
      <c r="DD285" s="23"/>
      <c r="DE285" s="23"/>
      <c r="DF285" s="23"/>
      <c r="DG285" s="23"/>
      <c r="DH285" s="23"/>
      <c r="DI285" s="23"/>
      <c r="DJ285" s="23"/>
      <c r="DK285" s="23">
        <f>T285</f>
        <v>7840</v>
      </c>
      <c r="DL285" s="23"/>
      <c r="DM285" s="23">
        <f>Source!P152</f>
        <v>65763</v>
      </c>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f>T285</f>
        <v>7840</v>
      </c>
      <c r="GK285" s="23"/>
      <c r="GL285" s="23"/>
      <c r="GM285" s="23"/>
      <c r="GN285" s="23">
        <f>T285</f>
        <v>7840</v>
      </c>
      <c r="GO285" s="23"/>
      <c r="GP285" s="23">
        <f>T285</f>
        <v>7840</v>
      </c>
      <c r="GQ285" s="23">
        <f>T285</f>
        <v>7840</v>
      </c>
      <c r="GR285" s="23"/>
      <c r="GS285" s="23">
        <f>T285</f>
        <v>7840</v>
      </c>
      <c r="GT285" s="23"/>
      <c r="GU285" s="23"/>
      <c r="GV285" s="23"/>
      <c r="GW285" s="23"/>
      <c r="GX285" s="23"/>
      <c r="GY285" s="23"/>
      <c r="GZ285" s="23"/>
      <c r="HA285" s="23"/>
      <c r="HB285" s="23">
        <f>T285</f>
        <v>7840</v>
      </c>
      <c r="HC285" s="23"/>
      <c r="HD285" s="23"/>
      <c r="HE285" s="23"/>
      <c r="HF285" s="23">
        <f>T285</f>
        <v>7840</v>
      </c>
      <c r="HG285" s="23"/>
      <c r="HH285" s="23"/>
      <c r="HI285" s="23"/>
      <c r="HJ285" s="23"/>
      <c r="HK285" s="23"/>
      <c r="HL285" s="23">
        <f>T285</f>
        <v>7840</v>
      </c>
      <c r="HM285" s="23"/>
      <c r="HN285" s="23">
        <f>T285</f>
        <v>7840</v>
      </c>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row>
    <row r="286" spans="1:255" x14ac:dyDescent="0.2">
      <c r="A286" s="64"/>
      <c r="B286" s="111" t="s">
        <v>864</v>
      </c>
      <c r="C286" s="111" t="s">
        <v>876</v>
      </c>
      <c r="D286" s="63"/>
      <c r="E286" s="63"/>
      <c r="F286" s="63"/>
      <c r="G286" s="63"/>
      <c r="H286" s="63"/>
      <c r="I286" s="63"/>
      <c r="J286" s="63"/>
      <c r="K286" s="65"/>
    </row>
    <row r="287" spans="1:255" x14ac:dyDescent="0.2">
      <c r="A287" s="100" t="s">
        <v>249</v>
      </c>
      <c r="B287" s="109" t="s">
        <v>92</v>
      </c>
      <c r="C287" s="101" t="s">
        <v>93</v>
      </c>
      <c r="D287" s="102" t="s">
        <v>94</v>
      </c>
      <c r="E287" s="103">
        <f>Source!I154</f>
        <v>26.673293999999999</v>
      </c>
      <c r="F287" s="104">
        <v>4.6900000000000004</v>
      </c>
      <c r="G287" s="105"/>
      <c r="H287" s="104">
        <f>Source!AC153</f>
        <v>4.6900000000000004</v>
      </c>
      <c r="I287" s="106">
        <f>T287</f>
        <v>125</v>
      </c>
      <c r="J287" s="107" t="s">
        <v>863</v>
      </c>
      <c r="K287" s="108">
        <f>U287</f>
        <v>863</v>
      </c>
      <c r="L287" s="23"/>
      <c r="M287" s="23"/>
      <c r="N287" s="23"/>
      <c r="O287" s="23"/>
      <c r="P287" s="23"/>
      <c r="Q287" s="23"/>
      <c r="R287" s="23"/>
      <c r="S287" s="23"/>
      <c r="T287" s="23">
        <f>ROUND(Source!AC153*Source!AW153*Source!I153,0)</f>
        <v>125</v>
      </c>
      <c r="U287" s="23">
        <f>Source!P154</f>
        <v>863</v>
      </c>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v>2</v>
      </c>
      <c r="CW287" s="23"/>
      <c r="CX287" s="23"/>
      <c r="CY287" s="23"/>
      <c r="CZ287" s="23"/>
      <c r="DA287" s="23"/>
      <c r="DB287" s="23"/>
      <c r="DC287" s="23"/>
      <c r="DD287" s="23"/>
      <c r="DE287" s="23"/>
      <c r="DF287" s="23"/>
      <c r="DG287" s="23"/>
      <c r="DH287" s="23"/>
      <c r="DI287" s="23"/>
      <c r="DJ287" s="23"/>
      <c r="DK287" s="23">
        <f>T287</f>
        <v>125</v>
      </c>
      <c r="DL287" s="23"/>
      <c r="DM287" s="23">
        <f>Source!P154</f>
        <v>863</v>
      </c>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f>T287</f>
        <v>125</v>
      </c>
      <c r="GK287" s="23"/>
      <c r="GL287" s="23"/>
      <c r="GM287" s="23"/>
      <c r="GN287" s="23">
        <f>T287</f>
        <v>125</v>
      </c>
      <c r="GO287" s="23"/>
      <c r="GP287" s="23">
        <f>T287</f>
        <v>125</v>
      </c>
      <c r="GQ287" s="23">
        <f>T287</f>
        <v>125</v>
      </c>
      <c r="GR287" s="23"/>
      <c r="GS287" s="23">
        <f>T287</f>
        <v>125</v>
      </c>
      <c r="GT287" s="23"/>
      <c r="GU287" s="23"/>
      <c r="GV287" s="23"/>
      <c r="GW287" s="23"/>
      <c r="GX287" s="23"/>
      <c r="GY287" s="23"/>
      <c r="GZ287" s="23"/>
      <c r="HA287" s="23"/>
      <c r="HB287" s="23"/>
      <c r="HC287" s="23">
        <f>T287</f>
        <v>125</v>
      </c>
      <c r="HD287" s="23"/>
      <c r="HE287" s="23"/>
      <c r="HF287" s="23">
        <f>T287</f>
        <v>125</v>
      </c>
      <c r="HG287" s="23"/>
      <c r="HH287" s="23"/>
      <c r="HI287" s="23"/>
      <c r="HJ287" s="23"/>
      <c r="HK287" s="23"/>
      <c r="HL287" s="23">
        <f>T287</f>
        <v>125</v>
      </c>
      <c r="HM287" s="23"/>
      <c r="HN287" s="23"/>
      <c r="HO287" s="23"/>
      <c r="HP287" s="23">
        <f>T287</f>
        <v>125</v>
      </c>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row>
    <row r="288" spans="1:255" x14ac:dyDescent="0.2">
      <c r="A288" s="64"/>
      <c r="B288" s="111" t="s">
        <v>864</v>
      </c>
      <c r="C288" s="111" t="s">
        <v>877</v>
      </c>
      <c r="D288" s="63"/>
      <c r="E288" s="63"/>
      <c r="F288" s="63"/>
      <c r="G288" s="63"/>
      <c r="H288" s="63"/>
      <c r="I288" s="63"/>
      <c r="J288" s="63"/>
      <c r="K288" s="65"/>
    </row>
    <row r="289" spans="1:255" x14ac:dyDescent="0.2">
      <c r="A289" s="100" t="s">
        <v>250</v>
      </c>
      <c r="B289" s="109" t="s">
        <v>101</v>
      </c>
      <c r="C289" s="101" t="s">
        <v>102</v>
      </c>
      <c r="D289" s="102" t="s">
        <v>103</v>
      </c>
      <c r="E289" s="103">
        <f>Source!I156</f>
        <v>113.86150000000002</v>
      </c>
      <c r="F289" s="104">
        <v>0.24</v>
      </c>
      <c r="G289" s="105"/>
      <c r="H289" s="104">
        <f>Source!AC155</f>
        <v>0.24</v>
      </c>
      <c r="I289" s="106">
        <f>T289</f>
        <v>27</v>
      </c>
      <c r="J289" s="107" t="s">
        <v>863</v>
      </c>
      <c r="K289" s="108">
        <f>U289</f>
        <v>138</v>
      </c>
      <c r="L289" s="23"/>
      <c r="M289" s="23"/>
      <c r="N289" s="23"/>
      <c r="O289" s="23"/>
      <c r="P289" s="23"/>
      <c r="Q289" s="23"/>
      <c r="R289" s="23"/>
      <c r="S289" s="23"/>
      <c r="T289" s="23">
        <f>ROUND(Source!AC155*Source!AW155*Source!I155,0)</f>
        <v>27</v>
      </c>
      <c r="U289" s="23">
        <f>Source!P156</f>
        <v>138</v>
      </c>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v>1</v>
      </c>
      <c r="CW289" s="23"/>
      <c r="CX289" s="23"/>
      <c r="CY289" s="23"/>
      <c r="CZ289" s="23"/>
      <c r="DA289" s="23"/>
      <c r="DB289" s="23"/>
      <c r="DC289" s="23"/>
      <c r="DD289" s="23"/>
      <c r="DE289" s="23"/>
      <c r="DF289" s="23"/>
      <c r="DG289" s="23"/>
      <c r="DH289" s="23"/>
      <c r="DI289" s="23"/>
      <c r="DJ289" s="23"/>
      <c r="DK289" s="23">
        <f>T289</f>
        <v>27</v>
      </c>
      <c r="DL289" s="23"/>
      <c r="DM289" s="23">
        <f>Source!P156</f>
        <v>138</v>
      </c>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f>T289</f>
        <v>27</v>
      </c>
      <c r="GK289" s="23"/>
      <c r="GL289" s="23"/>
      <c r="GM289" s="23"/>
      <c r="GN289" s="23">
        <f>T289</f>
        <v>27</v>
      </c>
      <c r="GO289" s="23"/>
      <c r="GP289" s="23">
        <f>T289</f>
        <v>27</v>
      </c>
      <c r="GQ289" s="23">
        <f>T289</f>
        <v>27</v>
      </c>
      <c r="GR289" s="23"/>
      <c r="GS289" s="23">
        <f>T289</f>
        <v>27</v>
      </c>
      <c r="GT289" s="23"/>
      <c r="GU289" s="23"/>
      <c r="GV289" s="23"/>
      <c r="GW289" s="23"/>
      <c r="GX289" s="23"/>
      <c r="GY289" s="23"/>
      <c r="GZ289" s="23"/>
      <c r="HA289" s="23"/>
      <c r="HB289" s="23">
        <f>T289</f>
        <v>27</v>
      </c>
      <c r="HC289" s="23"/>
      <c r="HD289" s="23"/>
      <c r="HE289" s="23"/>
      <c r="HF289" s="23">
        <f>T289</f>
        <v>27</v>
      </c>
      <c r="HG289" s="23"/>
      <c r="HH289" s="23"/>
      <c r="HI289" s="23"/>
      <c r="HJ289" s="23"/>
      <c r="HK289" s="23"/>
      <c r="HL289" s="23">
        <f>T289</f>
        <v>27</v>
      </c>
      <c r="HM289" s="23"/>
      <c r="HN289" s="23">
        <f>T289</f>
        <v>27</v>
      </c>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row>
    <row r="290" spans="1:255" x14ac:dyDescent="0.2">
      <c r="A290" s="64"/>
      <c r="B290" s="111" t="s">
        <v>864</v>
      </c>
      <c r="C290" s="111" t="s">
        <v>878</v>
      </c>
      <c r="D290" s="63"/>
      <c r="E290" s="63"/>
      <c r="F290" s="63"/>
      <c r="G290" s="63"/>
      <c r="H290" s="63"/>
      <c r="I290" s="63"/>
      <c r="J290" s="63"/>
      <c r="K290" s="65"/>
    </row>
    <row r="291" spans="1:255" x14ac:dyDescent="0.2">
      <c r="A291" s="100" t="s">
        <v>251</v>
      </c>
      <c r="B291" s="109" t="s">
        <v>107</v>
      </c>
      <c r="C291" s="101" t="s">
        <v>108</v>
      </c>
      <c r="D291" s="102" t="s">
        <v>103</v>
      </c>
      <c r="E291" s="103">
        <f>Source!I158</f>
        <v>59.405999999999999</v>
      </c>
      <c r="F291" s="104">
        <v>0.24</v>
      </c>
      <c r="G291" s="105"/>
      <c r="H291" s="104">
        <f>Source!AC157</f>
        <v>0.24</v>
      </c>
      <c r="I291" s="106">
        <f>T291</f>
        <v>14</v>
      </c>
      <c r="J291" s="107" t="s">
        <v>863</v>
      </c>
      <c r="K291" s="108">
        <f>U291</f>
        <v>36</v>
      </c>
      <c r="L291" s="23"/>
      <c r="M291" s="23"/>
      <c r="N291" s="23"/>
      <c r="O291" s="23"/>
      <c r="P291" s="23"/>
      <c r="Q291" s="23"/>
      <c r="R291" s="23"/>
      <c r="S291" s="23"/>
      <c r="T291" s="23">
        <f>ROUND(Source!AC157*Source!AW157*Source!I157,0)</f>
        <v>14</v>
      </c>
      <c r="U291" s="23">
        <f>Source!P158</f>
        <v>36</v>
      </c>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v>1</v>
      </c>
      <c r="CW291" s="23"/>
      <c r="CX291" s="23"/>
      <c r="CY291" s="23"/>
      <c r="CZ291" s="23"/>
      <c r="DA291" s="23"/>
      <c r="DB291" s="23"/>
      <c r="DC291" s="23"/>
      <c r="DD291" s="23"/>
      <c r="DE291" s="23"/>
      <c r="DF291" s="23"/>
      <c r="DG291" s="23"/>
      <c r="DH291" s="23"/>
      <c r="DI291" s="23"/>
      <c r="DJ291" s="23"/>
      <c r="DK291" s="23">
        <f>T291</f>
        <v>14</v>
      </c>
      <c r="DL291" s="23"/>
      <c r="DM291" s="23">
        <f>Source!P158</f>
        <v>36</v>
      </c>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f>T291</f>
        <v>14</v>
      </c>
      <c r="GK291" s="23"/>
      <c r="GL291" s="23"/>
      <c r="GM291" s="23"/>
      <c r="GN291" s="23">
        <f>T291</f>
        <v>14</v>
      </c>
      <c r="GO291" s="23"/>
      <c r="GP291" s="23">
        <f>T291</f>
        <v>14</v>
      </c>
      <c r="GQ291" s="23">
        <f>T291</f>
        <v>14</v>
      </c>
      <c r="GR291" s="23"/>
      <c r="GS291" s="23">
        <f>T291</f>
        <v>14</v>
      </c>
      <c r="GT291" s="23"/>
      <c r="GU291" s="23"/>
      <c r="GV291" s="23"/>
      <c r="GW291" s="23"/>
      <c r="GX291" s="23"/>
      <c r="GY291" s="23"/>
      <c r="GZ291" s="23"/>
      <c r="HA291" s="23"/>
      <c r="HB291" s="23">
        <f>T291</f>
        <v>14</v>
      </c>
      <c r="HC291" s="23"/>
      <c r="HD291" s="23"/>
      <c r="HE291" s="23"/>
      <c r="HF291" s="23">
        <f>T291</f>
        <v>14</v>
      </c>
      <c r="HG291" s="23"/>
      <c r="HH291" s="23"/>
      <c r="HI291" s="23"/>
      <c r="HJ291" s="23"/>
      <c r="HK291" s="23"/>
      <c r="HL291" s="23">
        <f>T291</f>
        <v>14</v>
      </c>
      <c r="HM291" s="23"/>
      <c r="HN291" s="23">
        <f>T291</f>
        <v>14</v>
      </c>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row>
    <row r="292" spans="1:255" x14ac:dyDescent="0.2">
      <c r="A292" s="64"/>
      <c r="B292" s="111" t="s">
        <v>864</v>
      </c>
      <c r="C292" s="111" t="s">
        <v>879</v>
      </c>
      <c r="D292" s="63"/>
      <c r="E292" s="63"/>
      <c r="F292" s="63"/>
      <c r="G292" s="63"/>
      <c r="H292" s="63"/>
      <c r="I292" s="63"/>
      <c r="J292" s="63"/>
      <c r="K292" s="65"/>
    </row>
    <row r="293" spans="1:255" x14ac:dyDescent="0.2">
      <c r="A293" s="100" t="s">
        <v>252</v>
      </c>
      <c r="B293" s="109" t="s">
        <v>112</v>
      </c>
      <c r="C293" s="101" t="s">
        <v>113</v>
      </c>
      <c r="D293" s="102" t="s">
        <v>103</v>
      </c>
      <c r="E293" s="103">
        <f>Source!I160</f>
        <v>59.405999999999999</v>
      </c>
      <c r="F293" s="104">
        <v>0.3</v>
      </c>
      <c r="G293" s="105"/>
      <c r="H293" s="104">
        <f>Source!AC159</f>
        <v>0.3</v>
      </c>
      <c r="I293" s="106">
        <f>T293</f>
        <v>18</v>
      </c>
      <c r="J293" s="107" t="s">
        <v>863</v>
      </c>
      <c r="K293" s="108">
        <f>U293</f>
        <v>63</v>
      </c>
      <c r="L293" s="23"/>
      <c r="M293" s="23"/>
      <c r="N293" s="23"/>
      <c r="O293" s="23"/>
      <c r="P293" s="23"/>
      <c r="Q293" s="23"/>
      <c r="R293" s="23"/>
      <c r="S293" s="23"/>
      <c r="T293" s="23">
        <f>ROUND(Source!AC159*Source!AW159*Source!I159,0)</f>
        <v>18</v>
      </c>
      <c r="U293" s="23">
        <f>Source!P160</f>
        <v>63</v>
      </c>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v>1</v>
      </c>
      <c r="CW293" s="23"/>
      <c r="CX293" s="23"/>
      <c r="CY293" s="23"/>
      <c r="CZ293" s="23"/>
      <c r="DA293" s="23"/>
      <c r="DB293" s="23"/>
      <c r="DC293" s="23"/>
      <c r="DD293" s="23"/>
      <c r="DE293" s="23"/>
      <c r="DF293" s="23"/>
      <c r="DG293" s="23"/>
      <c r="DH293" s="23"/>
      <c r="DI293" s="23"/>
      <c r="DJ293" s="23"/>
      <c r="DK293" s="23">
        <f>T293</f>
        <v>18</v>
      </c>
      <c r="DL293" s="23"/>
      <c r="DM293" s="23">
        <f>Source!P160</f>
        <v>63</v>
      </c>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f>T293</f>
        <v>18</v>
      </c>
      <c r="GK293" s="23"/>
      <c r="GL293" s="23"/>
      <c r="GM293" s="23"/>
      <c r="GN293" s="23">
        <f>T293</f>
        <v>18</v>
      </c>
      <c r="GO293" s="23"/>
      <c r="GP293" s="23">
        <f>T293</f>
        <v>18</v>
      </c>
      <c r="GQ293" s="23">
        <f>T293</f>
        <v>18</v>
      </c>
      <c r="GR293" s="23"/>
      <c r="GS293" s="23">
        <f>T293</f>
        <v>18</v>
      </c>
      <c r="GT293" s="23"/>
      <c r="GU293" s="23"/>
      <c r="GV293" s="23"/>
      <c r="GW293" s="23"/>
      <c r="GX293" s="23"/>
      <c r="GY293" s="23"/>
      <c r="GZ293" s="23"/>
      <c r="HA293" s="23"/>
      <c r="HB293" s="23">
        <f>T293</f>
        <v>18</v>
      </c>
      <c r="HC293" s="23"/>
      <c r="HD293" s="23"/>
      <c r="HE293" s="23"/>
      <c r="HF293" s="23">
        <f>T293</f>
        <v>18</v>
      </c>
      <c r="HG293" s="23"/>
      <c r="HH293" s="23"/>
      <c r="HI293" s="23"/>
      <c r="HJ293" s="23"/>
      <c r="HK293" s="23"/>
      <c r="HL293" s="23">
        <f>T293</f>
        <v>18</v>
      </c>
      <c r="HM293" s="23"/>
      <c r="HN293" s="23">
        <f>T293</f>
        <v>18</v>
      </c>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row>
    <row r="294" spans="1:255" x14ac:dyDescent="0.2">
      <c r="A294" s="64"/>
      <c r="B294" s="111" t="s">
        <v>864</v>
      </c>
      <c r="C294" s="111" t="s">
        <v>880</v>
      </c>
      <c r="D294" s="63"/>
      <c r="E294" s="63"/>
      <c r="F294" s="63"/>
      <c r="G294" s="63"/>
      <c r="H294" s="63"/>
      <c r="I294" s="63"/>
      <c r="J294" s="63"/>
      <c r="K294" s="65"/>
    </row>
    <row r="295" spans="1:255" ht="24" x14ac:dyDescent="0.2">
      <c r="A295" s="114" t="s">
        <v>253</v>
      </c>
      <c r="B295" s="115" t="s">
        <v>117</v>
      </c>
      <c r="C295" s="116" t="s">
        <v>118</v>
      </c>
      <c r="D295" s="117" t="s">
        <v>33</v>
      </c>
      <c r="E295" s="118">
        <f>Source!I162</f>
        <v>4.7080000000000004E-3</v>
      </c>
      <c r="F295" s="119">
        <v>10633.86</v>
      </c>
      <c r="G295" s="71"/>
      <c r="H295" s="119">
        <f>Source!AC161</f>
        <v>10633.86</v>
      </c>
      <c r="I295" s="120">
        <f>T295</f>
        <v>50</v>
      </c>
      <c r="J295" s="73" t="s">
        <v>863</v>
      </c>
      <c r="K295" s="121">
        <f>U295</f>
        <v>397</v>
      </c>
      <c r="L295" s="23"/>
      <c r="M295" s="23"/>
      <c r="N295" s="23"/>
      <c r="O295" s="23"/>
      <c r="P295" s="23"/>
      <c r="Q295" s="23"/>
      <c r="R295" s="23"/>
      <c r="S295" s="23"/>
      <c r="T295" s="23">
        <f>ROUND(Source!AC161*Source!AW161*Source!I161,0)</f>
        <v>50</v>
      </c>
      <c r="U295" s="23">
        <f>Source!P162</f>
        <v>397</v>
      </c>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v>1</v>
      </c>
      <c r="CW295" s="23"/>
      <c r="CX295" s="23"/>
      <c r="CY295" s="23"/>
      <c r="CZ295" s="23"/>
      <c r="DA295" s="23"/>
      <c r="DB295" s="23"/>
      <c r="DC295" s="23"/>
      <c r="DD295" s="23"/>
      <c r="DE295" s="23"/>
      <c r="DF295" s="23"/>
      <c r="DG295" s="23"/>
      <c r="DH295" s="23"/>
      <c r="DI295" s="23"/>
      <c r="DJ295" s="23"/>
      <c r="DK295" s="23">
        <f>T295</f>
        <v>50</v>
      </c>
      <c r="DL295" s="23"/>
      <c r="DM295" s="23">
        <f>Source!P162</f>
        <v>397</v>
      </c>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f>T295</f>
        <v>50</v>
      </c>
      <c r="GK295" s="23"/>
      <c r="GL295" s="23"/>
      <c r="GM295" s="23"/>
      <c r="GN295" s="23">
        <f>T295</f>
        <v>50</v>
      </c>
      <c r="GO295" s="23"/>
      <c r="GP295" s="23">
        <f>T295</f>
        <v>50</v>
      </c>
      <c r="GQ295" s="23">
        <f>T295</f>
        <v>50</v>
      </c>
      <c r="GR295" s="23"/>
      <c r="GS295" s="23">
        <f>T295</f>
        <v>50</v>
      </c>
      <c r="GT295" s="23"/>
      <c r="GU295" s="23"/>
      <c r="GV295" s="23"/>
      <c r="GW295" s="23"/>
      <c r="GX295" s="23"/>
      <c r="GY295" s="23"/>
      <c r="GZ295" s="23"/>
      <c r="HA295" s="23"/>
      <c r="HB295" s="23">
        <f>T295</f>
        <v>50</v>
      </c>
      <c r="HC295" s="23"/>
      <c r="HD295" s="23"/>
      <c r="HE295" s="23"/>
      <c r="HF295" s="23">
        <f>T295</f>
        <v>50</v>
      </c>
      <c r="HG295" s="23"/>
      <c r="HH295" s="23"/>
      <c r="HI295" s="23"/>
      <c r="HJ295" s="23"/>
      <c r="HK295" s="23"/>
      <c r="HL295" s="23">
        <f>T295</f>
        <v>50</v>
      </c>
      <c r="HM295" s="23"/>
      <c r="HN295" s="23">
        <f>T295</f>
        <v>50</v>
      </c>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row>
    <row r="296" spans="1:255" x14ac:dyDescent="0.2">
      <c r="A296" s="98"/>
      <c r="B296" s="113" t="s">
        <v>864</v>
      </c>
      <c r="C296" s="113" t="s">
        <v>881</v>
      </c>
      <c r="D296" s="33"/>
      <c r="E296" s="33"/>
      <c r="F296" s="33"/>
      <c r="G296" s="33"/>
      <c r="H296" s="33"/>
      <c r="I296" s="33"/>
      <c r="J296" s="33"/>
      <c r="K296" s="99"/>
    </row>
    <row r="297" spans="1:255" ht="13.5" thickBot="1" x14ac:dyDescent="0.25">
      <c r="A297" s="124"/>
      <c r="B297" s="125"/>
      <c r="C297" s="125" t="s">
        <v>867</v>
      </c>
      <c r="D297" s="125"/>
      <c r="E297" s="125"/>
      <c r="F297" s="125"/>
      <c r="G297" s="125"/>
      <c r="H297" s="380">
        <f>SUM(DK272:DK296)</f>
        <v>9376</v>
      </c>
      <c r="I297" s="381"/>
      <c r="J297" s="380">
        <f>SUM(DM272:DM296)</f>
        <v>74159</v>
      </c>
      <c r="K297" s="382"/>
      <c r="L297" s="112"/>
      <c r="M297" s="112"/>
      <c r="N297" s="11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row>
    <row r="298" spans="1:255" x14ac:dyDescent="0.2">
      <c r="A298" s="123"/>
      <c r="B298" s="122"/>
      <c r="C298" s="122" t="s">
        <v>868</v>
      </c>
      <c r="D298" s="122"/>
      <c r="E298" s="122"/>
      <c r="F298" s="122"/>
      <c r="G298" s="122"/>
      <c r="H298" s="383">
        <f>R298</f>
        <v>10867</v>
      </c>
      <c r="I298" s="384"/>
      <c r="J298" s="383" t="e">
        <f>S298</f>
        <v>#REF!</v>
      </c>
      <c r="K298" s="385"/>
      <c r="O298" s="23"/>
      <c r="P298" s="23"/>
      <c r="Q298" s="23"/>
      <c r="R298" s="23">
        <f>SUM(T272:T297)</f>
        <v>10867</v>
      </c>
      <c r="S298" s="23" t="e">
        <f>SUM(U272:U297)</f>
        <v>#REF!</v>
      </c>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f>R298</f>
        <v>10867</v>
      </c>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row>
    <row r="299" spans="1:255" x14ac:dyDescent="0.2">
      <c r="A299" s="77"/>
      <c r="B299" s="76"/>
      <c r="C299" s="76"/>
      <c r="D299" s="76"/>
      <c r="E299" s="76"/>
      <c r="F299" s="76"/>
      <c r="G299" s="76"/>
      <c r="H299" s="386"/>
      <c r="I299" s="387"/>
      <c r="J299" s="386"/>
      <c r="K299" s="388"/>
    </row>
    <row r="300" spans="1:255" ht="59.25" x14ac:dyDescent="0.2">
      <c r="A300" s="126">
        <v>12</v>
      </c>
      <c r="B300" s="133" t="s">
        <v>67</v>
      </c>
      <c r="C300" s="127" t="s">
        <v>944</v>
      </c>
      <c r="D300" s="128" t="s">
        <v>21</v>
      </c>
      <c r="E300" s="129">
        <v>1.3839999999999999</v>
      </c>
      <c r="F300" s="130">
        <f>Source!AK164</f>
        <v>205.41000000000003</v>
      </c>
      <c r="G300" s="134" t="s">
        <v>6</v>
      </c>
      <c r="H300" s="130"/>
      <c r="I300" s="131">
        <f>SUM(DQ300:DQ325)</f>
        <v>122</v>
      </c>
      <c r="J300" s="107" t="s">
        <v>67</v>
      </c>
      <c r="K300" s="132" t="e">
        <f>SUM(DS300:DS325)</f>
        <v>#REF!</v>
      </c>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row>
    <row r="301" spans="1:255" x14ac:dyDescent="0.2">
      <c r="A301" s="66"/>
      <c r="B301" s="67"/>
      <c r="C301" s="67" t="s">
        <v>853</v>
      </c>
      <c r="D301" s="68"/>
      <c r="E301" s="69"/>
      <c r="F301" s="70">
        <v>37.799999999999997</v>
      </c>
      <c r="G301" s="71" t="s">
        <v>854</v>
      </c>
      <c r="H301" s="70">
        <f>Source!AF164</f>
        <v>39.69</v>
      </c>
      <c r="I301" s="72">
        <f>T301</f>
        <v>14</v>
      </c>
      <c r="J301" s="73">
        <v>36.07</v>
      </c>
      <c r="K301" s="74">
        <f>U301</f>
        <v>495</v>
      </c>
      <c r="O301" s="23"/>
      <c r="P301" s="23"/>
      <c r="Q301" s="23"/>
      <c r="R301" s="23"/>
      <c r="S301" s="23"/>
      <c r="T301" s="23">
        <f>ROUND(Source!AF164*Source!AV164*Source!I164,0)</f>
        <v>14</v>
      </c>
      <c r="U301" s="23">
        <f>Source!S164</f>
        <v>495</v>
      </c>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v>1</v>
      </c>
      <c r="CW301" s="23"/>
      <c r="CX301" s="23"/>
      <c r="CY301" s="23"/>
      <c r="CZ301" s="23"/>
      <c r="DA301" s="23"/>
      <c r="DB301" s="23"/>
      <c r="DC301" s="23"/>
      <c r="DD301" s="23"/>
      <c r="DE301" s="23"/>
      <c r="DF301" s="23"/>
      <c r="DG301" s="23">
        <f>Source!S164</f>
        <v>495</v>
      </c>
      <c r="DH301" s="23">
        <v>1003</v>
      </c>
      <c r="DI301" s="23"/>
      <c r="DJ301" s="23"/>
      <c r="DK301" s="23"/>
      <c r="DL301" s="23"/>
      <c r="DM301" s="23"/>
      <c r="DN301" s="23"/>
      <c r="DO301" s="23"/>
      <c r="DP301" s="23"/>
      <c r="DQ301" s="23">
        <f>T301</f>
        <v>14</v>
      </c>
      <c r="DR301" s="23"/>
      <c r="DS301" s="23">
        <f>U301</f>
        <v>495</v>
      </c>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f>T301</f>
        <v>14</v>
      </c>
      <c r="GK301" s="23">
        <f>T301</f>
        <v>14</v>
      </c>
      <c r="GL301" s="23"/>
      <c r="GM301" s="23"/>
      <c r="GN301" s="23"/>
      <c r="GO301" s="23"/>
      <c r="GP301" s="23"/>
      <c r="GQ301" s="23"/>
      <c r="GR301" s="23"/>
      <c r="GS301" s="23"/>
      <c r="GT301" s="23"/>
      <c r="GU301" s="23"/>
      <c r="GV301" s="23"/>
      <c r="GW301" s="23"/>
      <c r="GX301" s="23"/>
      <c r="GY301" s="23"/>
      <c r="GZ301" s="23"/>
      <c r="HA301" s="23"/>
      <c r="HB301" s="23">
        <f>T301</f>
        <v>14</v>
      </c>
      <c r="HC301" s="23"/>
      <c r="HD301" s="23"/>
      <c r="HE301" s="23"/>
      <c r="HF301" s="23">
        <f>T301</f>
        <v>14</v>
      </c>
      <c r="HG301" s="23"/>
      <c r="HH301" s="23"/>
      <c r="HI301" s="23"/>
      <c r="HJ301" s="23"/>
      <c r="HK301" s="23"/>
      <c r="HL301" s="23">
        <f>T301</f>
        <v>14</v>
      </c>
      <c r="HM301" s="23"/>
      <c r="HN301" s="23">
        <f>T301</f>
        <v>14</v>
      </c>
      <c r="HO301" s="23"/>
      <c r="HP301" s="23"/>
      <c r="HQ301" s="23"/>
      <c r="HR301" s="23"/>
      <c r="HS301" s="23"/>
      <c r="HT301" s="23"/>
      <c r="HU301" s="23"/>
      <c r="HV301" s="23"/>
      <c r="HW301" s="23"/>
      <c r="HX301" s="23">
        <f>T301</f>
        <v>14</v>
      </c>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row>
    <row r="302" spans="1:255" x14ac:dyDescent="0.2">
      <c r="A302" s="78"/>
      <c r="B302" s="79"/>
      <c r="C302" s="79" t="s">
        <v>855</v>
      </c>
      <c r="D302" s="80"/>
      <c r="E302" s="81"/>
      <c r="F302" s="82">
        <v>160.49</v>
      </c>
      <c r="G302" s="83" t="s">
        <v>856</v>
      </c>
      <c r="H302" s="82">
        <f>Source!AD164</f>
        <v>179.75</v>
      </c>
      <c r="I302" s="84">
        <f>T302</f>
        <v>62</v>
      </c>
      <c r="J302" s="85">
        <v>9.3000000000000007</v>
      </c>
      <c r="K302" s="86">
        <f>U302</f>
        <v>578</v>
      </c>
      <c r="O302" s="23"/>
      <c r="P302" s="23"/>
      <c r="Q302" s="23"/>
      <c r="R302" s="23"/>
      <c r="S302" s="23"/>
      <c r="T302" s="23">
        <f>ROUND(Source!AD164*Source!AV164*Source!I164,0)</f>
        <v>62</v>
      </c>
      <c r="U302" s="23">
        <f>Source!Q164</f>
        <v>578</v>
      </c>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v>1</v>
      </c>
      <c r="CW302" s="23"/>
      <c r="CX302" s="23"/>
      <c r="CY302" s="23"/>
      <c r="CZ302" s="23"/>
      <c r="DA302" s="23"/>
      <c r="DB302" s="23"/>
      <c r="DC302" s="23"/>
      <c r="DD302" s="23"/>
      <c r="DE302" s="23"/>
      <c r="DF302" s="23"/>
      <c r="DG302" s="23"/>
      <c r="DH302" s="23"/>
      <c r="DI302" s="23"/>
      <c r="DJ302" s="23"/>
      <c r="DK302" s="23"/>
      <c r="DL302" s="23"/>
      <c r="DM302" s="23"/>
      <c r="DN302" s="23"/>
      <c r="DO302" s="23"/>
      <c r="DP302" s="23"/>
      <c r="DQ302" s="23">
        <f>T302</f>
        <v>62</v>
      </c>
      <c r="DR302" s="23"/>
      <c r="DS302" s="23">
        <f>U302</f>
        <v>578</v>
      </c>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f>T302</f>
        <v>62</v>
      </c>
      <c r="GK302" s="23"/>
      <c r="GL302" s="23">
        <f>T302</f>
        <v>62</v>
      </c>
      <c r="GM302" s="23"/>
      <c r="GN302" s="23"/>
      <c r="GO302" s="23"/>
      <c r="GP302" s="23"/>
      <c r="GQ302" s="23"/>
      <c r="GR302" s="23"/>
      <c r="GS302" s="23"/>
      <c r="GT302" s="23"/>
      <c r="GU302" s="23"/>
      <c r="GV302" s="23"/>
      <c r="GW302" s="23"/>
      <c r="GX302" s="23"/>
      <c r="GY302" s="23"/>
      <c r="GZ302" s="23"/>
      <c r="HA302" s="23"/>
      <c r="HB302" s="23">
        <f>T302</f>
        <v>62</v>
      </c>
      <c r="HC302" s="23"/>
      <c r="HD302" s="23"/>
      <c r="HE302" s="23"/>
      <c r="HF302" s="23">
        <f>T302</f>
        <v>62</v>
      </c>
      <c r="HG302" s="23"/>
      <c r="HH302" s="23"/>
      <c r="HI302" s="23"/>
      <c r="HJ302" s="23"/>
      <c r="HK302" s="23"/>
      <c r="HL302" s="23">
        <f>T302</f>
        <v>62</v>
      </c>
      <c r="HM302" s="23"/>
      <c r="HN302" s="23">
        <f>T302</f>
        <v>62</v>
      </c>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row>
    <row r="303" spans="1:255" x14ac:dyDescent="0.2">
      <c r="A303" s="78"/>
      <c r="B303" s="79"/>
      <c r="C303" s="79" t="s">
        <v>857</v>
      </c>
      <c r="D303" s="80"/>
      <c r="E303" s="81"/>
      <c r="F303" s="82">
        <v>23.27</v>
      </c>
      <c r="G303" s="83" t="s">
        <v>856</v>
      </c>
      <c r="H303" s="82">
        <f>Source!AE164</f>
        <v>26.06</v>
      </c>
      <c r="I303" s="84">
        <f>GM303</f>
        <v>9</v>
      </c>
      <c r="J303" s="85">
        <v>19.8</v>
      </c>
      <c r="K303" s="86">
        <f>Source!R164</f>
        <v>179</v>
      </c>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f>ROUND(Source!AE164*Source!AV164*Source!I164,0)</f>
        <v>9</v>
      </c>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f>GM303</f>
        <v>9</v>
      </c>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row>
    <row r="304" spans="1:255" x14ac:dyDescent="0.2">
      <c r="A304" s="87"/>
      <c r="B304" s="88"/>
      <c r="C304" s="88" t="s">
        <v>858</v>
      </c>
      <c r="D304" s="89"/>
      <c r="E304" s="90">
        <v>120</v>
      </c>
      <c r="F304" s="91" t="s">
        <v>859</v>
      </c>
      <c r="G304" s="92"/>
      <c r="H304" s="93">
        <f>ROUND((Source!AF164*Source!AV164+Source!AE164*Source!AV164)*(Source!FX164)/100,2)</f>
        <v>78.900000000000006</v>
      </c>
      <c r="I304" s="94">
        <f>T304</f>
        <v>28</v>
      </c>
      <c r="J304" s="96">
        <v>1.1399999999999999</v>
      </c>
      <c r="K304" s="95" t="e">
        <f>U304</f>
        <v>#REF!</v>
      </c>
      <c r="O304" s="23"/>
      <c r="P304" s="23"/>
      <c r="Q304" s="23"/>
      <c r="R304" s="23"/>
      <c r="S304" s="23"/>
      <c r="T304" s="23">
        <f>ROUND((ROUND(Source!AF164*Source!AV164*Source!I164,0)+ROUND(Source!AE164*Source!AV164*Source!I164,0))*(Source!DN164)/100,0)</f>
        <v>28</v>
      </c>
      <c r="U304" s="23" t="e">
        <f>Source!X164</f>
        <v>#REF!</v>
      </c>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v>1</v>
      </c>
      <c r="CW304" s="23"/>
      <c r="CX304" s="23"/>
      <c r="CY304" s="23"/>
      <c r="CZ304" s="23"/>
      <c r="DA304" s="23"/>
      <c r="DB304" s="23"/>
      <c r="DC304" s="23"/>
      <c r="DD304" s="23"/>
      <c r="DE304" s="23"/>
      <c r="DF304" s="23"/>
      <c r="DG304" s="23"/>
      <c r="DH304" s="23"/>
      <c r="DI304" s="23"/>
      <c r="DJ304" s="23"/>
      <c r="DK304" s="23"/>
      <c r="DL304" s="23"/>
      <c r="DM304" s="23"/>
      <c r="DN304" s="23"/>
      <c r="DO304" s="23"/>
      <c r="DP304" s="23"/>
      <c r="DQ304" s="23">
        <f>T304</f>
        <v>28</v>
      </c>
      <c r="DR304" s="23"/>
      <c r="DS304" s="23" t="e">
        <f>U304</f>
        <v>#REF!</v>
      </c>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f>T304</f>
        <v>28</v>
      </c>
      <c r="GZ304" s="23"/>
      <c r="HA304" s="23"/>
      <c r="HB304" s="23">
        <f>T304</f>
        <v>28</v>
      </c>
      <c r="HC304" s="23"/>
      <c r="HD304" s="23"/>
      <c r="HE304" s="23"/>
      <c r="HF304" s="23">
        <f>T304</f>
        <v>28</v>
      </c>
      <c r="HG304" s="23"/>
      <c r="HH304" s="23"/>
      <c r="HI304" s="23"/>
      <c r="HJ304" s="23"/>
      <c r="HK304" s="23"/>
      <c r="HL304" s="23">
        <f>T304</f>
        <v>28</v>
      </c>
      <c r="HM304" s="23"/>
      <c r="HN304" s="23">
        <f>T304</f>
        <v>28</v>
      </c>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row>
    <row r="305" spans="1:255" x14ac:dyDescent="0.2">
      <c r="A305" s="87"/>
      <c r="B305" s="88"/>
      <c r="C305" s="88" t="s">
        <v>860</v>
      </c>
      <c r="D305" s="89"/>
      <c r="E305" s="90">
        <v>77</v>
      </c>
      <c r="F305" s="91" t="s">
        <v>859</v>
      </c>
      <c r="G305" s="92"/>
      <c r="H305" s="93">
        <f>ROUND((Source!AF164*Source!AV164+Source!AE164*Source!AV164)*(Source!FY164)/100,2)</f>
        <v>50.63</v>
      </c>
      <c r="I305" s="94">
        <f>T305</f>
        <v>18</v>
      </c>
      <c r="J305" s="96">
        <v>0.65</v>
      </c>
      <c r="K305" s="95" t="e">
        <f>U305</f>
        <v>#REF!</v>
      </c>
      <c r="O305" s="23"/>
      <c r="P305" s="23"/>
      <c r="Q305" s="23"/>
      <c r="R305" s="23"/>
      <c r="S305" s="23"/>
      <c r="T305" s="23">
        <f>ROUND((ROUND(Source!AF164*Source!AV164*Source!I164,0)+ROUND(Source!AE164*Source!AV164*Source!I164,0))*(Source!DO164)/100,0)</f>
        <v>18</v>
      </c>
      <c r="U305" s="23" t="e">
        <f>Source!Y164</f>
        <v>#REF!</v>
      </c>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v>1</v>
      </c>
      <c r="CW305" s="23"/>
      <c r="CX305" s="23"/>
      <c r="CY305" s="23"/>
      <c r="CZ305" s="23"/>
      <c r="DA305" s="23"/>
      <c r="DB305" s="23"/>
      <c r="DC305" s="23"/>
      <c r="DD305" s="23"/>
      <c r="DE305" s="23"/>
      <c r="DF305" s="23"/>
      <c r="DG305" s="23"/>
      <c r="DH305" s="23"/>
      <c r="DI305" s="23"/>
      <c r="DJ305" s="23"/>
      <c r="DK305" s="23"/>
      <c r="DL305" s="23"/>
      <c r="DM305" s="23"/>
      <c r="DN305" s="23"/>
      <c r="DO305" s="23"/>
      <c r="DP305" s="23"/>
      <c r="DQ305" s="23">
        <f>T305</f>
        <v>18</v>
      </c>
      <c r="DR305" s="23"/>
      <c r="DS305" s="23" t="e">
        <f>U305</f>
        <v>#REF!</v>
      </c>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f>T305</f>
        <v>18</v>
      </c>
      <c r="HA305" s="23"/>
      <c r="HB305" s="23">
        <f>T305</f>
        <v>18</v>
      </c>
      <c r="HC305" s="23"/>
      <c r="HD305" s="23"/>
      <c r="HE305" s="23"/>
      <c r="HF305" s="23">
        <f>T305</f>
        <v>18</v>
      </c>
      <c r="HG305" s="23"/>
      <c r="HH305" s="23"/>
      <c r="HI305" s="23"/>
      <c r="HJ305" s="23"/>
      <c r="HK305" s="23"/>
      <c r="HL305" s="23">
        <f>T305</f>
        <v>18</v>
      </c>
      <c r="HM305" s="23"/>
      <c r="HN305" s="23">
        <f>T305</f>
        <v>18</v>
      </c>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row>
    <row r="306" spans="1:255" x14ac:dyDescent="0.2">
      <c r="A306" s="78"/>
      <c r="B306" s="79"/>
      <c r="C306" s="79" t="s">
        <v>861</v>
      </c>
      <c r="D306" s="80" t="s">
        <v>862</v>
      </c>
      <c r="E306" s="81">
        <v>4.34</v>
      </c>
      <c r="F306" s="82"/>
      <c r="G306" s="83" t="s">
        <v>854</v>
      </c>
      <c r="H306" s="82" t="e">
        <f>ROUND(Source!AH164,2)</f>
        <v>#REF!</v>
      </c>
      <c r="I306" s="97" t="e">
        <f>Source!U164</f>
        <v>#REF!</v>
      </c>
      <c r="J306" s="85"/>
      <c r="K306" s="86"/>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row>
    <row r="307" spans="1:255" x14ac:dyDescent="0.2">
      <c r="A307" s="100" t="s">
        <v>256</v>
      </c>
      <c r="B307" s="109" t="s">
        <v>71</v>
      </c>
      <c r="C307" s="101" t="s">
        <v>72</v>
      </c>
      <c r="D307" s="102" t="s">
        <v>33</v>
      </c>
      <c r="E307" s="103">
        <f>Source!I166</f>
        <v>1.4532499999999999E-3</v>
      </c>
      <c r="F307" s="104">
        <v>1696.01</v>
      </c>
      <c r="G307" s="105"/>
      <c r="H307" s="104">
        <f>Source!AC165</f>
        <v>1696.01</v>
      </c>
      <c r="I307" s="106">
        <f>T307</f>
        <v>2</v>
      </c>
      <c r="J307" s="107" t="s">
        <v>863</v>
      </c>
      <c r="K307" s="108">
        <f>U307</f>
        <v>127</v>
      </c>
      <c r="L307" s="23"/>
      <c r="M307" s="23"/>
      <c r="N307" s="23"/>
      <c r="O307" s="23"/>
      <c r="P307" s="23"/>
      <c r="Q307" s="23"/>
      <c r="R307" s="23"/>
      <c r="S307" s="23"/>
      <c r="T307" s="23">
        <f>ROUND(Source!AC165*Source!AW165*Source!I165,0)</f>
        <v>2</v>
      </c>
      <c r="U307" s="23">
        <f>Source!P166</f>
        <v>127</v>
      </c>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v>1</v>
      </c>
      <c r="CW307" s="23"/>
      <c r="CX307" s="23"/>
      <c r="CY307" s="23"/>
      <c r="CZ307" s="23"/>
      <c r="DA307" s="23"/>
      <c r="DB307" s="23"/>
      <c r="DC307" s="23"/>
      <c r="DD307" s="23"/>
      <c r="DE307" s="23"/>
      <c r="DF307" s="23"/>
      <c r="DG307" s="23"/>
      <c r="DH307" s="23"/>
      <c r="DI307" s="23"/>
      <c r="DJ307" s="23"/>
      <c r="DK307" s="23">
        <f>T307</f>
        <v>2</v>
      </c>
      <c r="DL307" s="23"/>
      <c r="DM307" s="23">
        <f>Source!P166</f>
        <v>127</v>
      </c>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f>T307</f>
        <v>2</v>
      </c>
      <c r="GK307" s="23"/>
      <c r="GL307" s="23"/>
      <c r="GM307" s="23"/>
      <c r="GN307" s="23">
        <f>T307</f>
        <v>2</v>
      </c>
      <c r="GO307" s="23"/>
      <c r="GP307" s="23">
        <f>T307</f>
        <v>2</v>
      </c>
      <c r="GQ307" s="23">
        <f>T307</f>
        <v>2</v>
      </c>
      <c r="GR307" s="23"/>
      <c r="GS307" s="23">
        <f>T307</f>
        <v>2</v>
      </c>
      <c r="GT307" s="23"/>
      <c r="GU307" s="23"/>
      <c r="GV307" s="23"/>
      <c r="GW307" s="23"/>
      <c r="GX307" s="23"/>
      <c r="GY307" s="23"/>
      <c r="GZ307" s="23"/>
      <c r="HA307" s="23"/>
      <c r="HB307" s="23">
        <f>T307</f>
        <v>2</v>
      </c>
      <c r="HC307" s="23"/>
      <c r="HD307" s="23"/>
      <c r="HE307" s="23"/>
      <c r="HF307" s="23">
        <f>T307</f>
        <v>2</v>
      </c>
      <c r="HG307" s="23"/>
      <c r="HH307" s="23"/>
      <c r="HI307" s="23"/>
      <c r="HJ307" s="23"/>
      <c r="HK307" s="23"/>
      <c r="HL307" s="23">
        <f>T307</f>
        <v>2</v>
      </c>
      <c r="HM307" s="23"/>
      <c r="HN307" s="23">
        <f>T307</f>
        <v>2</v>
      </c>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row>
    <row r="308" spans="1:255" x14ac:dyDescent="0.2">
      <c r="A308" s="64"/>
      <c r="B308" s="111" t="s">
        <v>864</v>
      </c>
      <c r="C308" s="111" t="s">
        <v>873</v>
      </c>
      <c r="D308" s="63"/>
      <c r="E308" s="63"/>
      <c r="F308" s="63"/>
      <c r="G308" s="63"/>
      <c r="H308" s="63"/>
      <c r="I308" s="63"/>
      <c r="J308" s="63"/>
      <c r="K308" s="65"/>
    </row>
    <row r="309" spans="1:255" ht="24" x14ac:dyDescent="0.2">
      <c r="A309" s="100" t="s">
        <v>257</v>
      </c>
      <c r="B309" s="109" t="s">
        <v>76</v>
      </c>
      <c r="C309" s="101" t="s">
        <v>245</v>
      </c>
      <c r="D309" s="102" t="s">
        <v>78</v>
      </c>
      <c r="E309" s="103">
        <f>Source!I168</f>
        <v>0.86499999999999999</v>
      </c>
      <c r="F309" s="104">
        <v>87.58</v>
      </c>
      <c r="G309" s="105"/>
      <c r="H309" s="104">
        <f>Source!AC167</f>
        <v>87.58</v>
      </c>
      <c r="I309" s="106">
        <f>T309</f>
        <v>76</v>
      </c>
      <c r="J309" s="107" t="s">
        <v>863</v>
      </c>
      <c r="K309" s="108">
        <f>U309</f>
        <v>302</v>
      </c>
      <c r="L309" s="23"/>
      <c r="M309" s="23"/>
      <c r="N309" s="23"/>
      <c r="O309" s="23"/>
      <c r="P309" s="23"/>
      <c r="Q309" s="23"/>
      <c r="R309" s="23"/>
      <c r="S309" s="23"/>
      <c r="T309" s="23">
        <f>ROUND(Source!AC167*Source!AW167*Source!I167,0)</f>
        <v>76</v>
      </c>
      <c r="U309" s="23">
        <f>Source!P168</f>
        <v>302</v>
      </c>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v>1</v>
      </c>
      <c r="CW309" s="23"/>
      <c r="CX309" s="23"/>
      <c r="CY309" s="23"/>
      <c r="CZ309" s="23"/>
      <c r="DA309" s="23"/>
      <c r="DB309" s="23"/>
      <c r="DC309" s="23"/>
      <c r="DD309" s="23"/>
      <c r="DE309" s="23"/>
      <c r="DF309" s="23"/>
      <c r="DG309" s="23"/>
      <c r="DH309" s="23"/>
      <c r="DI309" s="23"/>
      <c r="DJ309" s="23"/>
      <c r="DK309" s="23">
        <f>T309</f>
        <v>76</v>
      </c>
      <c r="DL309" s="23"/>
      <c r="DM309" s="23">
        <f>Source!P168</f>
        <v>302</v>
      </c>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f>T309</f>
        <v>76</v>
      </c>
      <c r="GK309" s="23"/>
      <c r="GL309" s="23"/>
      <c r="GM309" s="23"/>
      <c r="GN309" s="23">
        <f>T309</f>
        <v>76</v>
      </c>
      <c r="GO309" s="23"/>
      <c r="GP309" s="23">
        <f>T309</f>
        <v>76</v>
      </c>
      <c r="GQ309" s="23">
        <f>T309</f>
        <v>76</v>
      </c>
      <c r="GR309" s="23"/>
      <c r="GS309" s="23">
        <f>T309</f>
        <v>76</v>
      </c>
      <c r="GT309" s="23"/>
      <c r="GU309" s="23"/>
      <c r="GV309" s="23"/>
      <c r="GW309" s="23"/>
      <c r="GX309" s="23"/>
      <c r="GY309" s="23"/>
      <c r="GZ309" s="23"/>
      <c r="HA309" s="23"/>
      <c r="HB309" s="23">
        <f>T309</f>
        <v>76</v>
      </c>
      <c r="HC309" s="23"/>
      <c r="HD309" s="23"/>
      <c r="HE309" s="23"/>
      <c r="HF309" s="23">
        <f>T309</f>
        <v>76</v>
      </c>
      <c r="HG309" s="23"/>
      <c r="HH309" s="23"/>
      <c r="HI309" s="23"/>
      <c r="HJ309" s="23"/>
      <c r="HK309" s="23"/>
      <c r="HL309" s="23">
        <f>T309</f>
        <v>76</v>
      </c>
      <c r="HM309" s="23"/>
      <c r="HN309" s="23">
        <f>T309</f>
        <v>76</v>
      </c>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row>
    <row r="310" spans="1:255" x14ac:dyDescent="0.2">
      <c r="A310" s="64"/>
      <c r="B310" s="111" t="s">
        <v>864</v>
      </c>
      <c r="C310" s="111" t="s">
        <v>874</v>
      </c>
      <c r="D310" s="63"/>
      <c r="E310" s="63"/>
      <c r="F310" s="63"/>
      <c r="G310" s="63"/>
      <c r="H310" s="63"/>
      <c r="I310" s="63"/>
      <c r="J310" s="63"/>
      <c r="K310" s="65"/>
    </row>
    <row r="311" spans="1:255" ht="24" x14ac:dyDescent="0.2">
      <c r="A311" s="100" t="s">
        <v>258</v>
      </c>
      <c r="B311" s="109" t="s">
        <v>82</v>
      </c>
      <c r="C311" s="101" t="s">
        <v>247</v>
      </c>
      <c r="D311" s="102" t="s">
        <v>78</v>
      </c>
      <c r="E311" s="103">
        <f>Source!I170</f>
        <v>0.86499999999999999</v>
      </c>
      <c r="F311" s="104">
        <v>56.57</v>
      </c>
      <c r="G311" s="105"/>
      <c r="H311" s="104">
        <f>Source!AC169</f>
        <v>56.57</v>
      </c>
      <c r="I311" s="106">
        <f>T311</f>
        <v>49</v>
      </c>
      <c r="J311" s="107" t="s">
        <v>863</v>
      </c>
      <c r="K311" s="108">
        <f>U311</f>
        <v>198</v>
      </c>
      <c r="L311" s="23"/>
      <c r="M311" s="23"/>
      <c r="N311" s="23"/>
      <c r="O311" s="23"/>
      <c r="P311" s="23"/>
      <c r="Q311" s="23"/>
      <c r="R311" s="23"/>
      <c r="S311" s="23"/>
      <c r="T311" s="23">
        <f>ROUND(Source!AC169*Source!AW169*Source!I169,0)</f>
        <v>49</v>
      </c>
      <c r="U311" s="23">
        <f>Source!P170</f>
        <v>198</v>
      </c>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v>1</v>
      </c>
      <c r="CW311" s="23"/>
      <c r="CX311" s="23"/>
      <c r="CY311" s="23"/>
      <c r="CZ311" s="23"/>
      <c r="DA311" s="23"/>
      <c r="DB311" s="23"/>
      <c r="DC311" s="23"/>
      <c r="DD311" s="23"/>
      <c r="DE311" s="23"/>
      <c r="DF311" s="23"/>
      <c r="DG311" s="23"/>
      <c r="DH311" s="23"/>
      <c r="DI311" s="23"/>
      <c r="DJ311" s="23"/>
      <c r="DK311" s="23">
        <f>T311</f>
        <v>49</v>
      </c>
      <c r="DL311" s="23"/>
      <c r="DM311" s="23">
        <f>Source!P170</f>
        <v>198</v>
      </c>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f>T311</f>
        <v>49</v>
      </c>
      <c r="GK311" s="23"/>
      <c r="GL311" s="23"/>
      <c r="GM311" s="23"/>
      <c r="GN311" s="23">
        <f>T311</f>
        <v>49</v>
      </c>
      <c r="GO311" s="23"/>
      <c r="GP311" s="23">
        <f>T311</f>
        <v>49</v>
      </c>
      <c r="GQ311" s="23">
        <f>T311</f>
        <v>49</v>
      </c>
      <c r="GR311" s="23"/>
      <c r="GS311" s="23">
        <f>T311</f>
        <v>49</v>
      </c>
      <c r="GT311" s="23"/>
      <c r="GU311" s="23"/>
      <c r="GV311" s="23"/>
      <c r="GW311" s="23"/>
      <c r="GX311" s="23"/>
      <c r="GY311" s="23"/>
      <c r="GZ311" s="23"/>
      <c r="HA311" s="23"/>
      <c r="HB311" s="23">
        <f>T311</f>
        <v>49</v>
      </c>
      <c r="HC311" s="23"/>
      <c r="HD311" s="23"/>
      <c r="HE311" s="23"/>
      <c r="HF311" s="23">
        <f>T311</f>
        <v>49</v>
      </c>
      <c r="HG311" s="23"/>
      <c r="HH311" s="23"/>
      <c r="HI311" s="23"/>
      <c r="HJ311" s="23"/>
      <c r="HK311" s="23"/>
      <c r="HL311" s="23">
        <f>T311</f>
        <v>49</v>
      </c>
      <c r="HM311" s="23"/>
      <c r="HN311" s="23">
        <f>T311</f>
        <v>49</v>
      </c>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row>
    <row r="312" spans="1:255" x14ac:dyDescent="0.2">
      <c r="A312" s="64"/>
      <c r="B312" s="111" t="s">
        <v>864</v>
      </c>
      <c r="C312" s="111" t="s">
        <v>875</v>
      </c>
      <c r="D312" s="63"/>
      <c r="E312" s="63"/>
      <c r="F312" s="63"/>
      <c r="G312" s="63"/>
      <c r="H312" s="63"/>
      <c r="I312" s="63"/>
      <c r="J312" s="63"/>
      <c r="K312" s="65"/>
    </row>
    <row r="313" spans="1:255" ht="24" x14ac:dyDescent="0.2">
      <c r="A313" s="100" t="s">
        <v>259</v>
      </c>
      <c r="B313" s="109" t="s">
        <v>87</v>
      </c>
      <c r="C313" s="101" t="s">
        <v>88</v>
      </c>
      <c r="D313" s="102" t="s">
        <v>44</v>
      </c>
      <c r="E313" s="103">
        <f>Source!I172</f>
        <v>0.87797499999999995</v>
      </c>
      <c r="F313" s="104">
        <v>878.79</v>
      </c>
      <c r="G313" s="105"/>
      <c r="H313" s="104">
        <f>Source!AC171</f>
        <v>878.79</v>
      </c>
      <c r="I313" s="106">
        <f>T313</f>
        <v>772</v>
      </c>
      <c r="J313" s="107" t="s">
        <v>863</v>
      </c>
      <c r="K313" s="108">
        <f>U313</f>
        <v>6472</v>
      </c>
      <c r="L313" s="23"/>
      <c r="M313" s="23"/>
      <c r="N313" s="23"/>
      <c r="O313" s="23"/>
      <c r="P313" s="23"/>
      <c r="Q313" s="23"/>
      <c r="R313" s="23"/>
      <c r="S313" s="23"/>
      <c r="T313" s="23">
        <f>ROUND(Source!AC171*Source!AW171*Source!I171,0)</f>
        <v>772</v>
      </c>
      <c r="U313" s="23">
        <f>Source!P172</f>
        <v>6472</v>
      </c>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v>1</v>
      </c>
      <c r="CW313" s="23"/>
      <c r="CX313" s="23"/>
      <c r="CY313" s="23"/>
      <c r="CZ313" s="23"/>
      <c r="DA313" s="23"/>
      <c r="DB313" s="23"/>
      <c r="DC313" s="23"/>
      <c r="DD313" s="23"/>
      <c r="DE313" s="23"/>
      <c r="DF313" s="23"/>
      <c r="DG313" s="23"/>
      <c r="DH313" s="23"/>
      <c r="DI313" s="23"/>
      <c r="DJ313" s="23"/>
      <c r="DK313" s="23">
        <f>T313</f>
        <v>772</v>
      </c>
      <c r="DL313" s="23"/>
      <c r="DM313" s="23">
        <f>Source!P172</f>
        <v>6472</v>
      </c>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f>T313</f>
        <v>772</v>
      </c>
      <c r="GK313" s="23"/>
      <c r="GL313" s="23"/>
      <c r="GM313" s="23"/>
      <c r="GN313" s="23">
        <f>T313</f>
        <v>772</v>
      </c>
      <c r="GO313" s="23"/>
      <c r="GP313" s="23">
        <f>T313</f>
        <v>772</v>
      </c>
      <c r="GQ313" s="23">
        <f>T313</f>
        <v>772</v>
      </c>
      <c r="GR313" s="23"/>
      <c r="GS313" s="23">
        <f>T313</f>
        <v>772</v>
      </c>
      <c r="GT313" s="23"/>
      <c r="GU313" s="23"/>
      <c r="GV313" s="23"/>
      <c r="GW313" s="23"/>
      <c r="GX313" s="23"/>
      <c r="GY313" s="23"/>
      <c r="GZ313" s="23"/>
      <c r="HA313" s="23"/>
      <c r="HB313" s="23">
        <f>T313</f>
        <v>772</v>
      </c>
      <c r="HC313" s="23"/>
      <c r="HD313" s="23"/>
      <c r="HE313" s="23"/>
      <c r="HF313" s="23">
        <f>T313</f>
        <v>772</v>
      </c>
      <c r="HG313" s="23"/>
      <c r="HH313" s="23"/>
      <c r="HI313" s="23"/>
      <c r="HJ313" s="23"/>
      <c r="HK313" s="23"/>
      <c r="HL313" s="23">
        <f>T313</f>
        <v>772</v>
      </c>
      <c r="HM313" s="23"/>
      <c r="HN313" s="23">
        <f>T313</f>
        <v>772</v>
      </c>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row>
    <row r="314" spans="1:255" x14ac:dyDescent="0.2">
      <c r="A314" s="64"/>
      <c r="B314" s="111" t="s">
        <v>864</v>
      </c>
      <c r="C314" s="111" t="s">
        <v>876</v>
      </c>
      <c r="D314" s="63"/>
      <c r="E314" s="63"/>
      <c r="F314" s="63"/>
      <c r="G314" s="63"/>
      <c r="H314" s="63"/>
      <c r="I314" s="63"/>
      <c r="J314" s="63"/>
      <c r="K314" s="65"/>
    </row>
    <row r="315" spans="1:255" x14ac:dyDescent="0.2">
      <c r="A315" s="100" t="s">
        <v>260</v>
      </c>
      <c r="B315" s="109" t="s">
        <v>92</v>
      </c>
      <c r="C315" s="101" t="s">
        <v>93</v>
      </c>
      <c r="D315" s="102" t="s">
        <v>94</v>
      </c>
      <c r="E315" s="103">
        <f>Source!I174</f>
        <v>1.8642479999999999</v>
      </c>
      <c r="F315" s="104">
        <v>4.6900000000000004</v>
      </c>
      <c r="G315" s="105"/>
      <c r="H315" s="104">
        <f>Source!AC173</f>
        <v>4.6900000000000004</v>
      </c>
      <c r="I315" s="106">
        <f>T315</f>
        <v>9</v>
      </c>
      <c r="J315" s="107" t="s">
        <v>863</v>
      </c>
      <c r="K315" s="108">
        <f>U315</f>
        <v>60</v>
      </c>
      <c r="L315" s="23"/>
      <c r="M315" s="23"/>
      <c r="N315" s="23"/>
      <c r="O315" s="23"/>
      <c r="P315" s="23"/>
      <c r="Q315" s="23"/>
      <c r="R315" s="23"/>
      <c r="S315" s="23"/>
      <c r="T315" s="23">
        <f>ROUND(Source!AC173*Source!AW173*Source!I173,0)</f>
        <v>9</v>
      </c>
      <c r="U315" s="23">
        <f>Source!P174</f>
        <v>60</v>
      </c>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v>2</v>
      </c>
      <c r="CW315" s="23"/>
      <c r="CX315" s="23"/>
      <c r="CY315" s="23"/>
      <c r="CZ315" s="23"/>
      <c r="DA315" s="23"/>
      <c r="DB315" s="23"/>
      <c r="DC315" s="23"/>
      <c r="DD315" s="23"/>
      <c r="DE315" s="23"/>
      <c r="DF315" s="23"/>
      <c r="DG315" s="23"/>
      <c r="DH315" s="23"/>
      <c r="DI315" s="23"/>
      <c r="DJ315" s="23"/>
      <c r="DK315" s="23">
        <f>T315</f>
        <v>9</v>
      </c>
      <c r="DL315" s="23"/>
      <c r="DM315" s="23">
        <f>Source!P174</f>
        <v>60</v>
      </c>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f>T315</f>
        <v>9</v>
      </c>
      <c r="GK315" s="23"/>
      <c r="GL315" s="23"/>
      <c r="GM315" s="23"/>
      <c r="GN315" s="23">
        <f>T315</f>
        <v>9</v>
      </c>
      <c r="GO315" s="23"/>
      <c r="GP315" s="23">
        <f>T315</f>
        <v>9</v>
      </c>
      <c r="GQ315" s="23">
        <f>T315</f>
        <v>9</v>
      </c>
      <c r="GR315" s="23"/>
      <c r="GS315" s="23">
        <f>T315</f>
        <v>9</v>
      </c>
      <c r="GT315" s="23"/>
      <c r="GU315" s="23"/>
      <c r="GV315" s="23"/>
      <c r="GW315" s="23"/>
      <c r="GX315" s="23"/>
      <c r="GY315" s="23"/>
      <c r="GZ315" s="23"/>
      <c r="HA315" s="23"/>
      <c r="HB315" s="23"/>
      <c r="HC315" s="23">
        <f>T315</f>
        <v>9</v>
      </c>
      <c r="HD315" s="23"/>
      <c r="HE315" s="23"/>
      <c r="HF315" s="23">
        <f>T315</f>
        <v>9</v>
      </c>
      <c r="HG315" s="23"/>
      <c r="HH315" s="23"/>
      <c r="HI315" s="23"/>
      <c r="HJ315" s="23"/>
      <c r="HK315" s="23"/>
      <c r="HL315" s="23">
        <f>T315</f>
        <v>9</v>
      </c>
      <c r="HM315" s="23"/>
      <c r="HN315" s="23"/>
      <c r="HO315" s="23"/>
      <c r="HP315" s="23">
        <f>T315</f>
        <v>9</v>
      </c>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row>
    <row r="316" spans="1:255" x14ac:dyDescent="0.2">
      <c r="A316" s="64"/>
      <c r="B316" s="111" t="s">
        <v>864</v>
      </c>
      <c r="C316" s="111" t="s">
        <v>877</v>
      </c>
      <c r="D316" s="63"/>
      <c r="E316" s="63"/>
      <c r="F316" s="63"/>
      <c r="G316" s="63"/>
      <c r="H316" s="63"/>
      <c r="I316" s="63"/>
      <c r="J316" s="63"/>
      <c r="K316" s="65"/>
    </row>
    <row r="317" spans="1:255" x14ac:dyDescent="0.2">
      <c r="A317" s="100" t="s">
        <v>261</v>
      </c>
      <c r="B317" s="109" t="s">
        <v>101</v>
      </c>
      <c r="C317" s="101" t="s">
        <v>102</v>
      </c>
      <c r="D317" s="102" t="s">
        <v>103</v>
      </c>
      <c r="E317" s="103">
        <f>Source!I176</f>
        <v>7.9580000000000011</v>
      </c>
      <c r="F317" s="104">
        <v>0.24</v>
      </c>
      <c r="G317" s="105"/>
      <c r="H317" s="104">
        <f>Source!AC175</f>
        <v>0.24</v>
      </c>
      <c r="I317" s="106">
        <f>T317</f>
        <v>2</v>
      </c>
      <c r="J317" s="107" t="s">
        <v>863</v>
      </c>
      <c r="K317" s="108">
        <f>U317</f>
        <v>10</v>
      </c>
      <c r="L317" s="23"/>
      <c r="M317" s="23"/>
      <c r="N317" s="23"/>
      <c r="O317" s="23"/>
      <c r="P317" s="23"/>
      <c r="Q317" s="23"/>
      <c r="R317" s="23"/>
      <c r="S317" s="23"/>
      <c r="T317" s="23">
        <f>ROUND(Source!AC175*Source!AW175*Source!I175,0)</f>
        <v>2</v>
      </c>
      <c r="U317" s="23">
        <f>Source!P176</f>
        <v>10</v>
      </c>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v>1</v>
      </c>
      <c r="CW317" s="23"/>
      <c r="CX317" s="23"/>
      <c r="CY317" s="23"/>
      <c r="CZ317" s="23"/>
      <c r="DA317" s="23"/>
      <c r="DB317" s="23"/>
      <c r="DC317" s="23"/>
      <c r="DD317" s="23"/>
      <c r="DE317" s="23"/>
      <c r="DF317" s="23"/>
      <c r="DG317" s="23"/>
      <c r="DH317" s="23"/>
      <c r="DI317" s="23"/>
      <c r="DJ317" s="23"/>
      <c r="DK317" s="23">
        <f>T317</f>
        <v>2</v>
      </c>
      <c r="DL317" s="23"/>
      <c r="DM317" s="23">
        <f>Source!P176</f>
        <v>10</v>
      </c>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f>T317</f>
        <v>2</v>
      </c>
      <c r="GK317" s="23"/>
      <c r="GL317" s="23"/>
      <c r="GM317" s="23"/>
      <c r="GN317" s="23">
        <f>T317</f>
        <v>2</v>
      </c>
      <c r="GO317" s="23"/>
      <c r="GP317" s="23">
        <f>T317</f>
        <v>2</v>
      </c>
      <c r="GQ317" s="23">
        <f>T317</f>
        <v>2</v>
      </c>
      <c r="GR317" s="23"/>
      <c r="GS317" s="23">
        <f>T317</f>
        <v>2</v>
      </c>
      <c r="GT317" s="23"/>
      <c r="GU317" s="23"/>
      <c r="GV317" s="23"/>
      <c r="GW317" s="23"/>
      <c r="GX317" s="23"/>
      <c r="GY317" s="23"/>
      <c r="GZ317" s="23"/>
      <c r="HA317" s="23"/>
      <c r="HB317" s="23">
        <f>T317</f>
        <v>2</v>
      </c>
      <c r="HC317" s="23"/>
      <c r="HD317" s="23"/>
      <c r="HE317" s="23"/>
      <c r="HF317" s="23">
        <f>T317</f>
        <v>2</v>
      </c>
      <c r="HG317" s="23"/>
      <c r="HH317" s="23"/>
      <c r="HI317" s="23"/>
      <c r="HJ317" s="23"/>
      <c r="HK317" s="23"/>
      <c r="HL317" s="23">
        <f>T317</f>
        <v>2</v>
      </c>
      <c r="HM317" s="23"/>
      <c r="HN317" s="23">
        <f>T317</f>
        <v>2</v>
      </c>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row>
    <row r="318" spans="1:255" x14ac:dyDescent="0.2">
      <c r="A318" s="64"/>
      <c r="B318" s="111" t="s">
        <v>864</v>
      </c>
      <c r="C318" s="111" t="s">
        <v>878</v>
      </c>
      <c r="D318" s="63"/>
      <c r="E318" s="63"/>
      <c r="F318" s="63"/>
      <c r="G318" s="63"/>
      <c r="H318" s="63"/>
      <c r="I318" s="63"/>
      <c r="J318" s="63"/>
      <c r="K318" s="65"/>
    </row>
    <row r="319" spans="1:255" x14ac:dyDescent="0.2">
      <c r="A319" s="100" t="s">
        <v>262</v>
      </c>
      <c r="B319" s="109" t="s">
        <v>107</v>
      </c>
      <c r="C319" s="101" t="s">
        <v>108</v>
      </c>
      <c r="D319" s="102" t="s">
        <v>103</v>
      </c>
      <c r="E319" s="103">
        <f>Source!I178</f>
        <v>4.1520000000000001</v>
      </c>
      <c r="F319" s="104">
        <v>0.24</v>
      </c>
      <c r="G319" s="105"/>
      <c r="H319" s="104">
        <f>Source!AC177</f>
        <v>0.24</v>
      </c>
      <c r="I319" s="106">
        <f>T319</f>
        <v>1</v>
      </c>
      <c r="J319" s="107" t="s">
        <v>863</v>
      </c>
      <c r="K319" s="108">
        <f>U319</f>
        <v>3</v>
      </c>
      <c r="L319" s="23"/>
      <c r="M319" s="23"/>
      <c r="N319" s="23"/>
      <c r="O319" s="23"/>
      <c r="P319" s="23"/>
      <c r="Q319" s="23"/>
      <c r="R319" s="23"/>
      <c r="S319" s="23"/>
      <c r="T319" s="23">
        <f>ROUND(Source!AC177*Source!AW177*Source!I177,0)</f>
        <v>1</v>
      </c>
      <c r="U319" s="23">
        <f>Source!P178</f>
        <v>3</v>
      </c>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v>1</v>
      </c>
      <c r="CW319" s="23"/>
      <c r="CX319" s="23"/>
      <c r="CY319" s="23"/>
      <c r="CZ319" s="23"/>
      <c r="DA319" s="23"/>
      <c r="DB319" s="23"/>
      <c r="DC319" s="23"/>
      <c r="DD319" s="23"/>
      <c r="DE319" s="23"/>
      <c r="DF319" s="23"/>
      <c r="DG319" s="23"/>
      <c r="DH319" s="23"/>
      <c r="DI319" s="23"/>
      <c r="DJ319" s="23"/>
      <c r="DK319" s="23">
        <f>T319</f>
        <v>1</v>
      </c>
      <c r="DL319" s="23"/>
      <c r="DM319" s="23">
        <f>Source!P178</f>
        <v>3</v>
      </c>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f>T319</f>
        <v>1</v>
      </c>
      <c r="GK319" s="23"/>
      <c r="GL319" s="23"/>
      <c r="GM319" s="23"/>
      <c r="GN319" s="23">
        <f>T319</f>
        <v>1</v>
      </c>
      <c r="GO319" s="23"/>
      <c r="GP319" s="23">
        <f>T319</f>
        <v>1</v>
      </c>
      <c r="GQ319" s="23">
        <f>T319</f>
        <v>1</v>
      </c>
      <c r="GR319" s="23"/>
      <c r="GS319" s="23">
        <f>T319</f>
        <v>1</v>
      </c>
      <c r="GT319" s="23"/>
      <c r="GU319" s="23"/>
      <c r="GV319" s="23"/>
      <c r="GW319" s="23"/>
      <c r="GX319" s="23"/>
      <c r="GY319" s="23"/>
      <c r="GZ319" s="23"/>
      <c r="HA319" s="23"/>
      <c r="HB319" s="23">
        <f>T319</f>
        <v>1</v>
      </c>
      <c r="HC319" s="23"/>
      <c r="HD319" s="23"/>
      <c r="HE319" s="23"/>
      <c r="HF319" s="23">
        <f>T319</f>
        <v>1</v>
      </c>
      <c r="HG319" s="23"/>
      <c r="HH319" s="23"/>
      <c r="HI319" s="23"/>
      <c r="HJ319" s="23"/>
      <c r="HK319" s="23"/>
      <c r="HL319" s="23">
        <f>T319</f>
        <v>1</v>
      </c>
      <c r="HM319" s="23"/>
      <c r="HN319" s="23">
        <f>T319</f>
        <v>1</v>
      </c>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row>
    <row r="320" spans="1:255" x14ac:dyDescent="0.2">
      <c r="A320" s="64"/>
      <c r="B320" s="111" t="s">
        <v>864</v>
      </c>
      <c r="C320" s="111" t="s">
        <v>879</v>
      </c>
      <c r="D320" s="63"/>
      <c r="E320" s="63"/>
      <c r="F320" s="63"/>
      <c r="G320" s="63"/>
      <c r="H320" s="63"/>
      <c r="I320" s="63"/>
      <c r="J320" s="63"/>
      <c r="K320" s="65"/>
    </row>
    <row r="321" spans="1:255" x14ac:dyDescent="0.2">
      <c r="A321" s="100" t="s">
        <v>263</v>
      </c>
      <c r="B321" s="109" t="s">
        <v>112</v>
      </c>
      <c r="C321" s="101" t="s">
        <v>113</v>
      </c>
      <c r="D321" s="102" t="s">
        <v>103</v>
      </c>
      <c r="E321" s="103">
        <f>Source!I180</f>
        <v>4.1520000000000001</v>
      </c>
      <c r="F321" s="104">
        <v>0.3</v>
      </c>
      <c r="G321" s="105"/>
      <c r="H321" s="104">
        <f>Source!AC179</f>
        <v>0.3</v>
      </c>
      <c r="I321" s="106">
        <f>T321</f>
        <v>1</v>
      </c>
      <c r="J321" s="107" t="s">
        <v>863</v>
      </c>
      <c r="K321" s="108">
        <f>U321</f>
        <v>4</v>
      </c>
      <c r="L321" s="23"/>
      <c r="M321" s="23"/>
      <c r="N321" s="23"/>
      <c r="O321" s="23"/>
      <c r="P321" s="23"/>
      <c r="Q321" s="23"/>
      <c r="R321" s="23"/>
      <c r="S321" s="23"/>
      <c r="T321" s="23">
        <f>ROUND(Source!AC179*Source!AW179*Source!I179,0)</f>
        <v>1</v>
      </c>
      <c r="U321" s="23">
        <f>Source!P180</f>
        <v>4</v>
      </c>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v>1</v>
      </c>
      <c r="CW321" s="23"/>
      <c r="CX321" s="23"/>
      <c r="CY321" s="23"/>
      <c r="CZ321" s="23"/>
      <c r="DA321" s="23"/>
      <c r="DB321" s="23"/>
      <c r="DC321" s="23"/>
      <c r="DD321" s="23"/>
      <c r="DE321" s="23"/>
      <c r="DF321" s="23"/>
      <c r="DG321" s="23"/>
      <c r="DH321" s="23"/>
      <c r="DI321" s="23"/>
      <c r="DJ321" s="23"/>
      <c r="DK321" s="23">
        <f>T321</f>
        <v>1</v>
      </c>
      <c r="DL321" s="23"/>
      <c r="DM321" s="23">
        <f>Source!P180</f>
        <v>4</v>
      </c>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f>T321</f>
        <v>1</v>
      </c>
      <c r="GK321" s="23"/>
      <c r="GL321" s="23"/>
      <c r="GM321" s="23"/>
      <c r="GN321" s="23">
        <f>T321</f>
        <v>1</v>
      </c>
      <c r="GO321" s="23"/>
      <c r="GP321" s="23">
        <f>T321</f>
        <v>1</v>
      </c>
      <c r="GQ321" s="23">
        <f>T321</f>
        <v>1</v>
      </c>
      <c r="GR321" s="23"/>
      <c r="GS321" s="23">
        <f>T321</f>
        <v>1</v>
      </c>
      <c r="GT321" s="23"/>
      <c r="GU321" s="23"/>
      <c r="GV321" s="23"/>
      <c r="GW321" s="23"/>
      <c r="GX321" s="23"/>
      <c r="GY321" s="23"/>
      <c r="GZ321" s="23"/>
      <c r="HA321" s="23"/>
      <c r="HB321" s="23">
        <f>T321</f>
        <v>1</v>
      </c>
      <c r="HC321" s="23"/>
      <c r="HD321" s="23"/>
      <c r="HE321" s="23"/>
      <c r="HF321" s="23">
        <f>T321</f>
        <v>1</v>
      </c>
      <c r="HG321" s="23"/>
      <c r="HH321" s="23"/>
      <c r="HI321" s="23"/>
      <c r="HJ321" s="23"/>
      <c r="HK321" s="23"/>
      <c r="HL321" s="23">
        <f>T321</f>
        <v>1</v>
      </c>
      <c r="HM321" s="23"/>
      <c r="HN321" s="23">
        <f>T321</f>
        <v>1</v>
      </c>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row>
    <row r="322" spans="1:255" x14ac:dyDescent="0.2">
      <c r="A322" s="64"/>
      <c r="B322" s="111" t="s">
        <v>864</v>
      </c>
      <c r="C322" s="111" t="s">
        <v>880</v>
      </c>
      <c r="D322" s="63"/>
      <c r="E322" s="63"/>
      <c r="F322" s="63"/>
      <c r="G322" s="63"/>
      <c r="H322" s="63"/>
      <c r="I322" s="63"/>
      <c r="J322" s="63"/>
      <c r="K322" s="65"/>
    </row>
    <row r="323" spans="1:255" ht="24" x14ac:dyDescent="0.2">
      <c r="A323" s="114" t="s">
        <v>264</v>
      </c>
      <c r="B323" s="115" t="s">
        <v>117</v>
      </c>
      <c r="C323" s="116" t="s">
        <v>118</v>
      </c>
      <c r="D323" s="117" t="s">
        <v>33</v>
      </c>
      <c r="E323" s="118">
        <f>Source!I182</f>
        <v>3.2899999999999997E-4</v>
      </c>
      <c r="F323" s="119">
        <v>10633.86</v>
      </c>
      <c r="G323" s="71"/>
      <c r="H323" s="119">
        <f>Source!AC181</f>
        <v>10633.86</v>
      </c>
      <c r="I323" s="120">
        <f>T323</f>
        <v>3</v>
      </c>
      <c r="J323" s="73" t="s">
        <v>863</v>
      </c>
      <c r="K323" s="121">
        <f>U323</f>
        <v>28</v>
      </c>
      <c r="L323" s="23"/>
      <c r="M323" s="23"/>
      <c r="N323" s="23"/>
      <c r="O323" s="23"/>
      <c r="P323" s="23"/>
      <c r="Q323" s="23"/>
      <c r="R323" s="23"/>
      <c r="S323" s="23"/>
      <c r="T323" s="23">
        <f>ROUND(Source!AC181*Source!AW181*Source!I181,0)</f>
        <v>3</v>
      </c>
      <c r="U323" s="23">
        <f>Source!P182</f>
        <v>28</v>
      </c>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v>1</v>
      </c>
      <c r="CW323" s="23"/>
      <c r="CX323" s="23"/>
      <c r="CY323" s="23"/>
      <c r="CZ323" s="23"/>
      <c r="DA323" s="23"/>
      <c r="DB323" s="23"/>
      <c r="DC323" s="23"/>
      <c r="DD323" s="23"/>
      <c r="DE323" s="23"/>
      <c r="DF323" s="23"/>
      <c r="DG323" s="23"/>
      <c r="DH323" s="23"/>
      <c r="DI323" s="23"/>
      <c r="DJ323" s="23"/>
      <c r="DK323" s="23">
        <f>T323</f>
        <v>3</v>
      </c>
      <c r="DL323" s="23"/>
      <c r="DM323" s="23">
        <f>Source!P182</f>
        <v>28</v>
      </c>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f>T323</f>
        <v>3</v>
      </c>
      <c r="GK323" s="23"/>
      <c r="GL323" s="23"/>
      <c r="GM323" s="23"/>
      <c r="GN323" s="23">
        <f>T323</f>
        <v>3</v>
      </c>
      <c r="GO323" s="23"/>
      <c r="GP323" s="23">
        <f>T323</f>
        <v>3</v>
      </c>
      <c r="GQ323" s="23">
        <f>T323</f>
        <v>3</v>
      </c>
      <c r="GR323" s="23"/>
      <c r="GS323" s="23">
        <f>T323</f>
        <v>3</v>
      </c>
      <c r="GT323" s="23"/>
      <c r="GU323" s="23"/>
      <c r="GV323" s="23"/>
      <c r="GW323" s="23"/>
      <c r="GX323" s="23"/>
      <c r="GY323" s="23"/>
      <c r="GZ323" s="23"/>
      <c r="HA323" s="23"/>
      <c r="HB323" s="23">
        <f>T323</f>
        <v>3</v>
      </c>
      <c r="HC323" s="23"/>
      <c r="HD323" s="23"/>
      <c r="HE323" s="23"/>
      <c r="HF323" s="23">
        <f>T323</f>
        <v>3</v>
      </c>
      <c r="HG323" s="23"/>
      <c r="HH323" s="23"/>
      <c r="HI323" s="23"/>
      <c r="HJ323" s="23"/>
      <c r="HK323" s="23"/>
      <c r="HL323" s="23">
        <f>T323</f>
        <v>3</v>
      </c>
      <c r="HM323" s="23"/>
      <c r="HN323" s="23">
        <f>T323</f>
        <v>3</v>
      </c>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row>
    <row r="324" spans="1:255" x14ac:dyDescent="0.2">
      <c r="A324" s="98"/>
      <c r="B324" s="113" t="s">
        <v>864</v>
      </c>
      <c r="C324" s="113" t="s">
        <v>881</v>
      </c>
      <c r="D324" s="33"/>
      <c r="E324" s="33"/>
      <c r="F324" s="33"/>
      <c r="G324" s="33"/>
      <c r="H324" s="33"/>
      <c r="I324" s="33"/>
      <c r="J324" s="33"/>
      <c r="K324" s="99"/>
    </row>
    <row r="325" spans="1:255" ht="13.5" thickBot="1" x14ac:dyDescent="0.25">
      <c r="A325" s="124"/>
      <c r="B325" s="125"/>
      <c r="C325" s="125" t="s">
        <v>867</v>
      </c>
      <c r="D325" s="125"/>
      <c r="E325" s="125"/>
      <c r="F325" s="125"/>
      <c r="G325" s="125"/>
      <c r="H325" s="380">
        <f>SUM(DK300:DK324)</f>
        <v>915</v>
      </c>
      <c r="I325" s="381"/>
      <c r="J325" s="380">
        <f>SUM(DM300:DM324)</f>
        <v>7204</v>
      </c>
      <c r="K325" s="382"/>
      <c r="L325" s="112"/>
      <c r="M325" s="112"/>
      <c r="N325" s="112"/>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row>
    <row r="326" spans="1:255" x14ac:dyDescent="0.2">
      <c r="A326" s="123"/>
      <c r="B326" s="122"/>
      <c r="C326" s="122" t="s">
        <v>868</v>
      </c>
      <c r="D326" s="122"/>
      <c r="E326" s="122"/>
      <c r="F326" s="122"/>
      <c r="G326" s="122"/>
      <c r="H326" s="383">
        <f>R326</f>
        <v>1037</v>
      </c>
      <c r="I326" s="384"/>
      <c r="J326" s="383" t="e">
        <f>S326</f>
        <v>#REF!</v>
      </c>
      <c r="K326" s="385"/>
      <c r="O326" s="23"/>
      <c r="P326" s="23"/>
      <c r="Q326" s="23"/>
      <c r="R326" s="23">
        <f>SUM(T300:T325)</f>
        <v>1037</v>
      </c>
      <c r="S326" s="23" t="e">
        <f>SUM(U300:U325)</f>
        <v>#REF!</v>
      </c>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f>R326</f>
        <v>1037</v>
      </c>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row>
    <row r="327" spans="1:255" x14ac:dyDescent="0.2">
      <c r="A327" s="77"/>
      <c r="B327" s="76"/>
      <c r="C327" s="76"/>
      <c r="D327" s="76"/>
      <c r="E327" s="76"/>
      <c r="F327" s="76"/>
      <c r="G327" s="76"/>
      <c r="H327" s="386"/>
      <c r="I327" s="387"/>
      <c r="J327" s="386"/>
      <c r="K327" s="388"/>
    </row>
    <row r="328" spans="1:255" ht="59.25" x14ac:dyDescent="0.2">
      <c r="A328" s="126">
        <v>13</v>
      </c>
      <c r="B328" s="133" t="s">
        <v>266</v>
      </c>
      <c r="C328" s="127" t="s">
        <v>945</v>
      </c>
      <c r="D328" s="128" t="s">
        <v>21</v>
      </c>
      <c r="E328" s="129">
        <v>24.902999999999999</v>
      </c>
      <c r="F328" s="130">
        <f>Source!AK184</f>
        <v>206.61</v>
      </c>
      <c r="G328" s="134" t="s">
        <v>6</v>
      </c>
      <c r="H328" s="130"/>
      <c r="I328" s="131">
        <f>SUM(DQ328:DQ353)</f>
        <v>2484</v>
      </c>
      <c r="J328" s="107" t="s">
        <v>266</v>
      </c>
      <c r="K328" s="132" t="e">
        <f>SUM(DS328:DS353)</f>
        <v>#REF!</v>
      </c>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row>
    <row r="329" spans="1:255" x14ac:dyDescent="0.2">
      <c r="A329" s="66"/>
      <c r="B329" s="67"/>
      <c r="C329" s="67" t="s">
        <v>853</v>
      </c>
      <c r="D329" s="68"/>
      <c r="E329" s="69"/>
      <c r="F329" s="70">
        <v>38.67</v>
      </c>
      <c r="G329" s="71" t="s">
        <v>854</v>
      </c>
      <c r="H329" s="70">
        <f>Source!AF184</f>
        <v>40.6</v>
      </c>
      <c r="I329" s="72">
        <f>T329</f>
        <v>253</v>
      </c>
      <c r="J329" s="73">
        <v>36.07</v>
      </c>
      <c r="K329" s="74">
        <f>U329</f>
        <v>9117</v>
      </c>
      <c r="O329" s="23"/>
      <c r="P329" s="23"/>
      <c r="Q329" s="23"/>
      <c r="R329" s="23"/>
      <c r="S329" s="23"/>
      <c r="T329" s="23">
        <f>ROUND(Source!AF184*Source!AV184*Source!I184,0)</f>
        <v>253</v>
      </c>
      <c r="U329" s="23">
        <f>Source!S184</f>
        <v>9117</v>
      </c>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v>1</v>
      </c>
      <c r="CW329" s="23"/>
      <c r="CX329" s="23"/>
      <c r="CY329" s="23"/>
      <c r="CZ329" s="23"/>
      <c r="DA329" s="23"/>
      <c r="DB329" s="23"/>
      <c r="DC329" s="23"/>
      <c r="DD329" s="23"/>
      <c r="DE329" s="23"/>
      <c r="DF329" s="23"/>
      <c r="DG329" s="23">
        <f>Source!S184</f>
        <v>9117</v>
      </c>
      <c r="DH329" s="23">
        <v>1003</v>
      </c>
      <c r="DI329" s="23"/>
      <c r="DJ329" s="23"/>
      <c r="DK329" s="23"/>
      <c r="DL329" s="23"/>
      <c r="DM329" s="23"/>
      <c r="DN329" s="23"/>
      <c r="DO329" s="23"/>
      <c r="DP329" s="23"/>
      <c r="DQ329" s="23">
        <f>T329</f>
        <v>253</v>
      </c>
      <c r="DR329" s="23"/>
      <c r="DS329" s="23">
        <f>U329</f>
        <v>9117</v>
      </c>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f>T329</f>
        <v>253</v>
      </c>
      <c r="GK329" s="23">
        <f>T329</f>
        <v>253</v>
      </c>
      <c r="GL329" s="23"/>
      <c r="GM329" s="23"/>
      <c r="GN329" s="23"/>
      <c r="GO329" s="23"/>
      <c r="GP329" s="23"/>
      <c r="GQ329" s="23"/>
      <c r="GR329" s="23"/>
      <c r="GS329" s="23"/>
      <c r="GT329" s="23"/>
      <c r="GU329" s="23"/>
      <c r="GV329" s="23"/>
      <c r="GW329" s="23"/>
      <c r="GX329" s="23"/>
      <c r="GY329" s="23"/>
      <c r="GZ329" s="23"/>
      <c r="HA329" s="23"/>
      <c r="HB329" s="23">
        <f>T329</f>
        <v>253</v>
      </c>
      <c r="HC329" s="23"/>
      <c r="HD329" s="23"/>
      <c r="HE329" s="23"/>
      <c r="HF329" s="23">
        <f>T329</f>
        <v>253</v>
      </c>
      <c r="HG329" s="23"/>
      <c r="HH329" s="23"/>
      <c r="HI329" s="23"/>
      <c r="HJ329" s="23"/>
      <c r="HK329" s="23"/>
      <c r="HL329" s="23">
        <f>T329</f>
        <v>253</v>
      </c>
      <c r="HM329" s="23"/>
      <c r="HN329" s="23">
        <f>T329</f>
        <v>253</v>
      </c>
      <c r="HO329" s="23"/>
      <c r="HP329" s="23"/>
      <c r="HQ329" s="23"/>
      <c r="HR329" s="23"/>
      <c r="HS329" s="23"/>
      <c r="HT329" s="23"/>
      <c r="HU329" s="23"/>
      <c r="HV329" s="23"/>
      <c r="HW329" s="23"/>
      <c r="HX329" s="23">
        <f>T329</f>
        <v>253</v>
      </c>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row>
    <row r="330" spans="1:255" x14ac:dyDescent="0.2">
      <c r="A330" s="78"/>
      <c r="B330" s="79"/>
      <c r="C330" s="79" t="s">
        <v>855</v>
      </c>
      <c r="D330" s="80"/>
      <c r="E330" s="81"/>
      <c r="F330" s="82">
        <v>160.82</v>
      </c>
      <c r="G330" s="83" t="s">
        <v>856</v>
      </c>
      <c r="H330" s="82">
        <f>Source!AD184</f>
        <v>226.53</v>
      </c>
      <c r="I330" s="84">
        <f>T330</f>
        <v>1410</v>
      </c>
      <c r="J330" s="85">
        <v>9.3000000000000007</v>
      </c>
      <c r="K330" s="86">
        <f>U330</f>
        <v>13116</v>
      </c>
      <c r="O330" s="23"/>
      <c r="P330" s="23"/>
      <c r="Q330" s="23"/>
      <c r="R330" s="23"/>
      <c r="S330" s="23"/>
      <c r="T330" s="23">
        <f>ROUND(Source!AD184*Source!AV184*Source!I184,0)</f>
        <v>1410</v>
      </c>
      <c r="U330" s="23">
        <f>Source!Q184</f>
        <v>13116</v>
      </c>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v>1</v>
      </c>
      <c r="CW330" s="23"/>
      <c r="CX330" s="23"/>
      <c r="CY330" s="23"/>
      <c r="CZ330" s="23"/>
      <c r="DA330" s="23"/>
      <c r="DB330" s="23"/>
      <c r="DC330" s="23"/>
      <c r="DD330" s="23"/>
      <c r="DE330" s="23"/>
      <c r="DF330" s="23"/>
      <c r="DG330" s="23"/>
      <c r="DH330" s="23"/>
      <c r="DI330" s="23"/>
      <c r="DJ330" s="23"/>
      <c r="DK330" s="23"/>
      <c r="DL330" s="23"/>
      <c r="DM330" s="23"/>
      <c r="DN330" s="23"/>
      <c r="DO330" s="23"/>
      <c r="DP330" s="23"/>
      <c r="DQ330" s="23">
        <f>T330</f>
        <v>1410</v>
      </c>
      <c r="DR330" s="23"/>
      <c r="DS330" s="23">
        <f>U330</f>
        <v>13116</v>
      </c>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f>T330</f>
        <v>1410</v>
      </c>
      <c r="GK330" s="23"/>
      <c r="GL330" s="23">
        <f>T330</f>
        <v>1410</v>
      </c>
      <c r="GM330" s="23"/>
      <c r="GN330" s="23"/>
      <c r="GO330" s="23"/>
      <c r="GP330" s="23"/>
      <c r="GQ330" s="23"/>
      <c r="GR330" s="23"/>
      <c r="GS330" s="23"/>
      <c r="GT330" s="23"/>
      <c r="GU330" s="23"/>
      <c r="GV330" s="23"/>
      <c r="GW330" s="23"/>
      <c r="GX330" s="23"/>
      <c r="GY330" s="23"/>
      <c r="GZ330" s="23"/>
      <c r="HA330" s="23"/>
      <c r="HB330" s="23">
        <f>T330</f>
        <v>1410</v>
      </c>
      <c r="HC330" s="23"/>
      <c r="HD330" s="23"/>
      <c r="HE330" s="23"/>
      <c r="HF330" s="23">
        <f>T330</f>
        <v>1410</v>
      </c>
      <c r="HG330" s="23"/>
      <c r="HH330" s="23"/>
      <c r="HI330" s="23"/>
      <c r="HJ330" s="23"/>
      <c r="HK330" s="23"/>
      <c r="HL330" s="23">
        <f>T330</f>
        <v>1410</v>
      </c>
      <c r="HM330" s="23"/>
      <c r="HN330" s="23">
        <f>T330</f>
        <v>1410</v>
      </c>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row>
    <row r="331" spans="1:255" x14ac:dyDescent="0.2">
      <c r="A331" s="78"/>
      <c r="B331" s="79"/>
      <c r="C331" s="79" t="s">
        <v>857</v>
      </c>
      <c r="D331" s="80"/>
      <c r="E331" s="81"/>
      <c r="F331" s="82">
        <v>23.55</v>
      </c>
      <c r="G331" s="83" t="s">
        <v>856</v>
      </c>
      <c r="H331" s="82">
        <f>Source!AE184</f>
        <v>26.38</v>
      </c>
      <c r="I331" s="84">
        <f>GM331</f>
        <v>164</v>
      </c>
      <c r="J331" s="85">
        <v>19.8</v>
      </c>
      <c r="K331" s="86">
        <f>Source!R184</f>
        <v>3252</v>
      </c>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f>ROUND(Source!AE184*Source!AV184*Source!I184,0)</f>
        <v>164</v>
      </c>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f>GM331</f>
        <v>164</v>
      </c>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row>
    <row r="332" spans="1:255" x14ac:dyDescent="0.2">
      <c r="A332" s="87"/>
      <c r="B332" s="88"/>
      <c r="C332" s="88" t="s">
        <v>858</v>
      </c>
      <c r="D332" s="89"/>
      <c r="E332" s="90">
        <v>120</v>
      </c>
      <c r="F332" s="91" t="s">
        <v>859</v>
      </c>
      <c r="G332" s="92"/>
      <c r="H332" s="93">
        <f>ROUND((Source!AF184*Source!AV184+Source!AE184*Source!AV184)*(Source!FX184)/100,2)</f>
        <v>80.38</v>
      </c>
      <c r="I332" s="94">
        <f>T332</f>
        <v>500</v>
      </c>
      <c r="J332" s="96">
        <v>1.1399999999999999</v>
      </c>
      <c r="K332" s="95" t="e">
        <f>U332</f>
        <v>#REF!</v>
      </c>
      <c r="O332" s="23"/>
      <c r="P332" s="23"/>
      <c r="Q332" s="23"/>
      <c r="R332" s="23"/>
      <c r="S332" s="23"/>
      <c r="T332" s="23">
        <f>ROUND((ROUND(Source!AF184*Source!AV184*Source!I184,0)+ROUND(Source!AE184*Source!AV184*Source!I184,0))*(Source!DN184)/100,0)</f>
        <v>500</v>
      </c>
      <c r="U332" s="23" t="e">
        <f>Source!X184</f>
        <v>#REF!</v>
      </c>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v>1</v>
      </c>
      <c r="CW332" s="23"/>
      <c r="CX332" s="23"/>
      <c r="CY332" s="23"/>
      <c r="CZ332" s="23"/>
      <c r="DA332" s="23"/>
      <c r="DB332" s="23"/>
      <c r="DC332" s="23"/>
      <c r="DD332" s="23"/>
      <c r="DE332" s="23"/>
      <c r="DF332" s="23"/>
      <c r="DG332" s="23"/>
      <c r="DH332" s="23"/>
      <c r="DI332" s="23"/>
      <c r="DJ332" s="23"/>
      <c r="DK332" s="23"/>
      <c r="DL332" s="23"/>
      <c r="DM332" s="23"/>
      <c r="DN332" s="23"/>
      <c r="DO332" s="23"/>
      <c r="DP332" s="23"/>
      <c r="DQ332" s="23">
        <f>T332</f>
        <v>500</v>
      </c>
      <c r="DR332" s="23"/>
      <c r="DS332" s="23" t="e">
        <f>U332</f>
        <v>#REF!</v>
      </c>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f>T332</f>
        <v>500</v>
      </c>
      <c r="GZ332" s="23"/>
      <c r="HA332" s="23"/>
      <c r="HB332" s="23">
        <f>T332</f>
        <v>500</v>
      </c>
      <c r="HC332" s="23"/>
      <c r="HD332" s="23"/>
      <c r="HE332" s="23"/>
      <c r="HF332" s="23">
        <f>T332</f>
        <v>500</v>
      </c>
      <c r="HG332" s="23"/>
      <c r="HH332" s="23"/>
      <c r="HI332" s="23"/>
      <c r="HJ332" s="23"/>
      <c r="HK332" s="23"/>
      <c r="HL332" s="23">
        <f>T332</f>
        <v>500</v>
      </c>
      <c r="HM332" s="23"/>
      <c r="HN332" s="23">
        <f>T332</f>
        <v>500</v>
      </c>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row>
    <row r="333" spans="1:255" x14ac:dyDescent="0.2">
      <c r="A333" s="87"/>
      <c r="B333" s="88"/>
      <c r="C333" s="88" t="s">
        <v>860</v>
      </c>
      <c r="D333" s="89"/>
      <c r="E333" s="90">
        <v>77</v>
      </c>
      <c r="F333" s="91" t="s">
        <v>859</v>
      </c>
      <c r="G333" s="92"/>
      <c r="H333" s="93">
        <f>ROUND((Source!AF184*Source!AV184+Source!AE184*Source!AV184)*(Source!FY184)/100,2)</f>
        <v>51.57</v>
      </c>
      <c r="I333" s="94">
        <f>T333</f>
        <v>321</v>
      </c>
      <c r="J333" s="96">
        <v>0.65</v>
      </c>
      <c r="K333" s="95" t="e">
        <f>U333</f>
        <v>#REF!</v>
      </c>
      <c r="O333" s="23"/>
      <c r="P333" s="23"/>
      <c r="Q333" s="23"/>
      <c r="R333" s="23"/>
      <c r="S333" s="23"/>
      <c r="T333" s="23">
        <f>ROUND((ROUND(Source!AF184*Source!AV184*Source!I184,0)+ROUND(Source!AE184*Source!AV184*Source!I184,0))*(Source!DO184)/100,0)</f>
        <v>321</v>
      </c>
      <c r="U333" s="23" t="e">
        <f>Source!Y184</f>
        <v>#REF!</v>
      </c>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v>1</v>
      </c>
      <c r="CW333" s="23"/>
      <c r="CX333" s="23"/>
      <c r="CY333" s="23"/>
      <c r="CZ333" s="23"/>
      <c r="DA333" s="23"/>
      <c r="DB333" s="23"/>
      <c r="DC333" s="23"/>
      <c r="DD333" s="23"/>
      <c r="DE333" s="23"/>
      <c r="DF333" s="23"/>
      <c r="DG333" s="23"/>
      <c r="DH333" s="23"/>
      <c r="DI333" s="23"/>
      <c r="DJ333" s="23"/>
      <c r="DK333" s="23"/>
      <c r="DL333" s="23"/>
      <c r="DM333" s="23"/>
      <c r="DN333" s="23"/>
      <c r="DO333" s="23"/>
      <c r="DP333" s="23"/>
      <c r="DQ333" s="23">
        <f>T333</f>
        <v>321</v>
      </c>
      <c r="DR333" s="23"/>
      <c r="DS333" s="23" t="e">
        <f>U333</f>
        <v>#REF!</v>
      </c>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f>T333</f>
        <v>321</v>
      </c>
      <c r="HA333" s="23"/>
      <c r="HB333" s="23">
        <f>T333</f>
        <v>321</v>
      </c>
      <c r="HC333" s="23"/>
      <c r="HD333" s="23"/>
      <c r="HE333" s="23"/>
      <c r="HF333" s="23">
        <f>T333</f>
        <v>321</v>
      </c>
      <c r="HG333" s="23"/>
      <c r="HH333" s="23"/>
      <c r="HI333" s="23"/>
      <c r="HJ333" s="23"/>
      <c r="HK333" s="23"/>
      <c r="HL333" s="23">
        <f>T333</f>
        <v>321</v>
      </c>
      <c r="HM333" s="23"/>
      <c r="HN333" s="23">
        <f>T333</f>
        <v>321</v>
      </c>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row>
    <row r="334" spans="1:255" x14ac:dyDescent="0.2">
      <c r="A334" s="78"/>
      <c r="B334" s="79"/>
      <c r="C334" s="79" t="s">
        <v>861</v>
      </c>
      <c r="D334" s="80" t="s">
        <v>862</v>
      </c>
      <c r="E334" s="81">
        <v>4.4400000000000004</v>
      </c>
      <c r="F334" s="82"/>
      <c r="G334" s="83" t="s">
        <v>854</v>
      </c>
      <c r="H334" s="82" t="e">
        <f>ROUND(Source!AH184,2)</f>
        <v>#REF!</v>
      </c>
      <c r="I334" s="97" t="e">
        <f>Source!U184</f>
        <v>#REF!</v>
      </c>
      <c r="J334" s="85"/>
      <c r="K334" s="86"/>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row>
    <row r="335" spans="1:255" x14ac:dyDescent="0.2">
      <c r="A335" s="100" t="s">
        <v>269</v>
      </c>
      <c r="B335" s="109" t="s">
        <v>71</v>
      </c>
      <c r="C335" s="101" t="s">
        <v>72</v>
      </c>
      <c r="D335" s="102" t="s">
        <v>33</v>
      </c>
      <c r="E335" s="103">
        <f>Source!I186</f>
        <v>2.6148250000000001E-2</v>
      </c>
      <c r="F335" s="104">
        <v>1696.01</v>
      </c>
      <c r="G335" s="105"/>
      <c r="H335" s="104">
        <f>Source!AC185</f>
        <v>1696.01</v>
      </c>
      <c r="I335" s="106">
        <f>T335</f>
        <v>44</v>
      </c>
      <c r="J335" s="107" t="s">
        <v>863</v>
      </c>
      <c r="K335" s="108">
        <f>U335</f>
        <v>2288</v>
      </c>
      <c r="L335" s="23"/>
      <c r="M335" s="23"/>
      <c r="N335" s="23"/>
      <c r="O335" s="23"/>
      <c r="P335" s="23"/>
      <c r="Q335" s="23"/>
      <c r="R335" s="23"/>
      <c r="S335" s="23"/>
      <c r="T335" s="23">
        <f>ROUND(Source!AC185*Source!AW185*Source!I185,0)</f>
        <v>44</v>
      </c>
      <c r="U335" s="23">
        <f>Source!P186</f>
        <v>2288</v>
      </c>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v>1</v>
      </c>
      <c r="CW335" s="23"/>
      <c r="CX335" s="23"/>
      <c r="CY335" s="23"/>
      <c r="CZ335" s="23"/>
      <c r="DA335" s="23"/>
      <c r="DB335" s="23"/>
      <c r="DC335" s="23"/>
      <c r="DD335" s="23"/>
      <c r="DE335" s="23"/>
      <c r="DF335" s="23"/>
      <c r="DG335" s="23"/>
      <c r="DH335" s="23"/>
      <c r="DI335" s="23"/>
      <c r="DJ335" s="23"/>
      <c r="DK335" s="23">
        <f>T335</f>
        <v>44</v>
      </c>
      <c r="DL335" s="23"/>
      <c r="DM335" s="23">
        <f>Source!P186</f>
        <v>2288</v>
      </c>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f>T335</f>
        <v>44</v>
      </c>
      <c r="GK335" s="23"/>
      <c r="GL335" s="23"/>
      <c r="GM335" s="23"/>
      <c r="GN335" s="23">
        <f>T335</f>
        <v>44</v>
      </c>
      <c r="GO335" s="23"/>
      <c r="GP335" s="23">
        <f>T335</f>
        <v>44</v>
      </c>
      <c r="GQ335" s="23">
        <f>T335</f>
        <v>44</v>
      </c>
      <c r="GR335" s="23"/>
      <c r="GS335" s="23">
        <f>T335</f>
        <v>44</v>
      </c>
      <c r="GT335" s="23"/>
      <c r="GU335" s="23"/>
      <c r="GV335" s="23"/>
      <c r="GW335" s="23"/>
      <c r="GX335" s="23"/>
      <c r="GY335" s="23"/>
      <c r="GZ335" s="23"/>
      <c r="HA335" s="23"/>
      <c r="HB335" s="23">
        <f>T335</f>
        <v>44</v>
      </c>
      <c r="HC335" s="23"/>
      <c r="HD335" s="23"/>
      <c r="HE335" s="23"/>
      <c r="HF335" s="23">
        <f>T335</f>
        <v>44</v>
      </c>
      <c r="HG335" s="23"/>
      <c r="HH335" s="23"/>
      <c r="HI335" s="23"/>
      <c r="HJ335" s="23"/>
      <c r="HK335" s="23"/>
      <c r="HL335" s="23">
        <f>T335</f>
        <v>44</v>
      </c>
      <c r="HM335" s="23"/>
      <c r="HN335" s="23">
        <f>T335</f>
        <v>44</v>
      </c>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row>
    <row r="336" spans="1:255" x14ac:dyDescent="0.2">
      <c r="A336" s="64"/>
      <c r="B336" s="111" t="s">
        <v>864</v>
      </c>
      <c r="C336" s="111" t="s">
        <v>873</v>
      </c>
      <c r="D336" s="63"/>
      <c r="E336" s="63"/>
      <c r="F336" s="63"/>
      <c r="G336" s="63"/>
      <c r="H336" s="63"/>
      <c r="I336" s="63"/>
      <c r="J336" s="63"/>
      <c r="K336" s="65"/>
    </row>
    <row r="337" spans="1:255" ht="24" x14ac:dyDescent="0.2">
      <c r="A337" s="100" t="s">
        <v>270</v>
      </c>
      <c r="B337" s="109" t="s">
        <v>76</v>
      </c>
      <c r="C337" s="101" t="s">
        <v>271</v>
      </c>
      <c r="D337" s="102" t="s">
        <v>78</v>
      </c>
      <c r="E337" s="103">
        <f>Source!I188</f>
        <v>5.7160000000000002</v>
      </c>
      <c r="F337" s="104">
        <v>87.58</v>
      </c>
      <c r="G337" s="105"/>
      <c r="H337" s="104">
        <f>Source!AC187</f>
        <v>87.58</v>
      </c>
      <c r="I337" s="106">
        <f>T337</f>
        <v>501</v>
      </c>
      <c r="J337" s="107" t="s">
        <v>863</v>
      </c>
      <c r="K337" s="108">
        <f>U337</f>
        <v>1997</v>
      </c>
      <c r="L337" s="23"/>
      <c r="M337" s="23"/>
      <c r="N337" s="23"/>
      <c r="O337" s="23"/>
      <c r="P337" s="23"/>
      <c r="Q337" s="23"/>
      <c r="R337" s="23"/>
      <c r="S337" s="23"/>
      <c r="T337" s="23">
        <f>ROUND(Source!AC187*Source!AW187*Source!I187,0)</f>
        <v>501</v>
      </c>
      <c r="U337" s="23">
        <f>Source!P188</f>
        <v>1997</v>
      </c>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v>1</v>
      </c>
      <c r="CW337" s="23"/>
      <c r="CX337" s="23"/>
      <c r="CY337" s="23"/>
      <c r="CZ337" s="23"/>
      <c r="DA337" s="23"/>
      <c r="DB337" s="23"/>
      <c r="DC337" s="23"/>
      <c r="DD337" s="23"/>
      <c r="DE337" s="23"/>
      <c r="DF337" s="23"/>
      <c r="DG337" s="23"/>
      <c r="DH337" s="23"/>
      <c r="DI337" s="23"/>
      <c r="DJ337" s="23"/>
      <c r="DK337" s="23">
        <f>T337</f>
        <v>501</v>
      </c>
      <c r="DL337" s="23"/>
      <c r="DM337" s="23">
        <f>Source!P188</f>
        <v>1997</v>
      </c>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f>T337</f>
        <v>501</v>
      </c>
      <c r="GK337" s="23"/>
      <c r="GL337" s="23"/>
      <c r="GM337" s="23"/>
      <c r="GN337" s="23">
        <f>T337</f>
        <v>501</v>
      </c>
      <c r="GO337" s="23"/>
      <c r="GP337" s="23">
        <f>T337</f>
        <v>501</v>
      </c>
      <c r="GQ337" s="23">
        <f>T337</f>
        <v>501</v>
      </c>
      <c r="GR337" s="23"/>
      <c r="GS337" s="23">
        <f>T337</f>
        <v>501</v>
      </c>
      <c r="GT337" s="23"/>
      <c r="GU337" s="23"/>
      <c r="GV337" s="23"/>
      <c r="GW337" s="23"/>
      <c r="GX337" s="23"/>
      <c r="GY337" s="23"/>
      <c r="GZ337" s="23"/>
      <c r="HA337" s="23"/>
      <c r="HB337" s="23">
        <f>T337</f>
        <v>501</v>
      </c>
      <c r="HC337" s="23"/>
      <c r="HD337" s="23"/>
      <c r="HE337" s="23"/>
      <c r="HF337" s="23">
        <f>T337</f>
        <v>501</v>
      </c>
      <c r="HG337" s="23"/>
      <c r="HH337" s="23"/>
      <c r="HI337" s="23"/>
      <c r="HJ337" s="23"/>
      <c r="HK337" s="23"/>
      <c r="HL337" s="23">
        <f>T337</f>
        <v>501</v>
      </c>
      <c r="HM337" s="23"/>
      <c r="HN337" s="23">
        <f>T337</f>
        <v>501</v>
      </c>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row>
    <row r="338" spans="1:255" x14ac:dyDescent="0.2">
      <c r="A338" s="64"/>
      <c r="B338" s="111" t="s">
        <v>864</v>
      </c>
      <c r="C338" s="111" t="s">
        <v>874</v>
      </c>
      <c r="D338" s="63"/>
      <c r="E338" s="63"/>
      <c r="F338" s="63"/>
      <c r="G338" s="63"/>
      <c r="H338" s="63"/>
      <c r="I338" s="63"/>
      <c r="J338" s="63"/>
      <c r="K338" s="65"/>
    </row>
    <row r="339" spans="1:255" ht="24" x14ac:dyDescent="0.2">
      <c r="A339" s="100" t="s">
        <v>272</v>
      </c>
      <c r="B339" s="109" t="s">
        <v>82</v>
      </c>
      <c r="C339" s="101" t="s">
        <v>273</v>
      </c>
      <c r="D339" s="102" t="s">
        <v>78</v>
      </c>
      <c r="E339" s="103">
        <f>Source!I190</f>
        <v>5.7160000000000002</v>
      </c>
      <c r="F339" s="104">
        <v>56.57</v>
      </c>
      <c r="G339" s="105"/>
      <c r="H339" s="104">
        <f>Source!AC189</f>
        <v>56.57</v>
      </c>
      <c r="I339" s="106">
        <f>T339</f>
        <v>323</v>
      </c>
      <c r="J339" s="107" t="s">
        <v>863</v>
      </c>
      <c r="K339" s="108">
        <f>U339</f>
        <v>1306</v>
      </c>
      <c r="L339" s="23"/>
      <c r="M339" s="23"/>
      <c r="N339" s="23"/>
      <c r="O339" s="23"/>
      <c r="P339" s="23"/>
      <c r="Q339" s="23"/>
      <c r="R339" s="23"/>
      <c r="S339" s="23"/>
      <c r="T339" s="23">
        <f>ROUND(Source!AC189*Source!AW189*Source!I189,0)</f>
        <v>323</v>
      </c>
      <c r="U339" s="23">
        <f>Source!P190</f>
        <v>1306</v>
      </c>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v>1</v>
      </c>
      <c r="CW339" s="23"/>
      <c r="CX339" s="23"/>
      <c r="CY339" s="23"/>
      <c r="CZ339" s="23"/>
      <c r="DA339" s="23"/>
      <c r="DB339" s="23"/>
      <c r="DC339" s="23"/>
      <c r="DD339" s="23"/>
      <c r="DE339" s="23"/>
      <c r="DF339" s="23"/>
      <c r="DG339" s="23"/>
      <c r="DH339" s="23"/>
      <c r="DI339" s="23"/>
      <c r="DJ339" s="23"/>
      <c r="DK339" s="23">
        <f>T339</f>
        <v>323</v>
      </c>
      <c r="DL339" s="23"/>
      <c r="DM339" s="23">
        <f>Source!P190</f>
        <v>1306</v>
      </c>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f>T339</f>
        <v>323</v>
      </c>
      <c r="GK339" s="23"/>
      <c r="GL339" s="23"/>
      <c r="GM339" s="23"/>
      <c r="GN339" s="23">
        <f>T339</f>
        <v>323</v>
      </c>
      <c r="GO339" s="23"/>
      <c r="GP339" s="23">
        <f>T339</f>
        <v>323</v>
      </c>
      <c r="GQ339" s="23">
        <f>T339</f>
        <v>323</v>
      </c>
      <c r="GR339" s="23"/>
      <c r="GS339" s="23">
        <f>T339</f>
        <v>323</v>
      </c>
      <c r="GT339" s="23"/>
      <c r="GU339" s="23"/>
      <c r="GV339" s="23"/>
      <c r="GW339" s="23"/>
      <c r="GX339" s="23"/>
      <c r="GY339" s="23"/>
      <c r="GZ339" s="23"/>
      <c r="HA339" s="23"/>
      <c r="HB339" s="23">
        <f>T339</f>
        <v>323</v>
      </c>
      <c r="HC339" s="23"/>
      <c r="HD339" s="23"/>
      <c r="HE339" s="23"/>
      <c r="HF339" s="23">
        <f>T339</f>
        <v>323</v>
      </c>
      <c r="HG339" s="23"/>
      <c r="HH339" s="23"/>
      <c r="HI339" s="23"/>
      <c r="HJ339" s="23"/>
      <c r="HK339" s="23"/>
      <c r="HL339" s="23">
        <f>T339</f>
        <v>323</v>
      </c>
      <c r="HM339" s="23"/>
      <c r="HN339" s="23">
        <f>T339</f>
        <v>323</v>
      </c>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row>
    <row r="340" spans="1:255" x14ac:dyDescent="0.2">
      <c r="A340" s="64"/>
      <c r="B340" s="111" t="s">
        <v>864</v>
      </c>
      <c r="C340" s="111" t="s">
        <v>875</v>
      </c>
      <c r="D340" s="63"/>
      <c r="E340" s="63"/>
      <c r="F340" s="63"/>
      <c r="G340" s="63"/>
      <c r="H340" s="63"/>
      <c r="I340" s="63"/>
      <c r="J340" s="63"/>
      <c r="K340" s="65"/>
    </row>
    <row r="341" spans="1:255" ht="24" x14ac:dyDescent="0.2">
      <c r="A341" s="100" t="s">
        <v>274</v>
      </c>
      <c r="B341" s="109" t="s">
        <v>87</v>
      </c>
      <c r="C341" s="101" t="s">
        <v>88</v>
      </c>
      <c r="D341" s="102" t="s">
        <v>44</v>
      </c>
      <c r="E341" s="103">
        <f>Source!I192</f>
        <v>9.1146999999999991</v>
      </c>
      <c r="F341" s="104">
        <v>878.79</v>
      </c>
      <c r="G341" s="105"/>
      <c r="H341" s="104">
        <f>Source!AC191</f>
        <v>878.79</v>
      </c>
      <c r="I341" s="106">
        <f>T341</f>
        <v>8010</v>
      </c>
      <c r="J341" s="107" t="s">
        <v>863</v>
      </c>
      <c r="K341" s="108">
        <f>U341</f>
        <v>67184</v>
      </c>
      <c r="L341" s="23"/>
      <c r="M341" s="23"/>
      <c r="N341" s="23"/>
      <c r="O341" s="23"/>
      <c r="P341" s="23"/>
      <c r="Q341" s="23"/>
      <c r="R341" s="23"/>
      <c r="S341" s="23"/>
      <c r="T341" s="23">
        <f>ROUND(Source!AC191*Source!AW191*Source!I191,0)</f>
        <v>8010</v>
      </c>
      <c r="U341" s="23">
        <f>Source!P192</f>
        <v>67184</v>
      </c>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v>1</v>
      </c>
      <c r="CW341" s="23"/>
      <c r="CX341" s="23"/>
      <c r="CY341" s="23"/>
      <c r="CZ341" s="23"/>
      <c r="DA341" s="23"/>
      <c r="DB341" s="23"/>
      <c r="DC341" s="23"/>
      <c r="DD341" s="23"/>
      <c r="DE341" s="23"/>
      <c r="DF341" s="23"/>
      <c r="DG341" s="23"/>
      <c r="DH341" s="23"/>
      <c r="DI341" s="23"/>
      <c r="DJ341" s="23"/>
      <c r="DK341" s="23">
        <f>T341</f>
        <v>8010</v>
      </c>
      <c r="DL341" s="23"/>
      <c r="DM341" s="23">
        <f>Source!P192</f>
        <v>67184</v>
      </c>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f>T341</f>
        <v>8010</v>
      </c>
      <c r="GK341" s="23"/>
      <c r="GL341" s="23"/>
      <c r="GM341" s="23"/>
      <c r="GN341" s="23">
        <f>T341</f>
        <v>8010</v>
      </c>
      <c r="GO341" s="23"/>
      <c r="GP341" s="23">
        <f>T341</f>
        <v>8010</v>
      </c>
      <c r="GQ341" s="23">
        <f>T341</f>
        <v>8010</v>
      </c>
      <c r="GR341" s="23"/>
      <c r="GS341" s="23">
        <f>T341</f>
        <v>8010</v>
      </c>
      <c r="GT341" s="23"/>
      <c r="GU341" s="23"/>
      <c r="GV341" s="23"/>
      <c r="GW341" s="23"/>
      <c r="GX341" s="23"/>
      <c r="GY341" s="23"/>
      <c r="GZ341" s="23"/>
      <c r="HA341" s="23"/>
      <c r="HB341" s="23">
        <f>T341</f>
        <v>8010</v>
      </c>
      <c r="HC341" s="23"/>
      <c r="HD341" s="23"/>
      <c r="HE341" s="23"/>
      <c r="HF341" s="23">
        <f>T341</f>
        <v>8010</v>
      </c>
      <c r="HG341" s="23"/>
      <c r="HH341" s="23"/>
      <c r="HI341" s="23"/>
      <c r="HJ341" s="23"/>
      <c r="HK341" s="23"/>
      <c r="HL341" s="23">
        <f>T341</f>
        <v>8010</v>
      </c>
      <c r="HM341" s="23"/>
      <c r="HN341" s="23">
        <f>T341</f>
        <v>8010</v>
      </c>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row>
    <row r="342" spans="1:255" x14ac:dyDescent="0.2">
      <c r="A342" s="64"/>
      <c r="B342" s="111" t="s">
        <v>864</v>
      </c>
      <c r="C342" s="111" t="s">
        <v>876</v>
      </c>
      <c r="D342" s="63"/>
      <c r="E342" s="63"/>
      <c r="F342" s="63"/>
      <c r="G342" s="63"/>
      <c r="H342" s="63"/>
      <c r="I342" s="63"/>
      <c r="J342" s="63"/>
      <c r="K342" s="65"/>
    </row>
    <row r="343" spans="1:255" x14ac:dyDescent="0.2">
      <c r="A343" s="100" t="s">
        <v>275</v>
      </c>
      <c r="B343" s="109" t="s">
        <v>92</v>
      </c>
      <c r="C343" s="101" t="s">
        <v>93</v>
      </c>
      <c r="D343" s="102" t="s">
        <v>94</v>
      </c>
      <c r="E343" s="103">
        <f>Source!I194</f>
        <v>33.544341000000003</v>
      </c>
      <c r="F343" s="104">
        <v>4.6900000000000004</v>
      </c>
      <c r="G343" s="105"/>
      <c r="H343" s="104">
        <f>Source!AC193</f>
        <v>4.6900000000000004</v>
      </c>
      <c r="I343" s="106">
        <f>T343</f>
        <v>157</v>
      </c>
      <c r="J343" s="107" t="s">
        <v>863</v>
      </c>
      <c r="K343" s="108">
        <f>U343</f>
        <v>1085</v>
      </c>
      <c r="L343" s="23"/>
      <c r="M343" s="23"/>
      <c r="N343" s="23"/>
      <c r="O343" s="23"/>
      <c r="P343" s="23"/>
      <c r="Q343" s="23"/>
      <c r="R343" s="23"/>
      <c r="S343" s="23"/>
      <c r="T343" s="23">
        <f>ROUND(Source!AC193*Source!AW193*Source!I193,0)</f>
        <v>157</v>
      </c>
      <c r="U343" s="23">
        <f>Source!P194</f>
        <v>1085</v>
      </c>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v>2</v>
      </c>
      <c r="CW343" s="23"/>
      <c r="CX343" s="23"/>
      <c r="CY343" s="23"/>
      <c r="CZ343" s="23"/>
      <c r="DA343" s="23"/>
      <c r="DB343" s="23"/>
      <c r="DC343" s="23"/>
      <c r="DD343" s="23"/>
      <c r="DE343" s="23"/>
      <c r="DF343" s="23"/>
      <c r="DG343" s="23"/>
      <c r="DH343" s="23"/>
      <c r="DI343" s="23"/>
      <c r="DJ343" s="23"/>
      <c r="DK343" s="23">
        <f>T343</f>
        <v>157</v>
      </c>
      <c r="DL343" s="23"/>
      <c r="DM343" s="23">
        <f>Source!P194</f>
        <v>1085</v>
      </c>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f>T343</f>
        <v>157</v>
      </c>
      <c r="GK343" s="23"/>
      <c r="GL343" s="23"/>
      <c r="GM343" s="23"/>
      <c r="GN343" s="23">
        <f>T343</f>
        <v>157</v>
      </c>
      <c r="GO343" s="23"/>
      <c r="GP343" s="23">
        <f>T343</f>
        <v>157</v>
      </c>
      <c r="GQ343" s="23">
        <f>T343</f>
        <v>157</v>
      </c>
      <c r="GR343" s="23"/>
      <c r="GS343" s="23">
        <f>T343</f>
        <v>157</v>
      </c>
      <c r="GT343" s="23"/>
      <c r="GU343" s="23"/>
      <c r="GV343" s="23"/>
      <c r="GW343" s="23"/>
      <c r="GX343" s="23"/>
      <c r="GY343" s="23"/>
      <c r="GZ343" s="23"/>
      <c r="HA343" s="23"/>
      <c r="HB343" s="23"/>
      <c r="HC343" s="23">
        <f>T343</f>
        <v>157</v>
      </c>
      <c r="HD343" s="23"/>
      <c r="HE343" s="23"/>
      <c r="HF343" s="23">
        <f>T343</f>
        <v>157</v>
      </c>
      <c r="HG343" s="23"/>
      <c r="HH343" s="23"/>
      <c r="HI343" s="23"/>
      <c r="HJ343" s="23"/>
      <c r="HK343" s="23"/>
      <c r="HL343" s="23">
        <f>T343</f>
        <v>157</v>
      </c>
      <c r="HM343" s="23"/>
      <c r="HN343" s="23"/>
      <c r="HO343" s="23"/>
      <c r="HP343" s="23">
        <f>T343</f>
        <v>157</v>
      </c>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row>
    <row r="344" spans="1:255" x14ac:dyDescent="0.2">
      <c r="A344" s="64"/>
      <c r="B344" s="111" t="s">
        <v>864</v>
      </c>
      <c r="C344" s="111" t="s">
        <v>877</v>
      </c>
      <c r="D344" s="63"/>
      <c r="E344" s="63"/>
      <c r="F344" s="63"/>
      <c r="G344" s="63"/>
      <c r="H344" s="63"/>
      <c r="I344" s="63"/>
      <c r="J344" s="63"/>
      <c r="K344" s="65"/>
    </row>
    <row r="345" spans="1:255" x14ac:dyDescent="0.2">
      <c r="A345" s="100" t="s">
        <v>276</v>
      </c>
      <c r="B345" s="109" t="s">
        <v>101</v>
      </c>
      <c r="C345" s="101" t="s">
        <v>102</v>
      </c>
      <c r="D345" s="102" t="s">
        <v>103</v>
      </c>
      <c r="E345" s="103">
        <f>Source!I196</f>
        <v>143.19225</v>
      </c>
      <c r="F345" s="104">
        <v>0.24</v>
      </c>
      <c r="G345" s="105"/>
      <c r="H345" s="104">
        <f>Source!AC195</f>
        <v>0.24</v>
      </c>
      <c r="I345" s="106">
        <f>T345</f>
        <v>34</v>
      </c>
      <c r="J345" s="107" t="s">
        <v>863</v>
      </c>
      <c r="K345" s="108">
        <f>U345</f>
        <v>173</v>
      </c>
      <c r="L345" s="23"/>
      <c r="M345" s="23"/>
      <c r="N345" s="23"/>
      <c r="O345" s="23"/>
      <c r="P345" s="23"/>
      <c r="Q345" s="23"/>
      <c r="R345" s="23"/>
      <c r="S345" s="23"/>
      <c r="T345" s="23">
        <f>ROUND(Source!AC195*Source!AW195*Source!I195,0)</f>
        <v>34</v>
      </c>
      <c r="U345" s="23">
        <f>Source!P196</f>
        <v>173</v>
      </c>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v>1</v>
      </c>
      <c r="CW345" s="23"/>
      <c r="CX345" s="23"/>
      <c r="CY345" s="23"/>
      <c r="CZ345" s="23"/>
      <c r="DA345" s="23"/>
      <c r="DB345" s="23"/>
      <c r="DC345" s="23"/>
      <c r="DD345" s="23"/>
      <c r="DE345" s="23"/>
      <c r="DF345" s="23"/>
      <c r="DG345" s="23"/>
      <c r="DH345" s="23"/>
      <c r="DI345" s="23"/>
      <c r="DJ345" s="23"/>
      <c r="DK345" s="23">
        <f>T345</f>
        <v>34</v>
      </c>
      <c r="DL345" s="23"/>
      <c r="DM345" s="23">
        <f>Source!P196</f>
        <v>173</v>
      </c>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f>T345</f>
        <v>34</v>
      </c>
      <c r="GK345" s="23"/>
      <c r="GL345" s="23"/>
      <c r="GM345" s="23"/>
      <c r="GN345" s="23">
        <f>T345</f>
        <v>34</v>
      </c>
      <c r="GO345" s="23"/>
      <c r="GP345" s="23">
        <f>T345</f>
        <v>34</v>
      </c>
      <c r="GQ345" s="23">
        <f>T345</f>
        <v>34</v>
      </c>
      <c r="GR345" s="23"/>
      <c r="GS345" s="23">
        <f>T345</f>
        <v>34</v>
      </c>
      <c r="GT345" s="23"/>
      <c r="GU345" s="23"/>
      <c r="GV345" s="23"/>
      <c r="GW345" s="23"/>
      <c r="GX345" s="23"/>
      <c r="GY345" s="23"/>
      <c r="GZ345" s="23"/>
      <c r="HA345" s="23"/>
      <c r="HB345" s="23">
        <f>T345</f>
        <v>34</v>
      </c>
      <c r="HC345" s="23"/>
      <c r="HD345" s="23"/>
      <c r="HE345" s="23"/>
      <c r="HF345" s="23">
        <f>T345</f>
        <v>34</v>
      </c>
      <c r="HG345" s="23"/>
      <c r="HH345" s="23"/>
      <c r="HI345" s="23"/>
      <c r="HJ345" s="23"/>
      <c r="HK345" s="23"/>
      <c r="HL345" s="23">
        <f>T345</f>
        <v>34</v>
      </c>
      <c r="HM345" s="23"/>
      <c r="HN345" s="23">
        <f>T345</f>
        <v>34</v>
      </c>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row>
    <row r="346" spans="1:255" x14ac:dyDescent="0.2">
      <c r="A346" s="64"/>
      <c r="B346" s="111" t="s">
        <v>864</v>
      </c>
      <c r="C346" s="111" t="s">
        <v>878</v>
      </c>
      <c r="D346" s="63"/>
      <c r="E346" s="63"/>
      <c r="F346" s="63"/>
      <c r="G346" s="63"/>
      <c r="H346" s="63"/>
      <c r="I346" s="63"/>
      <c r="J346" s="63"/>
      <c r="K346" s="65"/>
    </row>
    <row r="347" spans="1:255" x14ac:dyDescent="0.2">
      <c r="A347" s="100" t="s">
        <v>277</v>
      </c>
      <c r="B347" s="109" t="s">
        <v>107</v>
      </c>
      <c r="C347" s="101" t="s">
        <v>108</v>
      </c>
      <c r="D347" s="102" t="s">
        <v>103</v>
      </c>
      <c r="E347" s="103">
        <f>Source!I198</f>
        <v>74.709000000000003</v>
      </c>
      <c r="F347" s="104">
        <v>0.24</v>
      </c>
      <c r="G347" s="105"/>
      <c r="H347" s="104">
        <f>Source!AC197</f>
        <v>0.24</v>
      </c>
      <c r="I347" s="106">
        <f>T347</f>
        <v>18</v>
      </c>
      <c r="J347" s="107" t="s">
        <v>863</v>
      </c>
      <c r="K347" s="108">
        <f>U347</f>
        <v>45</v>
      </c>
      <c r="L347" s="23"/>
      <c r="M347" s="23"/>
      <c r="N347" s="23"/>
      <c r="O347" s="23"/>
      <c r="P347" s="23"/>
      <c r="Q347" s="23"/>
      <c r="R347" s="23"/>
      <c r="S347" s="23"/>
      <c r="T347" s="23">
        <f>ROUND(Source!AC197*Source!AW197*Source!I197,0)</f>
        <v>18</v>
      </c>
      <c r="U347" s="23">
        <f>Source!P198</f>
        <v>45</v>
      </c>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v>1</v>
      </c>
      <c r="CW347" s="23"/>
      <c r="CX347" s="23"/>
      <c r="CY347" s="23"/>
      <c r="CZ347" s="23"/>
      <c r="DA347" s="23"/>
      <c r="DB347" s="23"/>
      <c r="DC347" s="23"/>
      <c r="DD347" s="23"/>
      <c r="DE347" s="23"/>
      <c r="DF347" s="23"/>
      <c r="DG347" s="23"/>
      <c r="DH347" s="23"/>
      <c r="DI347" s="23"/>
      <c r="DJ347" s="23"/>
      <c r="DK347" s="23">
        <f>T347</f>
        <v>18</v>
      </c>
      <c r="DL347" s="23"/>
      <c r="DM347" s="23">
        <f>Source!P198</f>
        <v>45</v>
      </c>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f>T347</f>
        <v>18</v>
      </c>
      <c r="GK347" s="23"/>
      <c r="GL347" s="23"/>
      <c r="GM347" s="23"/>
      <c r="GN347" s="23">
        <f>T347</f>
        <v>18</v>
      </c>
      <c r="GO347" s="23"/>
      <c r="GP347" s="23">
        <f>T347</f>
        <v>18</v>
      </c>
      <c r="GQ347" s="23">
        <f>T347</f>
        <v>18</v>
      </c>
      <c r="GR347" s="23"/>
      <c r="GS347" s="23">
        <f>T347</f>
        <v>18</v>
      </c>
      <c r="GT347" s="23"/>
      <c r="GU347" s="23"/>
      <c r="GV347" s="23"/>
      <c r="GW347" s="23"/>
      <c r="GX347" s="23"/>
      <c r="GY347" s="23"/>
      <c r="GZ347" s="23"/>
      <c r="HA347" s="23"/>
      <c r="HB347" s="23">
        <f>T347</f>
        <v>18</v>
      </c>
      <c r="HC347" s="23"/>
      <c r="HD347" s="23"/>
      <c r="HE347" s="23"/>
      <c r="HF347" s="23">
        <f>T347</f>
        <v>18</v>
      </c>
      <c r="HG347" s="23"/>
      <c r="HH347" s="23"/>
      <c r="HI347" s="23"/>
      <c r="HJ347" s="23"/>
      <c r="HK347" s="23"/>
      <c r="HL347" s="23">
        <f>T347</f>
        <v>18</v>
      </c>
      <c r="HM347" s="23"/>
      <c r="HN347" s="23">
        <f>T347</f>
        <v>18</v>
      </c>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row>
    <row r="348" spans="1:255" x14ac:dyDescent="0.2">
      <c r="A348" s="64"/>
      <c r="B348" s="111" t="s">
        <v>864</v>
      </c>
      <c r="C348" s="111" t="s">
        <v>879</v>
      </c>
      <c r="D348" s="63"/>
      <c r="E348" s="63"/>
      <c r="F348" s="63"/>
      <c r="G348" s="63"/>
      <c r="H348" s="63"/>
      <c r="I348" s="63"/>
      <c r="J348" s="63"/>
      <c r="K348" s="65"/>
    </row>
    <row r="349" spans="1:255" x14ac:dyDescent="0.2">
      <c r="A349" s="100" t="s">
        <v>278</v>
      </c>
      <c r="B349" s="109" t="s">
        <v>112</v>
      </c>
      <c r="C349" s="101" t="s">
        <v>113</v>
      </c>
      <c r="D349" s="102" t="s">
        <v>103</v>
      </c>
      <c r="E349" s="103">
        <f>Source!I200</f>
        <v>74.709000000000003</v>
      </c>
      <c r="F349" s="104">
        <v>0.3</v>
      </c>
      <c r="G349" s="105"/>
      <c r="H349" s="104">
        <f>Source!AC199</f>
        <v>0.3</v>
      </c>
      <c r="I349" s="106">
        <f>T349</f>
        <v>22</v>
      </c>
      <c r="J349" s="107" t="s">
        <v>863</v>
      </c>
      <c r="K349" s="108">
        <f>U349</f>
        <v>79</v>
      </c>
      <c r="L349" s="23"/>
      <c r="M349" s="23"/>
      <c r="N349" s="23"/>
      <c r="O349" s="23"/>
      <c r="P349" s="23"/>
      <c r="Q349" s="23"/>
      <c r="R349" s="23"/>
      <c r="S349" s="23"/>
      <c r="T349" s="23">
        <f>ROUND(Source!AC199*Source!AW199*Source!I199,0)</f>
        <v>22</v>
      </c>
      <c r="U349" s="23">
        <f>Source!P200</f>
        <v>79</v>
      </c>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v>1</v>
      </c>
      <c r="CW349" s="23"/>
      <c r="CX349" s="23"/>
      <c r="CY349" s="23"/>
      <c r="CZ349" s="23"/>
      <c r="DA349" s="23"/>
      <c r="DB349" s="23"/>
      <c r="DC349" s="23"/>
      <c r="DD349" s="23"/>
      <c r="DE349" s="23"/>
      <c r="DF349" s="23"/>
      <c r="DG349" s="23"/>
      <c r="DH349" s="23"/>
      <c r="DI349" s="23"/>
      <c r="DJ349" s="23"/>
      <c r="DK349" s="23">
        <f>T349</f>
        <v>22</v>
      </c>
      <c r="DL349" s="23"/>
      <c r="DM349" s="23">
        <f>Source!P200</f>
        <v>79</v>
      </c>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f>T349</f>
        <v>22</v>
      </c>
      <c r="GK349" s="23"/>
      <c r="GL349" s="23"/>
      <c r="GM349" s="23"/>
      <c r="GN349" s="23">
        <f>T349</f>
        <v>22</v>
      </c>
      <c r="GO349" s="23"/>
      <c r="GP349" s="23">
        <f>T349</f>
        <v>22</v>
      </c>
      <c r="GQ349" s="23">
        <f>T349</f>
        <v>22</v>
      </c>
      <c r="GR349" s="23"/>
      <c r="GS349" s="23">
        <f>T349</f>
        <v>22</v>
      </c>
      <c r="GT349" s="23"/>
      <c r="GU349" s="23"/>
      <c r="GV349" s="23"/>
      <c r="GW349" s="23"/>
      <c r="GX349" s="23"/>
      <c r="GY349" s="23"/>
      <c r="GZ349" s="23"/>
      <c r="HA349" s="23"/>
      <c r="HB349" s="23">
        <f>T349</f>
        <v>22</v>
      </c>
      <c r="HC349" s="23"/>
      <c r="HD349" s="23"/>
      <c r="HE349" s="23"/>
      <c r="HF349" s="23">
        <f>T349</f>
        <v>22</v>
      </c>
      <c r="HG349" s="23"/>
      <c r="HH349" s="23"/>
      <c r="HI349" s="23"/>
      <c r="HJ349" s="23"/>
      <c r="HK349" s="23"/>
      <c r="HL349" s="23">
        <f>T349</f>
        <v>22</v>
      </c>
      <c r="HM349" s="23"/>
      <c r="HN349" s="23">
        <f>T349</f>
        <v>22</v>
      </c>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row>
    <row r="350" spans="1:255" x14ac:dyDescent="0.2">
      <c r="A350" s="64"/>
      <c r="B350" s="111" t="s">
        <v>864</v>
      </c>
      <c r="C350" s="111" t="s">
        <v>880</v>
      </c>
      <c r="D350" s="63"/>
      <c r="E350" s="63"/>
      <c r="F350" s="63"/>
      <c r="G350" s="63"/>
      <c r="H350" s="63"/>
      <c r="I350" s="63"/>
      <c r="J350" s="63"/>
      <c r="K350" s="65"/>
    </row>
    <row r="351" spans="1:255" ht="24" x14ac:dyDescent="0.2">
      <c r="A351" s="114" t="s">
        <v>279</v>
      </c>
      <c r="B351" s="115" t="s">
        <v>117</v>
      </c>
      <c r="C351" s="116" t="s">
        <v>118</v>
      </c>
      <c r="D351" s="117" t="s">
        <v>33</v>
      </c>
      <c r="E351" s="118">
        <f>Source!I202</f>
        <v>5.9207499999999998E-3</v>
      </c>
      <c r="F351" s="119">
        <v>10633.86</v>
      </c>
      <c r="G351" s="71"/>
      <c r="H351" s="119">
        <f>Source!AC201</f>
        <v>10633.86</v>
      </c>
      <c r="I351" s="120">
        <f>T351</f>
        <v>63</v>
      </c>
      <c r="J351" s="73" t="s">
        <v>863</v>
      </c>
      <c r="K351" s="121">
        <f>U351</f>
        <v>499</v>
      </c>
      <c r="L351" s="23"/>
      <c r="M351" s="23"/>
      <c r="N351" s="23"/>
      <c r="O351" s="23"/>
      <c r="P351" s="23"/>
      <c r="Q351" s="23"/>
      <c r="R351" s="23"/>
      <c r="S351" s="23"/>
      <c r="T351" s="23">
        <f>ROUND(Source!AC201*Source!AW201*Source!I201,0)</f>
        <v>63</v>
      </c>
      <c r="U351" s="23">
        <f>Source!P202</f>
        <v>499</v>
      </c>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v>1</v>
      </c>
      <c r="CW351" s="23"/>
      <c r="CX351" s="23"/>
      <c r="CY351" s="23"/>
      <c r="CZ351" s="23"/>
      <c r="DA351" s="23"/>
      <c r="DB351" s="23"/>
      <c r="DC351" s="23"/>
      <c r="DD351" s="23"/>
      <c r="DE351" s="23"/>
      <c r="DF351" s="23"/>
      <c r="DG351" s="23"/>
      <c r="DH351" s="23"/>
      <c r="DI351" s="23"/>
      <c r="DJ351" s="23"/>
      <c r="DK351" s="23">
        <f>T351</f>
        <v>63</v>
      </c>
      <c r="DL351" s="23"/>
      <c r="DM351" s="23">
        <f>Source!P202</f>
        <v>499</v>
      </c>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f>T351</f>
        <v>63</v>
      </c>
      <c r="GK351" s="23"/>
      <c r="GL351" s="23"/>
      <c r="GM351" s="23"/>
      <c r="GN351" s="23">
        <f>T351</f>
        <v>63</v>
      </c>
      <c r="GO351" s="23"/>
      <c r="GP351" s="23">
        <f>T351</f>
        <v>63</v>
      </c>
      <c r="GQ351" s="23">
        <f>T351</f>
        <v>63</v>
      </c>
      <c r="GR351" s="23"/>
      <c r="GS351" s="23">
        <f>T351</f>
        <v>63</v>
      </c>
      <c r="GT351" s="23"/>
      <c r="GU351" s="23"/>
      <c r="GV351" s="23"/>
      <c r="GW351" s="23"/>
      <c r="GX351" s="23"/>
      <c r="GY351" s="23"/>
      <c r="GZ351" s="23"/>
      <c r="HA351" s="23"/>
      <c r="HB351" s="23">
        <f>T351</f>
        <v>63</v>
      </c>
      <c r="HC351" s="23"/>
      <c r="HD351" s="23"/>
      <c r="HE351" s="23"/>
      <c r="HF351" s="23">
        <f>T351</f>
        <v>63</v>
      </c>
      <c r="HG351" s="23"/>
      <c r="HH351" s="23"/>
      <c r="HI351" s="23"/>
      <c r="HJ351" s="23"/>
      <c r="HK351" s="23"/>
      <c r="HL351" s="23">
        <f>T351</f>
        <v>63</v>
      </c>
      <c r="HM351" s="23"/>
      <c r="HN351" s="23">
        <f>T351</f>
        <v>63</v>
      </c>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row>
    <row r="352" spans="1:255" x14ac:dyDescent="0.2">
      <c r="A352" s="98"/>
      <c r="B352" s="113" t="s">
        <v>864</v>
      </c>
      <c r="C352" s="113" t="s">
        <v>881</v>
      </c>
      <c r="D352" s="33"/>
      <c r="E352" s="33"/>
      <c r="F352" s="33"/>
      <c r="G352" s="33"/>
      <c r="H352" s="33"/>
      <c r="I352" s="33"/>
      <c r="J352" s="33"/>
      <c r="K352" s="99"/>
    </row>
    <row r="353" spans="1:255" ht="13.5" thickBot="1" x14ac:dyDescent="0.25">
      <c r="A353" s="124"/>
      <c r="B353" s="125"/>
      <c r="C353" s="125" t="s">
        <v>867</v>
      </c>
      <c r="D353" s="125"/>
      <c r="E353" s="125"/>
      <c r="F353" s="125"/>
      <c r="G353" s="125"/>
      <c r="H353" s="380">
        <f>SUM(DK328:DK352)</f>
        <v>9172</v>
      </c>
      <c r="I353" s="381"/>
      <c r="J353" s="380">
        <f>SUM(DM328:DM352)</f>
        <v>74656</v>
      </c>
      <c r="K353" s="382"/>
      <c r="L353" s="112"/>
      <c r="M353" s="112"/>
      <c r="N353" s="112"/>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row>
    <row r="354" spans="1:255" x14ac:dyDescent="0.2">
      <c r="A354" s="123"/>
      <c r="B354" s="122"/>
      <c r="C354" s="122" t="s">
        <v>868</v>
      </c>
      <c r="D354" s="122"/>
      <c r="E354" s="122"/>
      <c r="F354" s="122"/>
      <c r="G354" s="122"/>
      <c r="H354" s="383">
        <f>R354</f>
        <v>11656</v>
      </c>
      <c r="I354" s="384"/>
      <c r="J354" s="383" t="e">
        <f>S354</f>
        <v>#REF!</v>
      </c>
      <c r="K354" s="385"/>
      <c r="O354" s="23"/>
      <c r="P354" s="23"/>
      <c r="Q354" s="23"/>
      <c r="R354" s="23">
        <f>SUM(T328:T353)</f>
        <v>11656</v>
      </c>
      <c r="S354" s="23" t="e">
        <f>SUM(U328:U353)</f>
        <v>#REF!</v>
      </c>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f>R354</f>
        <v>11656</v>
      </c>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row>
    <row r="355" spans="1:255" x14ac:dyDescent="0.2">
      <c r="A355" s="77"/>
      <c r="B355" s="76"/>
      <c r="C355" s="76"/>
      <c r="D355" s="76"/>
      <c r="E355" s="76"/>
      <c r="F355" s="76"/>
      <c r="G355" s="76"/>
      <c r="H355" s="386"/>
      <c r="I355" s="387"/>
      <c r="J355" s="386"/>
      <c r="K355" s="388"/>
    </row>
    <row r="356" spans="1:255" ht="59.25" x14ac:dyDescent="0.2">
      <c r="A356" s="126">
        <v>14</v>
      </c>
      <c r="B356" s="133" t="s">
        <v>281</v>
      </c>
      <c r="C356" s="127" t="s">
        <v>946</v>
      </c>
      <c r="D356" s="128" t="s">
        <v>21</v>
      </c>
      <c r="E356" s="129">
        <v>117.282</v>
      </c>
      <c r="F356" s="130">
        <f>Source!AK204</f>
        <v>197.92000000000002</v>
      </c>
      <c r="G356" s="134" t="s">
        <v>6</v>
      </c>
      <c r="H356" s="130"/>
      <c r="I356" s="131">
        <f>SUM(DQ356:DQ381)</f>
        <v>9869</v>
      </c>
      <c r="J356" s="107" t="s">
        <v>281</v>
      </c>
      <c r="K356" s="132" t="e">
        <f>SUM(DS356:DS381)</f>
        <v>#REF!</v>
      </c>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row>
    <row r="357" spans="1:255" x14ac:dyDescent="0.2">
      <c r="A357" s="66"/>
      <c r="B357" s="67"/>
      <c r="C357" s="67" t="s">
        <v>853</v>
      </c>
      <c r="D357" s="68"/>
      <c r="E357" s="69"/>
      <c r="F357" s="70">
        <v>36.67</v>
      </c>
      <c r="G357" s="71" t="s">
        <v>854</v>
      </c>
      <c r="H357" s="70">
        <f>Source!AF204</f>
        <v>38.5</v>
      </c>
      <c r="I357" s="72">
        <f>T357</f>
        <v>1129</v>
      </c>
      <c r="J357" s="73">
        <v>36.07</v>
      </c>
      <c r="K357" s="74">
        <f>U357</f>
        <v>40717</v>
      </c>
      <c r="O357" s="23"/>
      <c r="P357" s="23"/>
      <c r="Q357" s="23"/>
      <c r="R357" s="23"/>
      <c r="S357" s="23"/>
      <c r="T357" s="23">
        <f>ROUND(Source!AF204*Source!AV204*Source!I204,0)</f>
        <v>1129</v>
      </c>
      <c r="U357" s="23">
        <f>Source!S204</f>
        <v>40717</v>
      </c>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v>1</v>
      </c>
      <c r="CW357" s="23"/>
      <c r="CX357" s="23"/>
      <c r="CY357" s="23"/>
      <c r="CZ357" s="23"/>
      <c r="DA357" s="23"/>
      <c r="DB357" s="23"/>
      <c r="DC357" s="23"/>
      <c r="DD357" s="23"/>
      <c r="DE357" s="23"/>
      <c r="DF357" s="23"/>
      <c r="DG357" s="23">
        <f>Source!S204</f>
        <v>40717</v>
      </c>
      <c r="DH357" s="23">
        <v>1003</v>
      </c>
      <c r="DI357" s="23"/>
      <c r="DJ357" s="23"/>
      <c r="DK357" s="23"/>
      <c r="DL357" s="23"/>
      <c r="DM357" s="23"/>
      <c r="DN357" s="23"/>
      <c r="DO357" s="23"/>
      <c r="DP357" s="23"/>
      <c r="DQ357" s="23">
        <f>T357</f>
        <v>1129</v>
      </c>
      <c r="DR357" s="23"/>
      <c r="DS357" s="23">
        <f>U357</f>
        <v>40717</v>
      </c>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f>T357</f>
        <v>1129</v>
      </c>
      <c r="GK357" s="23">
        <f>T357</f>
        <v>1129</v>
      </c>
      <c r="GL357" s="23"/>
      <c r="GM357" s="23"/>
      <c r="GN357" s="23"/>
      <c r="GO357" s="23"/>
      <c r="GP357" s="23"/>
      <c r="GQ357" s="23"/>
      <c r="GR357" s="23"/>
      <c r="GS357" s="23"/>
      <c r="GT357" s="23"/>
      <c r="GU357" s="23"/>
      <c r="GV357" s="23"/>
      <c r="GW357" s="23"/>
      <c r="GX357" s="23"/>
      <c r="GY357" s="23"/>
      <c r="GZ357" s="23"/>
      <c r="HA357" s="23"/>
      <c r="HB357" s="23">
        <f>T357</f>
        <v>1129</v>
      </c>
      <c r="HC357" s="23"/>
      <c r="HD357" s="23"/>
      <c r="HE357" s="23"/>
      <c r="HF357" s="23">
        <f>T357</f>
        <v>1129</v>
      </c>
      <c r="HG357" s="23"/>
      <c r="HH357" s="23"/>
      <c r="HI357" s="23"/>
      <c r="HJ357" s="23"/>
      <c r="HK357" s="23"/>
      <c r="HL357" s="23">
        <f>T357</f>
        <v>1129</v>
      </c>
      <c r="HM357" s="23"/>
      <c r="HN357" s="23">
        <f>T357</f>
        <v>1129</v>
      </c>
      <c r="HO357" s="23"/>
      <c r="HP357" s="23"/>
      <c r="HQ357" s="23"/>
      <c r="HR357" s="23"/>
      <c r="HS357" s="23"/>
      <c r="HT357" s="23"/>
      <c r="HU357" s="23"/>
      <c r="HV357" s="23"/>
      <c r="HW357" s="23"/>
      <c r="HX357" s="23">
        <f>T357</f>
        <v>1129</v>
      </c>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row>
    <row r="358" spans="1:255" x14ac:dyDescent="0.2">
      <c r="A358" s="78"/>
      <c r="B358" s="79"/>
      <c r="C358" s="79" t="s">
        <v>855</v>
      </c>
      <c r="D358" s="80"/>
      <c r="E358" s="81"/>
      <c r="F358" s="82">
        <v>154.13</v>
      </c>
      <c r="G358" s="83" t="s">
        <v>856</v>
      </c>
      <c r="H358" s="82">
        <f>Source!AD204</f>
        <v>172.63</v>
      </c>
      <c r="I358" s="84">
        <f>T358</f>
        <v>5062</v>
      </c>
      <c r="J358" s="85">
        <v>9.3000000000000007</v>
      </c>
      <c r="K358" s="86">
        <f>U358</f>
        <v>47073</v>
      </c>
      <c r="O358" s="23"/>
      <c r="P358" s="23"/>
      <c r="Q358" s="23"/>
      <c r="R358" s="23"/>
      <c r="S358" s="23"/>
      <c r="T358" s="23">
        <f>ROUND(Source!AD204*Source!AV204*Source!I204,0)</f>
        <v>5062</v>
      </c>
      <c r="U358" s="23">
        <f>Source!Q204</f>
        <v>47073</v>
      </c>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v>1</v>
      </c>
      <c r="CW358" s="23"/>
      <c r="CX358" s="23"/>
      <c r="CY358" s="23"/>
      <c r="CZ358" s="23"/>
      <c r="DA358" s="23"/>
      <c r="DB358" s="23"/>
      <c r="DC358" s="23"/>
      <c r="DD358" s="23"/>
      <c r="DE358" s="23"/>
      <c r="DF358" s="23"/>
      <c r="DG358" s="23"/>
      <c r="DH358" s="23"/>
      <c r="DI358" s="23"/>
      <c r="DJ358" s="23"/>
      <c r="DK358" s="23"/>
      <c r="DL358" s="23"/>
      <c r="DM358" s="23"/>
      <c r="DN358" s="23"/>
      <c r="DO358" s="23"/>
      <c r="DP358" s="23"/>
      <c r="DQ358" s="23">
        <f>T358</f>
        <v>5062</v>
      </c>
      <c r="DR358" s="23"/>
      <c r="DS358" s="23">
        <f>U358</f>
        <v>47073</v>
      </c>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f>T358</f>
        <v>5062</v>
      </c>
      <c r="GK358" s="23"/>
      <c r="GL358" s="23">
        <f>T358</f>
        <v>5062</v>
      </c>
      <c r="GM358" s="23"/>
      <c r="GN358" s="23"/>
      <c r="GO358" s="23"/>
      <c r="GP358" s="23"/>
      <c r="GQ358" s="23"/>
      <c r="GR358" s="23"/>
      <c r="GS358" s="23"/>
      <c r="GT358" s="23"/>
      <c r="GU358" s="23"/>
      <c r="GV358" s="23"/>
      <c r="GW358" s="23"/>
      <c r="GX358" s="23"/>
      <c r="GY358" s="23"/>
      <c r="GZ358" s="23"/>
      <c r="HA358" s="23"/>
      <c r="HB358" s="23">
        <f>T358</f>
        <v>5062</v>
      </c>
      <c r="HC358" s="23"/>
      <c r="HD358" s="23"/>
      <c r="HE358" s="23"/>
      <c r="HF358" s="23">
        <f>T358</f>
        <v>5062</v>
      </c>
      <c r="HG358" s="23"/>
      <c r="HH358" s="23"/>
      <c r="HI358" s="23"/>
      <c r="HJ358" s="23"/>
      <c r="HK358" s="23"/>
      <c r="HL358" s="23">
        <f>T358</f>
        <v>5062</v>
      </c>
      <c r="HM358" s="23"/>
      <c r="HN358" s="23">
        <f>T358</f>
        <v>5062</v>
      </c>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row>
    <row r="359" spans="1:255" x14ac:dyDescent="0.2">
      <c r="A359" s="78"/>
      <c r="B359" s="79"/>
      <c r="C359" s="79" t="s">
        <v>857</v>
      </c>
      <c r="D359" s="80"/>
      <c r="E359" s="81"/>
      <c r="F359" s="82">
        <v>22.46</v>
      </c>
      <c r="G359" s="83" t="s">
        <v>856</v>
      </c>
      <c r="H359" s="82">
        <f>Source!AE204</f>
        <v>25.16</v>
      </c>
      <c r="I359" s="84">
        <f>GM359</f>
        <v>738</v>
      </c>
      <c r="J359" s="85">
        <v>19.8</v>
      </c>
      <c r="K359" s="86">
        <f>Source!R204</f>
        <v>14607</v>
      </c>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f>ROUND(Source!AE204*Source!AV204*Source!I204,0)</f>
        <v>738</v>
      </c>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f>GM359</f>
        <v>738</v>
      </c>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row>
    <row r="360" spans="1:255" x14ac:dyDescent="0.2">
      <c r="A360" s="87"/>
      <c r="B360" s="88"/>
      <c r="C360" s="88" t="s">
        <v>858</v>
      </c>
      <c r="D360" s="89"/>
      <c r="E360" s="90">
        <v>120</v>
      </c>
      <c r="F360" s="91" t="s">
        <v>859</v>
      </c>
      <c r="G360" s="92"/>
      <c r="H360" s="93">
        <f>ROUND((Source!AF204*Source!AV204+Source!AE204*Source!AV204)*(Source!FX204)/100,2)</f>
        <v>76.39</v>
      </c>
      <c r="I360" s="94">
        <f>T360</f>
        <v>2240</v>
      </c>
      <c r="J360" s="96">
        <v>1.1399999999999999</v>
      </c>
      <c r="K360" s="95" t="e">
        <f>U360</f>
        <v>#REF!</v>
      </c>
      <c r="O360" s="23"/>
      <c r="P360" s="23"/>
      <c r="Q360" s="23"/>
      <c r="R360" s="23"/>
      <c r="S360" s="23"/>
      <c r="T360" s="23">
        <f>ROUND((ROUND(Source!AF204*Source!AV204*Source!I204,0)+ROUND(Source!AE204*Source!AV204*Source!I204,0))*(Source!DN204)/100,0)</f>
        <v>2240</v>
      </c>
      <c r="U360" s="23" t="e">
        <f>Source!X204</f>
        <v>#REF!</v>
      </c>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v>1</v>
      </c>
      <c r="CW360" s="23"/>
      <c r="CX360" s="23"/>
      <c r="CY360" s="23"/>
      <c r="CZ360" s="23"/>
      <c r="DA360" s="23"/>
      <c r="DB360" s="23"/>
      <c r="DC360" s="23"/>
      <c r="DD360" s="23"/>
      <c r="DE360" s="23"/>
      <c r="DF360" s="23"/>
      <c r="DG360" s="23"/>
      <c r="DH360" s="23"/>
      <c r="DI360" s="23"/>
      <c r="DJ360" s="23"/>
      <c r="DK360" s="23"/>
      <c r="DL360" s="23"/>
      <c r="DM360" s="23"/>
      <c r="DN360" s="23"/>
      <c r="DO360" s="23"/>
      <c r="DP360" s="23"/>
      <c r="DQ360" s="23">
        <f>T360</f>
        <v>2240</v>
      </c>
      <c r="DR360" s="23"/>
      <c r="DS360" s="23" t="e">
        <f>U360</f>
        <v>#REF!</v>
      </c>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f>T360</f>
        <v>2240</v>
      </c>
      <c r="GZ360" s="23"/>
      <c r="HA360" s="23"/>
      <c r="HB360" s="23">
        <f>T360</f>
        <v>2240</v>
      </c>
      <c r="HC360" s="23"/>
      <c r="HD360" s="23"/>
      <c r="HE360" s="23"/>
      <c r="HF360" s="23">
        <f>T360</f>
        <v>2240</v>
      </c>
      <c r="HG360" s="23"/>
      <c r="HH360" s="23"/>
      <c r="HI360" s="23"/>
      <c r="HJ360" s="23"/>
      <c r="HK360" s="23"/>
      <c r="HL360" s="23">
        <f>T360</f>
        <v>2240</v>
      </c>
      <c r="HM360" s="23"/>
      <c r="HN360" s="23">
        <f>T360</f>
        <v>2240</v>
      </c>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row>
    <row r="361" spans="1:255" x14ac:dyDescent="0.2">
      <c r="A361" s="87"/>
      <c r="B361" s="88"/>
      <c r="C361" s="88" t="s">
        <v>860</v>
      </c>
      <c r="D361" s="89"/>
      <c r="E361" s="90">
        <v>77</v>
      </c>
      <c r="F361" s="91" t="s">
        <v>859</v>
      </c>
      <c r="G361" s="92"/>
      <c r="H361" s="93">
        <f>ROUND((Source!AF204*Source!AV204+Source!AE204*Source!AV204)*(Source!FY204)/100,2)</f>
        <v>49.02</v>
      </c>
      <c r="I361" s="94">
        <f>T361</f>
        <v>1438</v>
      </c>
      <c r="J361" s="96">
        <v>0.65</v>
      </c>
      <c r="K361" s="95" t="e">
        <f>U361</f>
        <v>#REF!</v>
      </c>
      <c r="O361" s="23"/>
      <c r="P361" s="23"/>
      <c r="Q361" s="23"/>
      <c r="R361" s="23"/>
      <c r="S361" s="23"/>
      <c r="T361" s="23">
        <f>ROUND((ROUND(Source!AF204*Source!AV204*Source!I204,0)+ROUND(Source!AE204*Source!AV204*Source!I204,0))*(Source!DO204)/100,0)</f>
        <v>1438</v>
      </c>
      <c r="U361" s="23" t="e">
        <f>Source!Y204</f>
        <v>#REF!</v>
      </c>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v>1</v>
      </c>
      <c r="CW361" s="23"/>
      <c r="CX361" s="23"/>
      <c r="CY361" s="23"/>
      <c r="CZ361" s="23"/>
      <c r="DA361" s="23"/>
      <c r="DB361" s="23"/>
      <c r="DC361" s="23"/>
      <c r="DD361" s="23"/>
      <c r="DE361" s="23"/>
      <c r="DF361" s="23"/>
      <c r="DG361" s="23"/>
      <c r="DH361" s="23"/>
      <c r="DI361" s="23"/>
      <c r="DJ361" s="23"/>
      <c r="DK361" s="23"/>
      <c r="DL361" s="23"/>
      <c r="DM361" s="23"/>
      <c r="DN361" s="23"/>
      <c r="DO361" s="23"/>
      <c r="DP361" s="23"/>
      <c r="DQ361" s="23">
        <f>T361</f>
        <v>1438</v>
      </c>
      <c r="DR361" s="23"/>
      <c r="DS361" s="23" t="e">
        <f>U361</f>
        <v>#REF!</v>
      </c>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f>T361</f>
        <v>1438</v>
      </c>
      <c r="HA361" s="23"/>
      <c r="HB361" s="23">
        <f>T361</f>
        <v>1438</v>
      </c>
      <c r="HC361" s="23"/>
      <c r="HD361" s="23"/>
      <c r="HE361" s="23"/>
      <c r="HF361" s="23">
        <f>T361</f>
        <v>1438</v>
      </c>
      <c r="HG361" s="23"/>
      <c r="HH361" s="23"/>
      <c r="HI361" s="23"/>
      <c r="HJ361" s="23"/>
      <c r="HK361" s="23"/>
      <c r="HL361" s="23">
        <f>T361</f>
        <v>1438</v>
      </c>
      <c r="HM361" s="23"/>
      <c r="HN361" s="23">
        <f>T361</f>
        <v>1438</v>
      </c>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row>
    <row r="362" spans="1:255" x14ac:dyDescent="0.2">
      <c r="A362" s="78"/>
      <c r="B362" s="79"/>
      <c r="C362" s="79" t="s">
        <v>861</v>
      </c>
      <c r="D362" s="80" t="s">
        <v>862</v>
      </c>
      <c r="E362" s="81">
        <v>4.21</v>
      </c>
      <c r="F362" s="82"/>
      <c r="G362" s="83" t="s">
        <v>854</v>
      </c>
      <c r="H362" s="82" t="e">
        <f>ROUND(Source!AH204,2)</f>
        <v>#REF!</v>
      </c>
      <c r="I362" s="97" t="e">
        <f>Source!U204</f>
        <v>#REF!</v>
      </c>
      <c r="J362" s="85"/>
      <c r="K362" s="86"/>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row>
    <row r="363" spans="1:255" x14ac:dyDescent="0.2">
      <c r="A363" s="100" t="s">
        <v>284</v>
      </c>
      <c r="B363" s="109" t="s">
        <v>71</v>
      </c>
      <c r="C363" s="101" t="s">
        <v>72</v>
      </c>
      <c r="D363" s="102" t="s">
        <v>33</v>
      </c>
      <c r="E363" s="103">
        <f>Source!I206</f>
        <v>0.12317550000000001</v>
      </c>
      <c r="F363" s="104">
        <v>1696.01</v>
      </c>
      <c r="G363" s="105"/>
      <c r="H363" s="104">
        <f>Source!AC205</f>
        <v>1696.01</v>
      </c>
      <c r="I363" s="106">
        <f>T363</f>
        <v>209</v>
      </c>
      <c r="J363" s="107" t="s">
        <v>863</v>
      </c>
      <c r="K363" s="108">
        <f>U363</f>
        <v>10780</v>
      </c>
      <c r="L363" s="23"/>
      <c r="M363" s="23"/>
      <c r="N363" s="23"/>
      <c r="O363" s="23"/>
      <c r="P363" s="23"/>
      <c r="Q363" s="23"/>
      <c r="R363" s="23"/>
      <c r="S363" s="23"/>
      <c r="T363" s="23">
        <f>ROUND(Source!AC205*Source!AW205*Source!I205,0)</f>
        <v>209</v>
      </c>
      <c r="U363" s="23">
        <f>Source!P206</f>
        <v>10780</v>
      </c>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v>1</v>
      </c>
      <c r="CW363" s="23"/>
      <c r="CX363" s="23"/>
      <c r="CY363" s="23"/>
      <c r="CZ363" s="23"/>
      <c r="DA363" s="23"/>
      <c r="DB363" s="23"/>
      <c r="DC363" s="23"/>
      <c r="DD363" s="23"/>
      <c r="DE363" s="23"/>
      <c r="DF363" s="23"/>
      <c r="DG363" s="23"/>
      <c r="DH363" s="23"/>
      <c r="DI363" s="23"/>
      <c r="DJ363" s="23"/>
      <c r="DK363" s="23">
        <f>T363</f>
        <v>209</v>
      </c>
      <c r="DL363" s="23"/>
      <c r="DM363" s="23">
        <f>Source!P206</f>
        <v>10780</v>
      </c>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f>T363</f>
        <v>209</v>
      </c>
      <c r="GK363" s="23"/>
      <c r="GL363" s="23"/>
      <c r="GM363" s="23"/>
      <c r="GN363" s="23">
        <f>T363</f>
        <v>209</v>
      </c>
      <c r="GO363" s="23"/>
      <c r="GP363" s="23">
        <f>T363</f>
        <v>209</v>
      </c>
      <c r="GQ363" s="23">
        <f>T363</f>
        <v>209</v>
      </c>
      <c r="GR363" s="23"/>
      <c r="GS363" s="23">
        <f>T363</f>
        <v>209</v>
      </c>
      <c r="GT363" s="23"/>
      <c r="GU363" s="23"/>
      <c r="GV363" s="23"/>
      <c r="GW363" s="23"/>
      <c r="GX363" s="23"/>
      <c r="GY363" s="23"/>
      <c r="GZ363" s="23"/>
      <c r="HA363" s="23"/>
      <c r="HB363" s="23">
        <f>T363</f>
        <v>209</v>
      </c>
      <c r="HC363" s="23"/>
      <c r="HD363" s="23"/>
      <c r="HE363" s="23"/>
      <c r="HF363" s="23">
        <f>T363</f>
        <v>209</v>
      </c>
      <c r="HG363" s="23"/>
      <c r="HH363" s="23"/>
      <c r="HI363" s="23"/>
      <c r="HJ363" s="23"/>
      <c r="HK363" s="23"/>
      <c r="HL363" s="23">
        <f>T363</f>
        <v>209</v>
      </c>
      <c r="HM363" s="23"/>
      <c r="HN363" s="23">
        <f>T363</f>
        <v>209</v>
      </c>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row>
    <row r="364" spans="1:255" x14ac:dyDescent="0.2">
      <c r="A364" s="64"/>
      <c r="B364" s="111" t="s">
        <v>864</v>
      </c>
      <c r="C364" s="111" t="s">
        <v>873</v>
      </c>
      <c r="D364" s="63"/>
      <c r="E364" s="63"/>
      <c r="F364" s="63"/>
      <c r="G364" s="63"/>
      <c r="H364" s="63"/>
      <c r="I364" s="63"/>
      <c r="J364" s="63"/>
      <c r="K364" s="65"/>
    </row>
    <row r="365" spans="1:255" ht="24" x14ac:dyDescent="0.2">
      <c r="A365" s="100" t="s">
        <v>285</v>
      </c>
      <c r="B365" s="109" t="s">
        <v>76</v>
      </c>
      <c r="C365" s="101" t="s">
        <v>286</v>
      </c>
      <c r="D365" s="102" t="s">
        <v>78</v>
      </c>
      <c r="E365" s="103">
        <f>Source!I208</f>
        <v>50.55</v>
      </c>
      <c r="F365" s="104">
        <v>87.58</v>
      </c>
      <c r="G365" s="105"/>
      <c r="H365" s="104">
        <f>Source!AC207</f>
        <v>87.58</v>
      </c>
      <c r="I365" s="106">
        <f>T365</f>
        <v>4427</v>
      </c>
      <c r="J365" s="107" t="s">
        <v>863</v>
      </c>
      <c r="K365" s="108">
        <f>U365</f>
        <v>17660</v>
      </c>
      <c r="L365" s="23"/>
      <c r="M365" s="23"/>
      <c r="N365" s="23"/>
      <c r="O365" s="23"/>
      <c r="P365" s="23"/>
      <c r="Q365" s="23"/>
      <c r="R365" s="23"/>
      <c r="S365" s="23"/>
      <c r="T365" s="23">
        <f>ROUND(Source!AC207*Source!AW207*Source!I207,0)</f>
        <v>4427</v>
      </c>
      <c r="U365" s="23">
        <f>Source!P208</f>
        <v>17660</v>
      </c>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v>1</v>
      </c>
      <c r="CW365" s="23"/>
      <c r="CX365" s="23"/>
      <c r="CY365" s="23"/>
      <c r="CZ365" s="23"/>
      <c r="DA365" s="23"/>
      <c r="DB365" s="23"/>
      <c r="DC365" s="23"/>
      <c r="DD365" s="23"/>
      <c r="DE365" s="23"/>
      <c r="DF365" s="23"/>
      <c r="DG365" s="23"/>
      <c r="DH365" s="23"/>
      <c r="DI365" s="23"/>
      <c r="DJ365" s="23"/>
      <c r="DK365" s="23">
        <f>T365</f>
        <v>4427</v>
      </c>
      <c r="DL365" s="23"/>
      <c r="DM365" s="23">
        <f>Source!P208</f>
        <v>17660</v>
      </c>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f>T365</f>
        <v>4427</v>
      </c>
      <c r="GK365" s="23"/>
      <c r="GL365" s="23"/>
      <c r="GM365" s="23"/>
      <c r="GN365" s="23">
        <f>T365</f>
        <v>4427</v>
      </c>
      <c r="GO365" s="23"/>
      <c r="GP365" s="23">
        <f>T365</f>
        <v>4427</v>
      </c>
      <c r="GQ365" s="23">
        <f>T365</f>
        <v>4427</v>
      </c>
      <c r="GR365" s="23"/>
      <c r="GS365" s="23">
        <f>T365</f>
        <v>4427</v>
      </c>
      <c r="GT365" s="23"/>
      <c r="GU365" s="23"/>
      <c r="GV365" s="23"/>
      <c r="GW365" s="23"/>
      <c r="GX365" s="23"/>
      <c r="GY365" s="23"/>
      <c r="GZ365" s="23"/>
      <c r="HA365" s="23"/>
      <c r="HB365" s="23">
        <f>T365</f>
        <v>4427</v>
      </c>
      <c r="HC365" s="23"/>
      <c r="HD365" s="23"/>
      <c r="HE365" s="23"/>
      <c r="HF365" s="23">
        <f>T365</f>
        <v>4427</v>
      </c>
      <c r="HG365" s="23"/>
      <c r="HH365" s="23"/>
      <c r="HI365" s="23"/>
      <c r="HJ365" s="23"/>
      <c r="HK365" s="23"/>
      <c r="HL365" s="23">
        <f>T365</f>
        <v>4427</v>
      </c>
      <c r="HM365" s="23"/>
      <c r="HN365" s="23">
        <f>T365</f>
        <v>4427</v>
      </c>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row>
    <row r="366" spans="1:255" x14ac:dyDescent="0.2">
      <c r="A366" s="64"/>
      <c r="B366" s="111" t="s">
        <v>864</v>
      </c>
      <c r="C366" s="111" t="s">
        <v>874</v>
      </c>
      <c r="D366" s="63"/>
      <c r="E366" s="63"/>
      <c r="F366" s="63"/>
      <c r="G366" s="63"/>
      <c r="H366" s="63"/>
      <c r="I366" s="63"/>
      <c r="J366" s="63"/>
      <c r="K366" s="65"/>
    </row>
    <row r="367" spans="1:255" ht="24" x14ac:dyDescent="0.2">
      <c r="A367" s="100" t="s">
        <v>287</v>
      </c>
      <c r="B367" s="109" t="s">
        <v>82</v>
      </c>
      <c r="C367" s="101" t="s">
        <v>288</v>
      </c>
      <c r="D367" s="102" t="s">
        <v>78</v>
      </c>
      <c r="E367" s="103">
        <f>Source!I210</f>
        <v>50.55</v>
      </c>
      <c r="F367" s="104">
        <v>56.57</v>
      </c>
      <c r="G367" s="105"/>
      <c r="H367" s="104">
        <f>Source!AC209</f>
        <v>56.57</v>
      </c>
      <c r="I367" s="106">
        <f>T367</f>
        <v>2860</v>
      </c>
      <c r="J367" s="107" t="s">
        <v>863</v>
      </c>
      <c r="K367" s="108">
        <f>U367</f>
        <v>11549</v>
      </c>
      <c r="L367" s="23"/>
      <c r="M367" s="23"/>
      <c r="N367" s="23"/>
      <c r="O367" s="23"/>
      <c r="P367" s="23"/>
      <c r="Q367" s="23"/>
      <c r="R367" s="23"/>
      <c r="S367" s="23"/>
      <c r="T367" s="23">
        <f>ROUND(Source!AC209*Source!AW209*Source!I209,0)</f>
        <v>2860</v>
      </c>
      <c r="U367" s="23">
        <f>Source!P210</f>
        <v>11549</v>
      </c>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v>1</v>
      </c>
      <c r="CW367" s="23"/>
      <c r="CX367" s="23"/>
      <c r="CY367" s="23"/>
      <c r="CZ367" s="23"/>
      <c r="DA367" s="23"/>
      <c r="DB367" s="23"/>
      <c r="DC367" s="23"/>
      <c r="DD367" s="23"/>
      <c r="DE367" s="23"/>
      <c r="DF367" s="23"/>
      <c r="DG367" s="23"/>
      <c r="DH367" s="23"/>
      <c r="DI367" s="23"/>
      <c r="DJ367" s="23"/>
      <c r="DK367" s="23">
        <f>T367</f>
        <v>2860</v>
      </c>
      <c r="DL367" s="23"/>
      <c r="DM367" s="23">
        <f>Source!P210</f>
        <v>11549</v>
      </c>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f>T367</f>
        <v>2860</v>
      </c>
      <c r="GK367" s="23"/>
      <c r="GL367" s="23"/>
      <c r="GM367" s="23"/>
      <c r="GN367" s="23">
        <f>T367</f>
        <v>2860</v>
      </c>
      <c r="GO367" s="23"/>
      <c r="GP367" s="23">
        <f>T367</f>
        <v>2860</v>
      </c>
      <c r="GQ367" s="23">
        <f>T367</f>
        <v>2860</v>
      </c>
      <c r="GR367" s="23"/>
      <c r="GS367" s="23">
        <f>T367</f>
        <v>2860</v>
      </c>
      <c r="GT367" s="23"/>
      <c r="GU367" s="23"/>
      <c r="GV367" s="23"/>
      <c r="GW367" s="23"/>
      <c r="GX367" s="23"/>
      <c r="GY367" s="23"/>
      <c r="GZ367" s="23"/>
      <c r="HA367" s="23"/>
      <c r="HB367" s="23">
        <f>T367</f>
        <v>2860</v>
      </c>
      <c r="HC367" s="23"/>
      <c r="HD367" s="23"/>
      <c r="HE367" s="23"/>
      <c r="HF367" s="23">
        <f>T367</f>
        <v>2860</v>
      </c>
      <c r="HG367" s="23"/>
      <c r="HH367" s="23"/>
      <c r="HI367" s="23"/>
      <c r="HJ367" s="23"/>
      <c r="HK367" s="23"/>
      <c r="HL367" s="23">
        <f>T367</f>
        <v>2860</v>
      </c>
      <c r="HM367" s="23"/>
      <c r="HN367" s="23">
        <f>T367</f>
        <v>2860</v>
      </c>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row>
    <row r="368" spans="1:255" x14ac:dyDescent="0.2">
      <c r="A368" s="64"/>
      <c r="B368" s="111" t="s">
        <v>864</v>
      </c>
      <c r="C368" s="111" t="s">
        <v>875</v>
      </c>
      <c r="D368" s="63"/>
      <c r="E368" s="63"/>
      <c r="F368" s="63"/>
      <c r="G368" s="63"/>
      <c r="H368" s="63"/>
      <c r="I368" s="63"/>
      <c r="J368" s="63"/>
      <c r="K368" s="65"/>
    </row>
    <row r="369" spans="1:255" ht="24" x14ac:dyDescent="0.2">
      <c r="A369" s="100" t="s">
        <v>289</v>
      </c>
      <c r="B369" s="109" t="s">
        <v>87</v>
      </c>
      <c r="C369" s="101" t="s">
        <v>88</v>
      </c>
      <c r="D369" s="102" t="s">
        <v>44</v>
      </c>
      <c r="E369" s="103">
        <f>Source!I212</f>
        <v>56.58625</v>
      </c>
      <c r="F369" s="104">
        <v>878.79</v>
      </c>
      <c r="G369" s="105"/>
      <c r="H369" s="104">
        <f>Source!AC211</f>
        <v>878.79</v>
      </c>
      <c r="I369" s="106">
        <f>T369</f>
        <v>49727</v>
      </c>
      <c r="J369" s="107" t="s">
        <v>863</v>
      </c>
      <c r="K369" s="108">
        <f>U369</f>
        <v>417097</v>
      </c>
      <c r="L369" s="23"/>
      <c r="M369" s="23"/>
      <c r="N369" s="23"/>
      <c r="O369" s="23"/>
      <c r="P369" s="23"/>
      <c r="Q369" s="23"/>
      <c r="R369" s="23"/>
      <c r="S369" s="23"/>
      <c r="T369" s="23">
        <f>ROUND(Source!AC211*Source!AW211*Source!I211,0)</f>
        <v>49727</v>
      </c>
      <c r="U369" s="23">
        <f>Source!P212</f>
        <v>417097</v>
      </c>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v>1</v>
      </c>
      <c r="CW369" s="23"/>
      <c r="CX369" s="23"/>
      <c r="CY369" s="23"/>
      <c r="CZ369" s="23"/>
      <c r="DA369" s="23"/>
      <c r="DB369" s="23"/>
      <c r="DC369" s="23"/>
      <c r="DD369" s="23"/>
      <c r="DE369" s="23"/>
      <c r="DF369" s="23"/>
      <c r="DG369" s="23"/>
      <c r="DH369" s="23"/>
      <c r="DI369" s="23"/>
      <c r="DJ369" s="23"/>
      <c r="DK369" s="23">
        <f>T369</f>
        <v>49727</v>
      </c>
      <c r="DL369" s="23"/>
      <c r="DM369" s="23">
        <f>Source!P212</f>
        <v>417097</v>
      </c>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f>T369</f>
        <v>49727</v>
      </c>
      <c r="GK369" s="23"/>
      <c r="GL369" s="23"/>
      <c r="GM369" s="23"/>
      <c r="GN369" s="23">
        <f>T369</f>
        <v>49727</v>
      </c>
      <c r="GO369" s="23"/>
      <c r="GP369" s="23">
        <f>T369</f>
        <v>49727</v>
      </c>
      <c r="GQ369" s="23">
        <f>T369</f>
        <v>49727</v>
      </c>
      <c r="GR369" s="23"/>
      <c r="GS369" s="23">
        <f>T369</f>
        <v>49727</v>
      </c>
      <c r="GT369" s="23"/>
      <c r="GU369" s="23"/>
      <c r="GV369" s="23"/>
      <c r="GW369" s="23"/>
      <c r="GX369" s="23"/>
      <c r="GY369" s="23"/>
      <c r="GZ369" s="23"/>
      <c r="HA369" s="23"/>
      <c r="HB369" s="23">
        <f>T369</f>
        <v>49727</v>
      </c>
      <c r="HC369" s="23"/>
      <c r="HD369" s="23"/>
      <c r="HE369" s="23"/>
      <c r="HF369" s="23">
        <f>T369</f>
        <v>49727</v>
      </c>
      <c r="HG369" s="23"/>
      <c r="HH369" s="23"/>
      <c r="HI369" s="23"/>
      <c r="HJ369" s="23"/>
      <c r="HK369" s="23"/>
      <c r="HL369" s="23">
        <f>T369</f>
        <v>49727</v>
      </c>
      <c r="HM369" s="23"/>
      <c r="HN369" s="23">
        <f>T369</f>
        <v>49727</v>
      </c>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row>
    <row r="370" spans="1:255" x14ac:dyDescent="0.2">
      <c r="A370" s="64"/>
      <c r="B370" s="111" t="s">
        <v>864</v>
      </c>
      <c r="C370" s="111" t="s">
        <v>876</v>
      </c>
      <c r="D370" s="63"/>
      <c r="E370" s="63"/>
      <c r="F370" s="63"/>
      <c r="G370" s="63"/>
      <c r="H370" s="63"/>
      <c r="I370" s="63"/>
      <c r="J370" s="63"/>
      <c r="K370" s="65"/>
    </row>
    <row r="371" spans="1:255" x14ac:dyDescent="0.2">
      <c r="A371" s="100" t="s">
        <v>290</v>
      </c>
      <c r="B371" s="109" t="s">
        <v>92</v>
      </c>
      <c r="C371" s="101" t="s">
        <v>93</v>
      </c>
      <c r="D371" s="102" t="s">
        <v>94</v>
      </c>
      <c r="E371" s="103">
        <f>Source!I214</f>
        <v>157.97885400000001</v>
      </c>
      <c r="F371" s="104">
        <v>4.6900000000000004</v>
      </c>
      <c r="G371" s="105"/>
      <c r="H371" s="104">
        <f>Source!AC213</f>
        <v>4.6900000000000004</v>
      </c>
      <c r="I371" s="106">
        <f>T371</f>
        <v>741</v>
      </c>
      <c r="J371" s="107" t="s">
        <v>863</v>
      </c>
      <c r="K371" s="108">
        <f>U371</f>
        <v>5112</v>
      </c>
      <c r="L371" s="23"/>
      <c r="M371" s="23"/>
      <c r="N371" s="23"/>
      <c r="O371" s="23"/>
      <c r="P371" s="23"/>
      <c r="Q371" s="23"/>
      <c r="R371" s="23"/>
      <c r="S371" s="23"/>
      <c r="T371" s="23">
        <f>ROUND(Source!AC213*Source!AW213*Source!I213,0)</f>
        <v>741</v>
      </c>
      <c r="U371" s="23">
        <f>Source!P214</f>
        <v>5112</v>
      </c>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v>2</v>
      </c>
      <c r="CW371" s="23"/>
      <c r="CX371" s="23"/>
      <c r="CY371" s="23"/>
      <c r="CZ371" s="23"/>
      <c r="DA371" s="23"/>
      <c r="DB371" s="23"/>
      <c r="DC371" s="23"/>
      <c r="DD371" s="23"/>
      <c r="DE371" s="23"/>
      <c r="DF371" s="23"/>
      <c r="DG371" s="23"/>
      <c r="DH371" s="23"/>
      <c r="DI371" s="23"/>
      <c r="DJ371" s="23"/>
      <c r="DK371" s="23">
        <f>T371</f>
        <v>741</v>
      </c>
      <c r="DL371" s="23"/>
      <c r="DM371" s="23">
        <f>Source!P214</f>
        <v>5112</v>
      </c>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f>T371</f>
        <v>741</v>
      </c>
      <c r="GK371" s="23"/>
      <c r="GL371" s="23"/>
      <c r="GM371" s="23"/>
      <c r="GN371" s="23">
        <f>T371</f>
        <v>741</v>
      </c>
      <c r="GO371" s="23"/>
      <c r="GP371" s="23">
        <f>T371</f>
        <v>741</v>
      </c>
      <c r="GQ371" s="23">
        <f>T371</f>
        <v>741</v>
      </c>
      <c r="GR371" s="23"/>
      <c r="GS371" s="23">
        <f>T371</f>
        <v>741</v>
      </c>
      <c r="GT371" s="23"/>
      <c r="GU371" s="23"/>
      <c r="GV371" s="23"/>
      <c r="GW371" s="23"/>
      <c r="GX371" s="23"/>
      <c r="GY371" s="23"/>
      <c r="GZ371" s="23"/>
      <c r="HA371" s="23"/>
      <c r="HB371" s="23"/>
      <c r="HC371" s="23">
        <f>T371</f>
        <v>741</v>
      </c>
      <c r="HD371" s="23"/>
      <c r="HE371" s="23"/>
      <c r="HF371" s="23">
        <f>T371</f>
        <v>741</v>
      </c>
      <c r="HG371" s="23"/>
      <c r="HH371" s="23"/>
      <c r="HI371" s="23"/>
      <c r="HJ371" s="23"/>
      <c r="HK371" s="23"/>
      <c r="HL371" s="23">
        <f>T371</f>
        <v>741</v>
      </c>
      <c r="HM371" s="23"/>
      <c r="HN371" s="23"/>
      <c r="HO371" s="23"/>
      <c r="HP371" s="23">
        <f>T371</f>
        <v>741</v>
      </c>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row>
    <row r="372" spans="1:255" x14ac:dyDescent="0.2">
      <c r="A372" s="64"/>
      <c r="B372" s="111" t="s">
        <v>864</v>
      </c>
      <c r="C372" s="111" t="s">
        <v>877</v>
      </c>
      <c r="D372" s="63"/>
      <c r="E372" s="63"/>
      <c r="F372" s="63"/>
      <c r="G372" s="63"/>
      <c r="H372" s="63"/>
      <c r="I372" s="63"/>
      <c r="J372" s="63"/>
      <c r="K372" s="65"/>
    </row>
    <row r="373" spans="1:255" x14ac:dyDescent="0.2">
      <c r="A373" s="100" t="s">
        <v>291</v>
      </c>
      <c r="B373" s="109" t="s">
        <v>101</v>
      </c>
      <c r="C373" s="101" t="s">
        <v>102</v>
      </c>
      <c r="D373" s="102" t="s">
        <v>103</v>
      </c>
      <c r="E373" s="103">
        <f>Source!I216</f>
        <v>674.37149999999997</v>
      </c>
      <c r="F373" s="104">
        <v>0.24</v>
      </c>
      <c r="G373" s="105"/>
      <c r="H373" s="104">
        <f>Source!AC215</f>
        <v>0.24</v>
      </c>
      <c r="I373" s="106">
        <f>T373</f>
        <v>162</v>
      </c>
      <c r="J373" s="107" t="s">
        <v>863</v>
      </c>
      <c r="K373" s="108">
        <f>U373</f>
        <v>816</v>
      </c>
      <c r="L373" s="23"/>
      <c r="M373" s="23"/>
      <c r="N373" s="23"/>
      <c r="O373" s="23"/>
      <c r="P373" s="23"/>
      <c r="Q373" s="23"/>
      <c r="R373" s="23"/>
      <c r="S373" s="23"/>
      <c r="T373" s="23">
        <f>ROUND(Source!AC215*Source!AW215*Source!I215,0)</f>
        <v>162</v>
      </c>
      <c r="U373" s="23">
        <f>Source!P216</f>
        <v>816</v>
      </c>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v>1</v>
      </c>
      <c r="CW373" s="23"/>
      <c r="CX373" s="23"/>
      <c r="CY373" s="23"/>
      <c r="CZ373" s="23"/>
      <c r="DA373" s="23"/>
      <c r="DB373" s="23"/>
      <c r="DC373" s="23"/>
      <c r="DD373" s="23"/>
      <c r="DE373" s="23"/>
      <c r="DF373" s="23"/>
      <c r="DG373" s="23"/>
      <c r="DH373" s="23"/>
      <c r="DI373" s="23"/>
      <c r="DJ373" s="23"/>
      <c r="DK373" s="23">
        <f>T373</f>
        <v>162</v>
      </c>
      <c r="DL373" s="23"/>
      <c r="DM373" s="23">
        <f>Source!P216</f>
        <v>816</v>
      </c>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f>T373</f>
        <v>162</v>
      </c>
      <c r="GK373" s="23"/>
      <c r="GL373" s="23"/>
      <c r="GM373" s="23"/>
      <c r="GN373" s="23">
        <f>T373</f>
        <v>162</v>
      </c>
      <c r="GO373" s="23"/>
      <c r="GP373" s="23">
        <f>T373</f>
        <v>162</v>
      </c>
      <c r="GQ373" s="23">
        <f>T373</f>
        <v>162</v>
      </c>
      <c r="GR373" s="23"/>
      <c r="GS373" s="23">
        <f>T373</f>
        <v>162</v>
      </c>
      <c r="GT373" s="23"/>
      <c r="GU373" s="23"/>
      <c r="GV373" s="23"/>
      <c r="GW373" s="23"/>
      <c r="GX373" s="23"/>
      <c r="GY373" s="23"/>
      <c r="GZ373" s="23"/>
      <c r="HA373" s="23"/>
      <c r="HB373" s="23">
        <f>T373</f>
        <v>162</v>
      </c>
      <c r="HC373" s="23"/>
      <c r="HD373" s="23"/>
      <c r="HE373" s="23"/>
      <c r="HF373" s="23">
        <f>T373</f>
        <v>162</v>
      </c>
      <c r="HG373" s="23"/>
      <c r="HH373" s="23"/>
      <c r="HI373" s="23"/>
      <c r="HJ373" s="23"/>
      <c r="HK373" s="23"/>
      <c r="HL373" s="23">
        <f>T373</f>
        <v>162</v>
      </c>
      <c r="HM373" s="23"/>
      <c r="HN373" s="23">
        <f>T373</f>
        <v>162</v>
      </c>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row>
    <row r="374" spans="1:255" x14ac:dyDescent="0.2">
      <c r="A374" s="64"/>
      <c r="B374" s="111" t="s">
        <v>864</v>
      </c>
      <c r="C374" s="111" t="s">
        <v>878</v>
      </c>
      <c r="D374" s="63"/>
      <c r="E374" s="63"/>
      <c r="F374" s="63"/>
      <c r="G374" s="63"/>
      <c r="H374" s="63"/>
      <c r="I374" s="63"/>
      <c r="J374" s="63"/>
      <c r="K374" s="65"/>
    </row>
    <row r="375" spans="1:255" x14ac:dyDescent="0.2">
      <c r="A375" s="100" t="s">
        <v>292</v>
      </c>
      <c r="B375" s="109" t="s">
        <v>107</v>
      </c>
      <c r="C375" s="101" t="s">
        <v>108</v>
      </c>
      <c r="D375" s="102" t="s">
        <v>103</v>
      </c>
      <c r="E375" s="103">
        <f>Source!I218</f>
        <v>351.846</v>
      </c>
      <c r="F375" s="104">
        <v>0.24</v>
      </c>
      <c r="G375" s="105"/>
      <c r="H375" s="104">
        <f>Source!AC217</f>
        <v>0.24</v>
      </c>
      <c r="I375" s="106">
        <f>T375</f>
        <v>84</v>
      </c>
      <c r="J375" s="107" t="s">
        <v>863</v>
      </c>
      <c r="K375" s="108">
        <f>U375</f>
        <v>213</v>
      </c>
      <c r="L375" s="23"/>
      <c r="M375" s="23"/>
      <c r="N375" s="23"/>
      <c r="O375" s="23"/>
      <c r="P375" s="23"/>
      <c r="Q375" s="23"/>
      <c r="R375" s="23"/>
      <c r="S375" s="23"/>
      <c r="T375" s="23">
        <f>ROUND(Source!AC217*Source!AW217*Source!I217,0)</f>
        <v>84</v>
      </c>
      <c r="U375" s="23">
        <f>Source!P218</f>
        <v>213</v>
      </c>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v>1</v>
      </c>
      <c r="CW375" s="23"/>
      <c r="CX375" s="23"/>
      <c r="CY375" s="23"/>
      <c r="CZ375" s="23"/>
      <c r="DA375" s="23"/>
      <c r="DB375" s="23"/>
      <c r="DC375" s="23"/>
      <c r="DD375" s="23"/>
      <c r="DE375" s="23"/>
      <c r="DF375" s="23"/>
      <c r="DG375" s="23"/>
      <c r="DH375" s="23"/>
      <c r="DI375" s="23"/>
      <c r="DJ375" s="23"/>
      <c r="DK375" s="23">
        <f>T375</f>
        <v>84</v>
      </c>
      <c r="DL375" s="23"/>
      <c r="DM375" s="23">
        <f>Source!P218</f>
        <v>213</v>
      </c>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f>T375</f>
        <v>84</v>
      </c>
      <c r="GK375" s="23"/>
      <c r="GL375" s="23"/>
      <c r="GM375" s="23"/>
      <c r="GN375" s="23">
        <f>T375</f>
        <v>84</v>
      </c>
      <c r="GO375" s="23"/>
      <c r="GP375" s="23">
        <f>T375</f>
        <v>84</v>
      </c>
      <c r="GQ375" s="23">
        <f>T375</f>
        <v>84</v>
      </c>
      <c r="GR375" s="23"/>
      <c r="GS375" s="23">
        <f>T375</f>
        <v>84</v>
      </c>
      <c r="GT375" s="23"/>
      <c r="GU375" s="23"/>
      <c r="GV375" s="23"/>
      <c r="GW375" s="23"/>
      <c r="GX375" s="23"/>
      <c r="GY375" s="23"/>
      <c r="GZ375" s="23"/>
      <c r="HA375" s="23"/>
      <c r="HB375" s="23">
        <f>T375</f>
        <v>84</v>
      </c>
      <c r="HC375" s="23"/>
      <c r="HD375" s="23"/>
      <c r="HE375" s="23"/>
      <c r="HF375" s="23">
        <f>T375</f>
        <v>84</v>
      </c>
      <c r="HG375" s="23"/>
      <c r="HH375" s="23"/>
      <c r="HI375" s="23"/>
      <c r="HJ375" s="23"/>
      <c r="HK375" s="23"/>
      <c r="HL375" s="23">
        <f>T375</f>
        <v>84</v>
      </c>
      <c r="HM375" s="23"/>
      <c r="HN375" s="23">
        <f>T375</f>
        <v>84</v>
      </c>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row>
    <row r="376" spans="1:255" x14ac:dyDescent="0.2">
      <c r="A376" s="64"/>
      <c r="B376" s="111" t="s">
        <v>864</v>
      </c>
      <c r="C376" s="111" t="s">
        <v>879</v>
      </c>
      <c r="D376" s="63"/>
      <c r="E376" s="63"/>
      <c r="F376" s="63"/>
      <c r="G376" s="63"/>
      <c r="H376" s="63"/>
      <c r="I376" s="63"/>
      <c r="J376" s="63"/>
      <c r="K376" s="65"/>
    </row>
    <row r="377" spans="1:255" x14ac:dyDescent="0.2">
      <c r="A377" s="100" t="s">
        <v>293</v>
      </c>
      <c r="B377" s="109" t="s">
        <v>112</v>
      </c>
      <c r="C377" s="101" t="s">
        <v>113</v>
      </c>
      <c r="D377" s="102" t="s">
        <v>103</v>
      </c>
      <c r="E377" s="103">
        <f>Source!I220</f>
        <v>351.846</v>
      </c>
      <c r="F377" s="104">
        <v>0.3</v>
      </c>
      <c r="G377" s="105"/>
      <c r="H377" s="104">
        <f>Source!AC219</f>
        <v>0.3</v>
      </c>
      <c r="I377" s="106">
        <f>T377</f>
        <v>106</v>
      </c>
      <c r="J377" s="107" t="s">
        <v>863</v>
      </c>
      <c r="K377" s="108">
        <f>U377</f>
        <v>372</v>
      </c>
      <c r="L377" s="23"/>
      <c r="M377" s="23"/>
      <c r="N377" s="23"/>
      <c r="O377" s="23"/>
      <c r="P377" s="23"/>
      <c r="Q377" s="23"/>
      <c r="R377" s="23"/>
      <c r="S377" s="23"/>
      <c r="T377" s="23">
        <f>ROUND(Source!AC219*Source!AW219*Source!I219,0)</f>
        <v>106</v>
      </c>
      <c r="U377" s="23">
        <f>Source!P220</f>
        <v>372</v>
      </c>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v>1</v>
      </c>
      <c r="CW377" s="23"/>
      <c r="CX377" s="23"/>
      <c r="CY377" s="23"/>
      <c r="CZ377" s="23"/>
      <c r="DA377" s="23"/>
      <c r="DB377" s="23"/>
      <c r="DC377" s="23"/>
      <c r="DD377" s="23"/>
      <c r="DE377" s="23"/>
      <c r="DF377" s="23"/>
      <c r="DG377" s="23"/>
      <c r="DH377" s="23"/>
      <c r="DI377" s="23"/>
      <c r="DJ377" s="23"/>
      <c r="DK377" s="23">
        <f>T377</f>
        <v>106</v>
      </c>
      <c r="DL377" s="23"/>
      <c r="DM377" s="23">
        <f>Source!P220</f>
        <v>372</v>
      </c>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f>T377</f>
        <v>106</v>
      </c>
      <c r="GK377" s="23"/>
      <c r="GL377" s="23"/>
      <c r="GM377" s="23"/>
      <c r="GN377" s="23">
        <f>T377</f>
        <v>106</v>
      </c>
      <c r="GO377" s="23"/>
      <c r="GP377" s="23">
        <f>T377</f>
        <v>106</v>
      </c>
      <c r="GQ377" s="23">
        <f>T377</f>
        <v>106</v>
      </c>
      <c r="GR377" s="23"/>
      <c r="GS377" s="23">
        <f>T377</f>
        <v>106</v>
      </c>
      <c r="GT377" s="23"/>
      <c r="GU377" s="23"/>
      <c r="GV377" s="23"/>
      <c r="GW377" s="23"/>
      <c r="GX377" s="23"/>
      <c r="GY377" s="23"/>
      <c r="GZ377" s="23"/>
      <c r="HA377" s="23"/>
      <c r="HB377" s="23">
        <f>T377</f>
        <v>106</v>
      </c>
      <c r="HC377" s="23"/>
      <c r="HD377" s="23"/>
      <c r="HE377" s="23"/>
      <c r="HF377" s="23">
        <f>T377</f>
        <v>106</v>
      </c>
      <c r="HG377" s="23"/>
      <c r="HH377" s="23"/>
      <c r="HI377" s="23"/>
      <c r="HJ377" s="23"/>
      <c r="HK377" s="23"/>
      <c r="HL377" s="23">
        <f>T377</f>
        <v>106</v>
      </c>
      <c r="HM377" s="23"/>
      <c r="HN377" s="23">
        <f>T377</f>
        <v>106</v>
      </c>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row>
    <row r="378" spans="1:255" x14ac:dyDescent="0.2">
      <c r="A378" s="64"/>
      <c r="B378" s="111" t="s">
        <v>864</v>
      </c>
      <c r="C378" s="111" t="s">
        <v>880</v>
      </c>
      <c r="D378" s="63"/>
      <c r="E378" s="63"/>
      <c r="F378" s="63"/>
      <c r="G378" s="63"/>
      <c r="H378" s="63"/>
      <c r="I378" s="63"/>
      <c r="J378" s="63"/>
      <c r="K378" s="65"/>
    </row>
    <row r="379" spans="1:255" ht="24" x14ac:dyDescent="0.2">
      <c r="A379" s="114" t="s">
        <v>294</v>
      </c>
      <c r="B379" s="115" t="s">
        <v>117</v>
      </c>
      <c r="C379" s="116" t="s">
        <v>118</v>
      </c>
      <c r="D379" s="117" t="s">
        <v>33</v>
      </c>
      <c r="E379" s="118">
        <f>Source!I222</f>
        <v>2.7883749999999999E-2</v>
      </c>
      <c r="F379" s="119">
        <v>10633.86</v>
      </c>
      <c r="G379" s="71"/>
      <c r="H379" s="119">
        <f>Source!AC221</f>
        <v>10633.86</v>
      </c>
      <c r="I379" s="120">
        <f>T379</f>
        <v>297</v>
      </c>
      <c r="J379" s="73" t="s">
        <v>863</v>
      </c>
      <c r="K379" s="121">
        <f>U379</f>
        <v>2349</v>
      </c>
      <c r="L379" s="23"/>
      <c r="M379" s="23"/>
      <c r="N379" s="23"/>
      <c r="O379" s="23"/>
      <c r="P379" s="23"/>
      <c r="Q379" s="23"/>
      <c r="R379" s="23"/>
      <c r="S379" s="23"/>
      <c r="T379" s="23">
        <f>ROUND(Source!AC221*Source!AW221*Source!I221,0)</f>
        <v>297</v>
      </c>
      <c r="U379" s="23">
        <f>Source!P222</f>
        <v>2349</v>
      </c>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v>1</v>
      </c>
      <c r="CW379" s="23"/>
      <c r="CX379" s="23"/>
      <c r="CY379" s="23"/>
      <c r="CZ379" s="23"/>
      <c r="DA379" s="23"/>
      <c r="DB379" s="23"/>
      <c r="DC379" s="23"/>
      <c r="DD379" s="23"/>
      <c r="DE379" s="23"/>
      <c r="DF379" s="23"/>
      <c r="DG379" s="23"/>
      <c r="DH379" s="23"/>
      <c r="DI379" s="23"/>
      <c r="DJ379" s="23"/>
      <c r="DK379" s="23">
        <f>T379</f>
        <v>297</v>
      </c>
      <c r="DL379" s="23"/>
      <c r="DM379" s="23">
        <f>Source!P222</f>
        <v>2349</v>
      </c>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f>T379</f>
        <v>297</v>
      </c>
      <c r="GK379" s="23"/>
      <c r="GL379" s="23"/>
      <c r="GM379" s="23"/>
      <c r="GN379" s="23">
        <f>T379</f>
        <v>297</v>
      </c>
      <c r="GO379" s="23"/>
      <c r="GP379" s="23">
        <f>T379</f>
        <v>297</v>
      </c>
      <c r="GQ379" s="23">
        <f>T379</f>
        <v>297</v>
      </c>
      <c r="GR379" s="23"/>
      <c r="GS379" s="23">
        <f>T379</f>
        <v>297</v>
      </c>
      <c r="GT379" s="23"/>
      <c r="GU379" s="23"/>
      <c r="GV379" s="23"/>
      <c r="GW379" s="23"/>
      <c r="GX379" s="23"/>
      <c r="GY379" s="23"/>
      <c r="GZ379" s="23"/>
      <c r="HA379" s="23"/>
      <c r="HB379" s="23">
        <f>T379</f>
        <v>297</v>
      </c>
      <c r="HC379" s="23"/>
      <c r="HD379" s="23"/>
      <c r="HE379" s="23"/>
      <c r="HF379" s="23">
        <f>T379</f>
        <v>297</v>
      </c>
      <c r="HG379" s="23"/>
      <c r="HH379" s="23"/>
      <c r="HI379" s="23"/>
      <c r="HJ379" s="23"/>
      <c r="HK379" s="23"/>
      <c r="HL379" s="23">
        <f>T379</f>
        <v>297</v>
      </c>
      <c r="HM379" s="23"/>
      <c r="HN379" s="23">
        <f>T379</f>
        <v>297</v>
      </c>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row>
    <row r="380" spans="1:255" x14ac:dyDescent="0.2">
      <c r="A380" s="98"/>
      <c r="B380" s="113" t="s">
        <v>864</v>
      </c>
      <c r="C380" s="113" t="s">
        <v>881</v>
      </c>
      <c r="D380" s="33"/>
      <c r="E380" s="33"/>
      <c r="F380" s="33"/>
      <c r="G380" s="33"/>
      <c r="H380" s="33"/>
      <c r="I380" s="33"/>
      <c r="J380" s="33"/>
      <c r="K380" s="99"/>
    </row>
    <row r="381" spans="1:255" ht="13.5" thickBot="1" x14ac:dyDescent="0.25">
      <c r="A381" s="124"/>
      <c r="B381" s="125"/>
      <c r="C381" s="125" t="s">
        <v>867</v>
      </c>
      <c r="D381" s="125"/>
      <c r="E381" s="125"/>
      <c r="F381" s="125"/>
      <c r="G381" s="125"/>
      <c r="H381" s="380">
        <f>SUM(DK356:DK380)</f>
        <v>58613</v>
      </c>
      <c r="I381" s="381"/>
      <c r="J381" s="380">
        <f>SUM(DM356:DM380)</f>
        <v>465948</v>
      </c>
      <c r="K381" s="382"/>
      <c r="L381" s="112"/>
      <c r="M381" s="112"/>
      <c r="N381" s="112"/>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row>
    <row r="382" spans="1:255" x14ac:dyDescent="0.2">
      <c r="A382" s="123"/>
      <c r="B382" s="122"/>
      <c r="C382" s="122" t="s">
        <v>868</v>
      </c>
      <c r="D382" s="122"/>
      <c r="E382" s="122"/>
      <c r="F382" s="122"/>
      <c r="G382" s="122"/>
      <c r="H382" s="383">
        <f>R382</f>
        <v>68482</v>
      </c>
      <c r="I382" s="384"/>
      <c r="J382" s="383" t="e">
        <f>S382</f>
        <v>#REF!</v>
      </c>
      <c r="K382" s="385"/>
      <c r="O382" s="23"/>
      <c r="P382" s="23"/>
      <c r="Q382" s="23"/>
      <c r="R382" s="23">
        <f>SUM(T356:T381)</f>
        <v>68482</v>
      </c>
      <c r="S382" s="23" t="e">
        <f>SUM(U356:U381)</f>
        <v>#REF!</v>
      </c>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f>R382</f>
        <v>68482</v>
      </c>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row>
    <row r="383" spans="1:255" x14ac:dyDescent="0.2">
      <c r="A383" s="77"/>
      <c r="B383" s="76"/>
      <c r="C383" s="76"/>
      <c r="D383" s="76"/>
      <c r="E383" s="76"/>
      <c r="F383" s="76"/>
      <c r="G383" s="76"/>
      <c r="H383" s="386"/>
      <c r="I383" s="387"/>
      <c r="J383" s="386"/>
      <c r="K383" s="388"/>
    </row>
    <row r="384" spans="1:255" x14ac:dyDescent="0.2">
      <c r="A384" s="126">
        <v>15</v>
      </c>
      <c r="B384" s="133" t="s">
        <v>296</v>
      </c>
      <c r="C384" s="127" t="s">
        <v>297</v>
      </c>
      <c r="D384" s="128" t="s">
        <v>298</v>
      </c>
      <c r="E384" s="129">
        <v>0.48</v>
      </c>
      <c r="F384" s="130">
        <f>Source!AK224</f>
        <v>821.45999999999992</v>
      </c>
      <c r="G384" s="134" t="s">
        <v>6</v>
      </c>
      <c r="H384" s="130"/>
      <c r="I384" s="131">
        <f>SUM(DQ384:DQ393)</f>
        <v>62</v>
      </c>
      <c r="J384" s="107" t="s">
        <v>296</v>
      </c>
      <c r="K384" s="132" t="e">
        <f>SUM(DS384:DS393)</f>
        <v>#REF!</v>
      </c>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row>
    <row r="385" spans="1:255" x14ac:dyDescent="0.2">
      <c r="A385" s="66"/>
      <c r="B385" s="67"/>
      <c r="C385" s="67" t="s">
        <v>853</v>
      </c>
      <c r="D385" s="68"/>
      <c r="E385" s="69"/>
      <c r="F385" s="70">
        <v>94.66</v>
      </c>
      <c r="G385" s="71"/>
      <c r="H385" s="70">
        <f>Source!AF224</f>
        <v>94.66</v>
      </c>
      <c r="I385" s="72">
        <f>T385</f>
        <v>11</v>
      </c>
      <c r="J385" s="73">
        <v>25.6</v>
      </c>
      <c r="K385" s="74">
        <f>U385</f>
        <v>291</v>
      </c>
      <c r="O385" s="23"/>
      <c r="P385" s="23"/>
      <c r="Q385" s="23"/>
      <c r="R385" s="23"/>
      <c r="S385" s="23"/>
      <c r="T385" s="23">
        <f>ROUND(Source!AF224*Source!AV224*Source!I224,0)</f>
        <v>11</v>
      </c>
      <c r="U385" s="23">
        <f>Source!S224</f>
        <v>291</v>
      </c>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v>1</v>
      </c>
      <c r="CW385" s="23"/>
      <c r="CX385" s="23"/>
      <c r="CY385" s="23"/>
      <c r="CZ385" s="23"/>
      <c r="DA385" s="23"/>
      <c r="DB385" s="23"/>
      <c r="DC385" s="23"/>
      <c r="DD385" s="23"/>
      <c r="DE385" s="23"/>
      <c r="DF385" s="23"/>
      <c r="DG385" s="23">
        <f>Source!S224</f>
        <v>291</v>
      </c>
      <c r="DH385" s="23">
        <v>1008</v>
      </c>
      <c r="DI385" s="23"/>
      <c r="DJ385" s="23"/>
      <c r="DK385" s="23"/>
      <c r="DL385" s="23"/>
      <c r="DM385" s="23"/>
      <c r="DN385" s="23"/>
      <c r="DO385" s="23"/>
      <c r="DP385" s="23"/>
      <c r="DQ385" s="23">
        <f>T385</f>
        <v>11</v>
      </c>
      <c r="DR385" s="23"/>
      <c r="DS385" s="23">
        <f>U385</f>
        <v>291</v>
      </c>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f>T385</f>
        <v>11</v>
      </c>
      <c r="GK385" s="23">
        <f>T385</f>
        <v>11</v>
      </c>
      <c r="GL385" s="23"/>
      <c r="GM385" s="23"/>
      <c r="GN385" s="23"/>
      <c r="GO385" s="23"/>
      <c r="GP385" s="23"/>
      <c r="GQ385" s="23"/>
      <c r="GR385" s="23"/>
      <c r="GS385" s="23"/>
      <c r="GT385" s="23"/>
      <c r="GU385" s="23"/>
      <c r="GV385" s="23"/>
      <c r="GW385" s="23"/>
      <c r="GX385" s="23"/>
      <c r="GY385" s="23"/>
      <c r="GZ385" s="23"/>
      <c r="HA385" s="23"/>
      <c r="HB385" s="23">
        <f>T385</f>
        <v>11</v>
      </c>
      <c r="HC385" s="23"/>
      <c r="HD385" s="23"/>
      <c r="HE385" s="23"/>
      <c r="HF385" s="23">
        <f>T385</f>
        <v>11</v>
      </c>
      <c r="HG385" s="23"/>
      <c r="HH385" s="23"/>
      <c r="HI385" s="23"/>
      <c r="HJ385" s="23"/>
      <c r="HK385" s="23"/>
      <c r="HL385" s="23">
        <f>T385</f>
        <v>11</v>
      </c>
      <c r="HM385" s="23"/>
      <c r="HN385" s="23">
        <f>T385</f>
        <v>11</v>
      </c>
      <c r="HO385" s="23"/>
      <c r="HP385" s="23"/>
      <c r="HQ385" s="23"/>
      <c r="HR385" s="23"/>
      <c r="HS385" s="23"/>
      <c r="HT385" s="23"/>
      <c r="HU385" s="23"/>
      <c r="HV385" s="23"/>
      <c r="HW385" s="23"/>
      <c r="HX385" s="23">
        <f>T385</f>
        <v>11</v>
      </c>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row>
    <row r="386" spans="1:255" x14ac:dyDescent="0.2">
      <c r="A386" s="78"/>
      <c r="B386" s="79"/>
      <c r="C386" s="79" t="s">
        <v>855</v>
      </c>
      <c r="D386" s="80"/>
      <c r="E386" s="81"/>
      <c r="F386" s="82">
        <v>195.5</v>
      </c>
      <c r="G386" s="83"/>
      <c r="H386" s="82">
        <f>Source!AD224</f>
        <v>195.5</v>
      </c>
      <c r="I386" s="84">
        <f>T386</f>
        <v>23</v>
      </c>
      <c r="J386" s="85">
        <v>9.3000000000000007</v>
      </c>
      <c r="K386" s="86">
        <f>U386</f>
        <v>218</v>
      </c>
      <c r="O386" s="23"/>
      <c r="P386" s="23"/>
      <c r="Q386" s="23"/>
      <c r="R386" s="23"/>
      <c r="S386" s="23"/>
      <c r="T386" s="23">
        <f>ROUND(Source!AD224*Source!AV224*Source!I224,0)</f>
        <v>23</v>
      </c>
      <c r="U386" s="23">
        <f>Source!Q224</f>
        <v>218</v>
      </c>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v>1</v>
      </c>
      <c r="CW386" s="23"/>
      <c r="CX386" s="23"/>
      <c r="CY386" s="23"/>
      <c r="CZ386" s="23"/>
      <c r="DA386" s="23"/>
      <c r="DB386" s="23"/>
      <c r="DC386" s="23"/>
      <c r="DD386" s="23"/>
      <c r="DE386" s="23"/>
      <c r="DF386" s="23"/>
      <c r="DG386" s="23"/>
      <c r="DH386" s="23"/>
      <c r="DI386" s="23"/>
      <c r="DJ386" s="23"/>
      <c r="DK386" s="23"/>
      <c r="DL386" s="23"/>
      <c r="DM386" s="23"/>
      <c r="DN386" s="23"/>
      <c r="DO386" s="23"/>
      <c r="DP386" s="23"/>
      <c r="DQ386" s="23">
        <f>T386</f>
        <v>23</v>
      </c>
      <c r="DR386" s="23"/>
      <c r="DS386" s="23">
        <f>U386</f>
        <v>218</v>
      </c>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f>T386</f>
        <v>23</v>
      </c>
      <c r="GK386" s="23"/>
      <c r="GL386" s="23">
        <f>T386</f>
        <v>23</v>
      </c>
      <c r="GM386" s="23"/>
      <c r="GN386" s="23"/>
      <c r="GO386" s="23"/>
      <c r="GP386" s="23"/>
      <c r="GQ386" s="23"/>
      <c r="GR386" s="23"/>
      <c r="GS386" s="23"/>
      <c r="GT386" s="23"/>
      <c r="GU386" s="23"/>
      <c r="GV386" s="23"/>
      <c r="GW386" s="23"/>
      <c r="GX386" s="23"/>
      <c r="GY386" s="23"/>
      <c r="GZ386" s="23"/>
      <c r="HA386" s="23"/>
      <c r="HB386" s="23">
        <f>T386</f>
        <v>23</v>
      </c>
      <c r="HC386" s="23"/>
      <c r="HD386" s="23"/>
      <c r="HE386" s="23"/>
      <c r="HF386" s="23">
        <f>T386</f>
        <v>23</v>
      </c>
      <c r="HG386" s="23"/>
      <c r="HH386" s="23"/>
      <c r="HI386" s="23"/>
      <c r="HJ386" s="23"/>
      <c r="HK386" s="23"/>
      <c r="HL386" s="23">
        <f>T386</f>
        <v>23</v>
      </c>
      <c r="HM386" s="23"/>
      <c r="HN386" s="23">
        <f>T386</f>
        <v>23</v>
      </c>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row>
    <row r="387" spans="1:255" x14ac:dyDescent="0.2">
      <c r="A387" s="78"/>
      <c r="B387" s="79"/>
      <c r="C387" s="79" t="s">
        <v>947</v>
      </c>
      <c r="D387" s="80"/>
      <c r="E387" s="81"/>
      <c r="F387" s="82">
        <v>531.29999999999995</v>
      </c>
      <c r="G387" s="83"/>
      <c r="H387" s="82">
        <f>Source!AC224</f>
        <v>-7.0000000000000007E-2</v>
      </c>
      <c r="I387" s="84">
        <f>T387</f>
        <v>0</v>
      </c>
      <c r="J387" s="85">
        <v>7.56</v>
      </c>
      <c r="K387" s="86">
        <f>U387</f>
        <v>0</v>
      </c>
      <c r="O387" s="23"/>
      <c r="P387" s="23"/>
      <c r="Q387" s="23"/>
      <c r="R387" s="23"/>
      <c r="S387" s="23"/>
      <c r="T387" s="23">
        <f>ROUND(Source!AC224*Source!AW224*Source!I224,0)</f>
        <v>0</v>
      </c>
      <c r="U387" s="23">
        <f>Source!P224</f>
        <v>0</v>
      </c>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v>1</v>
      </c>
      <c r="CW387" s="23"/>
      <c r="CX387" s="23"/>
      <c r="CY387" s="23"/>
      <c r="CZ387" s="23"/>
      <c r="DA387" s="23"/>
      <c r="DB387" s="23"/>
      <c r="DC387" s="23"/>
      <c r="DD387" s="23"/>
      <c r="DE387" s="23"/>
      <c r="DF387" s="23"/>
      <c r="DG387" s="23"/>
      <c r="DH387" s="23"/>
      <c r="DI387" s="23"/>
      <c r="DJ387" s="23"/>
      <c r="DK387" s="23">
        <f>T387</f>
        <v>0</v>
      </c>
      <c r="DL387" s="23"/>
      <c r="DM387" s="23">
        <f>U387</f>
        <v>0</v>
      </c>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f>T387</f>
        <v>0</v>
      </c>
      <c r="GK387" s="23"/>
      <c r="GL387" s="23"/>
      <c r="GM387" s="23"/>
      <c r="GN387" s="23">
        <f>T387</f>
        <v>0</v>
      </c>
      <c r="GO387" s="23"/>
      <c r="GP387" s="23">
        <f>T387</f>
        <v>0</v>
      </c>
      <c r="GQ387" s="23">
        <f>T387</f>
        <v>0</v>
      </c>
      <c r="GR387" s="23"/>
      <c r="GS387" s="23">
        <f>T387</f>
        <v>0</v>
      </c>
      <c r="GT387" s="23"/>
      <c r="GU387" s="23"/>
      <c r="GV387" s="23"/>
      <c r="GW387" s="23">
        <f>ROUND(Source!AG224*Source!I224,0)</f>
        <v>0</v>
      </c>
      <c r="GX387" s="23">
        <f>ROUND(Source!AJ224*Source!I224,0)</f>
        <v>0</v>
      </c>
      <c r="GY387" s="23"/>
      <c r="GZ387" s="23"/>
      <c r="HA387" s="23"/>
      <c r="HB387" s="23">
        <f>T387</f>
        <v>0</v>
      </c>
      <c r="HC387" s="23"/>
      <c r="HD387" s="23"/>
      <c r="HE387" s="23"/>
      <c r="HF387" s="23">
        <f>T387</f>
        <v>0</v>
      </c>
      <c r="HG387" s="23"/>
      <c r="HH387" s="23"/>
      <c r="HI387" s="23"/>
      <c r="HJ387" s="23"/>
      <c r="HK387" s="23"/>
      <c r="HL387" s="23">
        <f>T387</f>
        <v>0</v>
      </c>
      <c r="HM387" s="23"/>
      <c r="HN387" s="23">
        <f>T387</f>
        <v>0</v>
      </c>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row>
    <row r="388" spans="1:255" x14ac:dyDescent="0.2">
      <c r="A388" s="87"/>
      <c r="B388" s="88"/>
      <c r="C388" s="88" t="s">
        <v>858</v>
      </c>
      <c r="D388" s="89"/>
      <c r="E388" s="90">
        <v>155</v>
      </c>
      <c r="F388" s="91" t="s">
        <v>859</v>
      </c>
      <c r="G388" s="92"/>
      <c r="H388" s="93">
        <f>ROUND((Source!AF224*Source!AV224+Source!AE224*Source!AV224)*(Source!FX224)/100,2)</f>
        <v>146.72</v>
      </c>
      <c r="I388" s="94">
        <f>T388</f>
        <v>17</v>
      </c>
      <c r="J388" s="96">
        <v>1.47</v>
      </c>
      <c r="K388" s="95" t="e">
        <f>U388</f>
        <v>#REF!</v>
      </c>
      <c r="O388" s="23"/>
      <c r="P388" s="23"/>
      <c r="Q388" s="23"/>
      <c r="R388" s="23"/>
      <c r="S388" s="23"/>
      <c r="T388" s="23">
        <f>ROUND((ROUND(Source!AF224*Source!AV224*Source!I224,0)+ROUND(Source!AE224*Source!AV224*Source!I224,0))*(Source!DN224)/100,0)</f>
        <v>17</v>
      </c>
      <c r="U388" s="23" t="e">
        <f>Source!X224</f>
        <v>#REF!</v>
      </c>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v>1</v>
      </c>
      <c r="CW388" s="23"/>
      <c r="CX388" s="23"/>
      <c r="CY388" s="23"/>
      <c r="CZ388" s="23"/>
      <c r="DA388" s="23"/>
      <c r="DB388" s="23"/>
      <c r="DC388" s="23"/>
      <c r="DD388" s="23"/>
      <c r="DE388" s="23"/>
      <c r="DF388" s="23"/>
      <c r="DG388" s="23"/>
      <c r="DH388" s="23"/>
      <c r="DI388" s="23"/>
      <c r="DJ388" s="23"/>
      <c r="DK388" s="23"/>
      <c r="DL388" s="23"/>
      <c r="DM388" s="23"/>
      <c r="DN388" s="23"/>
      <c r="DO388" s="23"/>
      <c r="DP388" s="23"/>
      <c r="DQ388" s="23">
        <f>T388</f>
        <v>17</v>
      </c>
      <c r="DR388" s="23"/>
      <c r="DS388" s="23" t="e">
        <f>U388</f>
        <v>#REF!</v>
      </c>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f>T388</f>
        <v>17</v>
      </c>
      <c r="GZ388" s="23"/>
      <c r="HA388" s="23"/>
      <c r="HB388" s="23">
        <f>T388</f>
        <v>17</v>
      </c>
      <c r="HC388" s="23"/>
      <c r="HD388" s="23"/>
      <c r="HE388" s="23"/>
      <c r="HF388" s="23">
        <f>T388</f>
        <v>17</v>
      </c>
      <c r="HG388" s="23"/>
      <c r="HH388" s="23"/>
      <c r="HI388" s="23"/>
      <c r="HJ388" s="23"/>
      <c r="HK388" s="23"/>
      <c r="HL388" s="23">
        <f>T388</f>
        <v>17</v>
      </c>
      <c r="HM388" s="23"/>
      <c r="HN388" s="23">
        <f>T388</f>
        <v>17</v>
      </c>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row>
    <row r="389" spans="1:255" x14ac:dyDescent="0.2">
      <c r="A389" s="87"/>
      <c r="B389" s="88"/>
      <c r="C389" s="88" t="s">
        <v>860</v>
      </c>
      <c r="D389" s="89"/>
      <c r="E389" s="90">
        <v>100</v>
      </c>
      <c r="F389" s="91" t="s">
        <v>859</v>
      </c>
      <c r="G389" s="92"/>
      <c r="H389" s="93">
        <f>ROUND((Source!AF224*Source!AV224+Source!AE224*Source!AV224)*(Source!FY224)/100,2)</f>
        <v>94.66</v>
      </c>
      <c r="I389" s="94">
        <f>T389</f>
        <v>11</v>
      </c>
      <c r="J389" s="96">
        <v>0.85</v>
      </c>
      <c r="K389" s="95" t="e">
        <f>U389</f>
        <v>#REF!</v>
      </c>
      <c r="O389" s="23"/>
      <c r="P389" s="23"/>
      <c r="Q389" s="23"/>
      <c r="R389" s="23"/>
      <c r="S389" s="23"/>
      <c r="T389" s="23">
        <f>ROUND((ROUND(Source!AF224*Source!AV224*Source!I224,0)+ROUND(Source!AE224*Source!AV224*Source!I224,0))*(Source!DO224)/100,0)</f>
        <v>11</v>
      </c>
      <c r="U389" s="23" t="e">
        <f>Source!Y224</f>
        <v>#REF!</v>
      </c>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v>1</v>
      </c>
      <c r="CW389" s="23"/>
      <c r="CX389" s="23"/>
      <c r="CY389" s="23"/>
      <c r="CZ389" s="23"/>
      <c r="DA389" s="23"/>
      <c r="DB389" s="23"/>
      <c r="DC389" s="23"/>
      <c r="DD389" s="23"/>
      <c r="DE389" s="23"/>
      <c r="DF389" s="23"/>
      <c r="DG389" s="23"/>
      <c r="DH389" s="23"/>
      <c r="DI389" s="23"/>
      <c r="DJ389" s="23"/>
      <c r="DK389" s="23"/>
      <c r="DL389" s="23"/>
      <c r="DM389" s="23"/>
      <c r="DN389" s="23"/>
      <c r="DO389" s="23"/>
      <c r="DP389" s="23"/>
      <c r="DQ389" s="23">
        <f>T389</f>
        <v>11</v>
      </c>
      <c r="DR389" s="23"/>
      <c r="DS389" s="23" t="e">
        <f>U389</f>
        <v>#REF!</v>
      </c>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f>T389</f>
        <v>11</v>
      </c>
      <c r="HA389" s="23"/>
      <c r="HB389" s="23">
        <f>T389</f>
        <v>11</v>
      </c>
      <c r="HC389" s="23"/>
      <c r="HD389" s="23"/>
      <c r="HE389" s="23"/>
      <c r="HF389" s="23">
        <f>T389</f>
        <v>11</v>
      </c>
      <c r="HG389" s="23"/>
      <c r="HH389" s="23"/>
      <c r="HI389" s="23"/>
      <c r="HJ389" s="23"/>
      <c r="HK389" s="23"/>
      <c r="HL389" s="23">
        <f>T389</f>
        <v>11</v>
      </c>
      <c r="HM389" s="23"/>
      <c r="HN389" s="23">
        <f>T389</f>
        <v>11</v>
      </c>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row>
    <row r="390" spans="1:255" x14ac:dyDescent="0.2">
      <c r="A390" s="78"/>
      <c r="B390" s="79"/>
      <c r="C390" s="79" t="s">
        <v>861</v>
      </c>
      <c r="D390" s="80" t="s">
        <v>862</v>
      </c>
      <c r="E390" s="81">
        <v>9.86</v>
      </c>
      <c r="F390" s="82"/>
      <c r="G390" s="83"/>
      <c r="H390" s="82" t="e">
        <f>ROUND(Source!AH224,2)</f>
        <v>#REF!</v>
      </c>
      <c r="I390" s="97" t="e">
        <f>Source!U224</f>
        <v>#REF!</v>
      </c>
      <c r="J390" s="85"/>
      <c r="K390" s="86"/>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row>
    <row r="391" spans="1:255" x14ac:dyDescent="0.2">
      <c r="A391" s="114" t="s">
        <v>302</v>
      </c>
      <c r="B391" s="115" t="s">
        <v>303</v>
      </c>
      <c r="C391" s="116" t="s">
        <v>304</v>
      </c>
      <c r="D391" s="117" t="s">
        <v>305</v>
      </c>
      <c r="E391" s="118">
        <f>Source!I226</f>
        <v>3.4043999999999999</v>
      </c>
      <c r="F391" s="119">
        <v>75.03</v>
      </c>
      <c r="G391" s="71"/>
      <c r="H391" s="119">
        <f>Source!AC225</f>
        <v>75.03</v>
      </c>
      <c r="I391" s="120">
        <f>T391</f>
        <v>255</v>
      </c>
      <c r="J391" s="73" t="s">
        <v>863</v>
      </c>
      <c r="K391" s="121">
        <f>U391</f>
        <v>715</v>
      </c>
      <c r="L391" s="23"/>
      <c r="M391" s="23"/>
      <c r="N391" s="23"/>
      <c r="O391" s="23"/>
      <c r="P391" s="23"/>
      <c r="Q391" s="23"/>
      <c r="R391" s="23"/>
      <c r="S391" s="23"/>
      <c r="T391" s="23">
        <f>ROUND(Source!AC225*Source!AW225*Source!I225,0)</f>
        <v>255</v>
      </c>
      <c r="U391" s="23">
        <f>Source!P226</f>
        <v>715</v>
      </c>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v>1</v>
      </c>
      <c r="CW391" s="23"/>
      <c r="CX391" s="23"/>
      <c r="CY391" s="23"/>
      <c r="CZ391" s="23"/>
      <c r="DA391" s="23"/>
      <c r="DB391" s="23"/>
      <c r="DC391" s="23"/>
      <c r="DD391" s="23"/>
      <c r="DE391" s="23"/>
      <c r="DF391" s="23"/>
      <c r="DG391" s="23"/>
      <c r="DH391" s="23"/>
      <c r="DI391" s="23"/>
      <c r="DJ391" s="23"/>
      <c r="DK391" s="23">
        <f>T391</f>
        <v>255</v>
      </c>
      <c r="DL391" s="23"/>
      <c r="DM391" s="23">
        <f>Source!P226</f>
        <v>715</v>
      </c>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f>T391</f>
        <v>255</v>
      </c>
      <c r="GK391" s="23"/>
      <c r="GL391" s="23"/>
      <c r="GM391" s="23"/>
      <c r="GN391" s="23">
        <f>T391</f>
        <v>255</v>
      </c>
      <c r="GO391" s="23"/>
      <c r="GP391" s="23">
        <f>T391</f>
        <v>255</v>
      </c>
      <c r="GQ391" s="23">
        <f>T391</f>
        <v>255</v>
      </c>
      <c r="GR391" s="23"/>
      <c r="GS391" s="23">
        <f>T391</f>
        <v>255</v>
      </c>
      <c r="GT391" s="23"/>
      <c r="GU391" s="23"/>
      <c r="GV391" s="23"/>
      <c r="GW391" s="23"/>
      <c r="GX391" s="23"/>
      <c r="GY391" s="23"/>
      <c r="GZ391" s="23"/>
      <c r="HA391" s="23"/>
      <c r="HB391" s="23">
        <f>T391</f>
        <v>255</v>
      </c>
      <c r="HC391" s="23"/>
      <c r="HD391" s="23"/>
      <c r="HE391" s="23"/>
      <c r="HF391" s="23">
        <f>T391</f>
        <v>255</v>
      </c>
      <c r="HG391" s="23"/>
      <c r="HH391" s="23"/>
      <c r="HI391" s="23"/>
      <c r="HJ391" s="23"/>
      <c r="HK391" s="23"/>
      <c r="HL391" s="23">
        <f>T391</f>
        <v>255</v>
      </c>
      <c r="HM391" s="23"/>
      <c r="HN391" s="23">
        <f>T391</f>
        <v>255</v>
      </c>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row>
    <row r="392" spans="1:255" x14ac:dyDescent="0.2">
      <c r="A392" s="98"/>
      <c r="B392" s="113" t="s">
        <v>864</v>
      </c>
      <c r="C392" s="113" t="s">
        <v>948</v>
      </c>
      <c r="D392" s="33"/>
      <c r="E392" s="33"/>
      <c r="F392" s="33"/>
      <c r="G392" s="33"/>
      <c r="H392" s="33"/>
      <c r="I392" s="33"/>
      <c r="J392" s="33"/>
      <c r="K392" s="99"/>
    </row>
    <row r="393" spans="1:255" ht="13.5" thickBot="1" x14ac:dyDescent="0.25">
      <c r="A393" s="124"/>
      <c r="B393" s="125"/>
      <c r="C393" s="125" t="s">
        <v>867</v>
      </c>
      <c r="D393" s="125"/>
      <c r="E393" s="125"/>
      <c r="F393" s="125"/>
      <c r="G393" s="125"/>
      <c r="H393" s="380">
        <f>SUM(DK384:DK392)</f>
        <v>255</v>
      </c>
      <c r="I393" s="381"/>
      <c r="J393" s="380">
        <f>SUM(DM384:DM392)</f>
        <v>715</v>
      </c>
      <c r="K393" s="382"/>
      <c r="L393" s="112"/>
      <c r="M393" s="112"/>
      <c r="N393" s="112"/>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row>
    <row r="394" spans="1:255" x14ac:dyDescent="0.2">
      <c r="A394" s="123"/>
      <c r="B394" s="122"/>
      <c r="C394" s="122" t="s">
        <v>868</v>
      </c>
      <c r="D394" s="122"/>
      <c r="E394" s="122"/>
      <c r="F394" s="122"/>
      <c r="G394" s="122"/>
      <c r="H394" s="383">
        <f>R394</f>
        <v>317</v>
      </c>
      <c r="I394" s="384"/>
      <c r="J394" s="383" t="e">
        <f>S394</f>
        <v>#REF!</v>
      </c>
      <c r="K394" s="385"/>
      <c r="O394" s="23"/>
      <c r="P394" s="23"/>
      <c r="Q394" s="23"/>
      <c r="R394" s="23">
        <f>SUM(T384:T393)</f>
        <v>317</v>
      </c>
      <c r="S394" s="23" t="e">
        <f>SUM(U384:U393)</f>
        <v>#REF!</v>
      </c>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f>R394</f>
        <v>317</v>
      </c>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row>
    <row r="395" spans="1:255" x14ac:dyDescent="0.2">
      <c r="A395" s="77"/>
      <c r="B395" s="76"/>
      <c r="C395" s="76"/>
      <c r="D395" s="76"/>
      <c r="E395" s="76"/>
      <c r="F395" s="76"/>
      <c r="G395" s="76"/>
      <c r="H395" s="386"/>
      <c r="I395" s="387"/>
      <c r="J395" s="386"/>
      <c r="K395" s="388"/>
    </row>
    <row r="396" spans="1:255" ht="36" x14ac:dyDescent="0.2">
      <c r="A396" s="126">
        <v>16</v>
      </c>
      <c r="B396" s="133" t="s">
        <v>309</v>
      </c>
      <c r="C396" s="127" t="s">
        <v>310</v>
      </c>
      <c r="D396" s="128" t="s">
        <v>298</v>
      </c>
      <c r="E396" s="129">
        <v>2.88</v>
      </c>
      <c r="F396" s="130">
        <f>Source!AK228</f>
        <v>187.51999999999998</v>
      </c>
      <c r="G396" s="134" t="s">
        <v>6</v>
      </c>
      <c r="H396" s="130"/>
      <c r="I396" s="131">
        <f>SUM(DQ396:DQ413)</f>
        <v>289</v>
      </c>
      <c r="J396" s="107" t="s">
        <v>309</v>
      </c>
      <c r="K396" s="132" t="e">
        <f>SUM(DS396:DS413)</f>
        <v>#REF!</v>
      </c>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row>
    <row r="397" spans="1:255" x14ac:dyDescent="0.2">
      <c r="A397" s="66"/>
      <c r="B397" s="67"/>
      <c r="C397" s="67" t="s">
        <v>853</v>
      </c>
      <c r="D397" s="68"/>
      <c r="E397" s="69"/>
      <c r="F397" s="70">
        <v>144.85</v>
      </c>
      <c r="G397" s="71"/>
      <c r="H397" s="70">
        <f>Source!AF228</f>
        <v>144.85</v>
      </c>
      <c r="I397" s="72">
        <f>T397</f>
        <v>104</v>
      </c>
      <c r="J397" s="73">
        <v>25.36</v>
      </c>
      <c r="K397" s="74">
        <f>U397</f>
        <v>2645</v>
      </c>
      <c r="O397" s="23"/>
      <c r="P397" s="23"/>
      <c r="Q397" s="23"/>
      <c r="R397" s="23"/>
      <c r="S397" s="23"/>
      <c r="T397" s="23">
        <f>ROUND(Source!AF228*Source!AV228*Source!I228,0)</f>
        <v>104</v>
      </c>
      <c r="U397" s="23">
        <f>Source!S228</f>
        <v>2645</v>
      </c>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v>2</v>
      </c>
      <c r="CW397" s="23"/>
      <c r="CX397" s="23"/>
      <c r="CY397" s="23"/>
      <c r="CZ397" s="23"/>
      <c r="DA397" s="23"/>
      <c r="DB397" s="23"/>
      <c r="DC397" s="23"/>
      <c r="DD397" s="23"/>
      <c r="DE397" s="23"/>
      <c r="DF397" s="23"/>
      <c r="DG397" s="23">
        <f>Source!S228</f>
        <v>2645</v>
      </c>
      <c r="DH397" s="23">
        <v>1015</v>
      </c>
      <c r="DI397" s="23"/>
      <c r="DJ397" s="23"/>
      <c r="DK397" s="23"/>
      <c r="DL397" s="23"/>
      <c r="DM397" s="23"/>
      <c r="DN397" s="23"/>
      <c r="DO397" s="23"/>
      <c r="DP397" s="23"/>
      <c r="DQ397" s="23">
        <f>T397</f>
        <v>104</v>
      </c>
      <c r="DR397" s="23"/>
      <c r="DS397" s="23">
        <f>U397</f>
        <v>2645</v>
      </c>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f>T397</f>
        <v>104</v>
      </c>
      <c r="GK397" s="23">
        <f>T397</f>
        <v>104</v>
      </c>
      <c r="GL397" s="23"/>
      <c r="GM397" s="23"/>
      <c r="GN397" s="23"/>
      <c r="GO397" s="23"/>
      <c r="GP397" s="23"/>
      <c r="GQ397" s="23"/>
      <c r="GR397" s="23"/>
      <c r="GS397" s="23"/>
      <c r="GT397" s="23"/>
      <c r="GU397" s="23"/>
      <c r="GV397" s="23"/>
      <c r="GW397" s="23"/>
      <c r="GX397" s="23"/>
      <c r="GY397" s="23"/>
      <c r="GZ397" s="23"/>
      <c r="HA397" s="23"/>
      <c r="HB397" s="23"/>
      <c r="HC397" s="23">
        <f>T397</f>
        <v>104</v>
      </c>
      <c r="HD397" s="23"/>
      <c r="HE397" s="23"/>
      <c r="HF397" s="23">
        <f>T397</f>
        <v>104</v>
      </c>
      <c r="HG397" s="23"/>
      <c r="HH397" s="23"/>
      <c r="HI397" s="23"/>
      <c r="HJ397" s="23"/>
      <c r="HK397" s="23"/>
      <c r="HL397" s="23">
        <f>T397</f>
        <v>104</v>
      </c>
      <c r="HM397" s="23"/>
      <c r="HN397" s="23"/>
      <c r="HO397" s="23"/>
      <c r="HP397" s="23">
        <f>T397</f>
        <v>104</v>
      </c>
      <c r="HQ397" s="23"/>
      <c r="HR397" s="23"/>
      <c r="HS397" s="23"/>
      <c r="HT397" s="23"/>
      <c r="HU397" s="23"/>
      <c r="HV397" s="23"/>
      <c r="HW397" s="23"/>
      <c r="HX397" s="23">
        <f>T397</f>
        <v>104</v>
      </c>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row>
    <row r="398" spans="1:255" x14ac:dyDescent="0.2">
      <c r="A398" s="78"/>
      <c r="B398" s="79"/>
      <c r="C398" s="79" t="s">
        <v>855</v>
      </c>
      <c r="D398" s="80"/>
      <c r="E398" s="81"/>
      <c r="F398" s="82">
        <v>23.51</v>
      </c>
      <c r="G398" s="83"/>
      <c r="H398" s="82">
        <f>Source!AD228</f>
        <v>23.51</v>
      </c>
      <c r="I398" s="84">
        <f>T398</f>
        <v>17</v>
      </c>
      <c r="J398" s="85">
        <v>7.84</v>
      </c>
      <c r="K398" s="86">
        <f>U398</f>
        <v>133</v>
      </c>
      <c r="O398" s="23"/>
      <c r="P398" s="23"/>
      <c r="Q398" s="23"/>
      <c r="R398" s="23"/>
      <c r="S398" s="23"/>
      <c r="T398" s="23">
        <f>ROUND(Source!AD228*Source!AV228*Source!I228,0)</f>
        <v>17</v>
      </c>
      <c r="U398" s="23">
        <f>Source!Q228</f>
        <v>133</v>
      </c>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v>2</v>
      </c>
      <c r="CW398" s="23"/>
      <c r="CX398" s="23"/>
      <c r="CY398" s="23"/>
      <c r="CZ398" s="23"/>
      <c r="DA398" s="23"/>
      <c r="DB398" s="23"/>
      <c r="DC398" s="23"/>
      <c r="DD398" s="23"/>
      <c r="DE398" s="23"/>
      <c r="DF398" s="23"/>
      <c r="DG398" s="23"/>
      <c r="DH398" s="23"/>
      <c r="DI398" s="23"/>
      <c r="DJ398" s="23"/>
      <c r="DK398" s="23"/>
      <c r="DL398" s="23"/>
      <c r="DM398" s="23"/>
      <c r="DN398" s="23"/>
      <c r="DO398" s="23"/>
      <c r="DP398" s="23"/>
      <c r="DQ398" s="23">
        <f>T398</f>
        <v>17</v>
      </c>
      <c r="DR398" s="23"/>
      <c r="DS398" s="23">
        <f>U398</f>
        <v>133</v>
      </c>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f>T398</f>
        <v>17</v>
      </c>
      <c r="GK398" s="23"/>
      <c r="GL398" s="23">
        <f>T398</f>
        <v>17</v>
      </c>
      <c r="GM398" s="23"/>
      <c r="GN398" s="23"/>
      <c r="GO398" s="23"/>
      <c r="GP398" s="23"/>
      <c r="GQ398" s="23"/>
      <c r="GR398" s="23"/>
      <c r="GS398" s="23"/>
      <c r="GT398" s="23"/>
      <c r="GU398" s="23"/>
      <c r="GV398" s="23"/>
      <c r="GW398" s="23"/>
      <c r="GX398" s="23"/>
      <c r="GY398" s="23"/>
      <c r="GZ398" s="23"/>
      <c r="HA398" s="23"/>
      <c r="HB398" s="23"/>
      <c r="HC398" s="23">
        <f>T398</f>
        <v>17</v>
      </c>
      <c r="HD398" s="23"/>
      <c r="HE398" s="23"/>
      <c r="HF398" s="23">
        <f>T398</f>
        <v>17</v>
      </c>
      <c r="HG398" s="23"/>
      <c r="HH398" s="23"/>
      <c r="HI398" s="23"/>
      <c r="HJ398" s="23"/>
      <c r="HK398" s="23"/>
      <c r="HL398" s="23">
        <f>T398</f>
        <v>17</v>
      </c>
      <c r="HM398" s="23"/>
      <c r="HN398" s="23"/>
      <c r="HO398" s="23"/>
      <c r="HP398" s="23">
        <f>T398</f>
        <v>17</v>
      </c>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row>
    <row r="399" spans="1:255" x14ac:dyDescent="0.2">
      <c r="A399" s="78"/>
      <c r="B399" s="79"/>
      <c r="C399" s="79" t="s">
        <v>857</v>
      </c>
      <c r="D399" s="80"/>
      <c r="E399" s="81"/>
      <c r="F399" s="82">
        <v>1.22</v>
      </c>
      <c r="G399" s="83"/>
      <c r="H399" s="82">
        <f>Source!AE228</f>
        <v>1.22</v>
      </c>
      <c r="I399" s="84">
        <f>GM399</f>
        <v>1</v>
      </c>
      <c r="J399" s="85">
        <v>19.8</v>
      </c>
      <c r="K399" s="86">
        <f>Source!R228</f>
        <v>17</v>
      </c>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f>ROUND(Source!AE228*Source!AV228*Source!I228,0)</f>
        <v>1</v>
      </c>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f>GM399</f>
        <v>1</v>
      </c>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row>
    <row r="400" spans="1:255" x14ac:dyDescent="0.2">
      <c r="A400" s="87"/>
      <c r="B400" s="88"/>
      <c r="C400" s="88" t="s">
        <v>858</v>
      </c>
      <c r="D400" s="89"/>
      <c r="E400" s="90">
        <v>95</v>
      </c>
      <c r="F400" s="91" t="s">
        <v>859</v>
      </c>
      <c r="G400" s="92"/>
      <c r="H400" s="93">
        <f>ROUND((Source!AF228*Source!AV228+Source!AE228*Source!AV228)*(Source!FX228)/100,2)</f>
        <v>138.77000000000001</v>
      </c>
      <c r="I400" s="94">
        <f>T400</f>
        <v>100</v>
      </c>
      <c r="J400" s="96">
        <v>0.9</v>
      </c>
      <c r="K400" s="95" t="e">
        <f>U400</f>
        <v>#REF!</v>
      </c>
      <c r="O400" s="23"/>
      <c r="P400" s="23"/>
      <c r="Q400" s="23"/>
      <c r="R400" s="23"/>
      <c r="S400" s="23"/>
      <c r="T400" s="23">
        <f>ROUND((ROUND(Source!AF228*Source!AV228*Source!I228,0)+ROUND(Source!AE228*Source!AV228*Source!I228,0))*(Source!DN228)/100,0)</f>
        <v>100</v>
      </c>
      <c r="U400" s="23" t="e">
        <f>Source!X228</f>
        <v>#REF!</v>
      </c>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v>2</v>
      </c>
      <c r="CW400" s="23"/>
      <c r="CX400" s="23"/>
      <c r="CY400" s="23"/>
      <c r="CZ400" s="23"/>
      <c r="DA400" s="23"/>
      <c r="DB400" s="23"/>
      <c r="DC400" s="23"/>
      <c r="DD400" s="23"/>
      <c r="DE400" s="23"/>
      <c r="DF400" s="23"/>
      <c r="DG400" s="23"/>
      <c r="DH400" s="23"/>
      <c r="DI400" s="23"/>
      <c r="DJ400" s="23"/>
      <c r="DK400" s="23"/>
      <c r="DL400" s="23"/>
      <c r="DM400" s="23"/>
      <c r="DN400" s="23"/>
      <c r="DO400" s="23"/>
      <c r="DP400" s="23"/>
      <c r="DQ400" s="23">
        <f>T400</f>
        <v>100</v>
      </c>
      <c r="DR400" s="23"/>
      <c r="DS400" s="23" t="e">
        <f>U400</f>
        <v>#REF!</v>
      </c>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f>T400</f>
        <v>100</v>
      </c>
      <c r="GZ400" s="23"/>
      <c r="HA400" s="23"/>
      <c r="HB400" s="23"/>
      <c r="HC400" s="23">
        <f>T400</f>
        <v>100</v>
      </c>
      <c r="HD400" s="23"/>
      <c r="HE400" s="23"/>
      <c r="HF400" s="23">
        <f>T400</f>
        <v>100</v>
      </c>
      <c r="HG400" s="23"/>
      <c r="HH400" s="23"/>
      <c r="HI400" s="23"/>
      <c r="HJ400" s="23"/>
      <c r="HK400" s="23"/>
      <c r="HL400" s="23">
        <f>T400</f>
        <v>100</v>
      </c>
      <c r="HM400" s="23"/>
      <c r="HN400" s="23"/>
      <c r="HO400" s="23"/>
      <c r="HP400" s="23">
        <f>T400</f>
        <v>100</v>
      </c>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row>
    <row r="401" spans="1:255" x14ac:dyDescent="0.2">
      <c r="A401" s="87"/>
      <c r="B401" s="88"/>
      <c r="C401" s="88" t="s">
        <v>860</v>
      </c>
      <c r="D401" s="89"/>
      <c r="E401" s="90">
        <v>65</v>
      </c>
      <c r="F401" s="91" t="s">
        <v>859</v>
      </c>
      <c r="G401" s="92"/>
      <c r="H401" s="93">
        <f>ROUND((Source!AF228*Source!AV228+Source!AE228*Source!AV228)*(Source!FY228)/100,2)</f>
        <v>94.95</v>
      </c>
      <c r="I401" s="94">
        <f>T401</f>
        <v>68</v>
      </c>
      <c r="J401" s="96">
        <v>0.55000000000000004</v>
      </c>
      <c r="K401" s="95" t="e">
        <f>U401</f>
        <v>#REF!</v>
      </c>
      <c r="O401" s="23"/>
      <c r="P401" s="23"/>
      <c r="Q401" s="23"/>
      <c r="R401" s="23"/>
      <c r="S401" s="23"/>
      <c r="T401" s="23">
        <f>ROUND((ROUND(Source!AF228*Source!AV228*Source!I228,0)+ROUND(Source!AE228*Source!AV228*Source!I228,0))*(Source!DO228)/100,0)</f>
        <v>68</v>
      </c>
      <c r="U401" s="23" t="e">
        <f>Source!Y228</f>
        <v>#REF!</v>
      </c>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v>2</v>
      </c>
      <c r="CW401" s="23"/>
      <c r="CX401" s="23"/>
      <c r="CY401" s="23"/>
      <c r="CZ401" s="23"/>
      <c r="DA401" s="23"/>
      <c r="DB401" s="23"/>
      <c r="DC401" s="23"/>
      <c r="DD401" s="23"/>
      <c r="DE401" s="23"/>
      <c r="DF401" s="23"/>
      <c r="DG401" s="23"/>
      <c r="DH401" s="23"/>
      <c r="DI401" s="23"/>
      <c r="DJ401" s="23"/>
      <c r="DK401" s="23"/>
      <c r="DL401" s="23"/>
      <c r="DM401" s="23"/>
      <c r="DN401" s="23"/>
      <c r="DO401" s="23"/>
      <c r="DP401" s="23"/>
      <c r="DQ401" s="23">
        <f>T401</f>
        <v>68</v>
      </c>
      <c r="DR401" s="23"/>
      <c r="DS401" s="23" t="e">
        <f>U401</f>
        <v>#REF!</v>
      </c>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f>T401</f>
        <v>68</v>
      </c>
      <c r="HA401" s="23"/>
      <c r="HB401" s="23"/>
      <c r="HC401" s="23">
        <f>T401</f>
        <v>68</v>
      </c>
      <c r="HD401" s="23"/>
      <c r="HE401" s="23"/>
      <c r="HF401" s="23">
        <f>T401</f>
        <v>68</v>
      </c>
      <c r="HG401" s="23"/>
      <c r="HH401" s="23"/>
      <c r="HI401" s="23"/>
      <c r="HJ401" s="23"/>
      <c r="HK401" s="23"/>
      <c r="HL401" s="23">
        <f>T401</f>
        <v>68</v>
      </c>
      <c r="HM401" s="23"/>
      <c r="HN401" s="23"/>
      <c r="HO401" s="23"/>
      <c r="HP401" s="23">
        <f>T401</f>
        <v>68</v>
      </c>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row>
    <row r="402" spans="1:255" x14ac:dyDescent="0.2">
      <c r="A402" s="78"/>
      <c r="B402" s="79"/>
      <c r="C402" s="79" t="s">
        <v>861</v>
      </c>
      <c r="D402" s="80" t="s">
        <v>862</v>
      </c>
      <c r="E402" s="81">
        <v>15.28</v>
      </c>
      <c r="F402" s="82"/>
      <c r="G402" s="83"/>
      <c r="H402" s="82" t="e">
        <f>ROUND(Source!AH228,2)</f>
        <v>#REF!</v>
      </c>
      <c r="I402" s="97" t="e">
        <f>Source!U228</f>
        <v>#REF!</v>
      </c>
      <c r="J402" s="85"/>
      <c r="K402" s="86"/>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row>
    <row r="403" spans="1:255" x14ac:dyDescent="0.2">
      <c r="A403" s="100" t="s">
        <v>315</v>
      </c>
      <c r="B403" s="109" t="s">
        <v>316</v>
      </c>
      <c r="C403" s="101" t="s">
        <v>317</v>
      </c>
      <c r="D403" s="102" t="s">
        <v>33</v>
      </c>
      <c r="E403" s="103">
        <f>Source!I230</f>
        <v>1.5874999999999999E-3</v>
      </c>
      <c r="F403" s="104">
        <v>10559.12</v>
      </c>
      <c r="G403" s="105"/>
      <c r="H403" s="104">
        <f>Source!AC229</f>
        <v>10559.12</v>
      </c>
      <c r="I403" s="106">
        <f>T403</f>
        <v>17</v>
      </c>
      <c r="J403" s="107" t="s">
        <v>863</v>
      </c>
      <c r="K403" s="108">
        <f>U403</f>
        <v>162</v>
      </c>
      <c r="L403" s="23"/>
      <c r="M403" s="23"/>
      <c r="N403" s="23"/>
      <c r="O403" s="23"/>
      <c r="P403" s="23"/>
      <c r="Q403" s="23"/>
      <c r="R403" s="23"/>
      <c r="S403" s="23"/>
      <c r="T403" s="23">
        <f>ROUND(Source!AC229*Source!AW229*Source!I229,0)</f>
        <v>17</v>
      </c>
      <c r="U403" s="23">
        <f>Source!P230</f>
        <v>162</v>
      </c>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v>1</v>
      </c>
      <c r="CW403" s="23"/>
      <c r="CX403" s="23"/>
      <c r="CY403" s="23"/>
      <c r="CZ403" s="23"/>
      <c r="DA403" s="23"/>
      <c r="DB403" s="23"/>
      <c r="DC403" s="23"/>
      <c r="DD403" s="23"/>
      <c r="DE403" s="23"/>
      <c r="DF403" s="23"/>
      <c r="DG403" s="23"/>
      <c r="DH403" s="23"/>
      <c r="DI403" s="23"/>
      <c r="DJ403" s="23"/>
      <c r="DK403" s="23">
        <f>T403</f>
        <v>17</v>
      </c>
      <c r="DL403" s="23"/>
      <c r="DM403" s="23">
        <f>Source!P230</f>
        <v>162</v>
      </c>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f>T403</f>
        <v>17</v>
      </c>
      <c r="GK403" s="23"/>
      <c r="GL403" s="23"/>
      <c r="GM403" s="23"/>
      <c r="GN403" s="23">
        <f>T403</f>
        <v>17</v>
      </c>
      <c r="GO403" s="23"/>
      <c r="GP403" s="23">
        <f>T403</f>
        <v>17</v>
      </c>
      <c r="GQ403" s="23">
        <f>T403</f>
        <v>17</v>
      </c>
      <c r="GR403" s="23"/>
      <c r="GS403" s="23">
        <f>T403</f>
        <v>17</v>
      </c>
      <c r="GT403" s="23"/>
      <c r="GU403" s="23"/>
      <c r="GV403" s="23"/>
      <c r="GW403" s="23"/>
      <c r="GX403" s="23"/>
      <c r="GY403" s="23"/>
      <c r="GZ403" s="23"/>
      <c r="HA403" s="23"/>
      <c r="HB403" s="23">
        <f>T403</f>
        <v>17</v>
      </c>
      <c r="HC403" s="23"/>
      <c r="HD403" s="23"/>
      <c r="HE403" s="23"/>
      <c r="HF403" s="23">
        <f>T403</f>
        <v>17</v>
      </c>
      <c r="HG403" s="23"/>
      <c r="HH403" s="23"/>
      <c r="HI403" s="23"/>
      <c r="HJ403" s="23"/>
      <c r="HK403" s="23"/>
      <c r="HL403" s="23">
        <f>T403</f>
        <v>17</v>
      </c>
      <c r="HM403" s="23"/>
      <c r="HN403" s="23">
        <f>T403</f>
        <v>17</v>
      </c>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row>
    <row r="404" spans="1:255" x14ac:dyDescent="0.2">
      <c r="A404" s="64"/>
      <c r="B404" s="111" t="s">
        <v>864</v>
      </c>
      <c r="C404" s="111" t="s">
        <v>949</v>
      </c>
      <c r="D404" s="63"/>
      <c r="E404" s="63"/>
      <c r="F404" s="63"/>
      <c r="G404" s="63"/>
      <c r="H404" s="63"/>
      <c r="I404" s="63"/>
      <c r="J404" s="63"/>
      <c r="K404" s="65"/>
    </row>
    <row r="405" spans="1:255" x14ac:dyDescent="0.2">
      <c r="A405" s="100" t="s">
        <v>320</v>
      </c>
      <c r="B405" s="109" t="s">
        <v>321</v>
      </c>
      <c r="C405" s="101" t="s">
        <v>322</v>
      </c>
      <c r="D405" s="102" t="s">
        <v>325</v>
      </c>
      <c r="E405" s="103">
        <f>Source!I232</f>
        <v>57</v>
      </c>
      <c r="F405" s="104">
        <v>7.93</v>
      </c>
      <c r="G405" s="105"/>
      <c r="H405" s="104">
        <f>Source!AC231</f>
        <v>7.93</v>
      </c>
      <c r="I405" s="106">
        <f>T405</f>
        <v>452</v>
      </c>
      <c r="J405" s="107" t="s">
        <v>863</v>
      </c>
      <c r="K405" s="108">
        <f>U405</f>
        <v>1521</v>
      </c>
      <c r="L405" s="23"/>
      <c r="M405" s="23"/>
      <c r="N405" s="23"/>
      <c r="O405" s="23"/>
      <c r="P405" s="23"/>
      <c r="Q405" s="23"/>
      <c r="R405" s="23"/>
      <c r="S405" s="23"/>
      <c r="T405" s="23">
        <f>ROUND(Source!AC231*Source!AW231*Source!I231,0)</f>
        <v>452</v>
      </c>
      <c r="U405" s="23">
        <f>Source!P232</f>
        <v>1521</v>
      </c>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v>2</v>
      </c>
      <c r="CW405" s="23"/>
      <c r="CX405" s="23"/>
      <c r="CY405" s="23"/>
      <c r="CZ405" s="23"/>
      <c r="DA405" s="23"/>
      <c r="DB405" s="23"/>
      <c r="DC405" s="23"/>
      <c r="DD405" s="23"/>
      <c r="DE405" s="23"/>
      <c r="DF405" s="23"/>
      <c r="DG405" s="23"/>
      <c r="DH405" s="23"/>
      <c r="DI405" s="23"/>
      <c r="DJ405" s="23"/>
      <c r="DK405" s="23">
        <f>T405</f>
        <v>452</v>
      </c>
      <c r="DL405" s="23"/>
      <c r="DM405" s="23">
        <f>Source!P232</f>
        <v>1521</v>
      </c>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f>T405</f>
        <v>452</v>
      </c>
      <c r="GK405" s="23"/>
      <c r="GL405" s="23"/>
      <c r="GM405" s="23"/>
      <c r="GN405" s="23">
        <f>T405</f>
        <v>452</v>
      </c>
      <c r="GO405" s="23"/>
      <c r="GP405" s="23">
        <f>T405</f>
        <v>452</v>
      </c>
      <c r="GQ405" s="23">
        <f>T405</f>
        <v>452</v>
      </c>
      <c r="GR405" s="23"/>
      <c r="GS405" s="23">
        <f>T405</f>
        <v>452</v>
      </c>
      <c r="GT405" s="23"/>
      <c r="GU405" s="23"/>
      <c r="GV405" s="23"/>
      <c r="GW405" s="23"/>
      <c r="GX405" s="23"/>
      <c r="GY405" s="23"/>
      <c r="GZ405" s="23"/>
      <c r="HA405" s="23"/>
      <c r="HB405" s="23"/>
      <c r="HC405" s="23">
        <f>T405</f>
        <v>452</v>
      </c>
      <c r="HD405" s="23"/>
      <c r="HE405" s="23"/>
      <c r="HF405" s="23">
        <f>T405</f>
        <v>452</v>
      </c>
      <c r="HG405" s="23"/>
      <c r="HH405" s="23"/>
      <c r="HI405" s="23"/>
      <c r="HJ405" s="23"/>
      <c r="HK405" s="23"/>
      <c r="HL405" s="23">
        <f>T405</f>
        <v>452</v>
      </c>
      <c r="HM405" s="23"/>
      <c r="HN405" s="23"/>
      <c r="HO405" s="23"/>
      <c r="HP405" s="23">
        <f>T405</f>
        <v>452</v>
      </c>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row>
    <row r="406" spans="1:255" x14ac:dyDescent="0.2">
      <c r="A406" s="64"/>
      <c r="B406" s="111" t="s">
        <v>864</v>
      </c>
      <c r="C406" s="111" t="s">
        <v>950</v>
      </c>
      <c r="D406" s="63"/>
      <c r="E406" s="63"/>
      <c r="F406" s="63"/>
      <c r="G406" s="63"/>
      <c r="H406" s="63"/>
      <c r="I406" s="63"/>
      <c r="J406" s="63"/>
      <c r="K406" s="65"/>
    </row>
    <row r="407" spans="1:255" x14ac:dyDescent="0.2">
      <c r="A407" s="100" t="s">
        <v>327</v>
      </c>
      <c r="B407" s="109" t="s">
        <v>321</v>
      </c>
      <c r="C407" s="101" t="s">
        <v>328</v>
      </c>
      <c r="D407" s="102" t="s">
        <v>325</v>
      </c>
      <c r="E407" s="103">
        <f>Source!I234</f>
        <v>68.5</v>
      </c>
      <c r="F407" s="104">
        <v>7.93</v>
      </c>
      <c r="G407" s="105"/>
      <c r="H407" s="104">
        <f>Source!AC233</f>
        <v>7.93</v>
      </c>
      <c r="I407" s="106">
        <f>T407</f>
        <v>543</v>
      </c>
      <c r="J407" s="107" t="s">
        <v>863</v>
      </c>
      <c r="K407" s="108">
        <f>U407</f>
        <v>2201</v>
      </c>
      <c r="L407" s="23"/>
      <c r="M407" s="23"/>
      <c r="N407" s="23"/>
      <c r="O407" s="23"/>
      <c r="P407" s="23"/>
      <c r="Q407" s="23"/>
      <c r="R407" s="23"/>
      <c r="S407" s="23"/>
      <c r="T407" s="23">
        <f>ROUND(Source!AC233*Source!AW233*Source!I233,0)</f>
        <v>543</v>
      </c>
      <c r="U407" s="23">
        <f>Source!P234</f>
        <v>2201</v>
      </c>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v>2</v>
      </c>
      <c r="CW407" s="23"/>
      <c r="CX407" s="23"/>
      <c r="CY407" s="23"/>
      <c r="CZ407" s="23"/>
      <c r="DA407" s="23"/>
      <c r="DB407" s="23"/>
      <c r="DC407" s="23"/>
      <c r="DD407" s="23"/>
      <c r="DE407" s="23"/>
      <c r="DF407" s="23"/>
      <c r="DG407" s="23"/>
      <c r="DH407" s="23"/>
      <c r="DI407" s="23"/>
      <c r="DJ407" s="23"/>
      <c r="DK407" s="23">
        <f>T407</f>
        <v>543</v>
      </c>
      <c r="DL407" s="23"/>
      <c r="DM407" s="23">
        <f>Source!P234</f>
        <v>2201</v>
      </c>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f>T407</f>
        <v>543</v>
      </c>
      <c r="GK407" s="23"/>
      <c r="GL407" s="23"/>
      <c r="GM407" s="23"/>
      <c r="GN407" s="23">
        <f>T407</f>
        <v>543</v>
      </c>
      <c r="GO407" s="23"/>
      <c r="GP407" s="23">
        <f>T407</f>
        <v>543</v>
      </c>
      <c r="GQ407" s="23">
        <f>T407</f>
        <v>543</v>
      </c>
      <c r="GR407" s="23"/>
      <c r="GS407" s="23">
        <f>T407</f>
        <v>543</v>
      </c>
      <c r="GT407" s="23"/>
      <c r="GU407" s="23"/>
      <c r="GV407" s="23"/>
      <c r="GW407" s="23"/>
      <c r="GX407" s="23"/>
      <c r="GY407" s="23"/>
      <c r="GZ407" s="23"/>
      <c r="HA407" s="23"/>
      <c r="HB407" s="23"/>
      <c r="HC407" s="23">
        <f>T407</f>
        <v>543</v>
      </c>
      <c r="HD407" s="23"/>
      <c r="HE407" s="23"/>
      <c r="HF407" s="23">
        <f>T407</f>
        <v>543</v>
      </c>
      <c r="HG407" s="23"/>
      <c r="HH407" s="23"/>
      <c r="HI407" s="23"/>
      <c r="HJ407" s="23"/>
      <c r="HK407" s="23"/>
      <c r="HL407" s="23">
        <f>T407</f>
        <v>543</v>
      </c>
      <c r="HM407" s="23"/>
      <c r="HN407" s="23"/>
      <c r="HO407" s="23"/>
      <c r="HP407" s="23">
        <f>T407</f>
        <v>543</v>
      </c>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row>
    <row r="408" spans="1:255" x14ac:dyDescent="0.2">
      <c r="A408" s="64"/>
      <c r="B408" s="111" t="s">
        <v>864</v>
      </c>
      <c r="C408" s="111" t="s">
        <v>951</v>
      </c>
      <c r="D408" s="63"/>
      <c r="E408" s="63"/>
      <c r="F408" s="63"/>
      <c r="G408" s="63"/>
      <c r="H408" s="63"/>
      <c r="I408" s="63"/>
      <c r="J408" s="63"/>
      <c r="K408" s="65"/>
    </row>
    <row r="409" spans="1:255" ht="48" x14ac:dyDescent="0.2">
      <c r="A409" s="100" t="s">
        <v>330</v>
      </c>
      <c r="B409" s="109" t="s">
        <v>331</v>
      </c>
      <c r="C409" s="101" t="s">
        <v>332</v>
      </c>
      <c r="D409" s="102" t="s">
        <v>333</v>
      </c>
      <c r="E409" s="103">
        <f>Source!I236</f>
        <v>7.1999999999999993</v>
      </c>
      <c r="F409" s="104">
        <v>56.95</v>
      </c>
      <c r="G409" s="105"/>
      <c r="H409" s="104">
        <f>Source!AC235</f>
        <v>56.95</v>
      </c>
      <c r="I409" s="106">
        <f>T409</f>
        <v>410</v>
      </c>
      <c r="J409" s="107" t="s">
        <v>863</v>
      </c>
      <c r="K409" s="108">
        <f>U409</f>
        <v>1536</v>
      </c>
      <c r="L409" s="23"/>
      <c r="M409" s="23"/>
      <c r="N409" s="23"/>
      <c r="O409" s="23"/>
      <c r="P409" s="23"/>
      <c r="Q409" s="23"/>
      <c r="R409" s="23"/>
      <c r="S409" s="23"/>
      <c r="T409" s="23">
        <f>ROUND(Source!AC235*Source!AW235*Source!I235,0)</f>
        <v>410</v>
      </c>
      <c r="U409" s="23">
        <f>Source!P236</f>
        <v>1536</v>
      </c>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v>2</v>
      </c>
      <c r="CW409" s="23"/>
      <c r="CX409" s="23"/>
      <c r="CY409" s="23"/>
      <c r="CZ409" s="23"/>
      <c r="DA409" s="23"/>
      <c r="DB409" s="23"/>
      <c r="DC409" s="23"/>
      <c r="DD409" s="23"/>
      <c r="DE409" s="23"/>
      <c r="DF409" s="23"/>
      <c r="DG409" s="23"/>
      <c r="DH409" s="23"/>
      <c r="DI409" s="23"/>
      <c r="DJ409" s="23"/>
      <c r="DK409" s="23">
        <f>T409</f>
        <v>410</v>
      </c>
      <c r="DL409" s="23"/>
      <c r="DM409" s="23">
        <f>Source!P236</f>
        <v>1536</v>
      </c>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f>T409</f>
        <v>410</v>
      </c>
      <c r="GK409" s="23"/>
      <c r="GL409" s="23"/>
      <c r="GM409" s="23"/>
      <c r="GN409" s="23">
        <f>T409</f>
        <v>410</v>
      </c>
      <c r="GO409" s="23"/>
      <c r="GP409" s="23">
        <f>T409</f>
        <v>410</v>
      </c>
      <c r="GQ409" s="23">
        <f>T409</f>
        <v>410</v>
      </c>
      <c r="GR409" s="23"/>
      <c r="GS409" s="23">
        <f>T409</f>
        <v>410</v>
      </c>
      <c r="GT409" s="23"/>
      <c r="GU409" s="23"/>
      <c r="GV409" s="23"/>
      <c r="GW409" s="23"/>
      <c r="GX409" s="23"/>
      <c r="GY409" s="23"/>
      <c r="GZ409" s="23"/>
      <c r="HA409" s="23"/>
      <c r="HB409" s="23"/>
      <c r="HC409" s="23">
        <f>T409</f>
        <v>410</v>
      </c>
      <c r="HD409" s="23"/>
      <c r="HE409" s="23"/>
      <c r="HF409" s="23">
        <f>T409</f>
        <v>410</v>
      </c>
      <c r="HG409" s="23"/>
      <c r="HH409" s="23"/>
      <c r="HI409" s="23"/>
      <c r="HJ409" s="23"/>
      <c r="HK409" s="23"/>
      <c r="HL409" s="23">
        <f>T409</f>
        <v>410</v>
      </c>
      <c r="HM409" s="23"/>
      <c r="HN409" s="23"/>
      <c r="HO409" s="23"/>
      <c r="HP409" s="23">
        <f>T409</f>
        <v>410</v>
      </c>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row>
    <row r="410" spans="1:255" x14ac:dyDescent="0.2">
      <c r="A410" s="64"/>
      <c r="B410" s="111" t="s">
        <v>864</v>
      </c>
      <c r="C410" s="111" t="s">
        <v>952</v>
      </c>
      <c r="D410" s="63"/>
      <c r="E410" s="63"/>
      <c r="F410" s="63"/>
      <c r="G410" s="63"/>
      <c r="H410" s="63"/>
      <c r="I410" s="63"/>
      <c r="J410" s="63"/>
      <c r="K410" s="65"/>
    </row>
    <row r="411" spans="1:255" ht="24" x14ac:dyDescent="0.2">
      <c r="A411" s="114" t="s">
        <v>336</v>
      </c>
      <c r="B411" s="115" t="s">
        <v>337</v>
      </c>
      <c r="C411" s="116" t="s">
        <v>338</v>
      </c>
      <c r="D411" s="117" t="s">
        <v>44</v>
      </c>
      <c r="E411" s="118">
        <f>Source!I238</f>
        <v>1.5138E-2</v>
      </c>
      <c r="F411" s="119">
        <v>586.71</v>
      </c>
      <c r="G411" s="71"/>
      <c r="H411" s="119">
        <f>Source!AC237</f>
        <v>586.71</v>
      </c>
      <c r="I411" s="120">
        <f>T411</f>
        <v>9</v>
      </c>
      <c r="J411" s="73" t="s">
        <v>863</v>
      </c>
      <c r="K411" s="121">
        <f>U411</f>
        <v>79</v>
      </c>
      <c r="L411" s="23"/>
      <c r="M411" s="23"/>
      <c r="N411" s="23"/>
      <c r="O411" s="23"/>
      <c r="P411" s="23"/>
      <c r="Q411" s="23"/>
      <c r="R411" s="23"/>
      <c r="S411" s="23"/>
      <c r="T411" s="23">
        <f>ROUND(Source!AC237*Source!AW237*Source!I237,0)</f>
        <v>9</v>
      </c>
      <c r="U411" s="23">
        <f>Source!P238</f>
        <v>79</v>
      </c>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v>1</v>
      </c>
      <c r="CW411" s="23"/>
      <c r="CX411" s="23"/>
      <c r="CY411" s="23"/>
      <c r="CZ411" s="23"/>
      <c r="DA411" s="23"/>
      <c r="DB411" s="23"/>
      <c r="DC411" s="23"/>
      <c r="DD411" s="23"/>
      <c r="DE411" s="23"/>
      <c r="DF411" s="23"/>
      <c r="DG411" s="23"/>
      <c r="DH411" s="23"/>
      <c r="DI411" s="23"/>
      <c r="DJ411" s="23"/>
      <c r="DK411" s="23">
        <f>T411</f>
        <v>9</v>
      </c>
      <c r="DL411" s="23"/>
      <c r="DM411" s="23">
        <f>Source!P238</f>
        <v>79</v>
      </c>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f>T411</f>
        <v>9</v>
      </c>
      <c r="GK411" s="23"/>
      <c r="GL411" s="23"/>
      <c r="GM411" s="23"/>
      <c r="GN411" s="23">
        <f>T411</f>
        <v>9</v>
      </c>
      <c r="GO411" s="23"/>
      <c r="GP411" s="23">
        <f>T411</f>
        <v>9</v>
      </c>
      <c r="GQ411" s="23">
        <f>T411</f>
        <v>9</v>
      </c>
      <c r="GR411" s="23"/>
      <c r="GS411" s="23">
        <f>T411</f>
        <v>9</v>
      </c>
      <c r="GT411" s="23"/>
      <c r="GU411" s="23"/>
      <c r="GV411" s="23"/>
      <c r="GW411" s="23"/>
      <c r="GX411" s="23"/>
      <c r="GY411" s="23"/>
      <c r="GZ411" s="23"/>
      <c r="HA411" s="23"/>
      <c r="HB411" s="23">
        <f>T411</f>
        <v>9</v>
      </c>
      <c r="HC411" s="23"/>
      <c r="HD411" s="23"/>
      <c r="HE411" s="23"/>
      <c r="HF411" s="23">
        <f>T411</f>
        <v>9</v>
      </c>
      <c r="HG411" s="23"/>
      <c r="HH411" s="23"/>
      <c r="HI411" s="23"/>
      <c r="HJ411" s="23"/>
      <c r="HK411" s="23"/>
      <c r="HL411" s="23">
        <f>T411</f>
        <v>9</v>
      </c>
      <c r="HM411" s="23"/>
      <c r="HN411" s="23">
        <f>T411</f>
        <v>9</v>
      </c>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row>
    <row r="412" spans="1:255" x14ac:dyDescent="0.2">
      <c r="A412" s="98"/>
      <c r="B412" s="113" t="s">
        <v>864</v>
      </c>
      <c r="C412" s="113" t="s">
        <v>953</v>
      </c>
      <c r="D412" s="33"/>
      <c r="E412" s="33"/>
      <c r="F412" s="33"/>
      <c r="G412" s="33"/>
      <c r="H412" s="33"/>
      <c r="I412" s="33"/>
      <c r="J412" s="33"/>
      <c r="K412" s="99"/>
    </row>
    <row r="413" spans="1:255" ht="13.5" thickBot="1" x14ac:dyDescent="0.25">
      <c r="A413" s="124"/>
      <c r="B413" s="125"/>
      <c r="C413" s="125" t="s">
        <v>867</v>
      </c>
      <c r="D413" s="125"/>
      <c r="E413" s="125"/>
      <c r="F413" s="125"/>
      <c r="G413" s="125"/>
      <c r="H413" s="380">
        <f>SUM(DK396:DK412)</f>
        <v>1431</v>
      </c>
      <c r="I413" s="381"/>
      <c r="J413" s="380">
        <f>SUM(DM396:DM412)</f>
        <v>5499</v>
      </c>
      <c r="K413" s="382"/>
      <c r="L413" s="112"/>
      <c r="M413" s="112"/>
      <c r="N413" s="112"/>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row>
    <row r="414" spans="1:255" x14ac:dyDescent="0.2">
      <c r="A414" s="123"/>
      <c r="B414" s="122"/>
      <c r="C414" s="122" t="s">
        <v>868</v>
      </c>
      <c r="D414" s="122"/>
      <c r="E414" s="122"/>
      <c r="F414" s="122"/>
      <c r="G414" s="122"/>
      <c r="H414" s="383">
        <f>R414</f>
        <v>1720</v>
      </c>
      <c r="I414" s="384"/>
      <c r="J414" s="383" t="e">
        <f>S414</f>
        <v>#REF!</v>
      </c>
      <c r="K414" s="385"/>
      <c r="O414" s="23"/>
      <c r="P414" s="23"/>
      <c r="Q414" s="23"/>
      <c r="R414" s="23">
        <f>SUM(T396:T413)</f>
        <v>1720</v>
      </c>
      <c r="S414" s="23" t="e">
        <f>SUM(U396:U413)</f>
        <v>#REF!</v>
      </c>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f>R414</f>
        <v>1720</v>
      </c>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row>
    <row r="415" spans="1:255" x14ac:dyDescent="0.2">
      <c r="A415" s="77"/>
      <c r="B415" s="76"/>
      <c r="C415" s="76"/>
      <c r="D415" s="76"/>
      <c r="E415" s="76"/>
      <c r="F415" s="76"/>
      <c r="G415" s="76"/>
      <c r="H415" s="386"/>
      <c r="I415" s="387"/>
      <c r="J415" s="386"/>
      <c r="K415" s="388"/>
    </row>
    <row r="416" spans="1:255" ht="36" x14ac:dyDescent="0.2">
      <c r="A416" s="126">
        <v>17</v>
      </c>
      <c r="B416" s="133" t="s">
        <v>342</v>
      </c>
      <c r="C416" s="127" t="s">
        <v>343</v>
      </c>
      <c r="D416" s="128" t="s">
        <v>298</v>
      </c>
      <c r="E416" s="129">
        <v>0.76</v>
      </c>
      <c r="F416" s="130">
        <f>Source!AK240</f>
        <v>246.8</v>
      </c>
      <c r="G416" s="134" t="s">
        <v>6</v>
      </c>
      <c r="H416" s="130"/>
      <c r="I416" s="131">
        <f>SUM(DQ416:DQ433)</f>
        <v>93</v>
      </c>
      <c r="J416" s="107" t="s">
        <v>342</v>
      </c>
      <c r="K416" s="132" t="e">
        <f>SUM(DS416:DS433)</f>
        <v>#REF!</v>
      </c>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row>
    <row r="417" spans="1:255" x14ac:dyDescent="0.2">
      <c r="A417" s="66"/>
      <c r="B417" s="67"/>
      <c r="C417" s="67" t="s">
        <v>853</v>
      </c>
      <c r="D417" s="68"/>
      <c r="E417" s="69"/>
      <c r="F417" s="70">
        <v>162.30000000000001</v>
      </c>
      <c r="G417" s="71"/>
      <c r="H417" s="70">
        <f>Source!AF240</f>
        <v>162.30000000000001</v>
      </c>
      <c r="I417" s="72">
        <f>T417</f>
        <v>31</v>
      </c>
      <c r="J417" s="73">
        <v>25.36</v>
      </c>
      <c r="K417" s="74">
        <f>U417</f>
        <v>782</v>
      </c>
      <c r="O417" s="23"/>
      <c r="P417" s="23"/>
      <c r="Q417" s="23"/>
      <c r="R417" s="23"/>
      <c r="S417" s="23"/>
      <c r="T417" s="23">
        <f>ROUND(Source!AF240*Source!AV240*Source!I240,0)</f>
        <v>31</v>
      </c>
      <c r="U417" s="23">
        <f>Source!S240</f>
        <v>782</v>
      </c>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v>2</v>
      </c>
      <c r="CW417" s="23"/>
      <c r="CX417" s="23"/>
      <c r="CY417" s="23"/>
      <c r="CZ417" s="23"/>
      <c r="DA417" s="23"/>
      <c r="DB417" s="23"/>
      <c r="DC417" s="23"/>
      <c r="DD417" s="23"/>
      <c r="DE417" s="23"/>
      <c r="DF417" s="23"/>
      <c r="DG417" s="23">
        <f>Source!S240</f>
        <v>782</v>
      </c>
      <c r="DH417" s="23">
        <v>1015</v>
      </c>
      <c r="DI417" s="23"/>
      <c r="DJ417" s="23"/>
      <c r="DK417" s="23"/>
      <c r="DL417" s="23"/>
      <c r="DM417" s="23"/>
      <c r="DN417" s="23"/>
      <c r="DO417" s="23"/>
      <c r="DP417" s="23"/>
      <c r="DQ417" s="23">
        <f>T417</f>
        <v>31</v>
      </c>
      <c r="DR417" s="23"/>
      <c r="DS417" s="23">
        <f>U417</f>
        <v>782</v>
      </c>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f>T417</f>
        <v>31</v>
      </c>
      <c r="GK417" s="23">
        <f>T417</f>
        <v>31</v>
      </c>
      <c r="GL417" s="23"/>
      <c r="GM417" s="23"/>
      <c r="GN417" s="23"/>
      <c r="GO417" s="23"/>
      <c r="GP417" s="23"/>
      <c r="GQ417" s="23"/>
      <c r="GR417" s="23"/>
      <c r="GS417" s="23"/>
      <c r="GT417" s="23"/>
      <c r="GU417" s="23"/>
      <c r="GV417" s="23"/>
      <c r="GW417" s="23"/>
      <c r="GX417" s="23"/>
      <c r="GY417" s="23"/>
      <c r="GZ417" s="23"/>
      <c r="HA417" s="23"/>
      <c r="HB417" s="23"/>
      <c r="HC417" s="23">
        <f>T417</f>
        <v>31</v>
      </c>
      <c r="HD417" s="23"/>
      <c r="HE417" s="23"/>
      <c r="HF417" s="23">
        <f>T417</f>
        <v>31</v>
      </c>
      <c r="HG417" s="23"/>
      <c r="HH417" s="23"/>
      <c r="HI417" s="23"/>
      <c r="HJ417" s="23"/>
      <c r="HK417" s="23"/>
      <c r="HL417" s="23">
        <f>T417</f>
        <v>31</v>
      </c>
      <c r="HM417" s="23"/>
      <c r="HN417" s="23"/>
      <c r="HO417" s="23"/>
      <c r="HP417" s="23">
        <f>T417</f>
        <v>31</v>
      </c>
      <c r="HQ417" s="23"/>
      <c r="HR417" s="23"/>
      <c r="HS417" s="23"/>
      <c r="HT417" s="23"/>
      <c r="HU417" s="23"/>
      <c r="HV417" s="23"/>
      <c r="HW417" s="23"/>
      <c r="HX417" s="23">
        <f>T417</f>
        <v>31</v>
      </c>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row>
    <row r="418" spans="1:255" x14ac:dyDescent="0.2">
      <c r="A418" s="78"/>
      <c r="B418" s="79"/>
      <c r="C418" s="79" t="s">
        <v>855</v>
      </c>
      <c r="D418" s="80"/>
      <c r="E418" s="81"/>
      <c r="F418" s="82">
        <v>59.83</v>
      </c>
      <c r="G418" s="83"/>
      <c r="H418" s="82">
        <f>Source!AD240</f>
        <v>59.83</v>
      </c>
      <c r="I418" s="84">
        <f>T418</f>
        <v>11</v>
      </c>
      <c r="J418" s="85">
        <v>7.84</v>
      </c>
      <c r="K418" s="86">
        <f>U418</f>
        <v>89</v>
      </c>
      <c r="O418" s="23"/>
      <c r="P418" s="23"/>
      <c r="Q418" s="23"/>
      <c r="R418" s="23"/>
      <c r="S418" s="23"/>
      <c r="T418" s="23">
        <f>ROUND(Source!AD240*Source!AV240*Source!I240,0)</f>
        <v>11</v>
      </c>
      <c r="U418" s="23">
        <f>Source!Q240</f>
        <v>89</v>
      </c>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v>2</v>
      </c>
      <c r="CW418" s="23"/>
      <c r="CX418" s="23"/>
      <c r="CY418" s="23"/>
      <c r="CZ418" s="23"/>
      <c r="DA418" s="23"/>
      <c r="DB418" s="23"/>
      <c r="DC418" s="23"/>
      <c r="DD418" s="23"/>
      <c r="DE418" s="23"/>
      <c r="DF418" s="23"/>
      <c r="DG418" s="23"/>
      <c r="DH418" s="23"/>
      <c r="DI418" s="23"/>
      <c r="DJ418" s="23"/>
      <c r="DK418" s="23"/>
      <c r="DL418" s="23"/>
      <c r="DM418" s="23"/>
      <c r="DN418" s="23"/>
      <c r="DO418" s="23"/>
      <c r="DP418" s="23"/>
      <c r="DQ418" s="23">
        <f>T418</f>
        <v>11</v>
      </c>
      <c r="DR418" s="23"/>
      <c r="DS418" s="23">
        <f>U418</f>
        <v>89</v>
      </c>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f>T418</f>
        <v>11</v>
      </c>
      <c r="GK418" s="23"/>
      <c r="GL418" s="23">
        <f>T418</f>
        <v>11</v>
      </c>
      <c r="GM418" s="23"/>
      <c r="GN418" s="23"/>
      <c r="GO418" s="23"/>
      <c r="GP418" s="23"/>
      <c r="GQ418" s="23"/>
      <c r="GR418" s="23"/>
      <c r="GS418" s="23"/>
      <c r="GT418" s="23"/>
      <c r="GU418" s="23"/>
      <c r="GV418" s="23"/>
      <c r="GW418" s="23"/>
      <c r="GX418" s="23"/>
      <c r="GY418" s="23"/>
      <c r="GZ418" s="23"/>
      <c r="HA418" s="23"/>
      <c r="HB418" s="23"/>
      <c r="HC418" s="23">
        <f>T418</f>
        <v>11</v>
      </c>
      <c r="HD418" s="23"/>
      <c r="HE418" s="23"/>
      <c r="HF418" s="23">
        <f>T418</f>
        <v>11</v>
      </c>
      <c r="HG418" s="23"/>
      <c r="HH418" s="23"/>
      <c r="HI418" s="23"/>
      <c r="HJ418" s="23"/>
      <c r="HK418" s="23"/>
      <c r="HL418" s="23">
        <f>T418</f>
        <v>11</v>
      </c>
      <c r="HM418" s="23"/>
      <c r="HN418" s="23"/>
      <c r="HO418" s="23"/>
      <c r="HP418" s="23">
        <f>T418</f>
        <v>11</v>
      </c>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row>
    <row r="419" spans="1:255" x14ac:dyDescent="0.2">
      <c r="A419" s="78"/>
      <c r="B419" s="79"/>
      <c r="C419" s="79" t="s">
        <v>857</v>
      </c>
      <c r="D419" s="80"/>
      <c r="E419" s="81"/>
      <c r="F419" s="82">
        <v>3.54</v>
      </c>
      <c r="G419" s="83"/>
      <c r="H419" s="82">
        <f>Source!AE240</f>
        <v>3.54</v>
      </c>
      <c r="I419" s="84">
        <f>GM419</f>
        <v>1</v>
      </c>
      <c r="J419" s="85">
        <v>19.8</v>
      </c>
      <c r="K419" s="86">
        <f>Source!R240</f>
        <v>13</v>
      </c>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f>ROUND(Source!AE240*Source!AV240*Source!I240,0)</f>
        <v>1</v>
      </c>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f>GM419</f>
        <v>1</v>
      </c>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row>
    <row r="420" spans="1:255" x14ac:dyDescent="0.2">
      <c r="A420" s="87"/>
      <c r="B420" s="88"/>
      <c r="C420" s="88" t="s">
        <v>858</v>
      </c>
      <c r="D420" s="89"/>
      <c r="E420" s="90">
        <v>95</v>
      </c>
      <c r="F420" s="91" t="s">
        <v>859</v>
      </c>
      <c r="G420" s="92"/>
      <c r="H420" s="93">
        <f>ROUND((Source!AF240*Source!AV240+Source!AE240*Source!AV240)*(Source!FX240)/100,2)</f>
        <v>157.55000000000001</v>
      </c>
      <c r="I420" s="94">
        <f>T420</f>
        <v>30</v>
      </c>
      <c r="J420" s="96">
        <v>0.9</v>
      </c>
      <c r="K420" s="95" t="e">
        <f>U420</f>
        <v>#REF!</v>
      </c>
      <c r="O420" s="23"/>
      <c r="P420" s="23"/>
      <c r="Q420" s="23"/>
      <c r="R420" s="23"/>
      <c r="S420" s="23"/>
      <c r="T420" s="23">
        <f>ROUND((ROUND(Source!AF240*Source!AV240*Source!I240,0)+ROUND(Source!AE240*Source!AV240*Source!I240,0))*(Source!DN240)/100,0)</f>
        <v>30</v>
      </c>
      <c r="U420" s="23" t="e">
        <f>Source!X240</f>
        <v>#REF!</v>
      </c>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v>2</v>
      </c>
      <c r="CW420" s="23"/>
      <c r="CX420" s="23"/>
      <c r="CY420" s="23"/>
      <c r="CZ420" s="23"/>
      <c r="DA420" s="23"/>
      <c r="DB420" s="23"/>
      <c r="DC420" s="23"/>
      <c r="DD420" s="23"/>
      <c r="DE420" s="23"/>
      <c r="DF420" s="23"/>
      <c r="DG420" s="23"/>
      <c r="DH420" s="23"/>
      <c r="DI420" s="23"/>
      <c r="DJ420" s="23"/>
      <c r="DK420" s="23"/>
      <c r="DL420" s="23"/>
      <c r="DM420" s="23"/>
      <c r="DN420" s="23"/>
      <c r="DO420" s="23"/>
      <c r="DP420" s="23"/>
      <c r="DQ420" s="23">
        <f>T420</f>
        <v>30</v>
      </c>
      <c r="DR420" s="23"/>
      <c r="DS420" s="23" t="e">
        <f>U420</f>
        <v>#REF!</v>
      </c>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f>T420</f>
        <v>30</v>
      </c>
      <c r="GZ420" s="23"/>
      <c r="HA420" s="23"/>
      <c r="HB420" s="23"/>
      <c r="HC420" s="23">
        <f>T420</f>
        <v>30</v>
      </c>
      <c r="HD420" s="23"/>
      <c r="HE420" s="23"/>
      <c r="HF420" s="23">
        <f>T420</f>
        <v>30</v>
      </c>
      <c r="HG420" s="23"/>
      <c r="HH420" s="23"/>
      <c r="HI420" s="23"/>
      <c r="HJ420" s="23"/>
      <c r="HK420" s="23"/>
      <c r="HL420" s="23">
        <f>T420</f>
        <v>30</v>
      </c>
      <c r="HM420" s="23"/>
      <c r="HN420" s="23"/>
      <c r="HO420" s="23"/>
      <c r="HP420" s="23">
        <f>T420</f>
        <v>30</v>
      </c>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row>
    <row r="421" spans="1:255" x14ac:dyDescent="0.2">
      <c r="A421" s="87"/>
      <c r="B421" s="88"/>
      <c r="C421" s="88" t="s">
        <v>860</v>
      </c>
      <c r="D421" s="89"/>
      <c r="E421" s="90">
        <v>65</v>
      </c>
      <c r="F421" s="91" t="s">
        <v>859</v>
      </c>
      <c r="G421" s="92"/>
      <c r="H421" s="93">
        <f>ROUND((Source!AF240*Source!AV240+Source!AE240*Source!AV240)*(Source!FY240)/100,2)</f>
        <v>107.8</v>
      </c>
      <c r="I421" s="94">
        <f>T421</f>
        <v>21</v>
      </c>
      <c r="J421" s="96">
        <v>0.55000000000000004</v>
      </c>
      <c r="K421" s="95" t="e">
        <f>U421</f>
        <v>#REF!</v>
      </c>
      <c r="O421" s="23"/>
      <c r="P421" s="23"/>
      <c r="Q421" s="23"/>
      <c r="R421" s="23"/>
      <c r="S421" s="23"/>
      <c r="T421" s="23">
        <f>ROUND((ROUND(Source!AF240*Source!AV240*Source!I240,0)+ROUND(Source!AE240*Source!AV240*Source!I240,0))*(Source!DO240)/100,0)</f>
        <v>21</v>
      </c>
      <c r="U421" s="23" t="e">
        <f>Source!Y240</f>
        <v>#REF!</v>
      </c>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v>2</v>
      </c>
      <c r="CW421" s="23"/>
      <c r="CX421" s="23"/>
      <c r="CY421" s="23"/>
      <c r="CZ421" s="23"/>
      <c r="DA421" s="23"/>
      <c r="DB421" s="23"/>
      <c r="DC421" s="23"/>
      <c r="DD421" s="23"/>
      <c r="DE421" s="23"/>
      <c r="DF421" s="23"/>
      <c r="DG421" s="23"/>
      <c r="DH421" s="23"/>
      <c r="DI421" s="23"/>
      <c r="DJ421" s="23"/>
      <c r="DK421" s="23"/>
      <c r="DL421" s="23"/>
      <c r="DM421" s="23"/>
      <c r="DN421" s="23"/>
      <c r="DO421" s="23"/>
      <c r="DP421" s="23"/>
      <c r="DQ421" s="23">
        <f>T421</f>
        <v>21</v>
      </c>
      <c r="DR421" s="23"/>
      <c r="DS421" s="23" t="e">
        <f>U421</f>
        <v>#REF!</v>
      </c>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f>T421</f>
        <v>21</v>
      </c>
      <c r="HA421" s="23"/>
      <c r="HB421" s="23"/>
      <c r="HC421" s="23">
        <f>T421</f>
        <v>21</v>
      </c>
      <c r="HD421" s="23"/>
      <c r="HE421" s="23"/>
      <c r="HF421" s="23">
        <f>T421</f>
        <v>21</v>
      </c>
      <c r="HG421" s="23"/>
      <c r="HH421" s="23"/>
      <c r="HI421" s="23"/>
      <c r="HJ421" s="23"/>
      <c r="HK421" s="23"/>
      <c r="HL421" s="23">
        <f>T421</f>
        <v>21</v>
      </c>
      <c r="HM421" s="23"/>
      <c r="HN421" s="23"/>
      <c r="HO421" s="23"/>
      <c r="HP421" s="23">
        <f>T421</f>
        <v>21</v>
      </c>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row>
    <row r="422" spans="1:255" x14ac:dyDescent="0.2">
      <c r="A422" s="78"/>
      <c r="B422" s="79"/>
      <c r="C422" s="79" t="s">
        <v>861</v>
      </c>
      <c r="D422" s="80" t="s">
        <v>862</v>
      </c>
      <c r="E422" s="81">
        <v>17.12</v>
      </c>
      <c r="F422" s="82"/>
      <c r="G422" s="83"/>
      <c r="H422" s="82" t="e">
        <f>ROUND(Source!AH240,2)</f>
        <v>#REF!</v>
      </c>
      <c r="I422" s="97" t="e">
        <f>Source!U240</f>
        <v>#REF!</v>
      </c>
      <c r="J422" s="85"/>
      <c r="K422" s="86"/>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row>
    <row r="423" spans="1:255" x14ac:dyDescent="0.2">
      <c r="A423" s="100" t="s">
        <v>345</v>
      </c>
      <c r="B423" s="109" t="s">
        <v>316</v>
      </c>
      <c r="C423" s="101" t="s">
        <v>317</v>
      </c>
      <c r="D423" s="102" t="s">
        <v>33</v>
      </c>
      <c r="E423" s="103">
        <f>Source!I242</f>
        <v>4.1800000000000002E-4</v>
      </c>
      <c r="F423" s="104">
        <v>10559.12</v>
      </c>
      <c r="G423" s="105"/>
      <c r="H423" s="104">
        <f>Source!AC241</f>
        <v>10559.12</v>
      </c>
      <c r="I423" s="106">
        <f>T423</f>
        <v>4</v>
      </c>
      <c r="J423" s="107" t="s">
        <v>863</v>
      </c>
      <c r="K423" s="108">
        <f>U423</f>
        <v>43</v>
      </c>
      <c r="L423" s="23"/>
      <c r="M423" s="23"/>
      <c r="N423" s="23"/>
      <c r="O423" s="23"/>
      <c r="P423" s="23"/>
      <c r="Q423" s="23"/>
      <c r="R423" s="23"/>
      <c r="S423" s="23"/>
      <c r="T423" s="23">
        <f>ROUND(Source!AC241*Source!AW241*Source!I241,0)</f>
        <v>4</v>
      </c>
      <c r="U423" s="23">
        <f>Source!P242</f>
        <v>43</v>
      </c>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v>1</v>
      </c>
      <c r="CW423" s="23"/>
      <c r="CX423" s="23"/>
      <c r="CY423" s="23"/>
      <c r="CZ423" s="23"/>
      <c r="DA423" s="23"/>
      <c r="DB423" s="23"/>
      <c r="DC423" s="23"/>
      <c r="DD423" s="23"/>
      <c r="DE423" s="23"/>
      <c r="DF423" s="23"/>
      <c r="DG423" s="23"/>
      <c r="DH423" s="23"/>
      <c r="DI423" s="23"/>
      <c r="DJ423" s="23"/>
      <c r="DK423" s="23">
        <f>T423</f>
        <v>4</v>
      </c>
      <c r="DL423" s="23"/>
      <c r="DM423" s="23">
        <f>Source!P242</f>
        <v>43</v>
      </c>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f>T423</f>
        <v>4</v>
      </c>
      <c r="GK423" s="23"/>
      <c r="GL423" s="23"/>
      <c r="GM423" s="23"/>
      <c r="GN423" s="23">
        <f>T423</f>
        <v>4</v>
      </c>
      <c r="GO423" s="23"/>
      <c r="GP423" s="23">
        <f>T423</f>
        <v>4</v>
      </c>
      <c r="GQ423" s="23">
        <f>T423</f>
        <v>4</v>
      </c>
      <c r="GR423" s="23"/>
      <c r="GS423" s="23">
        <f>T423</f>
        <v>4</v>
      </c>
      <c r="GT423" s="23"/>
      <c r="GU423" s="23"/>
      <c r="GV423" s="23"/>
      <c r="GW423" s="23"/>
      <c r="GX423" s="23"/>
      <c r="GY423" s="23"/>
      <c r="GZ423" s="23"/>
      <c r="HA423" s="23"/>
      <c r="HB423" s="23">
        <f>T423</f>
        <v>4</v>
      </c>
      <c r="HC423" s="23"/>
      <c r="HD423" s="23"/>
      <c r="HE423" s="23"/>
      <c r="HF423" s="23">
        <f>T423</f>
        <v>4</v>
      </c>
      <c r="HG423" s="23"/>
      <c r="HH423" s="23"/>
      <c r="HI423" s="23"/>
      <c r="HJ423" s="23"/>
      <c r="HK423" s="23"/>
      <c r="HL423" s="23">
        <f>T423</f>
        <v>4</v>
      </c>
      <c r="HM423" s="23"/>
      <c r="HN423" s="23">
        <f>T423</f>
        <v>4</v>
      </c>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row>
    <row r="424" spans="1:255" x14ac:dyDescent="0.2">
      <c r="A424" s="64"/>
      <c r="B424" s="111" t="s">
        <v>864</v>
      </c>
      <c r="C424" s="111" t="s">
        <v>949</v>
      </c>
      <c r="D424" s="63"/>
      <c r="E424" s="63"/>
      <c r="F424" s="63"/>
      <c r="G424" s="63"/>
      <c r="H424" s="63"/>
      <c r="I424" s="63"/>
      <c r="J424" s="63"/>
      <c r="K424" s="65"/>
    </row>
    <row r="425" spans="1:255" x14ac:dyDescent="0.2">
      <c r="A425" s="100" t="s">
        <v>346</v>
      </c>
      <c r="B425" s="109" t="s">
        <v>321</v>
      </c>
      <c r="C425" s="101" t="s">
        <v>322</v>
      </c>
      <c r="D425" s="102" t="s">
        <v>325</v>
      </c>
      <c r="E425" s="103">
        <f>Source!I244</f>
        <v>15</v>
      </c>
      <c r="F425" s="104">
        <v>7.93</v>
      </c>
      <c r="G425" s="105"/>
      <c r="H425" s="104">
        <f>Source!AC243</f>
        <v>7.93</v>
      </c>
      <c r="I425" s="106">
        <f>T425</f>
        <v>119</v>
      </c>
      <c r="J425" s="107" t="s">
        <v>863</v>
      </c>
      <c r="K425" s="108">
        <f>U425</f>
        <v>400</v>
      </c>
      <c r="L425" s="23"/>
      <c r="M425" s="23"/>
      <c r="N425" s="23"/>
      <c r="O425" s="23"/>
      <c r="P425" s="23"/>
      <c r="Q425" s="23"/>
      <c r="R425" s="23"/>
      <c r="S425" s="23"/>
      <c r="T425" s="23">
        <f>ROUND(Source!AC243*Source!AW243*Source!I243,0)</f>
        <v>119</v>
      </c>
      <c r="U425" s="23">
        <f>Source!P244</f>
        <v>400</v>
      </c>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v>2</v>
      </c>
      <c r="CW425" s="23"/>
      <c r="CX425" s="23"/>
      <c r="CY425" s="23"/>
      <c r="CZ425" s="23"/>
      <c r="DA425" s="23"/>
      <c r="DB425" s="23"/>
      <c r="DC425" s="23"/>
      <c r="DD425" s="23"/>
      <c r="DE425" s="23"/>
      <c r="DF425" s="23"/>
      <c r="DG425" s="23"/>
      <c r="DH425" s="23"/>
      <c r="DI425" s="23"/>
      <c r="DJ425" s="23"/>
      <c r="DK425" s="23">
        <f>T425</f>
        <v>119</v>
      </c>
      <c r="DL425" s="23"/>
      <c r="DM425" s="23">
        <f>Source!P244</f>
        <v>400</v>
      </c>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f>T425</f>
        <v>119</v>
      </c>
      <c r="GK425" s="23"/>
      <c r="GL425" s="23"/>
      <c r="GM425" s="23"/>
      <c r="GN425" s="23">
        <f>T425</f>
        <v>119</v>
      </c>
      <c r="GO425" s="23"/>
      <c r="GP425" s="23">
        <f>T425</f>
        <v>119</v>
      </c>
      <c r="GQ425" s="23">
        <f>T425</f>
        <v>119</v>
      </c>
      <c r="GR425" s="23"/>
      <c r="GS425" s="23">
        <f>T425</f>
        <v>119</v>
      </c>
      <c r="GT425" s="23"/>
      <c r="GU425" s="23"/>
      <c r="GV425" s="23"/>
      <c r="GW425" s="23"/>
      <c r="GX425" s="23"/>
      <c r="GY425" s="23"/>
      <c r="GZ425" s="23"/>
      <c r="HA425" s="23"/>
      <c r="HB425" s="23"/>
      <c r="HC425" s="23">
        <f>T425</f>
        <v>119</v>
      </c>
      <c r="HD425" s="23"/>
      <c r="HE425" s="23"/>
      <c r="HF425" s="23">
        <f>T425</f>
        <v>119</v>
      </c>
      <c r="HG425" s="23"/>
      <c r="HH425" s="23"/>
      <c r="HI425" s="23"/>
      <c r="HJ425" s="23"/>
      <c r="HK425" s="23"/>
      <c r="HL425" s="23">
        <f>T425</f>
        <v>119</v>
      </c>
      <c r="HM425" s="23"/>
      <c r="HN425" s="23"/>
      <c r="HO425" s="23"/>
      <c r="HP425" s="23">
        <f>T425</f>
        <v>119</v>
      </c>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row>
    <row r="426" spans="1:255" x14ac:dyDescent="0.2">
      <c r="A426" s="64"/>
      <c r="B426" s="111" t="s">
        <v>864</v>
      </c>
      <c r="C426" s="111" t="s">
        <v>950</v>
      </c>
      <c r="D426" s="63"/>
      <c r="E426" s="63"/>
      <c r="F426" s="63"/>
      <c r="G426" s="63"/>
      <c r="H426" s="63"/>
      <c r="I426" s="63"/>
      <c r="J426" s="63"/>
      <c r="K426" s="65"/>
    </row>
    <row r="427" spans="1:255" x14ac:dyDescent="0.2">
      <c r="A427" s="100" t="s">
        <v>347</v>
      </c>
      <c r="B427" s="109" t="s">
        <v>321</v>
      </c>
      <c r="C427" s="101" t="s">
        <v>328</v>
      </c>
      <c r="D427" s="102" t="s">
        <v>325</v>
      </c>
      <c r="E427" s="103">
        <f>Source!I246</f>
        <v>18</v>
      </c>
      <c r="F427" s="104">
        <v>7.93</v>
      </c>
      <c r="G427" s="105"/>
      <c r="H427" s="104">
        <f>Source!AC245</f>
        <v>7.93</v>
      </c>
      <c r="I427" s="106">
        <f>T427</f>
        <v>143</v>
      </c>
      <c r="J427" s="107" t="s">
        <v>863</v>
      </c>
      <c r="K427" s="108">
        <f>U427</f>
        <v>578</v>
      </c>
      <c r="L427" s="23"/>
      <c r="M427" s="23"/>
      <c r="N427" s="23"/>
      <c r="O427" s="23"/>
      <c r="P427" s="23"/>
      <c r="Q427" s="23"/>
      <c r="R427" s="23"/>
      <c r="S427" s="23"/>
      <c r="T427" s="23">
        <f>ROUND(Source!AC245*Source!AW245*Source!I245,0)</f>
        <v>143</v>
      </c>
      <c r="U427" s="23">
        <f>Source!P246</f>
        <v>578</v>
      </c>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v>2</v>
      </c>
      <c r="CW427" s="23"/>
      <c r="CX427" s="23"/>
      <c r="CY427" s="23"/>
      <c r="CZ427" s="23"/>
      <c r="DA427" s="23"/>
      <c r="DB427" s="23"/>
      <c r="DC427" s="23"/>
      <c r="DD427" s="23"/>
      <c r="DE427" s="23"/>
      <c r="DF427" s="23"/>
      <c r="DG427" s="23"/>
      <c r="DH427" s="23"/>
      <c r="DI427" s="23"/>
      <c r="DJ427" s="23"/>
      <c r="DK427" s="23">
        <f>T427</f>
        <v>143</v>
      </c>
      <c r="DL427" s="23"/>
      <c r="DM427" s="23">
        <f>Source!P246</f>
        <v>578</v>
      </c>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f>T427</f>
        <v>143</v>
      </c>
      <c r="GK427" s="23"/>
      <c r="GL427" s="23"/>
      <c r="GM427" s="23"/>
      <c r="GN427" s="23">
        <f>T427</f>
        <v>143</v>
      </c>
      <c r="GO427" s="23"/>
      <c r="GP427" s="23">
        <f>T427</f>
        <v>143</v>
      </c>
      <c r="GQ427" s="23">
        <f>T427</f>
        <v>143</v>
      </c>
      <c r="GR427" s="23"/>
      <c r="GS427" s="23">
        <f>T427</f>
        <v>143</v>
      </c>
      <c r="GT427" s="23"/>
      <c r="GU427" s="23"/>
      <c r="GV427" s="23"/>
      <c r="GW427" s="23"/>
      <c r="GX427" s="23"/>
      <c r="GY427" s="23"/>
      <c r="GZ427" s="23"/>
      <c r="HA427" s="23"/>
      <c r="HB427" s="23"/>
      <c r="HC427" s="23">
        <f>T427</f>
        <v>143</v>
      </c>
      <c r="HD427" s="23"/>
      <c r="HE427" s="23"/>
      <c r="HF427" s="23">
        <f>T427</f>
        <v>143</v>
      </c>
      <c r="HG427" s="23"/>
      <c r="HH427" s="23"/>
      <c r="HI427" s="23"/>
      <c r="HJ427" s="23"/>
      <c r="HK427" s="23"/>
      <c r="HL427" s="23">
        <f>T427</f>
        <v>143</v>
      </c>
      <c r="HM427" s="23"/>
      <c r="HN427" s="23"/>
      <c r="HO427" s="23"/>
      <c r="HP427" s="23">
        <f>T427</f>
        <v>143</v>
      </c>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row>
    <row r="428" spans="1:255" x14ac:dyDescent="0.2">
      <c r="A428" s="64"/>
      <c r="B428" s="111" t="s">
        <v>864</v>
      </c>
      <c r="C428" s="111" t="s">
        <v>951</v>
      </c>
      <c r="D428" s="63"/>
      <c r="E428" s="63"/>
      <c r="F428" s="63"/>
      <c r="G428" s="63"/>
      <c r="H428" s="63"/>
      <c r="I428" s="63"/>
      <c r="J428" s="63"/>
      <c r="K428" s="65"/>
    </row>
    <row r="429" spans="1:255" ht="48" x14ac:dyDescent="0.2">
      <c r="A429" s="100" t="s">
        <v>348</v>
      </c>
      <c r="B429" s="109" t="s">
        <v>349</v>
      </c>
      <c r="C429" s="101" t="s">
        <v>350</v>
      </c>
      <c r="D429" s="102" t="s">
        <v>333</v>
      </c>
      <c r="E429" s="103">
        <f>Source!I248</f>
        <v>1.9</v>
      </c>
      <c r="F429" s="104">
        <v>90</v>
      </c>
      <c r="G429" s="105"/>
      <c r="H429" s="104">
        <f>Source!AC247</f>
        <v>90</v>
      </c>
      <c r="I429" s="106">
        <f>T429</f>
        <v>171</v>
      </c>
      <c r="J429" s="107" t="s">
        <v>863</v>
      </c>
      <c r="K429" s="108">
        <f>U429</f>
        <v>705</v>
      </c>
      <c r="L429" s="23"/>
      <c r="M429" s="23"/>
      <c r="N429" s="23"/>
      <c r="O429" s="23"/>
      <c r="P429" s="23"/>
      <c r="Q429" s="23"/>
      <c r="R429" s="23"/>
      <c r="S429" s="23"/>
      <c r="T429" s="23">
        <f>ROUND(Source!AC247*Source!AW247*Source!I247,0)</f>
        <v>171</v>
      </c>
      <c r="U429" s="23">
        <f>Source!P248</f>
        <v>705</v>
      </c>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v>2</v>
      </c>
      <c r="CW429" s="23"/>
      <c r="CX429" s="23"/>
      <c r="CY429" s="23"/>
      <c r="CZ429" s="23"/>
      <c r="DA429" s="23"/>
      <c r="DB429" s="23"/>
      <c r="DC429" s="23"/>
      <c r="DD429" s="23"/>
      <c r="DE429" s="23"/>
      <c r="DF429" s="23"/>
      <c r="DG429" s="23"/>
      <c r="DH429" s="23"/>
      <c r="DI429" s="23"/>
      <c r="DJ429" s="23"/>
      <c r="DK429" s="23">
        <f>T429</f>
        <v>171</v>
      </c>
      <c r="DL429" s="23"/>
      <c r="DM429" s="23">
        <f>Source!P248</f>
        <v>705</v>
      </c>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f>T429</f>
        <v>171</v>
      </c>
      <c r="GK429" s="23"/>
      <c r="GL429" s="23"/>
      <c r="GM429" s="23"/>
      <c r="GN429" s="23">
        <f>T429</f>
        <v>171</v>
      </c>
      <c r="GO429" s="23"/>
      <c r="GP429" s="23">
        <f>T429</f>
        <v>171</v>
      </c>
      <c r="GQ429" s="23">
        <f>T429</f>
        <v>171</v>
      </c>
      <c r="GR429" s="23"/>
      <c r="GS429" s="23">
        <f>T429</f>
        <v>171</v>
      </c>
      <c r="GT429" s="23"/>
      <c r="GU429" s="23"/>
      <c r="GV429" s="23"/>
      <c r="GW429" s="23"/>
      <c r="GX429" s="23"/>
      <c r="GY429" s="23"/>
      <c r="GZ429" s="23"/>
      <c r="HA429" s="23"/>
      <c r="HB429" s="23"/>
      <c r="HC429" s="23">
        <f>T429</f>
        <v>171</v>
      </c>
      <c r="HD429" s="23"/>
      <c r="HE429" s="23"/>
      <c r="HF429" s="23">
        <f>T429</f>
        <v>171</v>
      </c>
      <c r="HG429" s="23"/>
      <c r="HH429" s="23"/>
      <c r="HI429" s="23"/>
      <c r="HJ429" s="23"/>
      <c r="HK429" s="23"/>
      <c r="HL429" s="23">
        <f>T429</f>
        <v>171</v>
      </c>
      <c r="HM429" s="23"/>
      <c r="HN429" s="23"/>
      <c r="HO429" s="23"/>
      <c r="HP429" s="23">
        <f>T429</f>
        <v>171</v>
      </c>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row>
    <row r="430" spans="1:255" x14ac:dyDescent="0.2">
      <c r="A430" s="64"/>
      <c r="B430" s="111" t="s">
        <v>864</v>
      </c>
      <c r="C430" s="111" t="s">
        <v>954</v>
      </c>
      <c r="D430" s="63"/>
      <c r="E430" s="63"/>
      <c r="F430" s="63"/>
      <c r="G430" s="63"/>
      <c r="H430" s="63"/>
      <c r="I430" s="63"/>
      <c r="J430" s="63"/>
      <c r="K430" s="65"/>
    </row>
    <row r="431" spans="1:255" ht="24" x14ac:dyDescent="0.2">
      <c r="A431" s="114" t="s">
        <v>353</v>
      </c>
      <c r="B431" s="115" t="s">
        <v>337</v>
      </c>
      <c r="C431" s="116" t="s">
        <v>338</v>
      </c>
      <c r="D431" s="117" t="s">
        <v>44</v>
      </c>
      <c r="E431" s="118">
        <f>Source!I250</f>
        <v>3.9899999999999996E-3</v>
      </c>
      <c r="F431" s="119">
        <v>586.71</v>
      </c>
      <c r="G431" s="71"/>
      <c r="H431" s="119">
        <f>Source!AC249</f>
        <v>586.71</v>
      </c>
      <c r="I431" s="120">
        <f>T431</f>
        <v>2</v>
      </c>
      <c r="J431" s="73" t="s">
        <v>863</v>
      </c>
      <c r="K431" s="121">
        <f>U431</f>
        <v>21</v>
      </c>
      <c r="L431" s="23"/>
      <c r="M431" s="23"/>
      <c r="N431" s="23"/>
      <c r="O431" s="23"/>
      <c r="P431" s="23"/>
      <c r="Q431" s="23"/>
      <c r="R431" s="23"/>
      <c r="S431" s="23"/>
      <c r="T431" s="23">
        <f>ROUND(Source!AC249*Source!AW249*Source!I249,0)</f>
        <v>2</v>
      </c>
      <c r="U431" s="23">
        <f>Source!P250</f>
        <v>21</v>
      </c>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v>1</v>
      </c>
      <c r="CW431" s="23"/>
      <c r="CX431" s="23"/>
      <c r="CY431" s="23"/>
      <c r="CZ431" s="23"/>
      <c r="DA431" s="23"/>
      <c r="DB431" s="23"/>
      <c r="DC431" s="23"/>
      <c r="DD431" s="23"/>
      <c r="DE431" s="23"/>
      <c r="DF431" s="23"/>
      <c r="DG431" s="23"/>
      <c r="DH431" s="23"/>
      <c r="DI431" s="23"/>
      <c r="DJ431" s="23"/>
      <c r="DK431" s="23">
        <f>T431</f>
        <v>2</v>
      </c>
      <c r="DL431" s="23"/>
      <c r="DM431" s="23">
        <f>Source!P250</f>
        <v>21</v>
      </c>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f>T431</f>
        <v>2</v>
      </c>
      <c r="GK431" s="23"/>
      <c r="GL431" s="23"/>
      <c r="GM431" s="23"/>
      <c r="GN431" s="23">
        <f>T431</f>
        <v>2</v>
      </c>
      <c r="GO431" s="23"/>
      <c r="GP431" s="23">
        <f>T431</f>
        <v>2</v>
      </c>
      <c r="GQ431" s="23">
        <f>T431</f>
        <v>2</v>
      </c>
      <c r="GR431" s="23"/>
      <c r="GS431" s="23">
        <f>T431</f>
        <v>2</v>
      </c>
      <c r="GT431" s="23"/>
      <c r="GU431" s="23"/>
      <c r="GV431" s="23"/>
      <c r="GW431" s="23"/>
      <c r="GX431" s="23"/>
      <c r="GY431" s="23"/>
      <c r="GZ431" s="23"/>
      <c r="HA431" s="23"/>
      <c r="HB431" s="23">
        <f>T431</f>
        <v>2</v>
      </c>
      <c r="HC431" s="23"/>
      <c r="HD431" s="23"/>
      <c r="HE431" s="23"/>
      <c r="HF431" s="23">
        <f>T431</f>
        <v>2</v>
      </c>
      <c r="HG431" s="23"/>
      <c r="HH431" s="23"/>
      <c r="HI431" s="23"/>
      <c r="HJ431" s="23"/>
      <c r="HK431" s="23"/>
      <c r="HL431" s="23">
        <f>T431</f>
        <v>2</v>
      </c>
      <c r="HM431" s="23"/>
      <c r="HN431" s="23">
        <f>T431</f>
        <v>2</v>
      </c>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row>
    <row r="432" spans="1:255" x14ac:dyDescent="0.2">
      <c r="A432" s="98"/>
      <c r="B432" s="113" t="s">
        <v>864</v>
      </c>
      <c r="C432" s="113" t="s">
        <v>953</v>
      </c>
      <c r="D432" s="33"/>
      <c r="E432" s="33"/>
      <c r="F432" s="33"/>
      <c r="G432" s="33"/>
      <c r="H432" s="33"/>
      <c r="I432" s="33"/>
      <c r="J432" s="33"/>
      <c r="K432" s="99"/>
    </row>
    <row r="433" spans="1:255" ht="13.5" thickBot="1" x14ac:dyDescent="0.25">
      <c r="A433" s="124"/>
      <c r="B433" s="125"/>
      <c r="C433" s="125" t="s">
        <v>867</v>
      </c>
      <c r="D433" s="125"/>
      <c r="E433" s="125"/>
      <c r="F433" s="125"/>
      <c r="G433" s="125"/>
      <c r="H433" s="380">
        <f>SUM(DK416:DK432)</f>
        <v>439</v>
      </c>
      <c r="I433" s="381"/>
      <c r="J433" s="380">
        <f>SUM(DM416:DM432)</f>
        <v>1747</v>
      </c>
      <c r="K433" s="382"/>
      <c r="L433" s="112"/>
      <c r="M433" s="112"/>
      <c r="N433" s="112"/>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row>
    <row r="434" spans="1:255" x14ac:dyDescent="0.2">
      <c r="A434" s="123"/>
      <c r="B434" s="122"/>
      <c r="C434" s="122" t="s">
        <v>868</v>
      </c>
      <c r="D434" s="122"/>
      <c r="E434" s="122"/>
      <c r="F434" s="122"/>
      <c r="G434" s="122"/>
      <c r="H434" s="383">
        <f>R434</f>
        <v>532</v>
      </c>
      <c r="I434" s="384"/>
      <c r="J434" s="383" t="e">
        <f>S434</f>
        <v>#REF!</v>
      </c>
      <c r="K434" s="385"/>
      <c r="O434" s="23"/>
      <c r="P434" s="23"/>
      <c r="Q434" s="23"/>
      <c r="R434" s="23">
        <f>SUM(T416:T433)</f>
        <v>532</v>
      </c>
      <c r="S434" s="23" t="e">
        <f>SUM(U416:U433)</f>
        <v>#REF!</v>
      </c>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f>R434</f>
        <v>532</v>
      </c>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row>
    <row r="435" spans="1:255" x14ac:dyDescent="0.2">
      <c r="A435" s="77"/>
      <c r="B435" s="76"/>
      <c r="C435" s="76"/>
      <c r="D435" s="76"/>
      <c r="E435" s="76"/>
      <c r="F435" s="76"/>
      <c r="G435" s="76"/>
      <c r="H435" s="386"/>
      <c r="I435" s="387"/>
      <c r="J435" s="386"/>
      <c r="K435" s="388"/>
    </row>
    <row r="436" spans="1:255" ht="45" x14ac:dyDescent="0.2">
      <c r="A436" s="126">
        <v>18</v>
      </c>
      <c r="B436" s="133" t="s">
        <v>355</v>
      </c>
      <c r="C436" s="127" t="s">
        <v>955</v>
      </c>
      <c r="D436" s="128" t="s">
        <v>49</v>
      </c>
      <c r="E436" s="129">
        <v>0.1328</v>
      </c>
      <c r="F436" s="130">
        <f>Source!AK252</f>
        <v>6866.6600000000008</v>
      </c>
      <c r="G436" s="134" t="s">
        <v>6</v>
      </c>
      <c r="H436" s="130"/>
      <c r="I436" s="131">
        <f>SUM(DQ436:DQ449)</f>
        <v>77</v>
      </c>
      <c r="J436" s="107" t="s">
        <v>355</v>
      </c>
      <c r="K436" s="132" t="e">
        <f>SUM(DS436:DS449)</f>
        <v>#REF!</v>
      </c>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row>
    <row r="437" spans="1:255" x14ac:dyDescent="0.2">
      <c r="A437" s="66"/>
      <c r="B437" s="67"/>
      <c r="C437" s="67" t="s">
        <v>853</v>
      </c>
      <c r="D437" s="68"/>
      <c r="E437" s="69"/>
      <c r="F437" s="70">
        <v>725.79</v>
      </c>
      <c r="G437" s="71" t="s">
        <v>854</v>
      </c>
      <c r="H437" s="70">
        <f>Source!AF252</f>
        <v>762.08</v>
      </c>
      <c r="I437" s="72">
        <f>T437</f>
        <v>25</v>
      </c>
      <c r="J437" s="73">
        <v>25.36</v>
      </c>
      <c r="K437" s="74">
        <f>U437</f>
        <v>642</v>
      </c>
      <c r="O437" s="23"/>
      <c r="P437" s="23"/>
      <c r="Q437" s="23"/>
      <c r="R437" s="23"/>
      <c r="S437" s="23"/>
      <c r="T437" s="23">
        <f>ROUND(Source!AF252*Source!AV252*Source!I252,0)</f>
        <v>25</v>
      </c>
      <c r="U437" s="23">
        <f>Source!S252</f>
        <v>642</v>
      </c>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v>1</v>
      </c>
      <c r="CW437" s="23"/>
      <c r="CX437" s="23"/>
      <c r="CY437" s="23"/>
      <c r="CZ437" s="23"/>
      <c r="DA437" s="23"/>
      <c r="DB437" s="23"/>
      <c r="DC437" s="23"/>
      <c r="DD437" s="23"/>
      <c r="DE437" s="23"/>
      <c r="DF437" s="23"/>
      <c r="DG437" s="23">
        <f>Source!S252</f>
        <v>642</v>
      </c>
      <c r="DH437" s="23">
        <v>1015</v>
      </c>
      <c r="DI437" s="23"/>
      <c r="DJ437" s="23"/>
      <c r="DK437" s="23"/>
      <c r="DL437" s="23"/>
      <c r="DM437" s="23"/>
      <c r="DN437" s="23"/>
      <c r="DO437" s="23"/>
      <c r="DP437" s="23"/>
      <c r="DQ437" s="23">
        <f>T437</f>
        <v>25</v>
      </c>
      <c r="DR437" s="23"/>
      <c r="DS437" s="23">
        <f>U437</f>
        <v>642</v>
      </c>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f>T437</f>
        <v>25</v>
      </c>
      <c r="GK437" s="23">
        <f>T437</f>
        <v>25</v>
      </c>
      <c r="GL437" s="23"/>
      <c r="GM437" s="23"/>
      <c r="GN437" s="23"/>
      <c r="GO437" s="23"/>
      <c r="GP437" s="23"/>
      <c r="GQ437" s="23"/>
      <c r="GR437" s="23"/>
      <c r="GS437" s="23"/>
      <c r="GT437" s="23"/>
      <c r="GU437" s="23"/>
      <c r="GV437" s="23"/>
      <c r="GW437" s="23"/>
      <c r="GX437" s="23"/>
      <c r="GY437" s="23"/>
      <c r="GZ437" s="23"/>
      <c r="HA437" s="23"/>
      <c r="HB437" s="23">
        <f>T437</f>
        <v>25</v>
      </c>
      <c r="HC437" s="23"/>
      <c r="HD437" s="23"/>
      <c r="HE437" s="23"/>
      <c r="HF437" s="23">
        <f>T437</f>
        <v>25</v>
      </c>
      <c r="HG437" s="23"/>
      <c r="HH437" s="23"/>
      <c r="HI437" s="23"/>
      <c r="HJ437" s="23"/>
      <c r="HK437" s="23"/>
      <c r="HL437" s="23">
        <f>T437</f>
        <v>25</v>
      </c>
      <c r="HM437" s="23"/>
      <c r="HN437" s="23">
        <f>T437</f>
        <v>25</v>
      </c>
      <c r="HO437" s="23"/>
      <c r="HP437" s="23"/>
      <c r="HQ437" s="23"/>
      <c r="HR437" s="23"/>
      <c r="HS437" s="23"/>
      <c r="HT437" s="23"/>
      <c r="HU437" s="23"/>
      <c r="HV437" s="23"/>
      <c r="HW437" s="23"/>
      <c r="HX437" s="23">
        <f>T437</f>
        <v>25</v>
      </c>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row>
    <row r="438" spans="1:255" x14ac:dyDescent="0.2">
      <c r="A438" s="78"/>
      <c r="B438" s="79"/>
      <c r="C438" s="79" t="s">
        <v>855</v>
      </c>
      <c r="D438" s="80"/>
      <c r="E438" s="81"/>
      <c r="F438" s="82">
        <v>77.52</v>
      </c>
      <c r="G438" s="83" t="s">
        <v>856</v>
      </c>
      <c r="H438" s="82">
        <f>Source!AD252</f>
        <v>102.38</v>
      </c>
      <c r="I438" s="84">
        <f>T438</f>
        <v>3</v>
      </c>
      <c r="J438" s="85">
        <v>7.84</v>
      </c>
      <c r="K438" s="86">
        <f>U438</f>
        <v>27</v>
      </c>
      <c r="O438" s="23"/>
      <c r="P438" s="23"/>
      <c r="Q438" s="23"/>
      <c r="R438" s="23"/>
      <c r="S438" s="23"/>
      <c r="T438" s="23">
        <f>ROUND(Source!AD252*Source!AV252*Source!I252,0)</f>
        <v>3</v>
      </c>
      <c r="U438" s="23">
        <f>Source!Q252</f>
        <v>27</v>
      </c>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v>1</v>
      </c>
      <c r="CW438" s="23"/>
      <c r="CX438" s="23"/>
      <c r="CY438" s="23"/>
      <c r="CZ438" s="23"/>
      <c r="DA438" s="23"/>
      <c r="DB438" s="23"/>
      <c r="DC438" s="23"/>
      <c r="DD438" s="23"/>
      <c r="DE438" s="23"/>
      <c r="DF438" s="23"/>
      <c r="DG438" s="23"/>
      <c r="DH438" s="23"/>
      <c r="DI438" s="23"/>
      <c r="DJ438" s="23"/>
      <c r="DK438" s="23"/>
      <c r="DL438" s="23"/>
      <c r="DM438" s="23"/>
      <c r="DN438" s="23"/>
      <c r="DO438" s="23"/>
      <c r="DP438" s="23"/>
      <c r="DQ438" s="23">
        <f>T438</f>
        <v>3</v>
      </c>
      <c r="DR438" s="23"/>
      <c r="DS438" s="23">
        <f>U438</f>
        <v>27</v>
      </c>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f>T438</f>
        <v>3</v>
      </c>
      <c r="GK438" s="23"/>
      <c r="GL438" s="23">
        <f>T438</f>
        <v>3</v>
      </c>
      <c r="GM438" s="23"/>
      <c r="GN438" s="23"/>
      <c r="GO438" s="23"/>
      <c r="GP438" s="23"/>
      <c r="GQ438" s="23"/>
      <c r="GR438" s="23"/>
      <c r="GS438" s="23"/>
      <c r="GT438" s="23"/>
      <c r="GU438" s="23"/>
      <c r="GV438" s="23"/>
      <c r="GW438" s="23"/>
      <c r="GX438" s="23"/>
      <c r="GY438" s="23"/>
      <c r="GZ438" s="23"/>
      <c r="HA438" s="23"/>
      <c r="HB438" s="23">
        <f>T438</f>
        <v>3</v>
      </c>
      <c r="HC438" s="23"/>
      <c r="HD438" s="23"/>
      <c r="HE438" s="23"/>
      <c r="HF438" s="23">
        <f>T438</f>
        <v>3</v>
      </c>
      <c r="HG438" s="23"/>
      <c r="HH438" s="23"/>
      <c r="HI438" s="23"/>
      <c r="HJ438" s="23"/>
      <c r="HK438" s="23"/>
      <c r="HL438" s="23">
        <f>T438</f>
        <v>3</v>
      </c>
      <c r="HM438" s="23"/>
      <c r="HN438" s="23">
        <f>T438</f>
        <v>3</v>
      </c>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row>
    <row r="439" spans="1:255" x14ac:dyDescent="0.2">
      <c r="A439" s="78"/>
      <c r="B439" s="79"/>
      <c r="C439" s="79" t="s">
        <v>857</v>
      </c>
      <c r="D439" s="80"/>
      <c r="E439" s="81"/>
      <c r="F439" s="82">
        <v>9.25</v>
      </c>
      <c r="G439" s="83" t="s">
        <v>856</v>
      </c>
      <c r="H439" s="82">
        <f>Source!AE252</f>
        <v>10.36</v>
      </c>
      <c r="I439" s="84">
        <f>GM439</f>
        <v>0</v>
      </c>
      <c r="J439" s="85">
        <v>19.8</v>
      </c>
      <c r="K439" s="86">
        <f>Source!R252</f>
        <v>7</v>
      </c>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f>ROUND(Source!AE252*Source!AV252*Source!I252,0)</f>
        <v>0</v>
      </c>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f>GM439</f>
        <v>0</v>
      </c>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row>
    <row r="440" spans="1:255" x14ac:dyDescent="0.2">
      <c r="A440" s="87"/>
      <c r="B440" s="88"/>
      <c r="C440" s="88" t="s">
        <v>858</v>
      </c>
      <c r="D440" s="89"/>
      <c r="E440" s="90">
        <v>120</v>
      </c>
      <c r="F440" s="91" t="s">
        <v>859</v>
      </c>
      <c r="G440" s="92"/>
      <c r="H440" s="93">
        <f>ROUND((Source!AF252*Source!AV252+Source!AE252*Source!AV252)*(Source!FX252)/100,2)</f>
        <v>926.93</v>
      </c>
      <c r="I440" s="94">
        <f>T440</f>
        <v>30</v>
      </c>
      <c r="J440" s="96">
        <v>1.1399999999999999</v>
      </c>
      <c r="K440" s="95" t="e">
        <f>U440</f>
        <v>#REF!</v>
      </c>
      <c r="O440" s="23"/>
      <c r="P440" s="23"/>
      <c r="Q440" s="23"/>
      <c r="R440" s="23"/>
      <c r="S440" s="23"/>
      <c r="T440" s="23">
        <f>ROUND((ROUND(Source!AF252*Source!AV252*Source!I252,0)+ROUND(Source!AE252*Source!AV252*Source!I252,0))*(Source!DN252)/100,0)</f>
        <v>30</v>
      </c>
      <c r="U440" s="23" t="e">
        <f>Source!X252</f>
        <v>#REF!</v>
      </c>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v>1</v>
      </c>
      <c r="CW440" s="23"/>
      <c r="CX440" s="23"/>
      <c r="CY440" s="23"/>
      <c r="CZ440" s="23"/>
      <c r="DA440" s="23"/>
      <c r="DB440" s="23"/>
      <c r="DC440" s="23"/>
      <c r="DD440" s="23"/>
      <c r="DE440" s="23"/>
      <c r="DF440" s="23"/>
      <c r="DG440" s="23"/>
      <c r="DH440" s="23"/>
      <c r="DI440" s="23"/>
      <c r="DJ440" s="23"/>
      <c r="DK440" s="23"/>
      <c r="DL440" s="23"/>
      <c r="DM440" s="23"/>
      <c r="DN440" s="23"/>
      <c r="DO440" s="23"/>
      <c r="DP440" s="23"/>
      <c r="DQ440" s="23">
        <f>T440</f>
        <v>30</v>
      </c>
      <c r="DR440" s="23"/>
      <c r="DS440" s="23" t="e">
        <f>U440</f>
        <v>#REF!</v>
      </c>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f>T440</f>
        <v>30</v>
      </c>
      <c r="GZ440" s="23"/>
      <c r="HA440" s="23"/>
      <c r="HB440" s="23">
        <f>T440</f>
        <v>30</v>
      </c>
      <c r="HC440" s="23"/>
      <c r="HD440" s="23"/>
      <c r="HE440" s="23"/>
      <c r="HF440" s="23">
        <f>T440</f>
        <v>30</v>
      </c>
      <c r="HG440" s="23"/>
      <c r="HH440" s="23"/>
      <c r="HI440" s="23"/>
      <c r="HJ440" s="23"/>
      <c r="HK440" s="23"/>
      <c r="HL440" s="23">
        <f>T440</f>
        <v>30</v>
      </c>
      <c r="HM440" s="23"/>
      <c r="HN440" s="23">
        <f>T440</f>
        <v>30</v>
      </c>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row>
    <row r="441" spans="1:255" x14ac:dyDescent="0.2">
      <c r="A441" s="87"/>
      <c r="B441" s="88"/>
      <c r="C441" s="88" t="s">
        <v>860</v>
      </c>
      <c r="D441" s="89"/>
      <c r="E441" s="90">
        <v>77</v>
      </c>
      <c r="F441" s="91" t="s">
        <v>859</v>
      </c>
      <c r="G441" s="92"/>
      <c r="H441" s="93">
        <f>ROUND((Source!AF252*Source!AV252+Source!AE252*Source!AV252)*(Source!FY252)/100,2)</f>
        <v>594.78</v>
      </c>
      <c r="I441" s="94">
        <f>T441</f>
        <v>19</v>
      </c>
      <c r="J441" s="96">
        <v>0.65</v>
      </c>
      <c r="K441" s="95" t="e">
        <f>U441</f>
        <v>#REF!</v>
      </c>
      <c r="O441" s="23"/>
      <c r="P441" s="23"/>
      <c r="Q441" s="23"/>
      <c r="R441" s="23"/>
      <c r="S441" s="23"/>
      <c r="T441" s="23">
        <f>ROUND((ROUND(Source!AF252*Source!AV252*Source!I252,0)+ROUND(Source!AE252*Source!AV252*Source!I252,0))*(Source!DO252)/100,0)</f>
        <v>19</v>
      </c>
      <c r="U441" s="23" t="e">
        <f>Source!Y252</f>
        <v>#REF!</v>
      </c>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v>1</v>
      </c>
      <c r="CW441" s="23"/>
      <c r="CX441" s="23"/>
      <c r="CY441" s="23"/>
      <c r="CZ441" s="23"/>
      <c r="DA441" s="23"/>
      <c r="DB441" s="23"/>
      <c r="DC441" s="23"/>
      <c r="DD441" s="23"/>
      <c r="DE441" s="23"/>
      <c r="DF441" s="23"/>
      <c r="DG441" s="23"/>
      <c r="DH441" s="23"/>
      <c r="DI441" s="23"/>
      <c r="DJ441" s="23"/>
      <c r="DK441" s="23"/>
      <c r="DL441" s="23"/>
      <c r="DM441" s="23"/>
      <c r="DN441" s="23"/>
      <c r="DO441" s="23"/>
      <c r="DP441" s="23"/>
      <c r="DQ441" s="23">
        <f>T441</f>
        <v>19</v>
      </c>
      <c r="DR441" s="23"/>
      <c r="DS441" s="23" t="e">
        <f>U441</f>
        <v>#REF!</v>
      </c>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f>T441</f>
        <v>19</v>
      </c>
      <c r="HA441" s="23"/>
      <c r="HB441" s="23">
        <f>T441</f>
        <v>19</v>
      </c>
      <c r="HC441" s="23"/>
      <c r="HD441" s="23"/>
      <c r="HE441" s="23"/>
      <c r="HF441" s="23">
        <f>T441</f>
        <v>19</v>
      </c>
      <c r="HG441" s="23"/>
      <c r="HH441" s="23"/>
      <c r="HI441" s="23"/>
      <c r="HJ441" s="23"/>
      <c r="HK441" s="23"/>
      <c r="HL441" s="23">
        <f>T441</f>
        <v>19</v>
      </c>
      <c r="HM441" s="23"/>
      <c r="HN441" s="23">
        <f>T441</f>
        <v>19</v>
      </c>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row>
    <row r="442" spans="1:255" x14ac:dyDescent="0.2">
      <c r="A442" s="78"/>
      <c r="B442" s="79"/>
      <c r="C442" s="79" t="s">
        <v>861</v>
      </c>
      <c r="D442" s="80" t="s">
        <v>862</v>
      </c>
      <c r="E442" s="81">
        <v>90.61</v>
      </c>
      <c r="F442" s="82"/>
      <c r="G442" s="83" t="s">
        <v>854</v>
      </c>
      <c r="H442" s="82" t="e">
        <f>ROUND(Source!AH252,2)</f>
        <v>#REF!</v>
      </c>
      <c r="I442" s="97" t="e">
        <f>Source!U252</f>
        <v>#REF!</v>
      </c>
      <c r="J442" s="85"/>
      <c r="K442" s="86"/>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row>
    <row r="443" spans="1:255" x14ac:dyDescent="0.2">
      <c r="A443" s="100" t="s">
        <v>358</v>
      </c>
      <c r="B443" s="109" t="s">
        <v>316</v>
      </c>
      <c r="C443" s="101" t="s">
        <v>317</v>
      </c>
      <c r="D443" s="102" t="s">
        <v>33</v>
      </c>
      <c r="E443" s="103">
        <f>Source!I254</f>
        <v>1.9924999999999999E-4</v>
      </c>
      <c r="F443" s="104">
        <v>10559.12</v>
      </c>
      <c r="G443" s="105"/>
      <c r="H443" s="104">
        <f>Source!AC253</f>
        <v>10559.12</v>
      </c>
      <c r="I443" s="106">
        <f>T443</f>
        <v>2</v>
      </c>
      <c r="J443" s="107" t="s">
        <v>863</v>
      </c>
      <c r="K443" s="108">
        <f>U443</f>
        <v>20</v>
      </c>
      <c r="L443" s="23"/>
      <c r="M443" s="23"/>
      <c r="N443" s="23"/>
      <c r="O443" s="23"/>
      <c r="P443" s="23"/>
      <c r="Q443" s="23"/>
      <c r="R443" s="23"/>
      <c r="S443" s="23"/>
      <c r="T443" s="23">
        <f>ROUND(Source!AC253*Source!AW253*Source!I253,0)</f>
        <v>2</v>
      </c>
      <c r="U443" s="23">
        <f>Source!P254</f>
        <v>20</v>
      </c>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v>1</v>
      </c>
      <c r="CW443" s="23"/>
      <c r="CX443" s="23"/>
      <c r="CY443" s="23"/>
      <c r="CZ443" s="23"/>
      <c r="DA443" s="23"/>
      <c r="DB443" s="23"/>
      <c r="DC443" s="23"/>
      <c r="DD443" s="23"/>
      <c r="DE443" s="23"/>
      <c r="DF443" s="23"/>
      <c r="DG443" s="23"/>
      <c r="DH443" s="23"/>
      <c r="DI443" s="23"/>
      <c r="DJ443" s="23"/>
      <c r="DK443" s="23">
        <f>T443</f>
        <v>2</v>
      </c>
      <c r="DL443" s="23"/>
      <c r="DM443" s="23">
        <f>Source!P254</f>
        <v>20</v>
      </c>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f>T443</f>
        <v>2</v>
      </c>
      <c r="GK443" s="23"/>
      <c r="GL443" s="23"/>
      <c r="GM443" s="23"/>
      <c r="GN443" s="23">
        <f>T443</f>
        <v>2</v>
      </c>
      <c r="GO443" s="23"/>
      <c r="GP443" s="23">
        <f>T443</f>
        <v>2</v>
      </c>
      <c r="GQ443" s="23">
        <f>T443</f>
        <v>2</v>
      </c>
      <c r="GR443" s="23"/>
      <c r="GS443" s="23">
        <f>T443</f>
        <v>2</v>
      </c>
      <c r="GT443" s="23"/>
      <c r="GU443" s="23"/>
      <c r="GV443" s="23"/>
      <c r="GW443" s="23"/>
      <c r="GX443" s="23"/>
      <c r="GY443" s="23"/>
      <c r="GZ443" s="23"/>
      <c r="HA443" s="23"/>
      <c r="HB443" s="23">
        <f>T443</f>
        <v>2</v>
      </c>
      <c r="HC443" s="23"/>
      <c r="HD443" s="23"/>
      <c r="HE443" s="23"/>
      <c r="HF443" s="23">
        <f>T443</f>
        <v>2</v>
      </c>
      <c r="HG443" s="23"/>
      <c r="HH443" s="23"/>
      <c r="HI443" s="23"/>
      <c r="HJ443" s="23"/>
      <c r="HK443" s="23"/>
      <c r="HL443" s="23">
        <f>T443</f>
        <v>2</v>
      </c>
      <c r="HM443" s="23"/>
      <c r="HN443" s="23">
        <f>T443</f>
        <v>2</v>
      </c>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row>
    <row r="444" spans="1:255" x14ac:dyDescent="0.2">
      <c r="A444" s="64"/>
      <c r="B444" s="111" t="s">
        <v>864</v>
      </c>
      <c r="C444" s="111" t="s">
        <v>949</v>
      </c>
      <c r="D444" s="63"/>
      <c r="E444" s="63"/>
      <c r="F444" s="63"/>
      <c r="G444" s="63"/>
      <c r="H444" s="63"/>
      <c r="I444" s="63"/>
      <c r="J444" s="63"/>
      <c r="K444" s="65"/>
    </row>
    <row r="445" spans="1:255" ht="24" x14ac:dyDescent="0.2">
      <c r="A445" s="100" t="s">
        <v>359</v>
      </c>
      <c r="B445" s="109" t="s">
        <v>360</v>
      </c>
      <c r="C445" s="101" t="s">
        <v>361</v>
      </c>
      <c r="D445" s="102" t="s">
        <v>33</v>
      </c>
      <c r="E445" s="103">
        <f>Source!I256</f>
        <v>1.9699999999999999E-2</v>
      </c>
      <c r="F445" s="104">
        <v>14744.52</v>
      </c>
      <c r="G445" s="105"/>
      <c r="H445" s="104">
        <f>Source!AC255</f>
        <v>14744.52</v>
      </c>
      <c r="I445" s="106">
        <f>T445</f>
        <v>290</v>
      </c>
      <c r="J445" s="107" t="s">
        <v>863</v>
      </c>
      <c r="K445" s="108">
        <f>U445</f>
        <v>2301</v>
      </c>
      <c r="L445" s="23"/>
      <c r="M445" s="23"/>
      <c r="N445" s="23"/>
      <c r="O445" s="23"/>
      <c r="P445" s="23"/>
      <c r="Q445" s="23"/>
      <c r="R445" s="23"/>
      <c r="S445" s="23"/>
      <c r="T445" s="23">
        <f>ROUND(Source!AC255*Source!AW255*Source!I255,0)</f>
        <v>290</v>
      </c>
      <c r="U445" s="23">
        <f>Source!P256</f>
        <v>2301</v>
      </c>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v>1</v>
      </c>
      <c r="CW445" s="23"/>
      <c r="CX445" s="23"/>
      <c r="CY445" s="23"/>
      <c r="CZ445" s="23"/>
      <c r="DA445" s="23"/>
      <c r="DB445" s="23"/>
      <c r="DC445" s="23"/>
      <c r="DD445" s="23"/>
      <c r="DE445" s="23"/>
      <c r="DF445" s="23"/>
      <c r="DG445" s="23"/>
      <c r="DH445" s="23"/>
      <c r="DI445" s="23"/>
      <c r="DJ445" s="23"/>
      <c r="DK445" s="23">
        <f>T445</f>
        <v>290</v>
      </c>
      <c r="DL445" s="23"/>
      <c r="DM445" s="23">
        <f>Source!P256</f>
        <v>2301</v>
      </c>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f>T445</f>
        <v>290</v>
      </c>
      <c r="GK445" s="23"/>
      <c r="GL445" s="23"/>
      <c r="GM445" s="23"/>
      <c r="GN445" s="23">
        <f>T445</f>
        <v>290</v>
      </c>
      <c r="GO445" s="23"/>
      <c r="GP445" s="23">
        <f>T445</f>
        <v>290</v>
      </c>
      <c r="GQ445" s="23">
        <f>T445</f>
        <v>290</v>
      </c>
      <c r="GR445" s="23"/>
      <c r="GS445" s="23">
        <f>T445</f>
        <v>290</v>
      </c>
      <c r="GT445" s="23"/>
      <c r="GU445" s="23"/>
      <c r="GV445" s="23"/>
      <c r="GW445" s="23"/>
      <c r="GX445" s="23"/>
      <c r="GY445" s="23"/>
      <c r="GZ445" s="23"/>
      <c r="HA445" s="23"/>
      <c r="HB445" s="23">
        <f>T445</f>
        <v>290</v>
      </c>
      <c r="HC445" s="23"/>
      <c r="HD445" s="23"/>
      <c r="HE445" s="23"/>
      <c r="HF445" s="23">
        <f>T445</f>
        <v>290</v>
      </c>
      <c r="HG445" s="23"/>
      <c r="HH445" s="23"/>
      <c r="HI445" s="23"/>
      <c r="HJ445" s="23"/>
      <c r="HK445" s="23"/>
      <c r="HL445" s="23">
        <f>T445</f>
        <v>290</v>
      </c>
      <c r="HM445" s="23"/>
      <c r="HN445" s="23">
        <f>T445</f>
        <v>290</v>
      </c>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row>
    <row r="446" spans="1:255" x14ac:dyDescent="0.2">
      <c r="A446" s="64"/>
      <c r="B446" s="111" t="s">
        <v>864</v>
      </c>
      <c r="C446" s="111" t="s">
        <v>956</v>
      </c>
      <c r="D446" s="63"/>
      <c r="E446" s="63"/>
      <c r="F446" s="63"/>
      <c r="G446" s="63"/>
      <c r="H446" s="63"/>
      <c r="I446" s="63"/>
      <c r="J446" s="63"/>
      <c r="K446" s="65"/>
    </row>
    <row r="447" spans="1:255" ht="36" x14ac:dyDescent="0.2">
      <c r="A447" s="114" t="s">
        <v>364</v>
      </c>
      <c r="B447" s="115" t="s">
        <v>365</v>
      </c>
      <c r="C447" s="116" t="s">
        <v>366</v>
      </c>
      <c r="D447" s="117" t="s">
        <v>33</v>
      </c>
      <c r="E447" s="118">
        <f>Source!I258</f>
        <v>1.35E-2</v>
      </c>
      <c r="F447" s="119">
        <v>30529.920000000002</v>
      </c>
      <c r="G447" s="71"/>
      <c r="H447" s="119">
        <f>Source!AC257</f>
        <v>30529.919999999998</v>
      </c>
      <c r="I447" s="120">
        <f>T447</f>
        <v>412</v>
      </c>
      <c r="J447" s="73" t="s">
        <v>863</v>
      </c>
      <c r="K447" s="121">
        <f>U447</f>
        <v>3116</v>
      </c>
      <c r="L447" s="23"/>
      <c r="M447" s="23"/>
      <c r="N447" s="23"/>
      <c r="O447" s="23"/>
      <c r="P447" s="23"/>
      <c r="Q447" s="23"/>
      <c r="R447" s="23"/>
      <c r="S447" s="23"/>
      <c r="T447" s="23">
        <f>ROUND(Source!AC257*Source!AW257*Source!I257,0)</f>
        <v>412</v>
      </c>
      <c r="U447" s="23">
        <f>Source!P258</f>
        <v>3116</v>
      </c>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v>1</v>
      </c>
      <c r="CW447" s="23"/>
      <c r="CX447" s="23"/>
      <c r="CY447" s="23"/>
      <c r="CZ447" s="23"/>
      <c r="DA447" s="23"/>
      <c r="DB447" s="23"/>
      <c r="DC447" s="23"/>
      <c r="DD447" s="23"/>
      <c r="DE447" s="23"/>
      <c r="DF447" s="23"/>
      <c r="DG447" s="23"/>
      <c r="DH447" s="23"/>
      <c r="DI447" s="23"/>
      <c r="DJ447" s="23"/>
      <c r="DK447" s="23">
        <f>T447</f>
        <v>412</v>
      </c>
      <c r="DL447" s="23"/>
      <c r="DM447" s="23">
        <f>Source!P258</f>
        <v>3116</v>
      </c>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f>T447</f>
        <v>412</v>
      </c>
      <c r="GK447" s="23"/>
      <c r="GL447" s="23"/>
      <c r="GM447" s="23"/>
      <c r="GN447" s="23">
        <f>T447</f>
        <v>412</v>
      </c>
      <c r="GO447" s="23"/>
      <c r="GP447" s="23">
        <f>T447</f>
        <v>412</v>
      </c>
      <c r="GQ447" s="23">
        <f>T447</f>
        <v>412</v>
      </c>
      <c r="GR447" s="23"/>
      <c r="GS447" s="23">
        <f>T447</f>
        <v>412</v>
      </c>
      <c r="GT447" s="23"/>
      <c r="GU447" s="23"/>
      <c r="GV447" s="23"/>
      <c r="GW447" s="23"/>
      <c r="GX447" s="23"/>
      <c r="GY447" s="23"/>
      <c r="GZ447" s="23"/>
      <c r="HA447" s="23"/>
      <c r="HB447" s="23">
        <f>T447</f>
        <v>412</v>
      </c>
      <c r="HC447" s="23"/>
      <c r="HD447" s="23"/>
      <c r="HE447" s="23"/>
      <c r="HF447" s="23">
        <f>T447</f>
        <v>412</v>
      </c>
      <c r="HG447" s="23"/>
      <c r="HH447" s="23"/>
      <c r="HI447" s="23"/>
      <c r="HJ447" s="23"/>
      <c r="HK447" s="23"/>
      <c r="HL447" s="23">
        <f>T447</f>
        <v>412</v>
      </c>
      <c r="HM447" s="23"/>
      <c r="HN447" s="23">
        <f>T447</f>
        <v>412</v>
      </c>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row>
    <row r="448" spans="1:255" x14ac:dyDescent="0.2">
      <c r="A448" s="98"/>
      <c r="B448" s="113" t="s">
        <v>864</v>
      </c>
      <c r="C448" s="113" t="s">
        <v>957</v>
      </c>
      <c r="D448" s="33"/>
      <c r="E448" s="33"/>
      <c r="F448" s="33"/>
      <c r="G448" s="33"/>
      <c r="H448" s="33"/>
      <c r="I448" s="33"/>
      <c r="J448" s="33"/>
      <c r="K448" s="99"/>
    </row>
    <row r="449" spans="1:255" ht="13.5" thickBot="1" x14ac:dyDescent="0.25">
      <c r="A449" s="124"/>
      <c r="B449" s="125"/>
      <c r="C449" s="125" t="s">
        <v>867</v>
      </c>
      <c r="D449" s="125"/>
      <c r="E449" s="125"/>
      <c r="F449" s="125"/>
      <c r="G449" s="125"/>
      <c r="H449" s="380">
        <f>SUM(DK436:DK448)</f>
        <v>704</v>
      </c>
      <c r="I449" s="381"/>
      <c r="J449" s="380">
        <f>SUM(DM436:DM448)</f>
        <v>5437</v>
      </c>
      <c r="K449" s="382"/>
      <c r="L449" s="112"/>
      <c r="M449" s="112"/>
      <c r="N449" s="112"/>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row>
    <row r="450" spans="1:255" x14ac:dyDescent="0.2">
      <c r="A450" s="123"/>
      <c r="B450" s="122"/>
      <c r="C450" s="122" t="s">
        <v>868</v>
      </c>
      <c r="D450" s="122"/>
      <c r="E450" s="122"/>
      <c r="F450" s="122"/>
      <c r="G450" s="122"/>
      <c r="H450" s="383">
        <f>R450</f>
        <v>781</v>
      </c>
      <c r="I450" s="384"/>
      <c r="J450" s="383" t="e">
        <f>S450</f>
        <v>#REF!</v>
      </c>
      <c r="K450" s="385"/>
      <c r="O450" s="23"/>
      <c r="P450" s="23"/>
      <c r="Q450" s="23"/>
      <c r="R450" s="23">
        <f>SUM(T436:T449)</f>
        <v>781</v>
      </c>
      <c r="S450" s="23" t="e">
        <f>SUM(U436:U449)</f>
        <v>#REF!</v>
      </c>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f>R450</f>
        <v>781</v>
      </c>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row>
    <row r="451" spans="1:255" x14ac:dyDescent="0.2">
      <c r="A451" s="77"/>
      <c r="B451" s="76"/>
      <c r="C451" s="76"/>
      <c r="D451" s="76"/>
      <c r="E451" s="76"/>
      <c r="F451" s="76"/>
      <c r="G451" s="76"/>
      <c r="H451" s="386"/>
      <c r="I451" s="387"/>
      <c r="J451" s="386"/>
      <c r="K451" s="388"/>
    </row>
    <row r="452" spans="1:255" ht="45" x14ac:dyDescent="0.2">
      <c r="A452" s="126">
        <v>19</v>
      </c>
      <c r="B452" s="133" t="s">
        <v>369</v>
      </c>
      <c r="C452" s="127" t="s">
        <v>958</v>
      </c>
      <c r="D452" s="128" t="s">
        <v>49</v>
      </c>
      <c r="E452" s="129">
        <v>0.50239999999999996</v>
      </c>
      <c r="F452" s="130">
        <f>Source!AK260</f>
        <v>6348.380000000001</v>
      </c>
      <c r="G452" s="134" t="s">
        <v>6</v>
      </c>
      <c r="H452" s="130"/>
      <c r="I452" s="131">
        <f>SUM(DQ452:DQ463)</f>
        <v>99</v>
      </c>
      <c r="J452" s="107" t="s">
        <v>369</v>
      </c>
      <c r="K452" s="132" t="e">
        <f>SUM(DS452:DS463)</f>
        <v>#REF!</v>
      </c>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row>
    <row r="453" spans="1:255" x14ac:dyDescent="0.2">
      <c r="A453" s="66"/>
      <c r="B453" s="67"/>
      <c r="C453" s="67" t="s">
        <v>853</v>
      </c>
      <c r="D453" s="68"/>
      <c r="E453" s="69"/>
      <c r="F453" s="70">
        <v>218.51</v>
      </c>
      <c r="G453" s="71" t="s">
        <v>854</v>
      </c>
      <c r="H453" s="70">
        <f>Source!AF260</f>
        <v>229.44</v>
      </c>
      <c r="I453" s="72">
        <f>T453</f>
        <v>29</v>
      </c>
      <c r="J453" s="73">
        <v>25.36</v>
      </c>
      <c r="K453" s="74">
        <f>U453</f>
        <v>731</v>
      </c>
      <c r="O453" s="23"/>
      <c r="P453" s="23"/>
      <c r="Q453" s="23"/>
      <c r="R453" s="23"/>
      <c r="S453" s="23"/>
      <c r="T453" s="23">
        <f>ROUND(Source!AF260*Source!AV260*Source!I260,0)</f>
        <v>29</v>
      </c>
      <c r="U453" s="23">
        <f>Source!S260</f>
        <v>731</v>
      </c>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v>1</v>
      </c>
      <c r="CW453" s="23"/>
      <c r="CX453" s="23"/>
      <c r="CY453" s="23"/>
      <c r="CZ453" s="23"/>
      <c r="DA453" s="23"/>
      <c r="DB453" s="23"/>
      <c r="DC453" s="23"/>
      <c r="DD453" s="23"/>
      <c r="DE453" s="23"/>
      <c r="DF453" s="23"/>
      <c r="DG453" s="23">
        <f>Source!S260</f>
        <v>731</v>
      </c>
      <c r="DH453" s="23">
        <v>1015</v>
      </c>
      <c r="DI453" s="23"/>
      <c r="DJ453" s="23"/>
      <c r="DK453" s="23"/>
      <c r="DL453" s="23"/>
      <c r="DM453" s="23"/>
      <c r="DN453" s="23"/>
      <c r="DO453" s="23"/>
      <c r="DP453" s="23"/>
      <c r="DQ453" s="23">
        <f>T453</f>
        <v>29</v>
      </c>
      <c r="DR453" s="23"/>
      <c r="DS453" s="23">
        <f>U453</f>
        <v>731</v>
      </c>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f>T453</f>
        <v>29</v>
      </c>
      <c r="GK453" s="23">
        <f>T453</f>
        <v>29</v>
      </c>
      <c r="GL453" s="23"/>
      <c r="GM453" s="23"/>
      <c r="GN453" s="23"/>
      <c r="GO453" s="23"/>
      <c r="GP453" s="23"/>
      <c r="GQ453" s="23"/>
      <c r="GR453" s="23"/>
      <c r="GS453" s="23"/>
      <c r="GT453" s="23"/>
      <c r="GU453" s="23"/>
      <c r="GV453" s="23"/>
      <c r="GW453" s="23"/>
      <c r="GX453" s="23"/>
      <c r="GY453" s="23"/>
      <c r="GZ453" s="23"/>
      <c r="HA453" s="23"/>
      <c r="HB453" s="23">
        <f>T453</f>
        <v>29</v>
      </c>
      <c r="HC453" s="23"/>
      <c r="HD453" s="23"/>
      <c r="HE453" s="23"/>
      <c r="HF453" s="23">
        <f>T453</f>
        <v>29</v>
      </c>
      <c r="HG453" s="23"/>
      <c r="HH453" s="23"/>
      <c r="HI453" s="23"/>
      <c r="HJ453" s="23"/>
      <c r="HK453" s="23"/>
      <c r="HL453" s="23">
        <f>T453</f>
        <v>29</v>
      </c>
      <c r="HM453" s="23"/>
      <c r="HN453" s="23">
        <f>T453</f>
        <v>29</v>
      </c>
      <c r="HO453" s="23"/>
      <c r="HP453" s="23"/>
      <c r="HQ453" s="23"/>
      <c r="HR453" s="23"/>
      <c r="HS453" s="23"/>
      <c r="HT453" s="23"/>
      <c r="HU453" s="23"/>
      <c r="HV453" s="23"/>
      <c r="HW453" s="23"/>
      <c r="HX453" s="23">
        <f>T453</f>
        <v>29</v>
      </c>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row>
    <row r="454" spans="1:255" x14ac:dyDescent="0.2">
      <c r="A454" s="78"/>
      <c r="B454" s="79"/>
      <c r="C454" s="79" t="s">
        <v>855</v>
      </c>
      <c r="D454" s="80"/>
      <c r="E454" s="81"/>
      <c r="F454" s="82">
        <v>66.52</v>
      </c>
      <c r="G454" s="83" t="s">
        <v>856</v>
      </c>
      <c r="H454" s="82">
        <f>Source!AD260</f>
        <v>86.84</v>
      </c>
      <c r="I454" s="84">
        <f>T454</f>
        <v>11</v>
      </c>
      <c r="J454" s="85">
        <v>7.84</v>
      </c>
      <c r="K454" s="86">
        <f>U454</f>
        <v>86</v>
      </c>
      <c r="O454" s="23"/>
      <c r="P454" s="23"/>
      <c r="Q454" s="23"/>
      <c r="R454" s="23"/>
      <c r="S454" s="23"/>
      <c r="T454" s="23">
        <f>ROUND(Source!AD260*Source!AV260*Source!I260,0)</f>
        <v>11</v>
      </c>
      <c r="U454" s="23">
        <f>Source!Q260</f>
        <v>86</v>
      </c>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v>1</v>
      </c>
      <c r="CW454" s="23"/>
      <c r="CX454" s="23"/>
      <c r="CY454" s="23"/>
      <c r="CZ454" s="23"/>
      <c r="DA454" s="23"/>
      <c r="DB454" s="23"/>
      <c r="DC454" s="23"/>
      <c r="DD454" s="23"/>
      <c r="DE454" s="23"/>
      <c r="DF454" s="23"/>
      <c r="DG454" s="23"/>
      <c r="DH454" s="23"/>
      <c r="DI454" s="23"/>
      <c r="DJ454" s="23"/>
      <c r="DK454" s="23"/>
      <c r="DL454" s="23"/>
      <c r="DM454" s="23"/>
      <c r="DN454" s="23"/>
      <c r="DO454" s="23"/>
      <c r="DP454" s="23"/>
      <c r="DQ454" s="23">
        <f>T454</f>
        <v>11</v>
      </c>
      <c r="DR454" s="23"/>
      <c r="DS454" s="23">
        <f>U454</f>
        <v>86</v>
      </c>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f>T454</f>
        <v>11</v>
      </c>
      <c r="GK454" s="23"/>
      <c r="GL454" s="23">
        <f>T454</f>
        <v>11</v>
      </c>
      <c r="GM454" s="23"/>
      <c r="GN454" s="23"/>
      <c r="GO454" s="23"/>
      <c r="GP454" s="23"/>
      <c r="GQ454" s="23"/>
      <c r="GR454" s="23"/>
      <c r="GS454" s="23"/>
      <c r="GT454" s="23"/>
      <c r="GU454" s="23"/>
      <c r="GV454" s="23"/>
      <c r="GW454" s="23"/>
      <c r="GX454" s="23"/>
      <c r="GY454" s="23"/>
      <c r="GZ454" s="23"/>
      <c r="HA454" s="23"/>
      <c r="HB454" s="23">
        <f>T454</f>
        <v>11</v>
      </c>
      <c r="HC454" s="23"/>
      <c r="HD454" s="23"/>
      <c r="HE454" s="23"/>
      <c r="HF454" s="23">
        <f>T454</f>
        <v>11</v>
      </c>
      <c r="HG454" s="23"/>
      <c r="HH454" s="23"/>
      <c r="HI454" s="23"/>
      <c r="HJ454" s="23"/>
      <c r="HK454" s="23"/>
      <c r="HL454" s="23">
        <f>T454</f>
        <v>11</v>
      </c>
      <c r="HM454" s="23"/>
      <c r="HN454" s="23">
        <f>T454</f>
        <v>11</v>
      </c>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row>
    <row r="455" spans="1:255" x14ac:dyDescent="0.2">
      <c r="A455" s="78"/>
      <c r="B455" s="79"/>
      <c r="C455" s="79" t="s">
        <v>857</v>
      </c>
      <c r="D455" s="80"/>
      <c r="E455" s="81"/>
      <c r="F455" s="82">
        <v>7.62</v>
      </c>
      <c r="G455" s="83" t="s">
        <v>856</v>
      </c>
      <c r="H455" s="82">
        <f>Source!AE260</f>
        <v>8.5299999999999994</v>
      </c>
      <c r="I455" s="84">
        <f>GM455</f>
        <v>1</v>
      </c>
      <c r="J455" s="85">
        <v>19.8</v>
      </c>
      <c r="K455" s="86">
        <f>Source!R260</f>
        <v>21</v>
      </c>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f>ROUND(Source!AE260*Source!AV260*Source!I260,0)</f>
        <v>1</v>
      </c>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f>GM455</f>
        <v>1</v>
      </c>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row>
    <row r="456" spans="1:255" x14ac:dyDescent="0.2">
      <c r="A456" s="87"/>
      <c r="B456" s="88"/>
      <c r="C456" s="88" t="s">
        <v>858</v>
      </c>
      <c r="D456" s="89"/>
      <c r="E456" s="90">
        <v>120</v>
      </c>
      <c r="F456" s="91" t="s">
        <v>859</v>
      </c>
      <c r="G456" s="92"/>
      <c r="H456" s="93">
        <f>ROUND((Source!AF260*Source!AV260+Source!AE260*Source!AV260)*(Source!FX260)/100,2)</f>
        <v>285.56</v>
      </c>
      <c r="I456" s="94">
        <f>T456</f>
        <v>36</v>
      </c>
      <c r="J456" s="96">
        <v>1.1399999999999999</v>
      </c>
      <c r="K456" s="95" t="e">
        <f>U456</f>
        <v>#REF!</v>
      </c>
      <c r="O456" s="23"/>
      <c r="P456" s="23"/>
      <c r="Q456" s="23"/>
      <c r="R456" s="23"/>
      <c r="S456" s="23"/>
      <c r="T456" s="23">
        <f>ROUND((ROUND(Source!AF260*Source!AV260*Source!I260,0)+ROUND(Source!AE260*Source!AV260*Source!I260,0))*(Source!DN260)/100,0)</f>
        <v>36</v>
      </c>
      <c r="U456" s="23" t="e">
        <f>Source!X260</f>
        <v>#REF!</v>
      </c>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v>1</v>
      </c>
      <c r="CW456" s="23"/>
      <c r="CX456" s="23"/>
      <c r="CY456" s="23"/>
      <c r="CZ456" s="23"/>
      <c r="DA456" s="23"/>
      <c r="DB456" s="23"/>
      <c r="DC456" s="23"/>
      <c r="DD456" s="23"/>
      <c r="DE456" s="23"/>
      <c r="DF456" s="23"/>
      <c r="DG456" s="23"/>
      <c r="DH456" s="23"/>
      <c r="DI456" s="23"/>
      <c r="DJ456" s="23"/>
      <c r="DK456" s="23"/>
      <c r="DL456" s="23"/>
      <c r="DM456" s="23"/>
      <c r="DN456" s="23"/>
      <c r="DO456" s="23"/>
      <c r="DP456" s="23"/>
      <c r="DQ456" s="23">
        <f>T456</f>
        <v>36</v>
      </c>
      <c r="DR456" s="23"/>
      <c r="DS456" s="23" t="e">
        <f>U456</f>
        <v>#REF!</v>
      </c>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f>T456</f>
        <v>36</v>
      </c>
      <c r="GZ456" s="23"/>
      <c r="HA456" s="23"/>
      <c r="HB456" s="23">
        <f>T456</f>
        <v>36</v>
      </c>
      <c r="HC456" s="23"/>
      <c r="HD456" s="23"/>
      <c r="HE456" s="23"/>
      <c r="HF456" s="23">
        <f>T456</f>
        <v>36</v>
      </c>
      <c r="HG456" s="23"/>
      <c r="HH456" s="23"/>
      <c r="HI456" s="23"/>
      <c r="HJ456" s="23"/>
      <c r="HK456" s="23"/>
      <c r="HL456" s="23">
        <f>T456</f>
        <v>36</v>
      </c>
      <c r="HM456" s="23"/>
      <c r="HN456" s="23">
        <f>T456</f>
        <v>36</v>
      </c>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row>
    <row r="457" spans="1:255" x14ac:dyDescent="0.2">
      <c r="A457" s="87"/>
      <c r="B457" s="88"/>
      <c r="C457" s="88" t="s">
        <v>860</v>
      </c>
      <c r="D457" s="89"/>
      <c r="E457" s="90">
        <v>77</v>
      </c>
      <c r="F457" s="91" t="s">
        <v>859</v>
      </c>
      <c r="G457" s="92"/>
      <c r="H457" s="93">
        <f>ROUND((Source!AF260*Source!AV260+Source!AE260*Source!AV260)*(Source!FY260)/100,2)</f>
        <v>183.24</v>
      </c>
      <c r="I457" s="94">
        <f>T457</f>
        <v>23</v>
      </c>
      <c r="J457" s="96">
        <v>0.65</v>
      </c>
      <c r="K457" s="95" t="e">
        <f>U457</f>
        <v>#REF!</v>
      </c>
      <c r="O457" s="23"/>
      <c r="P457" s="23"/>
      <c r="Q457" s="23"/>
      <c r="R457" s="23"/>
      <c r="S457" s="23"/>
      <c r="T457" s="23">
        <f>ROUND((ROUND(Source!AF260*Source!AV260*Source!I260,0)+ROUND(Source!AE260*Source!AV260*Source!I260,0))*(Source!DO260)/100,0)</f>
        <v>23</v>
      </c>
      <c r="U457" s="23" t="e">
        <f>Source!Y260</f>
        <v>#REF!</v>
      </c>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v>1</v>
      </c>
      <c r="CW457" s="23"/>
      <c r="CX457" s="23"/>
      <c r="CY457" s="23"/>
      <c r="CZ457" s="23"/>
      <c r="DA457" s="23"/>
      <c r="DB457" s="23"/>
      <c r="DC457" s="23"/>
      <c r="DD457" s="23"/>
      <c r="DE457" s="23"/>
      <c r="DF457" s="23"/>
      <c r="DG457" s="23"/>
      <c r="DH457" s="23"/>
      <c r="DI457" s="23"/>
      <c r="DJ457" s="23"/>
      <c r="DK457" s="23"/>
      <c r="DL457" s="23"/>
      <c r="DM457" s="23"/>
      <c r="DN457" s="23"/>
      <c r="DO457" s="23"/>
      <c r="DP457" s="23"/>
      <c r="DQ457" s="23">
        <f>T457</f>
        <v>23</v>
      </c>
      <c r="DR457" s="23"/>
      <c r="DS457" s="23" t="e">
        <f>U457</f>
        <v>#REF!</v>
      </c>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f>T457</f>
        <v>23</v>
      </c>
      <c r="HA457" s="23"/>
      <c r="HB457" s="23">
        <f>T457</f>
        <v>23</v>
      </c>
      <c r="HC457" s="23"/>
      <c r="HD457" s="23"/>
      <c r="HE457" s="23"/>
      <c r="HF457" s="23">
        <f>T457</f>
        <v>23</v>
      </c>
      <c r="HG457" s="23"/>
      <c r="HH457" s="23"/>
      <c r="HI457" s="23"/>
      <c r="HJ457" s="23"/>
      <c r="HK457" s="23"/>
      <c r="HL457" s="23">
        <f>T457</f>
        <v>23</v>
      </c>
      <c r="HM457" s="23"/>
      <c r="HN457" s="23">
        <f>T457</f>
        <v>23</v>
      </c>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row>
    <row r="458" spans="1:255" x14ac:dyDescent="0.2">
      <c r="A458" s="78"/>
      <c r="B458" s="79"/>
      <c r="C458" s="79" t="s">
        <v>861</v>
      </c>
      <c r="D458" s="80" t="s">
        <v>862</v>
      </c>
      <c r="E458" s="81">
        <v>27.28</v>
      </c>
      <c r="F458" s="82"/>
      <c r="G458" s="83" t="s">
        <v>854</v>
      </c>
      <c r="H458" s="82" t="e">
        <f>ROUND(Source!AH260,2)</f>
        <v>#REF!</v>
      </c>
      <c r="I458" s="97" t="e">
        <f>Source!U260</f>
        <v>#REF!</v>
      </c>
      <c r="J458" s="85"/>
      <c r="K458" s="86"/>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row>
    <row r="459" spans="1:255" x14ac:dyDescent="0.2">
      <c r="A459" s="100" t="s">
        <v>372</v>
      </c>
      <c r="B459" s="109" t="s">
        <v>316</v>
      </c>
      <c r="C459" s="101" t="s">
        <v>317</v>
      </c>
      <c r="D459" s="102" t="s">
        <v>33</v>
      </c>
      <c r="E459" s="103">
        <f>Source!I262</f>
        <v>7.5350000000000005E-4</v>
      </c>
      <c r="F459" s="104">
        <v>10559.12</v>
      </c>
      <c r="G459" s="105"/>
      <c r="H459" s="104">
        <f>Source!AC261</f>
        <v>10559.12</v>
      </c>
      <c r="I459" s="106">
        <f>T459</f>
        <v>8</v>
      </c>
      <c r="J459" s="107" t="s">
        <v>863</v>
      </c>
      <c r="K459" s="108">
        <f>U459</f>
        <v>77</v>
      </c>
      <c r="L459" s="23"/>
      <c r="M459" s="23"/>
      <c r="N459" s="23"/>
      <c r="O459" s="23"/>
      <c r="P459" s="23"/>
      <c r="Q459" s="23"/>
      <c r="R459" s="23"/>
      <c r="S459" s="23"/>
      <c r="T459" s="23">
        <f>ROUND(Source!AC261*Source!AW261*Source!I261,0)</f>
        <v>8</v>
      </c>
      <c r="U459" s="23">
        <f>Source!P262</f>
        <v>77</v>
      </c>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v>1</v>
      </c>
      <c r="CW459" s="23"/>
      <c r="CX459" s="23"/>
      <c r="CY459" s="23"/>
      <c r="CZ459" s="23"/>
      <c r="DA459" s="23"/>
      <c r="DB459" s="23"/>
      <c r="DC459" s="23"/>
      <c r="DD459" s="23"/>
      <c r="DE459" s="23"/>
      <c r="DF459" s="23"/>
      <c r="DG459" s="23"/>
      <c r="DH459" s="23"/>
      <c r="DI459" s="23"/>
      <c r="DJ459" s="23"/>
      <c r="DK459" s="23">
        <f>T459</f>
        <v>8</v>
      </c>
      <c r="DL459" s="23"/>
      <c r="DM459" s="23">
        <f>Source!P262</f>
        <v>77</v>
      </c>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f>T459</f>
        <v>8</v>
      </c>
      <c r="GK459" s="23"/>
      <c r="GL459" s="23"/>
      <c r="GM459" s="23"/>
      <c r="GN459" s="23">
        <f>T459</f>
        <v>8</v>
      </c>
      <c r="GO459" s="23"/>
      <c r="GP459" s="23">
        <f>T459</f>
        <v>8</v>
      </c>
      <c r="GQ459" s="23">
        <f>T459</f>
        <v>8</v>
      </c>
      <c r="GR459" s="23"/>
      <c r="GS459" s="23">
        <f>T459</f>
        <v>8</v>
      </c>
      <c r="GT459" s="23"/>
      <c r="GU459" s="23"/>
      <c r="GV459" s="23"/>
      <c r="GW459" s="23"/>
      <c r="GX459" s="23"/>
      <c r="GY459" s="23"/>
      <c r="GZ459" s="23"/>
      <c r="HA459" s="23"/>
      <c r="HB459" s="23">
        <f>T459</f>
        <v>8</v>
      </c>
      <c r="HC459" s="23"/>
      <c r="HD459" s="23"/>
      <c r="HE459" s="23"/>
      <c r="HF459" s="23">
        <f>T459</f>
        <v>8</v>
      </c>
      <c r="HG459" s="23"/>
      <c r="HH459" s="23"/>
      <c r="HI459" s="23"/>
      <c r="HJ459" s="23"/>
      <c r="HK459" s="23"/>
      <c r="HL459" s="23">
        <f>T459</f>
        <v>8</v>
      </c>
      <c r="HM459" s="23"/>
      <c r="HN459" s="23">
        <f>T459</f>
        <v>8</v>
      </c>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row>
    <row r="460" spans="1:255" x14ac:dyDescent="0.2">
      <c r="A460" s="64"/>
      <c r="B460" s="111" t="s">
        <v>864</v>
      </c>
      <c r="C460" s="111" t="s">
        <v>949</v>
      </c>
      <c r="D460" s="63"/>
      <c r="E460" s="63"/>
      <c r="F460" s="63"/>
      <c r="G460" s="63"/>
      <c r="H460" s="63"/>
      <c r="I460" s="63"/>
      <c r="J460" s="63"/>
      <c r="K460" s="65"/>
    </row>
    <row r="461" spans="1:255" ht="24" x14ac:dyDescent="0.2">
      <c r="A461" s="114" t="s">
        <v>373</v>
      </c>
      <c r="B461" s="115" t="s">
        <v>360</v>
      </c>
      <c r="C461" s="116" t="s">
        <v>361</v>
      </c>
      <c r="D461" s="117" t="s">
        <v>33</v>
      </c>
      <c r="E461" s="118">
        <f>Source!I264</f>
        <v>0.12559999999999999</v>
      </c>
      <c r="F461" s="119">
        <v>14744.52</v>
      </c>
      <c r="G461" s="71"/>
      <c r="H461" s="119">
        <f>Source!AC263</f>
        <v>14744.52</v>
      </c>
      <c r="I461" s="120">
        <f>T461</f>
        <v>1852</v>
      </c>
      <c r="J461" s="73" t="s">
        <v>863</v>
      </c>
      <c r="K461" s="121">
        <f>U461</f>
        <v>14670</v>
      </c>
      <c r="L461" s="23"/>
      <c r="M461" s="23"/>
      <c r="N461" s="23"/>
      <c r="O461" s="23"/>
      <c r="P461" s="23"/>
      <c r="Q461" s="23"/>
      <c r="R461" s="23"/>
      <c r="S461" s="23"/>
      <c r="T461" s="23">
        <f>ROUND(Source!AC263*Source!AW263*Source!I263,0)</f>
        <v>1852</v>
      </c>
      <c r="U461" s="23">
        <f>Source!P264</f>
        <v>14670</v>
      </c>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v>1</v>
      </c>
      <c r="CW461" s="23"/>
      <c r="CX461" s="23"/>
      <c r="CY461" s="23"/>
      <c r="CZ461" s="23"/>
      <c r="DA461" s="23"/>
      <c r="DB461" s="23"/>
      <c r="DC461" s="23"/>
      <c r="DD461" s="23"/>
      <c r="DE461" s="23"/>
      <c r="DF461" s="23"/>
      <c r="DG461" s="23"/>
      <c r="DH461" s="23"/>
      <c r="DI461" s="23"/>
      <c r="DJ461" s="23"/>
      <c r="DK461" s="23">
        <f>T461</f>
        <v>1852</v>
      </c>
      <c r="DL461" s="23"/>
      <c r="DM461" s="23">
        <f>Source!P264</f>
        <v>14670</v>
      </c>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f>T461</f>
        <v>1852</v>
      </c>
      <c r="GK461" s="23"/>
      <c r="GL461" s="23"/>
      <c r="GM461" s="23"/>
      <c r="GN461" s="23">
        <f>T461</f>
        <v>1852</v>
      </c>
      <c r="GO461" s="23"/>
      <c r="GP461" s="23">
        <f>T461</f>
        <v>1852</v>
      </c>
      <c r="GQ461" s="23">
        <f>T461</f>
        <v>1852</v>
      </c>
      <c r="GR461" s="23"/>
      <c r="GS461" s="23">
        <f>T461</f>
        <v>1852</v>
      </c>
      <c r="GT461" s="23"/>
      <c r="GU461" s="23"/>
      <c r="GV461" s="23"/>
      <c r="GW461" s="23"/>
      <c r="GX461" s="23"/>
      <c r="GY461" s="23"/>
      <c r="GZ461" s="23"/>
      <c r="HA461" s="23"/>
      <c r="HB461" s="23">
        <f>T461</f>
        <v>1852</v>
      </c>
      <c r="HC461" s="23"/>
      <c r="HD461" s="23"/>
      <c r="HE461" s="23"/>
      <c r="HF461" s="23">
        <f>T461</f>
        <v>1852</v>
      </c>
      <c r="HG461" s="23"/>
      <c r="HH461" s="23"/>
      <c r="HI461" s="23"/>
      <c r="HJ461" s="23"/>
      <c r="HK461" s="23"/>
      <c r="HL461" s="23">
        <f>T461</f>
        <v>1852</v>
      </c>
      <c r="HM461" s="23"/>
      <c r="HN461" s="23">
        <f>T461</f>
        <v>1852</v>
      </c>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row>
    <row r="462" spans="1:255" x14ac:dyDescent="0.2">
      <c r="A462" s="98"/>
      <c r="B462" s="113" t="s">
        <v>864</v>
      </c>
      <c r="C462" s="113" t="s">
        <v>956</v>
      </c>
      <c r="D462" s="33"/>
      <c r="E462" s="33"/>
      <c r="F462" s="33"/>
      <c r="G462" s="33"/>
      <c r="H462" s="33"/>
      <c r="I462" s="33"/>
      <c r="J462" s="33"/>
      <c r="K462" s="99"/>
    </row>
    <row r="463" spans="1:255" ht="13.5" thickBot="1" x14ac:dyDescent="0.25">
      <c r="A463" s="124"/>
      <c r="B463" s="125"/>
      <c r="C463" s="125" t="s">
        <v>867</v>
      </c>
      <c r="D463" s="125"/>
      <c r="E463" s="125"/>
      <c r="F463" s="125"/>
      <c r="G463" s="125"/>
      <c r="H463" s="380">
        <f>SUM(DK452:DK462)</f>
        <v>1860</v>
      </c>
      <c r="I463" s="381"/>
      <c r="J463" s="380">
        <f>SUM(DM452:DM462)</f>
        <v>14747</v>
      </c>
      <c r="K463" s="382"/>
      <c r="L463" s="112"/>
      <c r="M463" s="112"/>
      <c r="N463" s="112"/>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row>
    <row r="464" spans="1:255" x14ac:dyDescent="0.2">
      <c r="A464" s="123"/>
      <c r="B464" s="122"/>
      <c r="C464" s="122" t="s">
        <v>868</v>
      </c>
      <c r="D464" s="122"/>
      <c r="E464" s="122"/>
      <c r="F464" s="122"/>
      <c r="G464" s="122"/>
      <c r="H464" s="383">
        <f>R464</f>
        <v>1959</v>
      </c>
      <c r="I464" s="384"/>
      <c r="J464" s="383" t="e">
        <f>S464</f>
        <v>#REF!</v>
      </c>
      <c r="K464" s="385"/>
      <c r="O464" s="23"/>
      <c r="P464" s="23"/>
      <c r="Q464" s="23"/>
      <c r="R464" s="23">
        <f>SUM(T452:T463)</f>
        <v>1959</v>
      </c>
      <c r="S464" s="23" t="e">
        <f>SUM(U452:U463)</f>
        <v>#REF!</v>
      </c>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f>R464</f>
        <v>1959</v>
      </c>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row>
    <row r="465" spans="1:255" x14ac:dyDescent="0.2">
      <c r="A465" s="77"/>
      <c r="B465" s="76"/>
      <c r="C465" s="76"/>
      <c r="D465" s="76"/>
      <c r="E465" s="76"/>
      <c r="F465" s="76"/>
      <c r="G465" s="76"/>
      <c r="H465" s="386"/>
      <c r="I465" s="387"/>
      <c r="J465" s="386"/>
      <c r="K465" s="388"/>
    </row>
    <row r="466" spans="1:255" ht="56.25" x14ac:dyDescent="0.2">
      <c r="A466" s="126">
        <v>20</v>
      </c>
      <c r="B466" s="133" t="s">
        <v>375</v>
      </c>
      <c r="C466" s="127" t="s">
        <v>959</v>
      </c>
      <c r="D466" s="128" t="s">
        <v>377</v>
      </c>
      <c r="E466" s="129">
        <v>0.26</v>
      </c>
      <c r="F466" s="130">
        <f>Source!AK266</f>
        <v>321.88</v>
      </c>
      <c r="G466" s="134" t="s">
        <v>6</v>
      </c>
      <c r="H466" s="130"/>
      <c r="I466" s="131" t="e">
        <f>SUM(DQ466:DQ478)</f>
        <v>#REF!</v>
      </c>
      <c r="J466" s="107" t="s">
        <v>375</v>
      </c>
      <c r="K466" s="132" t="e">
        <f>SUM(DS466:DS478)</f>
        <v>#REF!</v>
      </c>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row>
    <row r="467" spans="1:255" x14ac:dyDescent="0.2">
      <c r="A467" s="66"/>
      <c r="B467" s="67"/>
      <c r="C467" s="67" t="s">
        <v>853</v>
      </c>
      <c r="D467" s="68"/>
      <c r="E467" s="69"/>
      <c r="F467" s="70">
        <v>35.04</v>
      </c>
      <c r="G467" s="71" t="s">
        <v>960</v>
      </c>
      <c r="H467" s="70">
        <f>Source!AF266</f>
        <v>70.08</v>
      </c>
      <c r="I467" s="72" t="e">
        <f>T467</f>
        <v>#REF!</v>
      </c>
      <c r="J467" s="73">
        <v>26.95</v>
      </c>
      <c r="K467" s="74" t="e">
        <f>U467</f>
        <v>#REF!</v>
      </c>
      <c r="O467" s="23"/>
      <c r="P467" s="23"/>
      <c r="Q467" s="23"/>
      <c r="R467" s="23"/>
      <c r="S467" s="23"/>
      <c r="T467" s="23" t="e">
        <f>ROUND(Source!AF266*Source!AV266*Source!I266,0)</f>
        <v>#REF!</v>
      </c>
      <c r="U467" s="23" t="e">
        <f>Source!S266</f>
        <v>#REF!</v>
      </c>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v>1</v>
      </c>
      <c r="CW467" s="23"/>
      <c r="CX467" s="23"/>
      <c r="CY467" s="23"/>
      <c r="CZ467" s="23"/>
      <c r="DA467" s="23"/>
      <c r="DB467" s="23"/>
      <c r="DC467" s="23"/>
      <c r="DD467" s="23"/>
      <c r="DE467" s="23"/>
      <c r="DF467" s="23"/>
      <c r="DG467" s="23" t="e">
        <f>Source!S266</f>
        <v>#REF!</v>
      </c>
      <c r="DH467" s="23">
        <v>1009</v>
      </c>
      <c r="DI467" s="23"/>
      <c r="DJ467" s="23"/>
      <c r="DK467" s="23"/>
      <c r="DL467" s="23"/>
      <c r="DM467" s="23"/>
      <c r="DN467" s="23"/>
      <c r="DO467" s="23"/>
      <c r="DP467" s="23"/>
      <c r="DQ467" s="23" t="e">
        <f>T467</f>
        <v>#REF!</v>
      </c>
      <c r="DR467" s="23"/>
      <c r="DS467" s="23" t="e">
        <f>U467</f>
        <v>#REF!</v>
      </c>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t="e">
        <f>T467</f>
        <v>#REF!</v>
      </c>
      <c r="GK467" s="23" t="e">
        <f>T467</f>
        <v>#REF!</v>
      </c>
      <c r="GL467" s="23"/>
      <c r="GM467" s="23"/>
      <c r="GN467" s="23"/>
      <c r="GO467" s="23"/>
      <c r="GP467" s="23"/>
      <c r="GQ467" s="23"/>
      <c r="GR467" s="23"/>
      <c r="GS467" s="23"/>
      <c r="GT467" s="23"/>
      <c r="GU467" s="23"/>
      <c r="GV467" s="23"/>
      <c r="GW467" s="23"/>
      <c r="GX467" s="23"/>
      <c r="GY467" s="23"/>
      <c r="GZ467" s="23"/>
      <c r="HA467" s="23"/>
      <c r="HB467" s="23" t="e">
        <f>T467</f>
        <v>#REF!</v>
      </c>
      <c r="HC467" s="23"/>
      <c r="HD467" s="23"/>
      <c r="HE467" s="23"/>
      <c r="HF467" s="23" t="e">
        <f>T467</f>
        <v>#REF!</v>
      </c>
      <c r="HG467" s="23"/>
      <c r="HH467" s="23"/>
      <c r="HI467" s="23"/>
      <c r="HJ467" s="23"/>
      <c r="HK467" s="23"/>
      <c r="HL467" s="23" t="e">
        <f>T467</f>
        <v>#REF!</v>
      </c>
      <c r="HM467" s="23"/>
      <c r="HN467" s="23" t="e">
        <f>T467</f>
        <v>#REF!</v>
      </c>
      <c r="HO467" s="23"/>
      <c r="HP467" s="23"/>
      <c r="HQ467" s="23"/>
      <c r="HR467" s="23"/>
      <c r="HS467" s="23"/>
      <c r="HT467" s="23"/>
      <c r="HU467" s="23"/>
      <c r="HV467" s="23"/>
      <c r="HW467" s="23"/>
      <c r="HX467" s="23" t="e">
        <f>T467</f>
        <v>#REF!</v>
      </c>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row>
    <row r="468" spans="1:255" x14ac:dyDescent="0.2">
      <c r="A468" s="78"/>
      <c r="B468" s="79"/>
      <c r="C468" s="79" t="s">
        <v>855</v>
      </c>
      <c r="D468" s="80"/>
      <c r="E468" s="81"/>
      <c r="F468" s="82">
        <v>6.27</v>
      </c>
      <c r="G468" s="83" t="s">
        <v>960</v>
      </c>
      <c r="H468" s="82">
        <f>Source!AD266</f>
        <v>12.54</v>
      </c>
      <c r="I468" s="84" t="e">
        <f>T468</f>
        <v>#REF!</v>
      </c>
      <c r="J468" s="85">
        <v>9.3000000000000007</v>
      </c>
      <c r="K468" s="86" t="e">
        <f>U468</f>
        <v>#REF!</v>
      </c>
      <c r="O468" s="23"/>
      <c r="P468" s="23"/>
      <c r="Q468" s="23"/>
      <c r="R468" s="23"/>
      <c r="S468" s="23"/>
      <c r="T468" s="23" t="e">
        <f>ROUND(Source!AD266*Source!AV266*Source!I266,0)</f>
        <v>#REF!</v>
      </c>
      <c r="U468" s="23" t="e">
        <f>Source!Q266</f>
        <v>#REF!</v>
      </c>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v>1</v>
      </c>
      <c r="CW468" s="23"/>
      <c r="CX468" s="23"/>
      <c r="CY468" s="23"/>
      <c r="CZ468" s="23"/>
      <c r="DA468" s="23"/>
      <c r="DB468" s="23"/>
      <c r="DC468" s="23"/>
      <c r="DD468" s="23"/>
      <c r="DE468" s="23"/>
      <c r="DF468" s="23"/>
      <c r="DG468" s="23"/>
      <c r="DH468" s="23"/>
      <c r="DI468" s="23"/>
      <c r="DJ468" s="23"/>
      <c r="DK468" s="23"/>
      <c r="DL468" s="23"/>
      <c r="DM468" s="23"/>
      <c r="DN468" s="23"/>
      <c r="DO468" s="23"/>
      <c r="DP468" s="23"/>
      <c r="DQ468" s="23" t="e">
        <f>T468</f>
        <v>#REF!</v>
      </c>
      <c r="DR468" s="23"/>
      <c r="DS468" s="23" t="e">
        <f>U468</f>
        <v>#REF!</v>
      </c>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t="e">
        <f>T468</f>
        <v>#REF!</v>
      </c>
      <c r="GK468" s="23"/>
      <c r="GL468" s="23" t="e">
        <f>T468</f>
        <v>#REF!</v>
      </c>
      <c r="GM468" s="23"/>
      <c r="GN468" s="23"/>
      <c r="GO468" s="23"/>
      <c r="GP468" s="23"/>
      <c r="GQ468" s="23"/>
      <c r="GR468" s="23"/>
      <c r="GS468" s="23"/>
      <c r="GT468" s="23"/>
      <c r="GU468" s="23"/>
      <c r="GV468" s="23"/>
      <c r="GW468" s="23"/>
      <c r="GX468" s="23"/>
      <c r="GY468" s="23"/>
      <c r="GZ468" s="23"/>
      <c r="HA468" s="23"/>
      <c r="HB468" s="23" t="e">
        <f>T468</f>
        <v>#REF!</v>
      </c>
      <c r="HC468" s="23"/>
      <c r="HD468" s="23"/>
      <c r="HE468" s="23"/>
      <c r="HF468" s="23" t="e">
        <f>T468</f>
        <v>#REF!</v>
      </c>
      <c r="HG468" s="23"/>
      <c r="HH468" s="23"/>
      <c r="HI468" s="23"/>
      <c r="HJ468" s="23"/>
      <c r="HK468" s="23"/>
      <c r="HL468" s="23" t="e">
        <f>T468</f>
        <v>#REF!</v>
      </c>
      <c r="HM468" s="23"/>
      <c r="HN468" s="23" t="e">
        <f>T468</f>
        <v>#REF!</v>
      </c>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row>
    <row r="469" spans="1:255" x14ac:dyDescent="0.2">
      <c r="A469" s="78"/>
      <c r="B469" s="79"/>
      <c r="C469" s="79" t="s">
        <v>857</v>
      </c>
      <c r="D469" s="80"/>
      <c r="E469" s="81"/>
      <c r="F469" s="82">
        <v>0.1</v>
      </c>
      <c r="G469" s="83" t="s">
        <v>960</v>
      </c>
      <c r="H469" s="82">
        <f>Source!AE266</f>
        <v>0.2</v>
      </c>
      <c r="I469" s="84" t="e">
        <f>GM469</f>
        <v>#REF!</v>
      </c>
      <c r="J469" s="85">
        <v>19.8</v>
      </c>
      <c r="K469" s="86" t="e">
        <f>Source!R266</f>
        <v>#REF!</v>
      </c>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t="e">
        <f>ROUND(Source!AE266*Source!AV266*Source!I266,0)</f>
        <v>#REF!</v>
      </c>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t="e">
        <f>GM469</f>
        <v>#REF!</v>
      </c>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row>
    <row r="470" spans="1:255" x14ac:dyDescent="0.2">
      <c r="A470" s="78"/>
      <c r="B470" s="79"/>
      <c r="C470" s="79" t="s">
        <v>947</v>
      </c>
      <c r="D470" s="80"/>
      <c r="E470" s="81"/>
      <c r="F470" s="82">
        <v>280.57</v>
      </c>
      <c r="G470" s="83" t="s">
        <v>960</v>
      </c>
      <c r="H470" s="82">
        <f>Source!AC266</f>
        <v>0.01</v>
      </c>
      <c r="I470" s="84" t="e">
        <f>T470</f>
        <v>#REF!</v>
      </c>
      <c r="J470" s="85">
        <v>7.56</v>
      </c>
      <c r="K470" s="86" t="e">
        <f>U470</f>
        <v>#REF!</v>
      </c>
      <c r="O470" s="23"/>
      <c r="P470" s="23"/>
      <c r="Q470" s="23"/>
      <c r="R470" s="23"/>
      <c r="S470" s="23"/>
      <c r="T470" s="23" t="e">
        <f>ROUND(Source!AC266*Source!AW266*Source!I266,0)</f>
        <v>#REF!</v>
      </c>
      <c r="U470" s="23" t="e">
        <f>Source!P266</f>
        <v>#REF!</v>
      </c>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v>1</v>
      </c>
      <c r="CW470" s="23"/>
      <c r="CX470" s="23"/>
      <c r="CY470" s="23"/>
      <c r="CZ470" s="23"/>
      <c r="DA470" s="23"/>
      <c r="DB470" s="23"/>
      <c r="DC470" s="23"/>
      <c r="DD470" s="23"/>
      <c r="DE470" s="23"/>
      <c r="DF470" s="23"/>
      <c r="DG470" s="23"/>
      <c r="DH470" s="23"/>
      <c r="DI470" s="23"/>
      <c r="DJ470" s="23"/>
      <c r="DK470" s="23" t="e">
        <f>T470</f>
        <v>#REF!</v>
      </c>
      <c r="DL470" s="23"/>
      <c r="DM470" s="23" t="e">
        <f>U470</f>
        <v>#REF!</v>
      </c>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t="e">
        <f>T470</f>
        <v>#REF!</v>
      </c>
      <c r="GK470" s="23"/>
      <c r="GL470" s="23"/>
      <c r="GM470" s="23"/>
      <c r="GN470" s="23" t="e">
        <f>T470</f>
        <v>#REF!</v>
      </c>
      <c r="GO470" s="23"/>
      <c r="GP470" s="23" t="e">
        <f>T470</f>
        <v>#REF!</v>
      </c>
      <c r="GQ470" s="23" t="e">
        <f>T470</f>
        <v>#REF!</v>
      </c>
      <c r="GR470" s="23"/>
      <c r="GS470" s="23" t="e">
        <f>T470</f>
        <v>#REF!</v>
      </c>
      <c r="GT470" s="23"/>
      <c r="GU470" s="23"/>
      <c r="GV470" s="23"/>
      <c r="GW470" s="23" t="e">
        <f>ROUND(Source!AG266*Source!I266,0)</f>
        <v>#REF!</v>
      </c>
      <c r="GX470" s="23" t="e">
        <f>ROUND(Source!AJ266*Source!I266,0)</f>
        <v>#REF!</v>
      </c>
      <c r="GY470" s="23"/>
      <c r="GZ470" s="23"/>
      <c r="HA470" s="23"/>
      <c r="HB470" s="23" t="e">
        <f>T470</f>
        <v>#REF!</v>
      </c>
      <c r="HC470" s="23"/>
      <c r="HD470" s="23"/>
      <c r="HE470" s="23"/>
      <c r="HF470" s="23" t="e">
        <f>T470</f>
        <v>#REF!</v>
      </c>
      <c r="HG470" s="23"/>
      <c r="HH470" s="23"/>
      <c r="HI470" s="23"/>
      <c r="HJ470" s="23"/>
      <c r="HK470" s="23"/>
      <c r="HL470" s="23" t="e">
        <f>T470</f>
        <v>#REF!</v>
      </c>
      <c r="HM470" s="23"/>
      <c r="HN470" s="23" t="e">
        <f>T470</f>
        <v>#REF!</v>
      </c>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row>
    <row r="471" spans="1:255" x14ac:dyDescent="0.2">
      <c r="A471" s="87"/>
      <c r="B471" s="88"/>
      <c r="C471" s="88" t="s">
        <v>858</v>
      </c>
      <c r="D471" s="89"/>
      <c r="E471" s="90">
        <v>90</v>
      </c>
      <c r="F471" s="91" t="s">
        <v>859</v>
      </c>
      <c r="G471" s="92"/>
      <c r="H471" s="93">
        <f>ROUND((Source!AF266*Source!AV266+Source!AE266*Source!AV266)*(Source!FX266)/100,2)</f>
        <v>63.25</v>
      </c>
      <c r="I471" s="94" t="e">
        <f>T471</f>
        <v>#REF!</v>
      </c>
      <c r="J471" s="96">
        <v>0.86</v>
      </c>
      <c r="K471" s="95" t="e">
        <f>U471</f>
        <v>#REF!</v>
      </c>
      <c r="O471" s="23"/>
      <c r="P471" s="23"/>
      <c r="Q471" s="23"/>
      <c r="R471" s="23"/>
      <c r="S471" s="23"/>
      <c r="T471" s="23" t="e">
        <f>ROUND((ROUND(Source!AF266*Source!AV266*Source!I266,0)+ROUND(Source!AE266*Source!AV266*Source!I266,0))*(Source!DN266)/100,0)</f>
        <v>#REF!</v>
      </c>
      <c r="U471" s="23" t="e">
        <f>Source!X266</f>
        <v>#REF!</v>
      </c>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v>1</v>
      </c>
      <c r="CW471" s="23"/>
      <c r="CX471" s="23"/>
      <c r="CY471" s="23"/>
      <c r="CZ471" s="23"/>
      <c r="DA471" s="23"/>
      <c r="DB471" s="23"/>
      <c r="DC471" s="23"/>
      <c r="DD471" s="23"/>
      <c r="DE471" s="23"/>
      <c r="DF471" s="23"/>
      <c r="DG471" s="23"/>
      <c r="DH471" s="23"/>
      <c r="DI471" s="23"/>
      <c r="DJ471" s="23"/>
      <c r="DK471" s="23"/>
      <c r="DL471" s="23"/>
      <c r="DM471" s="23"/>
      <c r="DN471" s="23"/>
      <c r="DO471" s="23"/>
      <c r="DP471" s="23"/>
      <c r="DQ471" s="23" t="e">
        <f>T471</f>
        <v>#REF!</v>
      </c>
      <c r="DR471" s="23"/>
      <c r="DS471" s="23" t="e">
        <f>U471</f>
        <v>#REF!</v>
      </c>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t="e">
        <f>T471</f>
        <v>#REF!</v>
      </c>
      <c r="GZ471" s="23"/>
      <c r="HA471" s="23"/>
      <c r="HB471" s="23" t="e">
        <f>T471</f>
        <v>#REF!</v>
      </c>
      <c r="HC471" s="23"/>
      <c r="HD471" s="23"/>
      <c r="HE471" s="23"/>
      <c r="HF471" s="23" t="e">
        <f>T471</f>
        <v>#REF!</v>
      </c>
      <c r="HG471" s="23"/>
      <c r="HH471" s="23"/>
      <c r="HI471" s="23"/>
      <c r="HJ471" s="23"/>
      <c r="HK471" s="23"/>
      <c r="HL471" s="23" t="e">
        <f>T471</f>
        <v>#REF!</v>
      </c>
      <c r="HM471" s="23"/>
      <c r="HN471" s="23" t="e">
        <f>T471</f>
        <v>#REF!</v>
      </c>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row>
    <row r="472" spans="1:255" x14ac:dyDescent="0.2">
      <c r="A472" s="87"/>
      <c r="B472" s="88"/>
      <c r="C472" s="88" t="s">
        <v>860</v>
      </c>
      <c r="D472" s="89"/>
      <c r="E472" s="90">
        <v>70</v>
      </c>
      <c r="F472" s="91" t="s">
        <v>859</v>
      </c>
      <c r="G472" s="92"/>
      <c r="H472" s="93">
        <f>ROUND((Source!AF266*Source!AV266+Source!AE266*Source!AV266)*(Source!FY266)/100,2)</f>
        <v>49.2</v>
      </c>
      <c r="I472" s="94" t="e">
        <f>T472</f>
        <v>#REF!</v>
      </c>
      <c r="J472" s="96">
        <v>0.6</v>
      </c>
      <c r="K472" s="95" t="e">
        <f>U472</f>
        <v>#REF!</v>
      </c>
      <c r="O472" s="23"/>
      <c r="P472" s="23"/>
      <c r="Q472" s="23"/>
      <c r="R472" s="23"/>
      <c r="S472" s="23"/>
      <c r="T472" s="23" t="e">
        <f>ROUND((ROUND(Source!AF266*Source!AV266*Source!I266,0)+ROUND(Source!AE266*Source!AV266*Source!I266,0))*(Source!DO266)/100,0)</f>
        <v>#REF!</v>
      </c>
      <c r="U472" s="23" t="e">
        <f>Source!Y266</f>
        <v>#REF!</v>
      </c>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v>1</v>
      </c>
      <c r="CW472" s="23"/>
      <c r="CX472" s="23"/>
      <c r="CY472" s="23"/>
      <c r="CZ472" s="23"/>
      <c r="DA472" s="23"/>
      <c r="DB472" s="23"/>
      <c r="DC472" s="23"/>
      <c r="DD472" s="23"/>
      <c r="DE472" s="23"/>
      <c r="DF472" s="23"/>
      <c r="DG472" s="23"/>
      <c r="DH472" s="23"/>
      <c r="DI472" s="23"/>
      <c r="DJ472" s="23"/>
      <c r="DK472" s="23"/>
      <c r="DL472" s="23"/>
      <c r="DM472" s="23"/>
      <c r="DN472" s="23"/>
      <c r="DO472" s="23"/>
      <c r="DP472" s="23"/>
      <c r="DQ472" s="23" t="e">
        <f>T472</f>
        <v>#REF!</v>
      </c>
      <c r="DR472" s="23"/>
      <c r="DS472" s="23" t="e">
        <f>U472</f>
        <v>#REF!</v>
      </c>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t="e">
        <f>T472</f>
        <v>#REF!</v>
      </c>
      <c r="HA472" s="23"/>
      <c r="HB472" s="23" t="e">
        <f>T472</f>
        <v>#REF!</v>
      </c>
      <c r="HC472" s="23"/>
      <c r="HD472" s="23"/>
      <c r="HE472" s="23"/>
      <c r="HF472" s="23" t="e">
        <f>T472</f>
        <v>#REF!</v>
      </c>
      <c r="HG472" s="23"/>
      <c r="HH472" s="23"/>
      <c r="HI472" s="23"/>
      <c r="HJ472" s="23"/>
      <c r="HK472" s="23"/>
      <c r="HL472" s="23" t="e">
        <f>T472</f>
        <v>#REF!</v>
      </c>
      <c r="HM472" s="23"/>
      <c r="HN472" s="23" t="e">
        <f>T472</f>
        <v>#REF!</v>
      </c>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row>
    <row r="473" spans="1:255" x14ac:dyDescent="0.2">
      <c r="A473" s="78"/>
      <c r="B473" s="79"/>
      <c r="C473" s="79" t="s">
        <v>861</v>
      </c>
      <c r="D473" s="80" t="s">
        <v>862</v>
      </c>
      <c r="E473" s="81">
        <v>3.83</v>
      </c>
      <c r="F473" s="82"/>
      <c r="G473" s="83" t="s">
        <v>960</v>
      </c>
      <c r="H473" s="82" t="e">
        <f>ROUND(Source!AH266,2)</f>
        <v>#REF!</v>
      </c>
      <c r="I473" s="97" t="e">
        <f>Source!U266</f>
        <v>#REF!</v>
      </c>
      <c r="J473" s="85"/>
      <c r="K473" s="86"/>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row>
    <row r="474" spans="1:255" x14ac:dyDescent="0.2">
      <c r="A474" s="100" t="s">
        <v>382</v>
      </c>
      <c r="B474" s="109" t="s">
        <v>383</v>
      </c>
      <c r="C474" s="101" t="s">
        <v>384</v>
      </c>
      <c r="D474" s="102" t="s">
        <v>33</v>
      </c>
      <c r="E474" s="103" t="e">
        <f>Source!I268</f>
        <v>#REF!</v>
      </c>
      <c r="F474" s="104">
        <v>6156.33</v>
      </c>
      <c r="G474" s="105"/>
      <c r="H474" s="104">
        <f>Source!AC267</f>
        <v>6156.33</v>
      </c>
      <c r="I474" s="106" t="e">
        <f>T474</f>
        <v>#REF!</v>
      </c>
      <c r="J474" s="107" t="s">
        <v>863</v>
      </c>
      <c r="K474" s="108" t="e">
        <f>U474</f>
        <v>#REF!</v>
      </c>
      <c r="L474" s="23"/>
      <c r="M474" s="23"/>
      <c r="N474" s="23"/>
      <c r="O474" s="23"/>
      <c r="P474" s="23"/>
      <c r="Q474" s="23"/>
      <c r="R474" s="23"/>
      <c r="S474" s="23"/>
      <c r="T474" s="23" t="e">
        <f>ROUND(Source!AC267*Source!AW267*Source!I267,0)</f>
        <v>#REF!</v>
      </c>
      <c r="U474" s="23" t="e">
        <f>Source!P268</f>
        <v>#REF!</v>
      </c>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v>1</v>
      </c>
      <c r="CW474" s="23"/>
      <c r="CX474" s="23"/>
      <c r="CY474" s="23"/>
      <c r="CZ474" s="23"/>
      <c r="DA474" s="23"/>
      <c r="DB474" s="23"/>
      <c r="DC474" s="23"/>
      <c r="DD474" s="23"/>
      <c r="DE474" s="23"/>
      <c r="DF474" s="23"/>
      <c r="DG474" s="23"/>
      <c r="DH474" s="23"/>
      <c r="DI474" s="23"/>
      <c r="DJ474" s="23"/>
      <c r="DK474" s="23" t="e">
        <f>T474</f>
        <v>#REF!</v>
      </c>
      <c r="DL474" s="23"/>
      <c r="DM474" s="23" t="e">
        <f>Source!P268</f>
        <v>#REF!</v>
      </c>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t="e">
        <f>T474</f>
        <v>#REF!</v>
      </c>
      <c r="GK474" s="23"/>
      <c r="GL474" s="23"/>
      <c r="GM474" s="23"/>
      <c r="GN474" s="23" t="e">
        <f>T474</f>
        <v>#REF!</v>
      </c>
      <c r="GO474" s="23"/>
      <c r="GP474" s="23" t="e">
        <f>T474</f>
        <v>#REF!</v>
      </c>
      <c r="GQ474" s="23" t="e">
        <f>T474</f>
        <v>#REF!</v>
      </c>
      <c r="GR474" s="23"/>
      <c r="GS474" s="23" t="e">
        <f>T474</f>
        <v>#REF!</v>
      </c>
      <c r="GT474" s="23"/>
      <c r="GU474" s="23"/>
      <c r="GV474" s="23"/>
      <c r="GW474" s="23"/>
      <c r="GX474" s="23"/>
      <c r="GY474" s="23"/>
      <c r="GZ474" s="23"/>
      <c r="HA474" s="23"/>
      <c r="HB474" s="23" t="e">
        <f>T474</f>
        <v>#REF!</v>
      </c>
      <c r="HC474" s="23"/>
      <c r="HD474" s="23"/>
      <c r="HE474" s="23"/>
      <c r="HF474" s="23" t="e">
        <f>T474</f>
        <v>#REF!</v>
      </c>
      <c r="HG474" s="23"/>
      <c r="HH474" s="23"/>
      <c r="HI474" s="23"/>
      <c r="HJ474" s="23"/>
      <c r="HK474" s="23"/>
      <c r="HL474" s="23" t="e">
        <f>T474</f>
        <v>#REF!</v>
      </c>
      <c r="HM474" s="23"/>
      <c r="HN474" s="23" t="e">
        <f>T474</f>
        <v>#REF!</v>
      </c>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row>
    <row r="475" spans="1:255" x14ac:dyDescent="0.2">
      <c r="A475" s="64"/>
      <c r="B475" s="111" t="s">
        <v>864</v>
      </c>
      <c r="C475" s="111" t="s">
        <v>961</v>
      </c>
      <c r="D475" s="63"/>
      <c r="E475" s="63"/>
      <c r="F475" s="63"/>
      <c r="G475" s="63"/>
      <c r="H475" s="63"/>
      <c r="I475" s="63"/>
      <c r="J475" s="63"/>
      <c r="K475" s="65"/>
    </row>
    <row r="476" spans="1:255" x14ac:dyDescent="0.2">
      <c r="A476" s="114" t="s">
        <v>387</v>
      </c>
      <c r="B476" s="115" t="s">
        <v>388</v>
      </c>
      <c r="C476" s="116" t="s">
        <v>389</v>
      </c>
      <c r="D476" s="117" t="s">
        <v>33</v>
      </c>
      <c r="E476" s="118" t="e">
        <f>Source!I270</f>
        <v>#REF!</v>
      </c>
      <c r="F476" s="119">
        <v>14313</v>
      </c>
      <c r="G476" s="71"/>
      <c r="H476" s="119">
        <f>Source!AC269</f>
        <v>14313</v>
      </c>
      <c r="I476" s="120" t="e">
        <f>T476</f>
        <v>#REF!</v>
      </c>
      <c r="J476" s="73" t="s">
        <v>863</v>
      </c>
      <c r="K476" s="121" t="e">
        <f>U476</f>
        <v>#REF!</v>
      </c>
      <c r="L476" s="23"/>
      <c r="M476" s="23"/>
      <c r="N476" s="23"/>
      <c r="O476" s="23"/>
      <c r="P476" s="23"/>
      <c r="Q476" s="23"/>
      <c r="R476" s="23"/>
      <c r="S476" s="23"/>
      <c r="T476" s="23" t="e">
        <f>ROUND(Source!AC269*Source!AW269*Source!I269,0)</f>
        <v>#REF!</v>
      </c>
      <c r="U476" s="23" t="e">
        <f>Source!P270</f>
        <v>#REF!</v>
      </c>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v>1</v>
      </c>
      <c r="CW476" s="23"/>
      <c r="CX476" s="23"/>
      <c r="CY476" s="23"/>
      <c r="CZ476" s="23"/>
      <c r="DA476" s="23"/>
      <c r="DB476" s="23"/>
      <c r="DC476" s="23"/>
      <c r="DD476" s="23"/>
      <c r="DE476" s="23"/>
      <c r="DF476" s="23"/>
      <c r="DG476" s="23"/>
      <c r="DH476" s="23"/>
      <c r="DI476" s="23"/>
      <c r="DJ476" s="23"/>
      <c r="DK476" s="23" t="e">
        <f>T476</f>
        <v>#REF!</v>
      </c>
      <c r="DL476" s="23"/>
      <c r="DM476" s="23" t="e">
        <f>Source!P270</f>
        <v>#REF!</v>
      </c>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t="e">
        <f>T476</f>
        <v>#REF!</v>
      </c>
      <c r="GK476" s="23"/>
      <c r="GL476" s="23"/>
      <c r="GM476" s="23"/>
      <c r="GN476" s="23" t="e">
        <f>T476</f>
        <v>#REF!</v>
      </c>
      <c r="GO476" s="23"/>
      <c r="GP476" s="23" t="e">
        <f>T476</f>
        <v>#REF!</v>
      </c>
      <c r="GQ476" s="23" t="e">
        <f>T476</f>
        <v>#REF!</v>
      </c>
      <c r="GR476" s="23"/>
      <c r="GS476" s="23" t="e">
        <f>T476</f>
        <v>#REF!</v>
      </c>
      <c r="GT476" s="23"/>
      <c r="GU476" s="23"/>
      <c r="GV476" s="23"/>
      <c r="GW476" s="23"/>
      <c r="GX476" s="23"/>
      <c r="GY476" s="23"/>
      <c r="GZ476" s="23"/>
      <c r="HA476" s="23"/>
      <c r="HB476" s="23" t="e">
        <f>T476</f>
        <v>#REF!</v>
      </c>
      <c r="HC476" s="23"/>
      <c r="HD476" s="23"/>
      <c r="HE476" s="23"/>
      <c r="HF476" s="23" t="e">
        <f>T476</f>
        <v>#REF!</v>
      </c>
      <c r="HG476" s="23"/>
      <c r="HH476" s="23"/>
      <c r="HI476" s="23"/>
      <c r="HJ476" s="23"/>
      <c r="HK476" s="23"/>
      <c r="HL476" s="23" t="e">
        <f>T476</f>
        <v>#REF!</v>
      </c>
      <c r="HM476" s="23"/>
      <c r="HN476" s="23" t="e">
        <f>T476</f>
        <v>#REF!</v>
      </c>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row>
    <row r="477" spans="1:255" x14ac:dyDescent="0.2">
      <c r="A477" s="98"/>
      <c r="B477" s="113" t="s">
        <v>864</v>
      </c>
      <c r="C477" s="113" t="s">
        <v>962</v>
      </c>
      <c r="D477" s="33"/>
      <c r="E477" s="33"/>
      <c r="F477" s="33"/>
      <c r="G477" s="33"/>
      <c r="H477" s="33"/>
      <c r="I477" s="33"/>
      <c r="J477" s="33"/>
      <c r="K477" s="99"/>
    </row>
    <row r="478" spans="1:255" ht="13.5" thickBot="1" x14ac:dyDescent="0.25">
      <c r="A478" s="124"/>
      <c r="B478" s="125"/>
      <c r="C478" s="125" t="s">
        <v>867</v>
      </c>
      <c r="D478" s="125"/>
      <c r="E478" s="125"/>
      <c r="F478" s="125"/>
      <c r="G478" s="125"/>
      <c r="H478" s="380" t="e">
        <f>SUM(DK466:DK477)</f>
        <v>#REF!</v>
      </c>
      <c r="I478" s="381"/>
      <c r="J478" s="380" t="e">
        <f>SUM(DM466:DM477)</f>
        <v>#REF!</v>
      </c>
      <c r="K478" s="382"/>
      <c r="L478" s="112"/>
      <c r="M478" s="112"/>
      <c r="N478" s="112"/>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row>
    <row r="479" spans="1:255" x14ac:dyDescent="0.2">
      <c r="A479" s="123"/>
      <c r="B479" s="122"/>
      <c r="C479" s="122" t="s">
        <v>868</v>
      </c>
      <c r="D479" s="122"/>
      <c r="E479" s="122"/>
      <c r="F479" s="122"/>
      <c r="G479" s="122"/>
      <c r="H479" s="383" t="e">
        <f>R479</f>
        <v>#REF!</v>
      </c>
      <c r="I479" s="384"/>
      <c r="J479" s="383" t="e">
        <f>S479</f>
        <v>#REF!</v>
      </c>
      <c r="K479" s="385"/>
      <c r="O479" s="23"/>
      <c r="P479" s="23"/>
      <c r="Q479" s="23"/>
      <c r="R479" s="23" t="e">
        <f>SUM(T466:T478)</f>
        <v>#REF!</v>
      </c>
      <c r="S479" s="23" t="e">
        <f>SUM(U466:U478)</f>
        <v>#REF!</v>
      </c>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t="e">
        <f>R479</f>
        <v>#REF!</v>
      </c>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row>
    <row r="480" spans="1:255" x14ac:dyDescent="0.2">
      <c r="A480" s="77"/>
      <c r="B480" s="76"/>
      <c r="C480" s="76"/>
      <c r="D480" s="76"/>
      <c r="E480" s="76"/>
      <c r="F480" s="76"/>
      <c r="G480" s="76"/>
      <c r="H480" s="386"/>
      <c r="I480" s="387"/>
      <c r="J480" s="386"/>
      <c r="K480" s="388"/>
    </row>
    <row r="481" spans="1:255" ht="13.5" thickBot="1" x14ac:dyDescent="0.25">
      <c r="A481" s="135">
        <v>21</v>
      </c>
      <c r="B481" s="136" t="s">
        <v>135</v>
      </c>
      <c r="C481" s="137" t="s">
        <v>136</v>
      </c>
      <c r="D481" s="138" t="s">
        <v>137</v>
      </c>
      <c r="E481" s="139">
        <v>90.59</v>
      </c>
      <c r="F481" s="140">
        <v>105.9</v>
      </c>
      <c r="G481" s="141"/>
      <c r="H481" s="140">
        <f>Source!AD272</f>
        <v>105.9</v>
      </c>
      <c r="I481" s="142" t="e">
        <f>T481</f>
        <v>#REF!</v>
      </c>
      <c r="J481" s="143">
        <v>7.84</v>
      </c>
      <c r="K481" s="144" t="e">
        <f>U481</f>
        <v>#REF!</v>
      </c>
      <c r="L481" s="23"/>
      <c r="M481" s="23"/>
      <c r="N481" s="23"/>
      <c r="O481" s="23"/>
      <c r="P481" s="23"/>
      <c r="Q481" s="23"/>
      <c r="R481" s="23"/>
      <c r="S481" s="23"/>
      <c r="T481" s="23" t="e">
        <f>ROUND(Source!AD272*Source!AV272*Source!I272,0)</f>
        <v>#REF!</v>
      </c>
      <c r="U481" s="23" t="e">
        <f>Source!Q272</f>
        <v>#REF!</v>
      </c>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v>1</v>
      </c>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t="e">
        <f>T481</f>
        <v>#REF!</v>
      </c>
      <c r="GK481" s="23"/>
      <c r="GL481" s="23" t="e">
        <f>T481</f>
        <v>#REF!</v>
      </c>
      <c r="GM481" s="23"/>
      <c r="GN481" s="23"/>
      <c r="GO481" s="23"/>
      <c r="GP481" s="23"/>
      <c r="GQ481" s="23"/>
      <c r="GR481" s="23"/>
      <c r="GS481" s="23"/>
      <c r="GT481" s="23"/>
      <c r="GU481" s="23"/>
      <c r="GV481" s="23"/>
      <c r="GW481" s="23"/>
      <c r="GX481" s="23"/>
      <c r="GY481" s="23"/>
      <c r="GZ481" s="23"/>
      <c r="HA481" s="23"/>
      <c r="HB481" s="23" t="e">
        <f>T481</f>
        <v>#REF!</v>
      </c>
      <c r="HC481" s="23"/>
      <c r="HD481" s="23"/>
      <c r="HE481" s="23"/>
      <c r="HF481" s="23" t="e">
        <f>T481</f>
        <v>#REF!</v>
      </c>
      <c r="HG481" s="23"/>
      <c r="HH481" s="23"/>
      <c r="HI481" s="23"/>
      <c r="HJ481" s="23"/>
      <c r="HK481" s="23"/>
      <c r="HL481" s="23" t="e">
        <f>T481</f>
        <v>#REF!</v>
      </c>
      <c r="HM481" s="23"/>
      <c r="HN481" s="23" t="e">
        <f>T481</f>
        <v>#REF!</v>
      </c>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row>
    <row r="482" spans="1:255" x14ac:dyDescent="0.2">
      <c r="A482" s="123"/>
      <c r="B482" s="122"/>
      <c r="C482" s="122" t="s">
        <v>868</v>
      </c>
      <c r="D482" s="122"/>
      <c r="E482" s="122"/>
      <c r="F482" s="122"/>
      <c r="G482" s="122"/>
      <c r="H482" s="383" t="e">
        <f>R482</f>
        <v>#REF!</v>
      </c>
      <c r="I482" s="384"/>
      <c r="J482" s="383" t="e">
        <f>S482</f>
        <v>#REF!</v>
      </c>
      <c r="K482" s="385"/>
      <c r="O482" s="23"/>
      <c r="P482" s="23"/>
      <c r="Q482" s="23"/>
      <c r="R482" s="23" t="e">
        <f>SUM(T481:T481)</f>
        <v>#REF!</v>
      </c>
      <c r="S482" s="23" t="e">
        <f>SUM(U481:U481)</f>
        <v>#REF!</v>
      </c>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t="e">
        <f>R482</f>
        <v>#REF!</v>
      </c>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row>
    <row r="483" spans="1:255" x14ac:dyDescent="0.2">
      <c r="A483" s="77"/>
      <c r="B483" s="76"/>
      <c r="C483" s="76"/>
      <c r="D483" s="76"/>
      <c r="E483" s="76"/>
      <c r="F483" s="76"/>
      <c r="G483" s="76"/>
      <c r="H483" s="386"/>
      <c r="I483" s="387"/>
      <c r="J483" s="386"/>
      <c r="K483" s="388"/>
    </row>
    <row r="484" spans="1:255" ht="48" x14ac:dyDescent="0.2">
      <c r="A484" s="126">
        <v>22</v>
      </c>
      <c r="B484" s="133" t="s">
        <v>394</v>
      </c>
      <c r="C484" s="127" t="s">
        <v>395</v>
      </c>
      <c r="D484" s="128" t="s">
        <v>396</v>
      </c>
      <c r="E484" s="129">
        <v>0.04</v>
      </c>
      <c r="F484" s="130">
        <f>Source!AK274</f>
        <v>93.089999999999989</v>
      </c>
      <c r="G484" s="134" t="s">
        <v>6</v>
      </c>
      <c r="H484" s="130"/>
      <c r="I484" s="131" t="e">
        <f>SUM(DQ484:DQ494)</f>
        <v>#REF!</v>
      </c>
      <c r="J484" s="107" t="s">
        <v>394</v>
      </c>
      <c r="K484" s="132" t="e">
        <f>SUM(DS484:DS494)</f>
        <v>#REF!</v>
      </c>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row>
    <row r="485" spans="1:255" x14ac:dyDescent="0.2">
      <c r="A485" s="66"/>
      <c r="B485" s="67"/>
      <c r="C485" s="67" t="s">
        <v>853</v>
      </c>
      <c r="D485" s="68"/>
      <c r="E485" s="69"/>
      <c r="F485" s="70">
        <v>74.819999999999993</v>
      </c>
      <c r="G485" s="71"/>
      <c r="H485" s="70">
        <f>Source!AF274</f>
        <v>74.819999999999993</v>
      </c>
      <c r="I485" s="72" t="e">
        <f>T485</f>
        <v>#REF!</v>
      </c>
      <c r="J485" s="73">
        <v>25.36</v>
      </c>
      <c r="K485" s="74" t="e">
        <f>U485</f>
        <v>#REF!</v>
      </c>
      <c r="O485" s="23"/>
      <c r="P485" s="23"/>
      <c r="Q485" s="23"/>
      <c r="R485" s="23"/>
      <c r="S485" s="23"/>
      <c r="T485" s="23" t="e">
        <f>ROUND(Source!AF274*Source!AV274*Source!I274,0)</f>
        <v>#REF!</v>
      </c>
      <c r="U485" s="23" t="e">
        <f>Source!S274</f>
        <v>#REF!</v>
      </c>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v>1</v>
      </c>
      <c r="CW485" s="23"/>
      <c r="CX485" s="23"/>
      <c r="CY485" s="23"/>
      <c r="CZ485" s="23"/>
      <c r="DA485" s="23"/>
      <c r="DB485" s="23"/>
      <c r="DC485" s="23"/>
      <c r="DD485" s="23"/>
      <c r="DE485" s="23"/>
      <c r="DF485" s="23"/>
      <c r="DG485" s="23" t="e">
        <f>Source!S274</f>
        <v>#REF!</v>
      </c>
      <c r="DH485" s="23">
        <v>1015</v>
      </c>
      <c r="DI485" s="23"/>
      <c r="DJ485" s="23"/>
      <c r="DK485" s="23"/>
      <c r="DL485" s="23"/>
      <c r="DM485" s="23"/>
      <c r="DN485" s="23"/>
      <c r="DO485" s="23"/>
      <c r="DP485" s="23"/>
      <c r="DQ485" s="23" t="e">
        <f>T485</f>
        <v>#REF!</v>
      </c>
      <c r="DR485" s="23"/>
      <c r="DS485" s="23" t="e">
        <f>U485</f>
        <v>#REF!</v>
      </c>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t="e">
        <f>T485</f>
        <v>#REF!</v>
      </c>
      <c r="GK485" s="23" t="e">
        <f>T485</f>
        <v>#REF!</v>
      </c>
      <c r="GL485" s="23"/>
      <c r="GM485" s="23"/>
      <c r="GN485" s="23"/>
      <c r="GO485" s="23"/>
      <c r="GP485" s="23"/>
      <c r="GQ485" s="23"/>
      <c r="GR485" s="23"/>
      <c r="GS485" s="23"/>
      <c r="GT485" s="23"/>
      <c r="GU485" s="23"/>
      <c r="GV485" s="23"/>
      <c r="GW485" s="23"/>
      <c r="GX485" s="23"/>
      <c r="GY485" s="23"/>
      <c r="GZ485" s="23"/>
      <c r="HA485" s="23"/>
      <c r="HB485" s="23" t="e">
        <f>T485</f>
        <v>#REF!</v>
      </c>
      <c r="HC485" s="23"/>
      <c r="HD485" s="23"/>
      <c r="HE485" s="23"/>
      <c r="HF485" s="23" t="e">
        <f>T485</f>
        <v>#REF!</v>
      </c>
      <c r="HG485" s="23"/>
      <c r="HH485" s="23"/>
      <c r="HI485" s="23"/>
      <c r="HJ485" s="23"/>
      <c r="HK485" s="23"/>
      <c r="HL485" s="23" t="e">
        <f>T485</f>
        <v>#REF!</v>
      </c>
      <c r="HM485" s="23"/>
      <c r="HN485" s="23" t="e">
        <f>T485</f>
        <v>#REF!</v>
      </c>
      <c r="HO485" s="23"/>
      <c r="HP485" s="23"/>
      <c r="HQ485" s="23"/>
      <c r="HR485" s="23"/>
      <c r="HS485" s="23"/>
      <c r="HT485" s="23"/>
      <c r="HU485" s="23"/>
      <c r="HV485" s="23"/>
      <c r="HW485" s="23"/>
      <c r="HX485" s="23" t="e">
        <f>T485</f>
        <v>#REF!</v>
      </c>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row>
    <row r="486" spans="1:255" x14ac:dyDescent="0.2">
      <c r="A486" s="78"/>
      <c r="B486" s="79"/>
      <c r="C486" s="79" t="s">
        <v>855</v>
      </c>
      <c r="D486" s="80"/>
      <c r="E486" s="81"/>
      <c r="F486" s="82">
        <v>18.27</v>
      </c>
      <c r="G486" s="83"/>
      <c r="H486" s="82">
        <f>Source!AD274</f>
        <v>18.27</v>
      </c>
      <c r="I486" s="84" t="e">
        <f>T486</f>
        <v>#REF!</v>
      </c>
      <c r="J486" s="85">
        <v>7.84</v>
      </c>
      <c r="K486" s="86" t="e">
        <f>U486</f>
        <v>#REF!</v>
      </c>
      <c r="O486" s="23"/>
      <c r="P486" s="23"/>
      <c r="Q486" s="23"/>
      <c r="R486" s="23"/>
      <c r="S486" s="23"/>
      <c r="T486" s="23" t="e">
        <f>ROUND(Source!AD274*Source!AV274*Source!I274,0)</f>
        <v>#REF!</v>
      </c>
      <c r="U486" s="23" t="e">
        <f>Source!Q274</f>
        <v>#REF!</v>
      </c>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v>1</v>
      </c>
      <c r="CW486" s="23"/>
      <c r="CX486" s="23"/>
      <c r="CY486" s="23"/>
      <c r="CZ486" s="23"/>
      <c r="DA486" s="23"/>
      <c r="DB486" s="23"/>
      <c r="DC486" s="23"/>
      <c r="DD486" s="23"/>
      <c r="DE486" s="23"/>
      <c r="DF486" s="23"/>
      <c r="DG486" s="23"/>
      <c r="DH486" s="23"/>
      <c r="DI486" s="23"/>
      <c r="DJ486" s="23"/>
      <c r="DK486" s="23"/>
      <c r="DL486" s="23"/>
      <c r="DM486" s="23"/>
      <c r="DN486" s="23"/>
      <c r="DO486" s="23"/>
      <c r="DP486" s="23"/>
      <c r="DQ486" s="23" t="e">
        <f>T486</f>
        <v>#REF!</v>
      </c>
      <c r="DR486" s="23"/>
      <c r="DS486" s="23" t="e">
        <f>U486</f>
        <v>#REF!</v>
      </c>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t="e">
        <f>T486</f>
        <v>#REF!</v>
      </c>
      <c r="GK486" s="23"/>
      <c r="GL486" s="23" t="e">
        <f>T486</f>
        <v>#REF!</v>
      </c>
      <c r="GM486" s="23"/>
      <c r="GN486" s="23"/>
      <c r="GO486" s="23"/>
      <c r="GP486" s="23"/>
      <c r="GQ486" s="23"/>
      <c r="GR486" s="23"/>
      <c r="GS486" s="23"/>
      <c r="GT486" s="23"/>
      <c r="GU486" s="23"/>
      <c r="GV486" s="23"/>
      <c r="GW486" s="23"/>
      <c r="GX486" s="23"/>
      <c r="GY486" s="23"/>
      <c r="GZ486" s="23"/>
      <c r="HA486" s="23"/>
      <c r="HB486" s="23" t="e">
        <f>T486</f>
        <v>#REF!</v>
      </c>
      <c r="HC486" s="23"/>
      <c r="HD486" s="23"/>
      <c r="HE486" s="23"/>
      <c r="HF486" s="23" t="e">
        <f>T486</f>
        <v>#REF!</v>
      </c>
      <c r="HG486" s="23"/>
      <c r="HH486" s="23"/>
      <c r="HI486" s="23"/>
      <c r="HJ486" s="23"/>
      <c r="HK486" s="23"/>
      <c r="HL486" s="23" t="e">
        <f>T486</f>
        <v>#REF!</v>
      </c>
      <c r="HM486" s="23"/>
      <c r="HN486" s="23" t="e">
        <f>T486</f>
        <v>#REF!</v>
      </c>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row>
    <row r="487" spans="1:255" x14ac:dyDescent="0.2">
      <c r="A487" s="87"/>
      <c r="B487" s="88"/>
      <c r="C487" s="88" t="s">
        <v>858</v>
      </c>
      <c r="D487" s="89"/>
      <c r="E487" s="90">
        <v>110</v>
      </c>
      <c r="F487" s="91" t="s">
        <v>859</v>
      </c>
      <c r="G487" s="92"/>
      <c r="H487" s="93">
        <f>ROUND((Source!AF274*Source!AV274+Source!AE274*Source!AV274)*(Source!FX274)/100,2)</f>
        <v>82.3</v>
      </c>
      <c r="I487" s="94" t="e">
        <f>T487</f>
        <v>#REF!</v>
      </c>
      <c r="J487" s="96">
        <v>1.05</v>
      </c>
      <c r="K487" s="95" t="e">
        <f>U487</f>
        <v>#REF!</v>
      </c>
      <c r="O487" s="23"/>
      <c r="P487" s="23"/>
      <c r="Q487" s="23"/>
      <c r="R487" s="23"/>
      <c r="S487" s="23"/>
      <c r="T487" s="23" t="e">
        <f>ROUND((ROUND(Source!AF274*Source!AV274*Source!I274,0)+ROUND(Source!AE274*Source!AV274*Source!I274,0))*(Source!DN274)/100,0)</f>
        <v>#REF!</v>
      </c>
      <c r="U487" s="23" t="e">
        <f>Source!X274</f>
        <v>#REF!</v>
      </c>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v>1</v>
      </c>
      <c r="CW487" s="23"/>
      <c r="CX487" s="23"/>
      <c r="CY487" s="23"/>
      <c r="CZ487" s="23"/>
      <c r="DA487" s="23"/>
      <c r="DB487" s="23"/>
      <c r="DC487" s="23"/>
      <c r="DD487" s="23"/>
      <c r="DE487" s="23"/>
      <c r="DF487" s="23"/>
      <c r="DG487" s="23"/>
      <c r="DH487" s="23"/>
      <c r="DI487" s="23"/>
      <c r="DJ487" s="23"/>
      <c r="DK487" s="23"/>
      <c r="DL487" s="23"/>
      <c r="DM487" s="23"/>
      <c r="DN487" s="23"/>
      <c r="DO487" s="23"/>
      <c r="DP487" s="23"/>
      <c r="DQ487" s="23" t="e">
        <f>T487</f>
        <v>#REF!</v>
      </c>
      <c r="DR487" s="23"/>
      <c r="DS487" s="23" t="e">
        <f>U487</f>
        <v>#REF!</v>
      </c>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t="e">
        <f>T487</f>
        <v>#REF!</v>
      </c>
      <c r="GZ487" s="23"/>
      <c r="HA487" s="23"/>
      <c r="HB487" s="23" t="e">
        <f>T487</f>
        <v>#REF!</v>
      </c>
      <c r="HC487" s="23"/>
      <c r="HD487" s="23"/>
      <c r="HE487" s="23"/>
      <c r="HF487" s="23" t="e">
        <f>T487</f>
        <v>#REF!</v>
      </c>
      <c r="HG487" s="23"/>
      <c r="HH487" s="23"/>
      <c r="HI487" s="23"/>
      <c r="HJ487" s="23"/>
      <c r="HK487" s="23"/>
      <c r="HL487" s="23" t="e">
        <f>T487</f>
        <v>#REF!</v>
      </c>
      <c r="HM487" s="23"/>
      <c r="HN487" s="23" t="e">
        <f>T487</f>
        <v>#REF!</v>
      </c>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row>
    <row r="488" spans="1:255" x14ac:dyDescent="0.2">
      <c r="A488" s="87"/>
      <c r="B488" s="88"/>
      <c r="C488" s="88" t="s">
        <v>860</v>
      </c>
      <c r="D488" s="89"/>
      <c r="E488" s="90">
        <v>70</v>
      </c>
      <c r="F488" s="91" t="s">
        <v>859</v>
      </c>
      <c r="G488" s="92"/>
      <c r="H488" s="93">
        <f>ROUND((Source!AF274*Source!AV274+Source!AE274*Source!AV274)*(Source!FY274)/100,2)</f>
        <v>52.37</v>
      </c>
      <c r="I488" s="94" t="e">
        <f>T488</f>
        <v>#REF!</v>
      </c>
      <c r="J488" s="96">
        <v>0.6</v>
      </c>
      <c r="K488" s="95" t="e">
        <f>U488</f>
        <v>#REF!</v>
      </c>
      <c r="O488" s="23"/>
      <c r="P488" s="23"/>
      <c r="Q488" s="23"/>
      <c r="R488" s="23"/>
      <c r="S488" s="23"/>
      <c r="T488" s="23" t="e">
        <f>ROUND((ROUND(Source!AF274*Source!AV274*Source!I274,0)+ROUND(Source!AE274*Source!AV274*Source!I274,0))*(Source!DO274)/100,0)</f>
        <v>#REF!</v>
      </c>
      <c r="U488" s="23" t="e">
        <f>Source!Y274</f>
        <v>#REF!</v>
      </c>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v>1</v>
      </c>
      <c r="CW488" s="23"/>
      <c r="CX488" s="23"/>
      <c r="CY488" s="23"/>
      <c r="CZ488" s="23"/>
      <c r="DA488" s="23"/>
      <c r="DB488" s="23"/>
      <c r="DC488" s="23"/>
      <c r="DD488" s="23"/>
      <c r="DE488" s="23"/>
      <c r="DF488" s="23"/>
      <c r="DG488" s="23"/>
      <c r="DH488" s="23"/>
      <c r="DI488" s="23"/>
      <c r="DJ488" s="23"/>
      <c r="DK488" s="23"/>
      <c r="DL488" s="23"/>
      <c r="DM488" s="23"/>
      <c r="DN488" s="23"/>
      <c r="DO488" s="23"/>
      <c r="DP488" s="23"/>
      <c r="DQ488" s="23" t="e">
        <f>T488</f>
        <v>#REF!</v>
      </c>
      <c r="DR488" s="23"/>
      <c r="DS488" s="23" t="e">
        <f>U488</f>
        <v>#REF!</v>
      </c>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t="e">
        <f>T488</f>
        <v>#REF!</v>
      </c>
      <c r="HA488" s="23"/>
      <c r="HB488" s="23" t="e">
        <f>T488</f>
        <v>#REF!</v>
      </c>
      <c r="HC488" s="23"/>
      <c r="HD488" s="23"/>
      <c r="HE488" s="23"/>
      <c r="HF488" s="23" t="e">
        <f>T488</f>
        <v>#REF!</v>
      </c>
      <c r="HG488" s="23"/>
      <c r="HH488" s="23"/>
      <c r="HI488" s="23"/>
      <c r="HJ488" s="23"/>
      <c r="HK488" s="23"/>
      <c r="HL488" s="23" t="e">
        <f>T488</f>
        <v>#REF!</v>
      </c>
      <c r="HM488" s="23"/>
      <c r="HN488" s="23" t="e">
        <f>T488</f>
        <v>#REF!</v>
      </c>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row>
    <row r="489" spans="1:255" x14ac:dyDescent="0.2">
      <c r="A489" s="78"/>
      <c r="B489" s="79"/>
      <c r="C489" s="79" t="s">
        <v>861</v>
      </c>
      <c r="D489" s="80" t="s">
        <v>862</v>
      </c>
      <c r="E489" s="81">
        <v>8.6999999999999993</v>
      </c>
      <c r="F489" s="82"/>
      <c r="G489" s="83"/>
      <c r="H489" s="82" t="e">
        <f>ROUND(Source!AH274,2)</f>
        <v>#REF!</v>
      </c>
      <c r="I489" s="97" t="e">
        <f>Source!U274</f>
        <v>#REF!</v>
      </c>
      <c r="J489" s="85"/>
      <c r="K489" s="86"/>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row>
    <row r="490" spans="1:255" x14ac:dyDescent="0.2">
      <c r="A490" s="100" t="s">
        <v>400</v>
      </c>
      <c r="B490" s="109" t="s">
        <v>401</v>
      </c>
      <c r="C490" s="101" t="s">
        <v>402</v>
      </c>
      <c r="D490" s="102" t="s">
        <v>33</v>
      </c>
      <c r="E490" s="103" t="e">
        <f>Source!I276</f>
        <v>#REF!</v>
      </c>
      <c r="F490" s="104">
        <v>18003.77</v>
      </c>
      <c r="G490" s="105"/>
      <c r="H490" s="104">
        <f>Source!AC275</f>
        <v>18003.77</v>
      </c>
      <c r="I490" s="106" t="e">
        <f>T490</f>
        <v>#REF!</v>
      </c>
      <c r="J490" s="107" t="s">
        <v>863</v>
      </c>
      <c r="K490" s="108" t="e">
        <f>U490</f>
        <v>#REF!</v>
      </c>
      <c r="L490" s="23"/>
      <c r="M490" s="23"/>
      <c r="N490" s="23"/>
      <c r="O490" s="23"/>
      <c r="P490" s="23"/>
      <c r="Q490" s="23"/>
      <c r="R490" s="23"/>
      <c r="S490" s="23"/>
      <c r="T490" s="23" t="e">
        <f>ROUND(Source!AC275*Source!AW275*Source!I275,0)</f>
        <v>#REF!</v>
      </c>
      <c r="U490" s="23" t="e">
        <f>Source!P276</f>
        <v>#REF!</v>
      </c>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v>1</v>
      </c>
      <c r="CW490" s="23"/>
      <c r="CX490" s="23"/>
      <c r="CY490" s="23"/>
      <c r="CZ490" s="23"/>
      <c r="DA490" s="23"/>
      <c r="DB490" s="23"/>
      <c r="DC490" s="23"/>
      <c r="DD490" s="23"/>
      <c r="DE490" s="23"/>
      <c r="DF490" s="23"/>
      <c r="DG490" s="23"/>
      <c r="DH490" s="23"/>
      <c r="DI490" s="23"/>
      <c r="DJ490" s="23"/>
      <c r="DK490" s="23" t="e">
        <f>T490</f>
        <v>#REF!</v>
      </c>
      <c r="DL490" s="23"/>
      <c r="DM490" s="23" t="e">
        <f>Source!P276</f>
        <v>#REF!</v>
      </c>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t="e">
        <f>T490</f>
        <v>#REF!</v>
      </c>
      <c r="GK490" s="23"/>
      <c r="GL490" s="23"/>
      <c r="GM490" s="23"/>
      <c r="GN490" s="23" t="e">
        <f>T490</f>
        <v>#REF!</v>
      </c>
      <c r="GO490" s="23"/>
      <c r="GP490" s="23" t="e">
        <f>T490</f>
        <v>#REF!</v>
      </c>
      <c r="GQ490" s="23" t="e">
        <f>T490</f>
        <v>#REF!</v>
      </c>
      <c r="GR490" s="23"/>
      <c r="GS490" s="23" t="e">
        <f>T490</f>
        <v>#REF!</v>
      </c>
      <c r="GT490" s="23"/>
      <c r="GU490" s="23"/>
      <c r="GV490" s="23"/>
      <c r="GW490" s="23"/>
      <c r="GX490" s="23"/>
      <c r="GY490" s="23"/>
      <c r="GZ490" s="23"/>
      <c r="HA490" s="23"/>
      <c r="HB490" s="23" t="e">
        <f>T490</f>
        <v>#REF!</v>
      </c>
      <c r="HC490" s="23"/>
      <c r="HD490" s="23"/>
      <c r="HE490" s="23"/>
      <c r="HF490" s="23" t="e">
        <f>T490</f>
        <v>#REF!</v>
      </c>
      <c r="HG490" s="23"/>
      <c r="HH490" s="23"/>
      <c r="HI490" s="23"/>
      <c r="HJ490" s="23"/>
      <c r="HK490" s="23"/>
      <c r="HL490" s="23" t="e">
        <f>T490</f>
        <v>#REF!</v>
      </c>
      <c r="HM490" s="23"/>
      <c r="HN490" s="23" t="e">
        <f>T490</f>
        <v>#REF!</v>
      </c>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row>
    <row r="491" spans="1:255" x14ac:dyDescent="0.2">
      <c r="A491" s="64"/>
      <c r="B491" s="111" t="s">
        <v>864</v>
      </c>
      <c r="C491" s="111" t="s">
        <v>963</v>
      </c>
      <c r="D491" s="63"/>
      <c r="E491" s="63"/>
      <c r="F491" s="63"/>
      <c r="G491" s="63"/>
      <c r="H491" s="63"/>
      <c r="I491" s="63"/>
      <c r="J491" s="63"/>
      <c r="K491" s="65"/>
    </row>
    <row r="492" spans="1:255" ht="36" x14ac:dyDescent="0.2">
      <c r="A492" s="114" t="s">
        <v>405</v>
      </c>
      <c r="B492" s="115" t="s">
        <v>406</v>
      </c>
      <c r="C492" s="116" t="s">
        <v>407</v>
      </c>
      <c r="D492" s="117" t="s">
        <v>325</v>
      </c>
      <c r="E492" s="118" t="e">
        <f>Source!I278</f>
        <v>#REF!</v>
      </c>
      <c r="F492" s="119">
        <v>391.34</v>
      </c>
      <c r="G492" s="71"/>
      <c r="H492" s="119">
        <f>Source!AC277</f>
        <v>391.34</v>
      </c>
      <c r="I492" s="120" t="e">
        <f>T492</f>
        <v>#REF!</v>
      </c>
      <c r="J492" s="73" t="s">
        <v>863</v>
      </c>
      <c r="K492" s="121" t="e">
        <f>U492</f>
        <v>#REF!</v>
      </c>
      <c r="L492" s="23"/>
      <c r="M492" s="23"/>
      <c r="N492" s="23"/>
      <c r="O492" s="23"/>
      <c r="P492" s="23"/>
      <c r="Q492" s="23"/>
      <c r="R492" s="23"/>
      <c r="S492" s="23"/>
      <c r="T492" s="23" t="e">
        <f>ROUND(Source!AC277*Source!AW277*Source!I277,0)</f>
        <v>#REF!</v>
      </c>
      <c r="U492" s="23" t="e">
        <f>Source!P278</f>
        <v>#REF!</v>
      </c>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v>2</v>
      </c>
      <c r="CW492" s="23"/>
      <c r="CX492" s="23"/>
      <c r="CY492" s="23"/>
      <c r="CZ492" s="23"/>
      <c r="DA492" s="23"/>
      <c r="DB492" s="23"/>
      <c r="DC492" s="23"/>
      <c r="DD492" s="23"/>
      <c r="DE492" s="23"/>
      <c r="DF492" s="23"/>
      <c r="DG492" s="23"/>
      <c r="DH492" s="23"/>
      <c r="DI492" s="23"/>
      <c r="DJ492" s="23"/>
      <c r="DK492" s="23" t="e">
        <f>T492</f>
        <v>#REF!</v>
      </c>
      <c r="DL492" s="23"/>
      <c r="DM492" s="23" t="e">
        <f>Source!P278</f>
        <v>#REF!</v>
      </c>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t="e">
        <f>T492</f>
        <v>#REF!</v>
      </c>
      <c r="GK492" s="23"/>
      <c r="GL492" s="23"/>
      <c r="GM492" s="23"/>
      <c r="GN492" s="23" t="e">
        <f>T492</f>
        <v>#REF!</v>
      </c>
      <c r="GO492" s="23"/>
      <c r="GP492" s="23" t="e">
        <f>T492</f>
        <v>#REF!</v>
      </c>
      <c r="GQ492" s="23" t="e">
        <f>T492</f>
        <v>#REF!</v>
      </c>
      <c r="GR492" s="23"/>
      <c r="GS492" s="23" t="e">
        <f>T492</f>
        <v>#REF!</v>
      </c>
      <c r="GT492" s="23"/>
      <c r="GU492" s="23"/>
      <c r="GV492" s="23"/>
      <c r="GW492" s="23"/>
      <c r="GX492" s="23"/>
      <c r="GY492" s="23"/>
      <c r="GZ492" s="23"/>
      <c r="HA492" s="23"/>
      <c r="HB492" s="23"/>
      <c r="HC492" s="23" t="e">
        <f>T492</f>
        <v>#REF!</v>
      </c>
      <c r="HD492" s="23"/>
      <c r="HE492" s="23"/>
      <c r="HF492" s="23" t="e">
        <f>T492</f>
        <v>#REF!</v>
      </c>
      <c r="HG492" s="23"/>
      <c r="HH492" s="23"/>
      <c r="HI492" s="23"/>
      <c r="HJ492" s="23"/>
      <c r="HK492" s="23"/>
      <c r="HL492" s="23" t="e">
        <f>T492</f>
        <v>#REF!</v>
      </c>
      <c r="HM492" s="23"/>
      <c r="HN492" s="23"/>
      <c r="HO492" s="23"/>
      <c r="HP492" s="23" t="e">
        <f>T492</f>
        <v>#REF!</v>
      </c>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row>
    <row r="493" spans="1:255" x14ac:dyDescent="0.2">
      <c r="A493" s="98"/>
      <c r="B493" s="113" t="s">
        <v>864</v>
      </c>
      <c r="C493" s="113" t="s">
        <v>964</v>
      </c>
      <c r="D493" s="33"/>
      <c r="E493" s="33"/>
      <c r="F493" s="33"/>
      <c r="G493" s="33"/>
      <c r="H493" s="33"/>
      <c r="I493" s="33"/>
      <c r="J493" s="33"/>
      <c r="K493" s="99"/>
    </row>
    <row r="494" spans="1:255" ht="13.5" thickBot="1" x14ac:dyDescent="0.25">
      <c r="A494" s="124"/>
      <c r="B494" s="125"/>
      <c r="C494" s="125" t="s">
        <v>867</v>
      </c>
      <c r="D494" s="125"/>
      <c r="E494" s="125"/>
      <c r="F494" s="125"/>
      <c r="G494" s="125"/>
      <c r="H494" s="380" t="e">
        <f>SUM(DK484:DK493)</f>
        <v>#REF!</v>
      </c>
      <c r="I494" s="381"/>
      <c r="J494" s="380" t="e">
        <f>SUM(DM484:DM493)</f>
        <v>#REF!</v>
      </c>
      <c r="K494" s="382"/>
      <c r="L494" s="112"/>
      <c r="M494" s="112"/>
      <c r="N494" s="112"/>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row>
    <row r="495" spans="1:255" x14ac:dyDescent="0.2">
      <c r="A495" s="123"/>
      <c r="B495" s="122"/>
      <c r="C495" s="122" t="s">
        <v>868</v>
      </c>
      <c r="D495" s="122"/>
      <c r="E495" s="122"/>
      <c r="F495" s="122"/>
      <c r="G495" s="122"/>
      <c r="H495" s="383" t="e">
        <f>R495</f>
        <v>#REF!</v>
      </c>
      <c r="I495" s="384"/>
      <c r="J495" s="383" t="e">
        <f>S495</f>
        <v>#REF!</v>
      </c>
      <c r="K495" s="385"/>
      <c r="O495" s="23"/>
      <c r="P495" s="23"/>
      <c r="Q495" s="23"/>
      <c r="R495" s="23" t="e">
        <f>SUM(T484:T494)</f>
        <v>#REF!</v>
      </c>
      <c r="S495" s="23" t="e">
        <f>SUM(U484:U494)</f>
        <v>#REF!</v>
      </c>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t="e">
        <f>R495</f>
        <v>#REF!</v>
      </c>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row>
    <row r="496" spans="1:255" x14ac:dyDescent="0.2">
      <c r="A496" s="77"/>
      <c r="B496" s="76"/>
      <c r="C496" s="76"/>
      <c r="D496" s="76"/>
      <c r="E496" s="76"/>
      <c r="F496" s="76"/>
      <c r="G496" s="76"/>
      <c r="H496" s="386"/>
      <c r="I496" s="387"/>
      <c r="J496" s="386"/>
      <c r="K496" s="388"/>
    </row>
    <row r="497" spans="1:255" ht="36" x14ac:dyDescent="0.2">
      <c r="A497" s="126">
        <v>23</v>
      </c>
      <c r="B497" s="133" t="s">
        <v>411</v>
      </c>
      <c r="C497" s="127" t="s">
        <v>412</v>
      </c>
      <c r="D497" s="128" t="s">
        <v>396</v>
      </c>
      <c r="E497" s="129">
        <v>0.04</v>
      </c>
      <c r="F497" s="130">
        <f>Source!AK280</f>
        <v>8.75</v>
      </c>
      <c r="G497" s="134" t="s">
        <v>6</v>
      </c>
      <c r="H497" s="130"/>
      <c r="I497" s="131" t="e">
        <f>SUM(DQ497:DQ502)</f>
        <v>#REF!</v>
      </c>
      <c r="J497" s="107" t="s">
        <v>411</v>
      </c>
      <c r="K497" s="132" t="e">
        <f>SUM(DS497:DS502)</f>
        <v>#REF!</v>
      </c>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row>
    <row r="498" spans="1:255" x14ac:dyDescent="0.2">
      <c r="A498" s="66"/>
      <c r="B498" s="67"/>
      <c r="C498" s="67" t="s">
        <v>853</v>
      </c>
      <c r="D498" s="68"/>
      <c r="E498" s="69"/>
      <c r="F498" s="70">
        <v>7.05</v>
      </c>
      <c r="G498" s="71" t="s">
        <v>965</v>
      </c>
      <c r="H498" s="70">
        <f>Source!AF280</f>
        <v>88.13</v>
      </c>
      <c r="I498" s="72" t="e">
        <f>T498</f>
        <v>#REF!</v>
      </c>
      <c r="J498" s="73">
        <v>25.36</v>
      </c>
      <c r="K498" s="74" t="e">
        <f>U498</f>
        <v>#REF!</v>
      </c>
      <c r="O498" s="23"/>
      <c r="P498" s="23"/>
      <c r="Q498" s="23"/>
      <c r="R498" s="23"/>
      <c r="S498" s="23"/>
      <c r="T498" s="23" t="e">
        <f>ROUND(Source!AF280*Source!AV280*Source!I280,0)</f>
        <v>#REF!</v>
      </c>
      <c r="U498" s="23" t="e">
        <f>Source!S280</f>
        <v>#REF!</v>
      </c>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v>1</v>
      </c>
      <c r="CW498" s="23"/>
      <c r="CX498" s="23"/>
      <c r="CY498" s="23"/>
      <c r="CZ498" s="23"/>
      <c r="DA498" s="23"/>
      <c r="DB498" s="23"/>
      <c r="DC498" s="23"/>
      <c r="DD498" s="23"/>
      <c r="DE498" s="23"/>
      <c r="DF498" s="23"/>
      <c r="DG498" s="23" t="e">
        <f>Source!S280</f>
        <v>#REF!</v>
      </c>
      <c r="DH498" s="23">
        <v>1015</v>
      </c>
      <c r="DI498" s="23"/>
      <c r="DJ498" s="23"/>
      <c r="DK498" s="23"/>
      <c r="DL498" s="23"/>
      <c r="DM498" s="23"/>
      <c r="DN498" s="23"/>
      <c r="DO498" s="23"/>
      <c r="DP498" s="23"/>
      <c r="DQ498" s="23" t="e">
        <f>T498</f>
        <v>#REF!</v>
      </c>
      <c r="DR498" s="23"/>
      <c r="DS498" s="23" t="e">
        <f>U498</f>
        <v>#REF!</v>
      </c>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t="e">
        <f>T498</f>
        <v>#REF!</v>
      </c>
      <c r="GK498" s="23" t="e">
        <f>T498</f>
        <v>#REF!</v>
      </c>
      <c r="GL498" s="23"/>
      <c r="GM498" s="23"/>
      <c r="GN498" s="23"/>
      <c r="GO498" s="23"/>
      <c r="GP498" s="23"/>
      <c r="GQ498" s="23"/>
      <c r="GR498" s="23"/>
      <c r="GS498" s="23"/>
      <c r="GT498" s="23"/>
      <c r="GU498" s="23"/>
      <c r="GV498" s="23"/>
      <c r="GW498" s="23"/>
      <c r="GX498" s="23"/>
      <c r="GY498" s="23"/>
      <c r="GZ498" s="23"/>
      <c r="HA498" s="23"/>
      <c r="HB498" s="23" t="e">
        <f>T498</f>
        <v>#REF!</v>
      </c>
      <c r="HC498" s="23"/>
      <c r="HD498" s="23"/>
      <c r="HE498" s="23"/>
      <c r="HF498" s="23" t="e">
        <f>T498</f>
        <v>#REF!</v>
      </c>
      <c r="HG498" s="23"/>
      <c r="HH498" s="23"/>
      <c r="HI498" s="23"/>
      <c r="HJ498" s="23"/>
      <c r="HK498" s="23"/>
      <c r="HL498" s="23" t="e">
        <f>T498</f>
        <v>#REF!</v>
      </c>
      <c r="HM498" s="23"/>
      <c r="HN498" s="23" t="e">
        <f>T498</f>
        <v>#REF!</v>
      </c>
      <c r="HO498" s="23"/>
      <c r="HP498" s="23"/>
      <c r="HQ498" s="23"/>
      <c r="HR498" s="23"/>
      <c r="HS498" s="23"/>
      <c r="HT498" s="23"/>
      <c r="HU498" s="23"/>
      <c r="HV498" s="23"/>
      <c r="HW498" s="23"/>
      <c r="HX498" s="23" t="e">
        <f>T498</f>
        <v>#REF!</v>
      </c>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row>
    <row r="499" spans="1:255" x14ac:dyDescent="0.2">
      <c r="A499" s="78"/>
      <c r="B499" s="79"/>
      <c r="C499" s="79" t="s">
        <v>855</v>
      </c>
      <c r="D499" s="80"/>
      <c r="E499" s="81"/>
      <c r="F499" s="82">
        <v>1.7</v>
      </c>
      <c r="G499" s="83" t="s">
        <v>965</v>
      </c>
      <c r="H499" s="82">
        <f>Source!AD280</f>
        <v>21.25</v>
      </c>
      <c r="I499" s="84" t="e">
        <f>T499</f>
        <v>#REF!</v>
      </c>
      <c r="J499" s="85">
        <v>7.84</v>
      </c>
      <c r="K499" s="86" t="e">
        <f>U499</f>
        <v>#REF!</v>
      </c>
      <c r="O499" s="23"/>
      <c r="P499" s="23"/>
      <c r="Q499" s="23"/>
      <c r="R499" s="23"/>
      <c r="S499" s="23"/>
      <c r="T499" s="23" t="e">
        <f>ROUND(Source!AD280*Source!AV280*Source!I280,0)</f>
        <v>#REF!</v>
      </c>
      <c r="U499" s="23" t="e">
        <f>Source!Q280</f>
        <v>#REF!</v>
      </c>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v>1</v>
      </c>
      <c r="CW499" s="23"/>
      <c r="CX499" s="23"/>
      <c r="CY499" s="23"/>
      <c r="CZ499" s="23"/>
      <c r="DA499" s="23"/>
      <c r="DB499" s="23"/>
      <c r="DC499" s="23"/>
      <c r="DD499" s="23"/>
      <c r="DE499" s="23"/>
      <c r="DF499" s="23"/>
      <c r="DG499" s="23"/>
      <c r="DH499" s="23"/>
      <c r="DI499" s="23"/>
      <c r="DJ499" s="23"/>
      <c r="DK499" s="23"/>
      <c r="DL499" s="23"/>
      <c r="DM499" s="23"/>
      <c r="DN499" s="23"/>
      <c r="DO499" s="23"/>
      <c r="DP499" s="23"/>
      <c r="DQ499" s="23" t="e">
        <f>T499</f>
        <v>#REF!</v>
      </c>
      <c r="DR499" s="23"/>
      <c r="DS499" s="23" t="e">
        <f>U499</f>
        <v>#REF!</v>
      </c>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t="e">
        <f>T499</f>
        <v>#REF!</v>
      </c>
      <c r="GK499" s="23"/>
      <c r="GL499" s="23" t="e">
        <f>T499</f>
        <v>#REF!</v>
      </c>
      <c r="GM499" s="23"/>
      <c r="GN499" s="23"/>
      <c r="GO499" s="23"/>
      <c r="GP499" s="23"/>
      <c r="GQ499" s="23"/>
      <c r="GR499" s="23"/>
      <c r="GS499" s="23"/>
      <c r="GT499" s="23"/>
      <c r="GU499" s="23"/>
      <c r="GV499" s="23"/>
      <c r="GW499" s="23"/>
      <c r="GX499" s="23"/>
      <c r="GY499" s="23"/>
      <c r="GZ499" s="23"/>
      <c r="HA499" s="23"/>
      <c r="HB499" s="23" t="e">
        <f>T499</f>
        <v>#REF!</v>
      </c>
      <c r="HC499" s="23"/>
      <c r="HD499" s="23"/>
      <c r="HE499" s="23"/>
      <c r="HF499" s="23" t="e">
        <f>T499</f>
        <v>#REF!</v>
      </c>
      <c r="HG499" s="23"/>
      <c r="HH499" s="23"/>
      <c r="HI499" s="23"/>
      <c r="HJ499" s="23"/>
      <c r="HK499" s="23"/>
      <c r="HL499" s="23" t="e">
        <f>T499</f>
        <v>#REF!</v>
      </c>
      <c r="HM499" s="23"/>
      <c r="HN499" s="23" t="e">
        <f>T499</f>
        <v>#REF!</v>
      </c>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row>
    <row r="500" spans="1:255" x14ac:dyDescent="0.2">
      <c r="A500" s="87"/>
      <c r="B500" s="88"/>
      <c r="C500" s="88" t="s">
        <v>858</v>
      </c>
      <c r="D500" s="89"/>
      <c r="E500" s="90">
        <v>110</v>
      </c>
      <c r="F500" s="91" t="s">
        <v>859</v>
      </c>
      <c r="G500" s="92"/>
      <c r="H500" s="93">
        <f>ROUND((Source!AF280*Source!AV280+Source!AE280*Source!AV280)*(Source!FX280)/100,2)</f>
        <v>96.94</v>
      </c>
      <c r="I500" s="94" t="e">
        <f>T500</f>
        <v>#REF!</v>
      </c>
      <c r="J500" s="96">
        <v>1.05</v>
      </c>
      <c r="K500" s="95" t="e">
        <f>U500</f>
        <v>#REF!</v>
      </c>
      <c r="O500" s="23"/>
      <c r="P500" s="23"/>
      <c r="Q500" s="23"/>
      <c r="R500" s="23"/>
      <c r="S500" s="23"/>
      <c r="T500" s="23" t="e">
        <f>ROUND((ROUND(Source!AF280*Source!AV280*Source!I280,0)+ROUND(Source!AE280*Source!AV280*Source!I280,0))*(Source!DN280)/100,0)</f>
        <v>#REF!</v>
      </c>
      <c r="U500" s="23" t="e">
        <f>Source!X280</f>
        <v>#REF!</v>
      </c>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v>1</v>
      </c>
      <c r="CW500" s="23"/>
      <c r="CX500" s="23"/>
      <c r="CY500" s="23"/>
      <c r="CZ500" s="23"/>
      <c r="DA500" s="23"/>
      <c r="DB500" s="23"/>
      <c r="DC500" s="23"/>
      <c r="DD500" s="23"/>
      <c r="DE500" s="23"/>
      <c r="DF500" s="23"/>
      <c r="DG500" s="23"/>
      <c r="DH500" s="23"/>
      <c r="DI500" s="23"/>
      <c r="DJ500" s="23"/>
      <c r="DK500" s="23"/>
      <c r="DL500" s="23"/>
      <c r="DM500" s="23"/>
      <c r="DN500" s="23"/>
      <c r="DO500" s="23"/>
      <c r="DP500" s="23"/>
      <c r="DQ500" s="23" t="e">
        <f>T500</f>
        <v>#REF!</v>
      </c>
      <c r="DR500" s="23"/>
      <c r="DS500" s="23" t="e">
        <f>U500</f>
        <v>#REF!</v>
      </c>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t="e">
        <f>T500</f>
        <v>#REF!</v>
      </c>
      <c r="GZ500" s="23"/>
      <c r="HA500" s="23"/>
      <c r="HB500" s="23" t="e">
        <f>T500</f>
        <v>#REF!</v>
      </c>
      <c r="HC500" s="23"/>
      <c r="HD500" s="23"/>
      <c r="HE500" s="23"/>
      <c r="HF500" s="23" t="e">
        <f>T500</f>
        <v>#REF!</v>
      </c>
      <c r="HG500" s="23"/>
      <c r="HH500" s="23"/>
      <c r="HI500" s="23"/>
      <c r="HJ500" s="23"/>
      <c r="HK500" s="23"/>
      <c r="HL500" s="23" t="e">
        <f>T500</f>
        <v>#REF!</v>
      </c>
      <c r="HM500" s="23"/>
      <c r="HN500" s="23" t="e">
        <f>T500</f>
        <v>#REF!</v>
      </c>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row>
    <row r="501" spans="1:255" x14ac:dyDescent="0.2">
      <c r="A501" s="87"/>
      <c r="B501" s="88"/>
      <c r="C501" s="88" t="s">
        <v>860</v>
      </c>
      <c r="D501" s="89"/>
      <c r="E501" s="90">
        <v>70</v>
      </c>
      <c r="F501" s="91" t="s">
        <v>859</v>
      </c>
      <c r="G501" s="92"/>
      <c r="H501" s="93">
        <f>ROUND((Source!AF280*Source!AV280+Source!AE280*Source!AV280)*(Source!FY280)/100,2)</f>
        <v>61.69</v>
      </c>
      <c r="I501" s="94" t="e">
        <f>T501</f>
        <v>#REF!</v>
      </c>
      <c r="J501" s="96">
        <v>0.6</v>
      </c>
      <c r="K501" s="95" t="e">
        <f>U501</f>
        <v>#REF!</v>
      </c>
      <c r="O501" s="23"/>
      <c r="P501" s="23"/>
      <c r="Q501" s="23"/>
      <c r="R501" s="23"/>
      <c r="S501" s="23"/>
      <c r="T501" s="23" t="e">
        <f>ROUND((ROUND(Source!AF280*Source!AV280*Source!I280,0)+ROUND(Source!AE280*Source!AV280*Source!I280,0))*(Source!DO280)/100,0)</f>
        <v>#REF!</v>
      </c>
      <c r="U501" s="23" t="e">
        <f>Source!Y280</f>
        <v>#REF!</v>
      </c>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v>1</v>
      </c>
      <c r="CW501" s="23"/>
      <c r="CX501" s="23"/>
      <c r="CY501" s="23"/>
      <c r="CZ501" s="23"/>
      <c r="DA501" s="23"/>
      <c r="DB501" s="23"/>
      <c r="DC501" s="23"/>
      <c r="DD501" s="23"/>
      <c r="DE501" s="23"/>
      <c r="DF501" s="23"/>
      <c r="DG501" s="23"/>
      <c r="DH501" s="23"/>
      <c r="DI501" s="23"/>
      <c r="DJ501" s="23"/>
      <c r="DK501" s="23"/>
      <c r="DL501" s="23"/>
      <c r="DM501" s="23"/>
      <c r="DN501" s="23"/>
      <c r="DO501" s="23"/>
      <c r="DP501" s="23"/>
      <c r="DQ501" s="23" t="e">
        <f>T501</f>
        <v>#REF!</v>
      </c>
      <c r="DR501" s="23"/>
      <c r="DS501" s="23" t="e">
        <f>U501</f>
        <v>#REF!</v>
      </c>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t="e">
        <f>T501</f>
        <v>#REF!</v>
      </c>
      <c r="HA501" s="23"/>
      <c r="HB501" s="23" t="e">
        <f>T501</f>
        <v>#REF!</v>
      </c>
      <c r="HC501" s="23"/>
      <c r="HD501" s="23"/>
      <c r="HE501" s="23"/>
      <c r="HF501" s="23" t="e">
        <f>T501</f>
        <v>#REF!</v>
      </c>
      <c r="HG501" s="23"/>
      <c r="HH501" s="23"/>
      <c r="HI501" s="23"/>
      <c r="HJ501" s="23"/>
      <c r="HK501" s="23"/>
      <c r="HL501" s="23" t="e">
        <f>T501</f>
        <v>#REF!</v>
      </c>
      <c r="HM501" s="23"/>
      <c r="HN501" s="23" t="e">
        <f>T501</f>
        <v>#REF!</v>
      </c>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row>
    <row r="502" spans="1:255" ht="13.5" thickBot="1" x14ac:dyDescent="0.25">
      <c r="A502" s="181"/>
      <c r="B502" s="182"/>
      <c r="C502" s="182" t="s">
        <v>861</v>
      </c>
      <c r="D502" s="183" t="s">
        <v>862</v>
      </c>
      <c r="E502" s="184">
        <v>0.82</v>
      </c>
      <c r="F502" s="185"/>
      <c r="G502" s="186" t="s">
        <v>965</v>
      </c>
      <c r="H502" s="185" t="e">
        <f>ROUND(Source!AH280,2)</f>
        <v>#REF!</v>
      </c>
      <c r="I502" s="187" t="e">
        <f>Source!U280</f>
        <v>#REF!</v>
      </c>
      <c r="J502" s="188"/>
      <c r="K502" s="189"/>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row>
    <row r="503" spans="1:255" x14ac:dyDescent="0.2">
      <c r="A503" s="123"/>
      <c r="B503" s="122"/>
      <c r="C503" s="122" t="s">
        <v>868</v>
      </c>
      <c r="D503" s="122"/>
      <c r="E503" s="122"/>
      <c r="F503" s="122"/>
      <c r="G503" s="122"/>
      <c r="H503" s="383" t="e">
        <f>R503</f>
        <v>#REF!</v>
      </c>
      <c r="I503" s="384"/>
      <c r="J503" s="383" t="e">
        <f>S503</f>
        <v>#REF!</v>
      </c>
      <c r="K503" s="385"/>
      <c r="O503" s="23"/>
      <c r="P503" s="23"/>
      <c r="Q503" s="23"/>
      <c r="R503" s="23" t="e">
        <f>SUM(T497:T502)</f>
        <v>#REF!</v>
      </c>
      <c r="S503" s="23" t="e">
        <f>SUM(U497:U502)</f>
        <v>#REF!</v>
      </c>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t="e">
        <f>R503</f>
        <v>#REF!</v>
      </c>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row>
    <row r="504" spans="1:255" ht="13.5" thickBot="1" x14ac:dyDescent="0.25">
      <c r="A504" s="77"/>
      <c r="B504" s="76"/>
      <c r="C504" s="76"/>
      <c r="D504" s="76"/>
      <c r="E504" s="76"/>
      <c r="F504" s="76"/>
      <c r="G504" s="76"/>
      <c r="H504" s="386"/>
      <c r="I504" s="387"/>
      <c r="J504" s="386"/>
      <c r="K504" s="388"/>
    </row>
    <row r="505" spans="1:255" x14ac:dyDescent="0.2">
      <c r="A505" s="145"/>
      <c r="B505" s="145"/>
      <c r="C505" s="146" t="s">
        <v>883</v>
      </c>
      <c r="D505" s="146"/>
      <c r="E505" s="146"/>
      <c r="F505" s="146"/>
      <c r="G505" s="146"/>
      <c r="H505" s="146"/>
      <c r="I505" s="147" t="e">
        <f>SUM(HA214:HA504)</f>
        <v>#REF!</v>
      </c>
      <c r="J505" s="146"/>
      <c r="K505" s="147" t="e">
        <f>Source!EJ282</f>
        <v>#REF!</v>
      </c>
      <c r="P505" s="23" t="e">
        <f>SUM(R214:R504)</f>
        <v>#REF!</v>
      </c>
      <c r="Q505" s="23" t="e">
        <f>SUM(S214:S504)</f>
        <v>#REF!</v>
      </c>
      <c r="R505" s="23"/>
      <c r="S505" s="23"/>
      <c r="T505" s="23"/>
      <c r="U505" s="23"/>
      <c r="V505" s="23"/>
      <c r="W505" s="23"/>
    </row>
    <row r="507" spans="1:255" x14ac:dyDescent="0.2">
      <c r="C507" s="149" t="s">
        <v>885</v>
      </c>
      <c r="D507" s="149"/>
      <c r="E507" s="149"/>
      <c r="F507" s="149"/>
      <c r="G507" s="149"/>
      <c r="H507" s="149"/>
      <c r="I507" s="149"/>
      <c r="J507" s="149"/>
      <c r="K507" s="149"/>
    </row>
    <row r="508" spans="1:255" x14ac:dyDescent="0.2">
      <c r="C508" s="13" t="s">
        <v>143</v>
      </c>
      <c r="D508" s="13"/>
      <c r="E508" s="13"/>
      <c r="F508" s="13"/>
      <c r="G508" s="13"/>
      <c r="H508" s="13"/>
      <c r="I508" s="150" t="e">
        <f>SUM(GK214:GK504)+SUM(GL214:GL504)+SUM(GQ214:GQ504)+SUM(IA214:IA504)+SUM(HK214:HK504)</f>
        <v>#REF!</v>
      </c>
      <c r="J508" s="13"/>
      <c r="K508" s="150" t="e">
        <f>Source!DK282+Source!DI282+Source!EO282+SUM(DB214:DB504)+SUM(DD214:DD504)</f>
        <v>#REF!</v>
      </c>
    </row>
    <row r="509" spans="1:255" hidden="1" x14ac:dyDescent="0.2">
      <c r="C509" s="151" t="s">
        <v>885</v>
      </c>
      <c r="D509" s="149"/>
      <c r="E509" s="149"/>
      <c r="F509" s="149"/>
      <c r="G509" s="149"/>
      <c r="H509" s="149"/>
      <c r="I509" s="149"/>
      <c r="J509" s="149"/>
      <c r="K509" s="149"/>
    </row>
    <row r="510" spans="1:255" hidden="1" x14ac:dyDescent="0.2">
      <c r="C510" s="153" t="s">
        <v>886</v>
      </c>
      <c r="D510" s="152"/>
      <c r="E510" s="152"/>
      <c r="F510" s="152"/>
      <c r="G510" s="152"/>
      <c r="H510" s="152"/>
      <c r="I510" s="154" t="e">
        <f>SUM(GK214:GK504)</f>
        <v>#REF!</v>
      </c>
      <c r="J510" s="152"/>
      <c r="K510" s="154" t="e">
        <f>Source!DK282</f>
        <v>#REF!</v>
      </c>
    </row>
    <row r="511" spans="1:255" hidden="1" x14ac:dyDescent="0.2">
      <c r="C511" s="155" t="s">
        <v>887</v>
      </c>
      <c r="D511" s="149"/>
      <c r="E511" s="149"/>
      <c r="F511" s="149"/>
      <c r="G511" s="149"/>
      <c r="H511" s="149"/>
      <c r="I511" s="149"/>
      <c r="J511" s="149"/>
      <c r="K511" s="149"/>
    </row>
    <row r="512" spans="1:255" hidden="1" x14ac:dyDescent="0.2">
      <c r="C512" s="156" t="s">
        <v>888</v>
      </c>
      <c r="D512" s="152"/>
      <c r="E512" s="152"/>
      <c r="F512" s="152"/>
      <c r="G512" s="152"/>
      <c r="H512" s="152"/>
      <c r="I512" s="154">
        <f>SUMIF(DH214:DH504,1001,GK214:GK504)</f>
        <v>0</v>
      </c>
      <c r="J512" s="152"/>
      <c r="K512" s="154">
        <f>SUMIF(DH214:DH504,1001,DG214:DG504)</f>
        <v>0</v>
      </c>
    </row>
    <row r="513" spans="3:11" hidden="1" x14ac:dyDescent="0.2">
      <c r="C513" s="156" t="s">
        <v>889</v>
      </c>
      <c r="D513" s="152"/>
      <c r="E513" s="152"/>
      <c r="F513" s="152"/>
      <c r="G513" s="152"/>
      <c r="H513" s="152"/>
      <c r="I513" s="154">
        <f>SUMIF(DH214:DH504,1002,GK214:GK504)</f>
        <v>0</v>
      </c>
      <c r="J513" s="152"/>
      <c r="K513" s="154">
        <f>SUMIF(DH214:DH504,1002,DG214:DG504)</f>
        <v>0</v>
      </c>
    </row>
    <row r="514" spans="3:11" hidden="1" x14ac:dyDescent="0.2">
      <c r="C514" s="156" t="s">
        <v>890</v>
      </c>
      <c r="D514" s="152"/>
      <c r="E514" s="152"/>
      <c r="F514" s="152"/>
      <c r="G514" s="152"/>
      <c r="H514" s="152"/>
      <c r="I514" s="154">
        <f>SUMIF(DH214:DH504,1003,GK214:GK504)</f>
        <v>6853</v>
      </c>
      <c r="J514" s="152"/>
      <c r="K514" s="154">
        <f>SUMIF(DH214:DH504,1003,DG214:DG504)</f>
        <v>247174</v>
      </c>
    </row>
    <row r="515" spans="3:11" hidden="1" x14ac:dyDescent="0.2">
      <c r="C515" s="156" t="s">
        <v>891</v>
      </c>
      <c r="D515" s="152"/>
      <c r="E515" s="152"/>
      <c r="F515" s="152"/>
      <c r="G515" s="152"/>
      <c r="H515" s="152"/>
      <c r="I515" s="154">
        <f>SUMIF(DH214:DH504,1004,GK214:GK504)</f>
        <v>0</v>
      </c>
      <c r="J515" s="152"/>
      <c r="K515" s="154">
        <f>SUMIF(DH214:DH504,1004,DG214:DG504)</f>
        <v>0</v>
      </c>
    </row>
    <row r="516" spans="3:11" hidden="1" x14ac:dyDescent="0.2">
      <c r="C516" s="156" t="s">
        <v>892</v>
      </c>
      <c r="D516" s="152"/>
      <c r="E516" s="152"/>
      <c r="F516" s="152"/>
      <c r="G516" s="152"/>
      <c r="H516" s="152"/>
      <c r="I516" s="154">
        <f>SUMIF(DH214:DH504,1005,GK214:GK504)</f>
        <v>0</v>
      </c>
      <c r="J516" s="152"/>
      <c r="K516" s="154">
        <f>SUMIF(DH214:DH504,1005,DG214:DG504)</f>
        <v>0</v>
      </c>
    </row>
    <row r="517" spans="3:11" hidden="1" x14ac:dyDescent="0.2">
      <c r="C517" s="156" t="s">
        <v>893</v>
      </c>
      <c r="D517" s="152"/>
      <c r="E517" s="152"/>
      <c r="F517" s="152"/>
      <c r="G517" s="152"/>
      <c r="H517" s="152"/>
      <c r="I517" s="154">
        <f>SUMIF(DH214:DH504,1006,GK214:GK504)</f>
        <v>0</v>
      </c>
      <c r="J517" s="152"/>
      <c r="K517" s="154">
        <f>SUMIF(DH214:DH504,1006,DG214:DG504)</f>
        <v>0</v>
      </c>
    </row>
    <row r="518" spans="3:11" hidden="1" x14ac:dyDescent="0.2">
      <c r="C518" s="156" t="s">
        <v>894</v>
      </c>
      <c r="D518" s="152"/>
      <c r="E518" s="152"/>
      <c r="F518" s="152"/>
      <c r="G518" s="152"/>
      <c r="H518" s="152"/>
      <c r="I518" s="154">
        <f>SUMIF(DH214:DH504,1007,GK214:GK504)</f>
        <v>0</v>
      </c>
      <c r="J518" s="152"/>
      <c r="K518" s="154">
        <f>SUMIF(DH214:DH504,1007,DG214:DG504)</f>
        <v>0</v>
      </c>
    </row>
    <row r="519" spans="3:11" hidden="1" x14ac:dyDescent="0.2">
      <c r="C519" s="156" t="s">
        <v>895</v>
      </c>
      <c r="D519" s="152"/>
      <c r="E519" s="152"/>
      <c r="F519" s="152"/>
      <c r="G519" s="152"/>
      <c r="H519" s="152"/>
      <c r="I519" s="154">
        <f>SUMIF(DH214:DH504,1008,GK214:GK504)</f>
        <v>11</v>
      </c>
      <c r="J519" s="152"/>
      <c r="K519" s="154">
        <f>SUMIF(DH214:DH504,1008,DG214:DG504)</f>
        <v>291</v>
      </c>
    </row>
    <row r="520" spans="3:11" hidden="1" x14ac:dyDescent="0.2">
      <c r="C520" s="156" t="s">
        <v>896</v>
      </c>
      <c r="D520" s="152"/>
      <c r="E520" s="152"/>
      <c r="F520" s="152"/>
      <c r="G520" s="152"/>
      <c r="H520" s="152"/>
      <c r="I520" s="154" t="e">
        <f>SUMIF(DH214:DH504,1009,GK214:GK504)</f>
        <v>#REF!</v>
      </c>
      <c r="J520" s="152"/>
      <c r="K520" s="154" t="e">
        <f>SUMIF(DH214:DH504,1009,DG214:DG504)</f>
        <v>#REF!</v>
      </c>
    </row>
    <row r="521" spans="3:11" hidden="1" x14ac:dyDescent="0.2">
      <c r="C521" s="156" t="s">
        <v>897</v>
      </c>
      <c r="D521" s="152"/>
      <c r="E521" s="152"/>
      <c r="F521" s="152"/>
      <c r="G521" s="152"/>
      <c r="H521" s="152"/>
      <c r="I521" s="154">
        <f>SUMIF(DH214:DH504,1010,GK214:GK504)</f>
        <v>0</v>
      </c>
      <c r="J521" s="152"/>
      <c r="K521" s="154">
        <f>SUMIF(DH214:DH504,1010,DG214:DG504)</f>
        <v>0</v>
      </c>
    </row>
    <row r="522" spans="3:11" hidden="1" x14ac:dyDescent="0.2">
      <c r="C522" s="156" t="s">
        <v>898</v>
      </c>
      <c r="D522" s="152"/>
      <c r="E522" s="152"/>
      <c r="F522" s="152"/>
      <c r="G522" s="152"/>
      <c r="H522" s="152"/>
      <c r="I522" s="154">
        <f>SUMIF(DH214:DH504,1011,GK214:GK504)</f>
        <v>0</v>
      </c>
      <c r="J522" s="152"/>
      <c r="K522" s="154">
        <f>SUMIF(DH214:DH504,1011,DG214:DG504)</f>
        <v>0</v>
      </c>
    </row>
    <row r="523" spans="3:11" hidden="1" x14ac:dyDescent="0.2">
      <c r="C523" s="156" t="s">
        <v>899</v>
      </c>
      <c r="D523" s="152"/>
      <c r="E523" s="152"/>
      <c r="F523" s="152"/>
      <c r="G523" s="152"/>
      <c r="H523" s="152"/>
      <c r="I523" s="154">
        <f>SUMIF(DH214:DH504,1012,GK214:GK504)</f>
        <v>0</v>
      </c>
      <c r="J523" s="152"/>
      <c r="K523" s="154">
        <f>SUMIF(DH214:DH504,1012,DG214:DG504)</f>
        <v>0</v>
      </c>
    </row>
    <row r="524" spans="3:11" hidden="1" x14ac:dyDescent="0.2">
      <c r="C524" s="156" t="s">
        <v>900</v>
      </c>
      <c r="D524" s="152"/>
      <c r="E524" s="152"/>
      <c r="F524" s="152"/>
      <c r="G524" s="152"/>
      <c r="H524" s="152"/>
      <c r="I524" s="154">
        <f>SUMIF(DH214:DH504,1013,GK214:GK504)</f>
        <v>0</v>
      </c>
      <c r="J524" s="152"/>
      <c r="K524" s="154">
        <f>SUMIF(DH214:DH504,1013,DG214:DG504)</f>
        <v>0</v>
      </c>
    </row>
    <row r="525" spans="3:11" hidden="1" x14ac:dyDescent="0.2">
      <c r="C525" s="156" t="s">
        <v>901</v>
      </c>
      <c r="D525" s="152"/>
      <c r="E525" s="152"/>
      <c r="F525" s="152"/>
      <c r="G525" s="152"/>
      <c r="H525" s="152"/>
      <c r="I525" s="154">
        <f>SUMIF(DH214:DH504,1014,GK214:GK504)</f>
        <v>0</v>
      </c>
      <c r="J525" s="152"/>
      <c r="K525" s="154">
        <f>SUMIF(DH214:DH504,1014,DG214:DG504)</f>
        <v>0</v>
      </c>
    </row>
    <row r="526" spans="3:11" hidden="1" x14ac:dyDescent="0.2">
      <c r="C526" s="156" t="s">
        <v>902</v>
      </c>
      <c r="D526" s="152"/>
      <c r="E526" s="152"/>
      <c r="F526" s="152"/>
      <c r="G526" s="152"/>
      <c r="H526" s="152"/>
      <c r="I526" s="154" t="e">
        <f>SUMIF(DH214:DH504,1015,GK214:GK504)</f>
        <v>#REF!</v>
      </c>
      <c r="J526" s="152"/>
      <c r="K526" s="154" t="e">
        <f>SUMIF(DH214:DH504,1015,DG214:DG504)</f>
        <v>#REF!</v>
      </c>
    </row>
    <row r="527" spans="3:11" hidden="1" x14ac:dyDescent="0.2">
      <c r="C527" s="156" t="s">
        <v>903</v>
      </c>
      <c r="D527" s="152"/>
      <c r="E527" s="152"/>
      <c r="F527" s="152"/>
      <c r="G527" s="152"/>
      <c r="H527" s="152"/>
      <c r="I527" s="154">
        <f>SUMIF(DH214:DH504,1,GK214:GK504)</f>
        <v>0</v>
      </c>
      <c r="J527" s="152"/>
      <c r="K527" s="154">
        <f>SUMIF(DH214:DH504,1,DG214:DG504)</f>
        <v>0</v>
      </c>
    </row>
    <row r="528" spans="3:11" hidden="1" x14ac:dyDescent="0.2">
      <c r="C528" s="158" t="s">
        <v>904</v>
      </c>
      <c r="D528" s="157"/>
      <c r="E528" s="157"/>
      <c r="F528" s="157"/>
      <c r="G528" s="157"/>
      <c r="H528" s="157"/>
      <c r="I528" s="159" t="e">
        <f>SUM(GL214:GL504)</f>
        <v>#REF!</v>
      </c>
      <c r="J528" s="157"/>
      <c r="K528" s="159" t="e">
        <f>Source!DI282</f>
        <v>#REF!</v>
      </c>
    </row>
    <row r="529" spans="1:11" hidden="1" x14ac:dyDescent="0.2">
      <c r="C529" s="155" t="s">
        <v>885</v>
      </c>
      <c r="D529" s="149"/>
      <c r="E529" s="149"/>
      <c r="F529" s="149"/>
      <c r="G529" s="149"/>
      <c r="H529" s="149"/>
      <c r="I529" s="149"/>
      <c r="J529" s="149"/>
      <c r="K529" s="149"/>
    </row>
    <row r="530" spans="1:11" hidden="1" x14ac:dyDescent="0.2">
      <c r="C530" s="160" t="s">
        <v>905</v>
      </c>
      <c r="D530" s="157"/>
      <c r="E530" s="157"/>
      <c r="F530" s="157"/>
      <c r="G530" s="157"/>
      <c r="H530" s="157"/>
      <c r="I530" s="159" t="e">
        <f>SUM(GM214:GM504)</f>
        <v>#REF!</v>
      </c>
      <c r="J530" s="157"/>
      <c r="K530" s="159" t="e">
        <f>Source!DJ282</f>
        <v>#REF!</v>
      </c>
    </row>
    <row r="531" spans="1:11" hidden="1" x14ac:dyDescent="0.2">
      <c r="C531" s="161" t="s">
        <v>906</v>
      </c>
      <c r="D531" s="112"/>
      <c r="E531" s="112"/>
      <c r="F531" s="112"/>
      <c r="G531" s="112"/>
      <c r="H531" s="112"/>
      <c r="I531" s="162" t="e">
        <f>SUM(GQ214:GQ504)+SUM(IA214:IA504)</f>
        <v>#REF!</v>
      </c>
      <c r="J531" s="112"/>
      <c r="K531" s="162" t="e">
        <f>Source!EO282+SUM(DB214:DB504)</f>
        <v>#REF!</v>
      </c>
    </row>
    <row r="532" spans="1:11" hidden="1" x14ac:dyDescent="0.2">
      <c r="C532" s="163" t="s">
        <v>885</v>
      </c>
      <c r="D532" s="112"/>
      <c r="E532" s="112"/>
      <c r="F532" s="112"/>
      <c r="G532" s="112"/>
      <c r="H532" s="112"/>
      <c r="I532" s="162"/>
      <c r="J532" s="112"/>
      <c r="K532" s="162"/>
    </row>
    <row r="533" spans="1:11" hidden="1" x14ac:dyDescent="0.2">
      <c r="C533" s="164" t="s">
        <v>907</v>
      </c>
      <c r="D533" s="112"/>
      <c r="E533" s="112"/>
      <c r="F533" s="112"/>
      <c r="G533" s="112"/>
      <c r="H533" s="112"/>
      <c r="I533" s="162" t="e">
        <f>SUM(GQ214:GQ504)</f>
        <v>#REF!</v>
      </c>
      <c r="J533" s="112"/>
      <c r="K533" s="162" t="e">
        <f>Source!EO282</f>
        <v>#REF!</v>
      </c>
    </row>
    <row r="534" spans="1:11" hidden="1" x14ac:dyDescent="0.2">
      <c r="C534" s="165" t="s">
        <v>908</v>
      </c>
      <c r="D534" s="112"/>
      <c r="E534" s="112"/>
      <c r="F534" s="112"/>
      <c r="G534" s="112"/>
      <c r="H534" s="112"/>
      <c r="I534" s="162">
        <f>SUM(GR214:GR504)</f>
        <v>0</v>
      </c>
      <c r="J534" s="112"/>
      <c r="K534" s="162">
        <f>Source!EP282</f>
        <v>0</v>
      </c>
    </row>
    <row r="535" spans="1:11" hidden="1" x14ac:dyDescent="0.2">
      <c r="C535" s="165" t="s">
        <v>909</v>
      </c>
      <c r="D535" s="112"/>
      <c r="E535" s="112"/>
      <c r="F535" s="112"/>
      <c r="G535" s="112"/>
      <c r="H535" s="112"/>
      <c r="I535" s="162" t="e">
        <f>SUM(GS214:GS504)</f>
        <v>#REF!</v>
      </c>
      <c r="J535" s="112"/>
      <c r="K535" s="162" t="e">
        <f>Source!EQ282</f>
        <v>#REF!</v>
      </c>
    </row>
    <row r="536" spans="1:11" hidden="1" x14ac:dyDescent="0.2">
      <c r="C536" s="164" t="s">
        <v>910</v>
      </c>
      <c r="D536" s="112"/>
      <c r="E536" s="112"/>
      <c r="F536" s="112"/>
      <c r="G536" s="112"/>
      <c r="H536" s="112"/>
      <c r="I536" s="162">
        <f>SUM(IA214:IA504)</f>
        <v>0</v>
      </c>
      <c r="J536" s="112"/>
      <c r="K536" s="162">
        <f>SUM(DB214:DB504)</f>
        <v>0</v>
      </c>
    </row>
    <row r="537" spans="1:11" hidden="1" x14ac:dyDescent="0.2">
      <c r="C537" s="166" t="s">
        <v>911</v>
      </c>
      <c r="D537" s="148"/>
      <c r="E537" s="148"/>
      <c r="F537" s="148"/>
      <c r="G537" s="148"/>
      <c r="H537" s="148"/>
      <c r="I537" s="167">
        <f>SUM(HK214:HK504)</f>
        <v>0</v>
      </c>
      <c r="J537" s="148"/>
      <c r="K537" s="167">
        <f>SUM(DD214:DD504)</f>
        <v>0</v>
      </c>
    </row>
    <row r="539" spans="1:11" hidden="1" x14ac:dyDescent="0.2">
      <c r="C539" s="152" t="s">
        <v>912</v>
      </c>
      <c r="D539" s="152"/>
      <c r="E539" s="152"/>
      <c r="F539" s="152"/>
      <c r="G539" s="152"/>
      <c r="H539" s="152"/>
      <c r="I539" s="154" t="e">
        <f>SUM(GK214:GK504)+SUM(GM214:GM504)</f>
        <v>#REF!</v>
      </c>
      <c r="J539" s="152"/>
      <c r="K539" s="154" t="e">
        <f>Source!DK282+Source!DJ282</f>
        <v>#REF!</v>
      </c>
    </row>
    <row r="541" spans="1:11" x14ac:dyDescent="0.2">
      <c r="A541" s="168"/>
      <c r="B541" s="168"/>
      <c r="C541" s="168" t="s">
        <v>913</v>
      </c>
      <c r="D541" s="168"/>
      <c r="E541" s="168"/>
      <c r="F541" s="168"/>
      <c r="G541" s="168"/>
      <c r="H541" s="168"/>
      <c r="I541" s="169" t="e">
        <f>SUM(GY214:GY504)</f>
        <v>#REF!</v>
      </c>
      <c r="J541" s="168"/>
      <c r="K541" s="169" t="e">
        <f>Source!DP282</f>
        <v>#REF!</v>
      </c>
    </row>
    <row r="542" spans="1:11" x14ac:dyDescent="0.2">
      <c r="A542" s="168"/>
      <c r="B542" s="168"/>
      <c r="C542" s="168" t="s">
        <v>914</v>
      </c>
      <c r="D542" s="168"/>
      <c r="E542" s="168"/>
      <c r="F542" s="168"/>
      <c r="G542" s="168"/>
      <c r="H542" s="168"/>
      <c r="I542" s="169" t="e">
        <f>SUM(GZ214:GZ504)</f>
        <v>#REF!</v>
      </c>
      <c r="J542" s="168"/>
      <c r="K542" s="169" t="e">
        <f>Source!DQ282</f>
        <v>#REF!</v>
      </c>
    </row>
    <row r="544" spans="1:11" hidden="1" x14ac:dyDescent="0.2">
      <c r="C544" s="170" t="s">
        <v>915</v>
      </c>
      <c r="D544" s="170"/>
      <c r="E544" s="170"/>
      <c r="F544" s="170"/>
      <c r="G544" s="170"/>
      <c r="H544" s="170"/>
      <c r="I544" s="171">
        <f>SUM(GT214:GT504)+SUM(IB214:IB504)</f>
        <v>0</v>
      </c>
      <c r="J544" s="170"/>
      <c r="K544" s="171">
        <f>Source!EH282+SUM(DC214:DC504)</f>
        <v>0</v>
      </c>
    </row>
    <row r="545" spans="3:11" hidden="1" x14ac:dyDescent="0.2">
      <c r="C545" s="172" t="s">
        <v>885</v>
      </c>
      <c r="D545" s="173"/>
      <c r="E545" s="173"/>
      <c r="F545" s="173"/>
      <c r="G545" s="173"/>
      <c r="H545" s="173"/>
      <c r="I545" s="173"/>
      <c r="J545" s="173"/>
      <c r="K545" s="173"/>
    </row>
    <row r="546" spans="3:11" hidden="1" x14ac:dyDescent="0.2">
      <c r="C546" s="174" t="s">
        <v>916</v>
      </c>
      <c r="D546" s="170"/>
      <c r="E546" s="170"/>
      <c r="F546" s="170"/>
      <c r="G546" s="170"/>
      <c r="H546" s="170"/>
      <c r="I546" s="171">
        <f>SUM(GT214:GT504)</f>
        <v>0</v>
      </c>
      <c r="J546" s="170"/>
      <c r="K546" s="171">
        <f>Source!EH282</f>
        <v>0</v>
      </c>
    </row>
    <row r="547" spans="3:11" hidden="1" x14ac:dyDescent="0.2">
      <c r="C547" s="175" t="s">
        <v>917</v>
      </c>
      <c r="D547" s="170"/>
      <c r="E547" s="170"/>
      <c r="F547" s="170"/>
      <c r="G547" s="170"/>
      <c r="H547" s="170"/>
      <c r="I547" s="171">
        <f>SUM(GU214:GU504)</f>
        <v>0</v>
      </c>
      <c r="J547" s="170"/>
      <c r="K547" s="171">
        <f>Source!EI282</f>
        <v>0</v>
      </c>
    </row>
    <row r="548" spans="3:11" hidden="1" x14ac:dyDescent="0.2">
      <c r="C548" s="175" t="s">
        <v>918</v>
      </c>
      <c r="D548" s="170"/>
      <c r="E548" s="170"/>
      <c r="F548" s="170"/>
      <c r="G548" s="170"/>
      <c r="H548" s="170"/>
      <c r="I548" s="171">
        <f>SUM(GV214:GV504)</f>
        <v>0</v>
      </c>
      <c r="J548" s="170"/>
      <c r="K548" s="171">
        <f>Source!ER282</f>
        <v>0</v>
      </c>
    </row>
    <row r="549" spans="3:11" hidden="1" x14ac:dyDescent="0.2">
      <c r="C549" s="174" t="s">
        <v>919</v>
      </c>
      <c r="D549" s="170"/>
      <c r="E549" s="170"/>
      <c r="F549" s="170"/>
      <c r="G549" s="170"/>
      <c r="H549" s="170"/>
      <c r="I549" s="171">
        <f>SUM(IB214:IB504)</f>
        <v>0</v>
      </c>
      <c r="J549" s="170"/>
      <c r="K549" s="171">
        <f>SUM(DC214:DC504)</f>
        <v>0</v>
      </c>
    </row>
    <row r="551" spans="3:11" x14ac:dyDescent="0.2">
      <c r="C551" s="13" t="s">
        <v>920</v>
      </c>
      <c r="D551" s="13"/>
      <c r="E551" s="13"/>
      <c r="F551" s="13"/>
      <c r="G551" s="13"/>
      <c r="H551" s="13"/>
      <c r="I551" s="150" t="e">
        <f>SUM(HA214:HA504)</f>
        <v>#REF!</v>
      </c>
      <c r="J551" s="13"/>
      <c r="K551" s="150" t="e">
        <f>Source!EJ282</f>
        <v>#REF!</v>
      </c>
    </row>
    <row r="552" spans="3:11" hidden="1" x14ac:dyDescent="0.2">
      <c r="C552" s="151" t="s">
        <v>921</v>
      </c>
      <c r="D552" s="149"/>
      <c r="E552" s="149"/>
      <c r="F552" s="149"/>
      <c r="G552" s="149"/>
      <c r="H552" s="149"/>
      <c r="I552" s="149"/>
      <c r="J552" s="149"/>
      <c r="K552" s="149"/>
    </row>
    <row r="553" spans="3:11" hidden="1" x14ac:dyDescent="0.2">
      <c r="C553" s="176" t="s">
        <v>922</v>
      </c>
      <c r="D553" s="13"/>
      <c r="E553" s="13"/>
      <c r="F553" s="13"/>
      <c r="G553" s="13"/>
      <c r="H553" s="13"/>
      <c r="I553" s="150" t="e">
        <f>SUM(HB214:HB504)</f>
        <v>#REF!</v>
      </c>
      <c r="J553" s="13"/>
      <c r="K553" s="150" t="e">
        <f>Source!EK282</f>
        <v>#REF!</v>
      </c>
    </row>
    <row r="554" spans="3:11" hidden="1" x14ac:dyDescent="0.2">
      <c r="C554" s="176" t="s">
        <v>312</v>
      </c>
      <c r="D554" s="13"/>
      <c r="E554" s="13"/>
      <c r="F554" s="13"/>
      <c r="G554" s="13"/>
      <c r="H554" s="13"/>
      <c r="I554" s="150" t="e">
        <f>SUM(HC214:HC504)</f>
        <v>#REF!</v>
      </c>
      <c r="J554" s="13"/>
      <c r="K554" s="150" t="e">
        <f>Source!EL282</f>
        <v>#REF!</v>
      </c>
    </row>
    <row r="555" spans="3:11" hidden="1" x14ac:dyDescent="0.2">
      <c r="C555" s="174" t="s">
        <v>923</v>
      </c>
      <c r="D555" s="170"/>
      <c r="E555" s="170"/>
      <c r="F555" s="170"/>
      <c r="G555" s="170"/>
      <c r="H555" s="170"/>
      <c r="I555" s="171">
        <f>SUM(HD214:HD504)</f>
        <v>0</v>
      </c>
      <c r="J555" s="170"/>
      <c r="K555" s="171">
        <f>Source!EH282+SUM(DC214:DC504)</f>
        <v>0</v>
      </c>
    </row>
    <row r="556" spans="3:11" hidden="1" x14ac:dyDescent="0.2">
      <c r="C556" s="176" t="s">
        <v>176</v>
      </c>
      <c r="D556" s="13"/>
      <c r="E556" s="13"/>
      <c r="F556" s="13"/>
      <c r="G556" s="13"/>
      <c r="H556" s="13"/>
      <c r="I556" s="150">
        <f>SUM(HE214:HE504)</f>
        <v>0</v>
      </c>
      <c r="J556" s="13"/>
      <c r="K556" s="150">
        <f>Source!EM282</f>
        <v>0</v>
      </c>
    </row>
    <row r="557" spans="3:11" hidden="1" x14ac:dyDescent="0.2"/>
    <row r="558" spans="3:11" hidden="1" x14ac:dyDescent="0.2">
      <c r="C558" s="13" t="s">
        <v>924</v>
      </c>
      <c r="D558" s="13"/>
      <c r="E558" s="13"/>
      <c r="F558" s="13"/>
      <c r="G558" s="13"/>
      <c r="H558" s="13"/>
      <c r="I558" s="150" t="e">
        <f>SUM(HB214:HB504)+SUM(HC214:HC504)</f>
        <v>#REF!</v>
      </c>
      <c r="J558" s="13"/>
      <c r="K558" s="150" t="e">
        <f>Source!EK282+Source!EL282</f>
        <v>#REF!</v>
      </c>
    </row>
    <row r="560" spans="3:11" hidden="1" x14ac:dyDescent="0.2">
      <c r="C560" s="25" t="s">
        <v>194</v>
      </c>
      <c r="D560" s="25"/>
      <c r="E560" s="25"/>
      <c r="F560" s="25"/>
      <c r="G560" s="25"/>
      <c r="H560" s="25"/>
      <c r="I560" s="177" t="e">
        <f>I558+SUM(HD214:HD504)+SUM(HE214:HE504)</f>
        <v>#REF!</v>
      </c>
      <c r="J560" s="25"/>
      <c r="K560" s="177" t="e">
        <f>K558+Source!EH282+SUM(DC214:DC504)+Source!EM282</f>
        <v>#REF!</v>
      </c>
    </row>
    <row r="562" spans="1:255" hidden="1" x14ac:dyDescent="0.2">
      <c r="C562" s="149" t="s">
        <v>925</v>
      </c>
      <c r="D562" s="149"/>
      <c r="E562" s="149"/>
      <c r="F562" s="149"/>
      <c r="G562" s="149"/>
      <c r="H562" s="149"/>
      <c r="I562" s="149"/>
      <c r="J562" s="149"/>
      <c r="K562" s="149"/>
    </row>
    <row r="563" spans="1:255" hidden="1" x14ac:dyDescent="0.2">
      <c r="C563" s="178" t="s">
        <v>926</v>
      </c>
      <c r="D563" s="13"/>
      <c r="E563" s="13"/>
      <c r="F563" s="13"/>
      <c r="G563" s="13"/>
      <c r="H563" s="13"/>
      <c r="I563" s="150" t="e">
        <f>SUM(GN214:GN504)+SUM(IA214:IA504)+SUM(IB214:IB504)</f>
        <v>#REF!</v>
      </c>
      <c r="J563" s="13"/>
      <c r="K563" s="150" t="e">
        <f>Source!DH282+SUM(DB214:DB504)+SUM(DC214:DC504)</f>
        <v>#REF!</v>
      </c>
    </row>
    <row r="564" spans="1:255" hidden="1" x14ac:dyDescent="0.2">
      <c r="C564" s="151" t="s">
        <v>885</v>
      </c>
      <c r="D564" s="149"/>
      <c r="E564" s="149"/>
      <c r="F564" s="149"/>
      <c r="G564" s="149"/>
      <c r="H564" s="149"/>
      <c r="I564" s="149"/>
      <c r="J564" s="149"/>
      <c r="K564" s="149"/>
    </row>
    <row r="565" spans="1:255" hidden="1" x14ac:dyDescent="0.2">
      <c r="C565" s="176" t="s">
        <v>927</v>
      </c>
      <c r="D565" s="13"/>
      <c r="E565" s="13"/>
      <c r="F565" s="13"/>
      <c r="G565" s="13"/>
      <c r="H565" s="13"/>
      <c r="I565" s="150">
        <f>SUM(GO214:GO504)</f>
        <v>0</v>
      </c>
      <c r="J565" s="13"/>
      <c r="K565" s="150">
        <f>Source!EG282</f>
        <v>0</v>
      </c>
    </row>
    <row r="566" spans="1:255" hidden="1" x14ac:dyDescent="0.2">
      <c r="C566" s="176" t="s">
        <v>928</v>
      </c>
      <c r="D566" s="13"/>
      <c r="E566" s="13"/>
      <c r="F566" s="13"/>
      <c r="G566" s="13"/>
      <c r="H566" s="13"/>
      <c r="I566" s="150" t="e">
        <f>SUM(GP214:GP504)</f>
        <v>#REF!</v>
      </c>
      <c r="J566" s="13"/>
      <c r="K566" s="150" t="e">
        <f>Source!EN282</f>
        <v>#REF!</v>
      </c>
    </row>
    <row r="567" spans="1:255" hidden="1" x14ac:dyDescent="0.2">
      <c r="C567" s="178" t="s">
        <v>929</v>
      </c>
      <c r="D567" s="13"/>
      <c r="E567" s="13"/>
      <c r="F567" s="13"/>
      <c r="G567" s="13"/>
      <c r="H567" s="179" t="e">
        <f>Source!DM282</f>
        <v>#REF!</v>
      </c>
      <c r="I567" s="13"/>
      <c r="J567" s="13"/>
      <c r="K567" s="13"/>
    </row>
    <row r="568" spans="1:255" hidden="1" x14ac:dyDescent="0.2">
      <c r="C568" s="178" t="s">
        <v>185</v>
      </c>
      <c r="D568" s="13"/>
      <c r="E568" s="13"/>
      <c r="F568" s="13"/>
      <c r="G568" s="13"/>
      <c r="H568" s="179" t="e">
        <f>Source!DN282</f>
        <v>#REF!</v>
      </c>
      <c r="I568" s="13"/>
      <c r="J568" s="13"/>
      <c r="K568" s="13"/>
    </row>
    <row r="569" spans="1:255" ht="13.5" thickBot="1" x14ac:dyDescent="0.25"/>
    <row r="570" spans="1:255" x14ac:dyDescent="0.2">
      <c r="A570" s="50"/>
      <c r="B570" s="50"/>
      <c r="C570" s="50"/>
      <c r="D570" s="50"/>
      <c r="E570" s="50"/>
      <c r="F570" s="50"/>
      <c r="G570" s="50"/>
      <c r="H570" s="50"/>
      <c r="I570" s="50"/>
      <c r="J570" s="50"/>
      <c r="K570" s="50"/>
    </row>
    <row r="571" spans="1:255" x14ac:dyDescent="0.2">
      <c r="A571" s="330" t="s">
        <v>849</v>
      </c>
      <c r="B571" s="330"/>
      <c r="C571" s="331" t="s">
        <v>967</v>
      </c>
      <c r="D571" s="331"/>
      <c r="E571" s="331"/>
      <c r="F571" s="331"/>
      <c r="G571" s="331"/>
      <c r="H571" s="331"/>
      <c r="I571" s="331"/>
      <c r="J571" s="331"/>
      <c r="K571" s="331"/>
      <c r="BX571" s="51" t="str">
        <f>C571</f>
        <v xml:space="preserve"> Перекрытие,  балки 17-20 этажи</v>
      </c>
      <c r="IU571" s="23"/>
    </row>
    <row r="572" spans="1:255" ht="13.5" thickBot="1" x14ac:dyDescent="0.25"/>
    <row r="573" spans="1:255" ht="33.75" x14ac:dyDescent="0.2">
      <c r="A573" s="53">
        <v>24</v>
      </c>
      <c r="B573" s="61" t="s">
        <v>417</v>
      </c>
      <c r="C573" s="54" t="s">
        <v>968</v>
      </c>
      <c r="D573" s="55" t="s">
        <v>21</v>
      </c>
      <c r="E573" s="56">
        <v>208.8</v>
      </c>
      <c r="F573" s="57">
        <f>Source!AK317</f>
        <v>313.11</v>
      </c>
      <c r="G573" s="62" t="s">
        <v>6</v>
      </c>
      <c r="H573" s="57"/>
      <c r="I573" s="58">
        <f>SUM(DQ573:DQ586)</f>
        <v>25310</v>
      </c>
      <c r="J573" s="59" t="s">
        <v>417</v>
      </c>
      <c r="K573" s="60" t="e">
        <f>SUM(DS573:DS586)</f>
        <v>#REF!</v>
      </c>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row>
    <row r="574" spans="1:255" x14ac:dyDescent="0.2">
      <c r="A574" s="66"/>
      <c r="B574" s="67"/>
      <c r="C574" s="67" t="s">
        <v>853</v>
      </c>
      <c r="D574" s="68"/>
      <c r="E574" s="69"/>
      <c r="F574" s="70">
        <v>51.16</v>
      </c>
      <c r="G574" s="71" t="s">
        <v>854</v>
      </c>
      <c r="H574" s="70">
        <f>Source!AF317</f>
        <v>53.72</v>
      </c>
      <c r="I574" s="72">
        <f>T574</f>
        <v>2804</v>
      </c>
      <c r="J574" s="73">
        <v>36.07</v>
      </c>
      <c r="K574" s="74">
        <f>U574</f>
        <v>101147</v>
      </c>
      <c r="O574" s="23"/>
      <c r="P574" s="23"/>
      <c r="Q574" s="23"/>
      <c r="R574" s="23"/>
      <c r="S574" s="23"/>
      <c r="T574" s="23">
        <f>ROUND(Source!AF317*Source!AV317*Source!I317,0)</f>
        <v>2804</v>
      </c>
      <c r="U574" s="23">
        <f>Source!S317</f>
        <v>101147</v>
      </c>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v>1</v>
      </c>
      <c r="CW574" s="23"/>
      <c r="CX574" s="23"/>
      <c r="CY574" s="23"/>
      <c r="CZ574" s="23"/>
      <c r="DA574" s="23"/>
      <c r="DB574" s="23"/>
      <c r="DC574" s="23"/>
      <c r="DD574" s="23"/>
      <c r="DE574" s="23"/>
      <c r="DF574" s="23"/>
      <c r="DG574" s="23">
        <f>Source!S317</f>
        <v>101147</v>
      </c>
      <c r="DH574" s="23">
        <v>1003</v>
      </c>
      <c r="DI574" s="23"/>
      <c r="DJ574" s="23"/>
      <c r="DK574" s="23"/>
      <c r="DL574" s="23"/>
      <c r="DM574" s="23"/>
      <c r="DN574" s="23"/>
      <c r="DO574" s="23"/>
      <c r="DP574" s="23"/>
      <c r="DQ574" s="23">
        <f>T574</f>
        <v>2804</v>
      </c>
      <c r="DR574" s="23"/>
      <c r="DS574" s="23">
        <f>U574</f>
        <v>101147</v>
      </c>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f>T574</f>
        <v>2804</v>
      </c>
      <c r="GK574" s="23">
        <f>T574</f>
        <v>2804</v>
      </c>
      <c r="GL574" s="23"/>
      <c r="GM574" s="23"/>
      <c r="GN574" s="23"/>
      <c r="GO574" s="23"/>
      <c r="GP574" s="23"/>
      <c r="GQ574" s="23"/>
      <c r="GR574" s="23"/>
      <c r="GS574" s="23"/>
      <c r="GT574" s="23"/>
      <c r="GU574" s="23"/>
      <c r="GV574" s="23"/>
      <c r="GW574" s="23"/>
      <c r="GX574" s="23"/>
      <c r="GY574" s="23"/>
      <c r="GZ574" s="23"/>
      <c r="HA574" s="23"/>
      <c r="HB574" s="23">
        <f>T574</f>
        <v>2804</v>
      </c>
      <c r="HC574" s="23"/>
      <c r="HD574" s="23"/>
      <c r="HE574" s="23"/>
      <c r="HF574" s="23">
        <f>T574</f>
        <v>2804</v>
      </c>
      <c r="HG574" s="23"/>
      <c r="HH574" s="23"/>
      <c r="HI574" s="23"/>
      <c r="HJ574" s="23"/>
      <c r="HK574" s="23"/>
      <c r="HL574" s="23">
        <f>T574</f>
        <v>2804</v>
      </c>
      <c r="HM574" s="23"/>
      <c r="HN574" s="23">
        <f>T574</f>
        <v>2804</v>
      </c>
      <c r="HO574" s="23"/>
      <c r="HP574" s="23"/>
      <c r="HQ574" s="23"/>
      <c r="HR574" s="23"/>
      <c r="HS574" s="23"/>
      <c r="HT574" s="23"/>
      <c r="HU574" s="23"/>
      <c r="HV574" s="23"/>
      <c r="HW574" s="23"/>
      <c r="HX574" s="23">
        <f>T574</f>
        <v>2804</v>
      </c>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row>
    <row r="575" spans="1:255" x14ac:dyDescent="0.2">
      <c r="A575" s="78"/>
      <c r="B575" s="79"/>
      <c r="C575" s="79" t="s">
        <v>855</v>
      </c>
      <c r="D575" s="80"/>
      <c r="E575" s="81"/>
      <c r="F575" s="82">
        <v>204.9</v>
      </c>
      <c r="G575" s="83" t="s">
        <v>856</v>
      </c>
      <c r="H575" s="82">
        <f>Source!AD317</f>
        <v>261.67</v>
      </c>
      <c r="I575" s="84">
        <f>T575</f>
        <v>13659</v>
      </c>
      <c r="J575" s="85">
        <v>9.3000000000000007</v>
      </c>
      <c r="K575" s="86">
        <f>U575</f>
        <v>127030</v>
      </c>
      <c r="O575" s="23"/>
      <c r="P575" s="23"/>
      <c r="Q575" s="23"/>
      <c r="R575" s="23"/>
      <c r="S575" s="23"/>
      <c r="T575" s="23">
        <f>ROUND(Source!AD317*Source!AV317*Source!I317,0)</f>
        <v>13659</v>
      </c>
      <c r="U575" s="23">
        <f>Source!Q317</f>
        <v>127030</v>
      </c>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v>1</v>
      </c>
      <c r="CW575" s="23"/>
      <c r="CX575" s="23"/>
      <c r="CY575" s="23"/>
      <c r="CZ575" s="23"/>
      <c r="DA575" s="23"/>
      <c r="DB575" s="23"/>
      <c r="DC575" s="23"/>
      <c r="DD575" s="23"/>
      <c r="DE575" s="23"/>
      <c r="DF575" s="23"/>
      <c r="DG575" s="23"/>
      <c r="DH575" s="23"/>
      <c r="DI575" s="23"/>
      <c r="DJ575" s="23"/>
      <c r="DK575" s="23"/>
      <c r="DL575" s="23"/>
      <c r="DM575" s="23"/>
      <c r="DN575" s="23"/>
      <c r="DO575" s="23"/>
      <c r="DP575" s="23"/>
      <c r="DQ575" s="23">
        <f>T575</f>
        <v>13659</v>
      </c>
      <c r="DR575" s="23"/>
      <c r="DS575" s="23">
        <f>U575</f>
        <v>127030</v>
      </c>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f>T575</f>
        <v>13659</v>
      </c>
      <c r="GK575" s="23"/>
      <c r="GL575" s="23">
        <f>T575</f>
        <v>13659</v>
      </c>
      <c r="GM575" s="23"/>
      <c r="GN575" s="23"/>
      <c r="GO575" s="23"/>
      <c r="GP575" s="23"/>
      <c r="GQ575" s="23"/>
      <c r="GR575" s="23"/>
      <c r="GS575" s="23"/>
      <c r="GT575" s="23"/>
      <c r="GU575" s="23"/>
      <c r="GV575" s="23"/>
      <c r="GW575" s="23"/>
      <c r="GX575" s="23"/>
      <c r="GY575" s="23"/>
      <c r="GZ575" s="23"/>
      <c r="HA575" s="23"/>
      <c r="HB575" s="23">
        <f>T575</f>
        <v>13659</v>
      </c>
      <c r="HC575" s="23"/>
      <c r="HD575" s="23"/>
      <c r="HE575" s="23"/>
      <c r="HF575" s="23">
        <f>T575</f>
        <v>13659</v>
      </c>
      <c r="HG575" s="23"/>
      <c r="HH575" s="23"/>
      <c r="HI575" s="23"/>
      <c r="HJ575" s="23"/>
      <c r="HK575" s="23"/>
      <c r="HL575" s="23">
        <f>T575</f>
        <v>13659</v>
      </c>
      <c r="HM575" s="23"/>
      <c r="HN575" s="23">
        <f>T575</f>
        <v>13659</v>
      </c>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row>
    <row r="576" spans="1:255" x14ac:dyDescent="0.2">
      <c r="A576" s="78"/>
      <c r="B576" s="79"/>
      <c r="C576" s="79" t="s">
        <v>857</v>
      </c>
      <c r="D576" s="80"/>
      <c r="E576" s="81"/>
      <c r="F576" s="82">
        <v>28.85</v>
      </c>
      <c r="G576" s="83" t="s">
        <v>856</v>
      </c>
      <c r="H576" s="82">
        <f>Source!AE317</f>
        <v>32.31</v>
      </c>
      <c r="I576" s="84">
        <f>GM576</f>
        <v>1687</v>
      </c>
      <c r="J576" s="85">
        <v>19.8</v>
      </c>
      <c r="K576" s="86">
        <f>Source!R317</f>
        <v>33394</v>
      </c>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f>ROUND(Source!AE317*Source!AV317*Source!I317,0)</f>
        <v>1687</v>
      </c>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f>GM576</f>
        <v>1687</v>
      </c>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row>
    <row r="577" spans="1:255" x14ac:dyDescent="0.2">
      <c r="A577" s="87"/>
      <c r="B577" s="88"/>
      <c r="C577" s="88" t="s">
        <v>858</v>
      </c>
      <c r="D577" s="89"/>
      <c r="E577" s="90">
        <v>120</v>
      </c>
      <c r="F577" s="91" t="s">
        <v>859</v>
      </c>
      <c r="G577" s="92"/>
      <c r="H577" s="93">
        <f>ROUND((Source!AF317*Source!AV317+Source!AE317*Source!AV317)*(Source!FX317)/100,2)</f>
        <v>103.24</v>
      </c>
      <c r="I577" s="94">
        <f>T577</f>
        <v>5389</v>
      </c>
      <c r="J577" s="96">
        <v>1.1399999999999999</v>
      </c>
      <c r="K577" s="95" t="e">
        <f>U577</f>
        <v>#REF!</v>
      </c>
      <c r="O577" s="23"/>
      <c r="P577" s="23"/>
      <c r="Q577" s="23"/>
      <c r="R577" s="23"/>
      <c r="S577" s="23"/>
      <c r="T577" s="23">
        <f>ROUND((ROUND(Source!AF317*Source!AV317*Source!I317,0)+ROUND(Source!AE317*Source!AV317*Source!I317,0))*(Source!DN317)/100,0)</f>
        <v>5389</v>
      </c>
      <c r="U577" s="23" t="e">
        <f>Source!X317</f>
        <v>#REF!</v>
      </c>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v>1</v>
      </c>
      <c r="CW577" s="23"/>
      <c r="CX577" s="23"/>
      <c r="CY577" s="23"/>
      <c r="CZ577" s="23"/>
      <c r="DA577" s="23"/>
      <c r="DB577" s="23"/>
      <c r="DC577" s="23"/>
      <c r="DD577" s="23"/>
      <c r="DE577" s="23"/>
      <c r="DF577" s="23"/>
      <c r="DG577" s="23"/>
      <c r="DH577" s="23"/>
      <c r="DI577" s="23"/>
      <c r="DJ577" s="23"/>
      <c r="DK577" s="23"/>
      <c r="DL577" s="23"/>
      <c r="DM577" s="23"/>
      <c r="DN577" s="23"/>
      <c r="DO577" s="23"/>
      <c r="DP577" s="23"/>
      <c r="DQ577" s="23">
        <f>T577</f>
        <v>5389</v>
      </c>
      <c r="DR577" s="23"/>
      <c r="DS577" s="23" t="e">
        <f>U577</f>
        <v>#REF!</v>
      </c>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f>T577</f>
        <v>5389</v>
      </c>
      <c r="GZ577" s="23"/>
      <c r="HA577" s="23"/>
      <c r="HB577" s="23">
        <f>T577</f>
        <v>5389</v>
      </c>
      <c r="HC577" s="23"/>
      <c r="HD577" s="23"/>
      <c r="HE577" s="23"/>
      <c r="HF577" s="23">
        <f>T577</f>
        <v>5389</v>
      </c>
      <c r="HG577" s="23"/>
      <c r="HH577" s="23"/>
      <c r="HI577" s="23"/>
      <c r="HJ577" s="23"/>
      <c r="HK577" s="23"/>
      <c r="HL577" s="23">
        <f>T577</f>
        <v>5389</v>
      </c>
      <c r="HM577" s="23"/>
      <c r="HN577" s="23">
        <f>T577</f>
        <v>5389</v>
      </c>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row>
    <row r="578" spans="1:255" x14ac:dyDescent="0.2">
      <c r="A578" s="87"/>
      <c r="B578" s="88"/>
      <c r="C578" s="88" t="s">
        <v>860</v>
      </c>
      <c r="D578" s="89"/>
      <c r="E578" s="90">
        <v>77</v>
      </c>
      <c r="F578" s="91" t="s">
        <v>859</v>
      </c>
      <c r="G578" s="92"/>
      <c r="H578" s="93">
        <f>ROUND((Source!AF317*Source!AV317+Source!AE317*Source!AV317)*(Source!FY317)/100,2)</f>
        <v>66.239999999999995</v>
      </c>
      <c r="I578" s="94">
        <f>T578</f>
        <v>3458</v>
      </c>
      <c r="J578" s="96">
        <v>0.65</v>
      </c>
      <c r="K578" s="95" t="e">
        <f>U578</f>
        <v>#REF!</v>
      </c>
      <c r="O578" s="23"/>
      <c r="P578" s="23"/>
      <c r="Q578" s="23"/>
      <c r="R578" s="23"/>
      <c r="S578" s="23"/>
      <c r="T578" s="23">
        <f>ROUND((ROUND(Source!AF317*Source!AV317*Source!I317,0)+ROUND(Source!AE317*Source!AV317*Source!I317,0))*(Source!DO317)/100,0)</f>
        <v>3458</v>
      </c>
      <c r="U578" s="23" t="e">
        <f>Source!Y317</f>
        <v>#REF!</v>
      </c>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v>1</v>
      </c>
      <c r="CW578" s="23"/>
      <c r="CX578" s="23"/>
      <c r="CY578" s="23"/>
      <c r="CZ578" s="23"/>
      <c r="DA578" s="23"/>
      <c r="DB578" s="23"/>
      <c r="DC578" s="23"/>
      <c r="DD578" s="23"/>
      <c r="DE578" s="23"/>
      <c r="DF578" s="23"/>
      <c r="DG578" s="23"/>
      <c r="DH578" s="23"/>
      <c r="DI578" s="23"/>
      <c r="DJ578" s="23"/>
      <c r="DK578" s="23"/>
      <c r="DL578" s="23"/>
      <c r="DM578" s="23"/>
      <c r="DN578" s="23"/>
      <c r="DO578" s="23"/>
      <c r="DP578" s="23"/>
      <c r="DQ578" s="23">
        <f>T578</f>
        <v>3458</v>
      </c>
      <c r="DR578" s="23"/>
      <c r="DS578" s="23" t="e">
        <f>U578</f>
        <v>#REF!</v>
      </c>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f>T578</f>
        <v>3458</v>
      </c>
      <c r="HA578" s="23"/>
      <c r="HB578" s="23">
        <f>T578</f>
        <v>3458</v>
      </c>
      <c r="HC578" s="23"/>
      <c r="HD578" s="23"/>
      <c r="HE578" s="23"/>
      <c r="HF578" s="23">
        <f>T578</f>
        <v>3458</v>
      </c>
      <c r="HG578" s="23"/>
      <c r="HH578" s="23"/>
      <c r="HI578" s="23"/>
      <c r="HJ578" s="23"/>
      <c r="HK578" s="23"/>
      <c r="HL578" s="23">
        <f>T578</f>
        <v>3458</v>
      </c>
      <c r="HM578" s="23"/>
      <c r="HN578" s="23">
        <f>T578</f>
        <v>3458</v>
      </c>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row>
    <row r="579" spans="1:255" x14ac:dyDescent="0.2">
      <c r="A579" s="78"/>
      <c r="B579" s="79"/>
      <c r="C579" s="79" t="s">
        <v>861</v>
      </c>
      <c r="D579" s="80" t="s">
        <v>862</v>
      </c>
      <c r="E579" s="81">
        <v>6.5</v>
      </c>
      <c r="F579" s="82"/>
      <c r="G579" s="83" t="s">
        <v>854</v>
      </c>
      <c r="H579" s="82" t="e">
        <f>ROUND(Source!AH317,2)</f>
        <v>#REF!</v>
      </c>
      <c r="I579" s="97" t="e">
        <f>Source!U317</f>
        <v>#REF!</v>
      </c>
      <c r="J579" s="85"/>
      <c r="K579" s="86"/>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row>
    <row r="580" spans="1:255" x14ac:dyDescent="0.2">
      <c r="A580" s="100" t="s">
        <v>420</v>
      </c>
      <c r="B580" s="109" t="s">
        <v>421</v>
      </c>
      <c r="C580" s="101" t="s">
        <v>422</v>
      </c>
      <c r="D580" s="102" t="s">
        <v>423</v>
      </c>
      <c r="E580" s="103">
        <f>Source!I319</f>
        <v>6.3684000000000003</v>
      </c>
      <c r="F580" s="104">
        <v>183.59</v>
      </c>
      <c r="G580" s="105"/>
      <c r="H580" s="104">
        <f>Source!AC318</f>
        <v>183.59</v>
      </c>
      <c r="I580" s="106">
        <f>T580</f>
        <v>1169</v>
      </c>
      <c r="J580" s="107" t="s">
        <v>863</v>
      </c>
      <c r="K580" s="108">
        <f>U580</f>
        <v>6587</v>
      </c>
      <c r="L580" s="23"/>
      <c r="M580" s="23"/>
      <c r="N580" s="23"/>
      <c r="O580" s="23"/>
      <c r="P580" s="23"/>
      <c r="Q580" s="23"/>
      <c r="R580" s="23"/>
      <c r="S580" s="23"/>
      <c r="T580" s="23">
        <f>ROUND(Source!AC318*Source!AW318*Source!I318,0)</f>
        <v>1169</v>
      </c>
      <c r="U580" s="23">
        <f>Source!P319</f>
        <v>6587</v>
      </c>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v>1</v>
      </c>
      <c r="CW580" s="23"/>
      <c r="CX580" s="23"/>
      <c r="CY580" s="23"/>
      <c r="CZ580" s="23"/>
      <c r="DA580" s="23"/>
      <c r="DB580" s="23"/>
      <c r="DC580" s="23"/>
      <c r="DD580" s="23"/>
      <c r="DE580" s="23"/>
      <c r="DF580" s="23"/>
      <c r="DG580" s="23"/>
      <c r="DH580" s="23"/>
      <c r="DI580" s="23"/>
      <c r="DJ580" s="23"/>
      <c r="DK580" s="23">
        <f>T580</f>
        <v>1169</v>
      </c>
      <c r="DL580" s="23"/>
      <c r="DM580" s="23">
        <f>Source!P319</f>
        <v>6587</v>
      </c>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f>T580</f>
        <v>1169</v>
      </c>
      <c r="GK580" s="23"/>
      <c r="GL580" s="23"/>
      <c r="GM580" s="23"/>
      <c r="GN580" s="23">
        <f>T580</f>
        <v>1169</v>
      </c>
      <c r="GO580" s="23"/>
      <c r="GP580" s="23">
        <f>T580</f>
        <v>1169</v>
      </c>
      <c r="GQ580" s="23">
        <f>T580</f>
        <v>1169</v>
      </c>
      <c r="GR580" s="23"/>
      <c r="GS580" s="23">
        <f>T580</f>
        <v>1169</v>
      </c>
      <c r="GT580" s="23"/>
      <c r="GU580" s="23"/>
      <c r="GV580" s="23"/>
      <c r="GW580" s="23"/>
      <c r="GX580" s="23"/>
      <c r="GY580" s="23"/>
      <c r="GZ580" s="23"/>
      <c r="HA580" s="23"/>
      <c r="HB580" s="23">
        <f>T580</f>
        <v>1169</v>
      </c>
      <c r="HC580" s="23"/>
      <c r="HD580" s="23"/>
      <c r="HE580" s="23"/>
      <c r="HF580" s="23">
        <f>T580</f>
        <v>1169</v>
      </c>
      <c r="HG580" s="23"/>
      <c r="HH580" s="23"/>
      <c r="HI580" s="23"/>
      <c r="HJ580" s="23"/>
      <c r="HK580" s="23"/>
      <c r="HL580" s="23">
        <f>T580</f>
        <v>1169</v>
      </c>
      <c r="HM580" s="23"/>
      <c r="HN580" s="23">
        <f>T580</f>
        <v>1169</v>
      </c>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row>
    <row r="581" spans="1:255" x14ac:dyDescent="0.2">
      <c r="A581" s="64"/>
      <c r="B581" s="111" t="s">
        <v>864</v>
      </c>
      <c r="C581" s="111" t="s">
        <v>969</v>
      </c>
      <c r="D581" s="63"/>
      <c r="E581" s="63"/>
      <c r="F581" s="63"/>
      <c r="G581" s="63"/>
      <c r="H581" s="63"/>
      <c r="I581" s="63"/>
      <c r="J581" s="63"/>
      <c r="K581" s="65"/>
    </row>
    <row r="582" spans="1:255" x14ac:dyDescent="0.2">
      <c r="A582" s="100" t="s">
        <v>426</v>
      </c>
      <c r="B582" s="109" t="s">
        <v>31</v>
      </c>
      <c r="C582" s="101" t="s">
        <v>32</v>
      </c>
      <c r="D582" s="102" t="s">
        <v>33</v>
      </c>
      <c r="E582" s="103">
        <f>Source!I321</f>
        <v>1.3833E-2</v>
      </c>
      <c r="F582" s="104">
        <v>8475</v>
      </c>
      <c r="G582" s="105"/>
      <c r="H582" s="104">
        <f>Source!AC320</f>
        <v>8475</v>
      </c>
      <c r="I582" s="106">
        <f>T582</f>
        <v>117</v>
      </c>
      <c r="J582" s="107" t="s">
        <v>863</v>
      </c>
      <c r="K582" s="108">
        <f>U582</f>
        <v>1042</v>
      </c>
      <c r="L582" s="23"/>
      <c r="M582" s="23"/>
      <c r="N582" s="23"/>
      <c r="O582" s="23"/>
      <c r="P582" s="23"/>
      <c r="Q582" s="23"/>
      <c r="R582" s="23"/>
      <c r="S582" s="23"/>
      <c r="T582" s="23">
        <f>ROUND(Source!AC320*Source!AW320*Source!I320,0)</f>
        <v>117</v>
      </c>
      <c r="U582" s="23">
        <f>Source!P321</f>
        <v>1042</v>
      </c>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v>1</v>
      </c>
      <c r="CW582" s="23"/>
      <c r="CX582" s="23"/>
      <c r="CY582" s="23"/>
      <c r="CZ582" s="23"/>
      <c r="DA582" s="23"/>
      <c r="DB582" s="23"/>
      <c r="DC582" s="23"/>
      <c r="DD582" s="23"/>
      <c r="DE582" s="23"/>
      <c r="DF582" s="23"/>
      <c r="DG582" s="23"/>
      <c r="DH582" s="23"/>
      <c r="DI582" s="23"/>
      <c r="DJ582" s="23"/>
      <c r="DK582" s="23">
        <f>T582</f>
        <v>117</v>
      </c>
      <c r="DL582" s="23"/>
      <c r="DM582" s="23">
        <f>Source!P321</f>
        <v>1042</v>
      </c>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f>T582</f>
        <v>117</v>
      </c>
      <c r="GK582" s="23"/>
      <c r="GL582" s="23"/>
      <c r="GM582" s="23"/>
      <c r="GN582" s="23">
        <f>T582</f>
        <v>117</v>
      </c>
      <c r="GO582" s="23"/>
      <c r="GP582" s="23">
        <f>T582</f>
        <v>117</v>
      </c>
      <c r="GQ582" s="23">
        <f>T582</f>
        <v>117</v>
      </c>
      <c r="GR582" s="23"/>
      <c r="GS582" s="23">
        <f>T582</f>
        <v>117</v>
      </c>
      <c r="GT582" s="23"/>
      <c r="GU582" s="23"/>
      <c r="GV582" s="23"/>
      <c r="GW582" s="23"/>
      <c r="GX582" s="23"/>
      <c r="GY582" s="23"/>
      <c r="GZ582" s="23"/>
      <c r="HA582" s="23"/>
      <c r="HB582" s="23">
        <f>T582</f>
        <v>117</v>
      </c>
      <c r="HC582" s="23"/>
      <c r="HD582" s="23"/>
      <c r="HE582" s="23"/>
      <c r="HF582" s="23">
        <f>T582</f>
        <v>117</v>
      </c>
      <c r="HG582" s="23"/>
      <c r="HH582" s="23"/>
      <c r="HI582" s="23"/>
      <c r="HJ582" s="23"/>
      <c r="HK582" s="23"/>
      <c r="HL582" s="23">
        <f>T582</f>
        <v>117</v>
      </c>
      <c r="HM582" s="23"/>
      <c r="HN582" s="23">
        <f>T582</f>
        <v>117</v>
      </c>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row>
    <row r="583" spans="1:255" x14ac:dyDescent="0.2">
      <c r="A583" s="64"/>
      <c r="B583" s="111" t="s">
        <v>864</v>
      </c>
      <c r="C583" s="111" t="s">
        <v>865</v>
      </c>
      <c r="D583" s="63"/>
      <c r="E583" s="63"/>
      <c r="F583" s="63"/>
      <c r="G583" s="63"/>
      <c r="H583" s="63"/>
      <c r="I583" s="63"/>
      <c r="J583" s="63"/>
      <c r="K583" s="65"/>
    </row>
    <row r="584" spans="1:255" ht="36" x14ac:dyDescent="0.2">
      <c r="A584" s="114" t="s">
        <v>427</v>
      </c>
      <c r="B584" s="115" t="s">
        <v>42</v>
      </c>
      <c r="C584" s="116" t="s">
        <v>43</v>
      </c>
      <c r="D584" s="117" t="s">
        <v>44</v>
      </c>
      <c r="E584" s="118">
        <f>Source!I323</f>
        <v>0.46912150000000002</v>
      </c>
      <c r="F584" s="119">
        <v>1100</v>
      </c>
      <c r="G584" s="71"/>
      <c r="H584" s="119">
        <f>Source!AC322</f>
        <v>1100</v>
      </c>
      <c r="I584" s="120">
        <f>T584</f>
        <v>516</v>
      </c>
      <c r="J584" s="73" t="s">
        <v>863</v>
      </c>
      <c r="K584" s="121">
        <f>U584</f>
        <v>8294</v>
      </c>
      <c r="L584" s="23"/>
      <c r="M584" s="23"/>
      <c r="N584" s="23"/>
      <c r="O584" s="23"/>
      <c r="P584" s="23"/>
      <c r="Q584" s="23"/>
      <c r="R584" s="23"/>
      <c r="S584" s="23"/>
      <c r="T584" s="23">
        <f>ROUND(Source!AC322*Source!AW322*Source!I322,0)</f>
        <v>516</v>
      </c>
      <c r="U584" s="23">
        <f>Source!P323</f>
        <v>8294</v>
      </c>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v>1</v>
      </c>
      <c r="CW584" s="23"/>
      <c r="CX584" s="23"/>
      <c r="CY584" s="23"/>
      <c r="CZ584" s="23"/>
      <c r="DA584" s="23"/>
      <c r="DB584" s="23"/>
      <c r="DC584" s="23"/>
      <c r="DD584" s="23"/>
      <c r="DE584" s="23"/>
      <c r="DF584" s="23"/>
      <c r="DG584" s="23"/>
      <c r="DH584" s="23"/>
      <c r="DI584" s="23"/>
      <c r="DJ584" s="23"/>
      <c r="DK584" s="23">
        <f>T584</f>
        <v>516</v>
      </c>
      <c r="DL584" s="23"/>
      <c r="DM584" s="23">
        <f>Source!P323</f>
        <v>8294</v>
      </c>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f>T584</f>
        <v>516</v>
      </c>
      <c r="GK584" s="23"/>
      <c r="GL584" s="23"/>
      <c r="GM584" s="23"/>
      <c r="GN584" s="23">
        <f>T584</f>
        <v>516</v>
      </c>
      <c r="GO584" s="23"/>
      <c r="GP584" s="23">
        <f>T584</f>
        <v>516</v>
      </c>
      <c r="GQ584" s="23">
        <f>T584</f>
        <v>516</v>
      </c>
      <c r="GR584" s="23"/>
      <c r="GS584" s="23">
        <f>T584</f>
        <v>516</v>
      </c>
      <c r="GT584" s="23"/>
      <c r="GU584" s="23"/>
      <c r="GV584" s="23"/>
      <c r="GW584" s="23"/>
      <c r="GX584" s="23"/>
      <c r="GY584" s="23"/>
      <c r="GZ584" s="23"/>
      <c r="HA584" s="23"/>
      <c r="HB584" s="23">
        <f>T584</f>
        <v>516</v>
      </c>
      <c r="HC584" s="23"/>
      <c r="HD584" s="23"/>
      <c r="HE584" s="23"/>
      <c r="HF584" s="23">
        <f>T584</f>
        <v>516</v>
      </c>
      <c r="HG584" s="23"/>
      <c r="HH584" s="23"/>
      <c r="HI584" s="23"/>
      <c r="HJ584" s="23"/>
      <c r="HK584" s="23"/>
      <c r="HL584" s="23">
        <f>T584</f>
        <v>516</v>
      </c>
      <c r="HM584" s="23"/>
      <c r="HN584" s="23">
        <f>T584</f>
        <v>516</v>
      </c>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row>
    <row r="585" spans="1:255" x14ac:dyDescent="0.2">
      <c r="A585" s="98"/>
      <c r="B585" s="113" t="s">
        <v>864</v>
      </c>
      <c r="C585" s="113" t="s">
        <v>866</v>
      </c>
      <c r="D585" s="33"/>
      <c r="E585" s="33"/>
      <c r="F585" s="33"/>
      <c r="G585" s="33"/>
      <c r="H585" s="33"/>
      <c r="I585" s="33"/>
      <c r="J585" s="33"/>
      <c r="K585" s="99"/>
    </row>
    <row r="586" spans="1:255" ht="13.5" thickBot="1" x14ac:dyDescent="0.25">
      <c r="A586" s="124"/>
      <c r="B586" s="125"/>
      <c r="C586" s="125" t="s">
        <v>867</v>
      </c>
      <c r="D586" s="125"/>
      <c r="E586" s="125"/>
      <c r="F586" s="125"/>
      <c r="G586" s="125"/>
      <c r="H586" s="380">
        <f>SUM(DK573:DK585)</f>
        <v>1802</v>
      </c>
      <c r="I586" s="381"/>
      <c r="J586" s="380">
        <f>SUM(DM573:DM585)</f>
        <v>15923</v>
      </c>
      <c r="K586" s="382"/>
      <c r="L586" s="112"/>
      <c r="M586" s="112"/>
      <c r="N586" s="112"/>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row>
    <row r="587" spans="1:255" x14ac:dyDescent="0.2">
      <c r="A587" s="123"/>
      <c r="B587" s="122"/>
      <c r="C587" s="122" t="s">
        <v>868</v>
      </c>
      <c r="D587" s="122"/>
      <c r="E587" s="122"/>
      <c r="F587" s="122"/>
      <c r="G587" s="122"/>
      <c r="H587" s="383">
        <f>R587</f>
        <v>27112</v>
      </c>
      <c r="I587" s="384"/>
      <c r="J587" s="383" t="e">
        <f>S587</f>
        <v>#REF!</v>
      </c>
      <c r="K587" s="385"/>
      <c r="O587" s="23"/>
      <c r="P587" s="23"/>
      <c r="Q587" s="23"/>
      <c r="R587" s="23">
        <f>SUM(T573:T586)</f>
        <v>27112</v>
      </c>
      <c r="S587" s="23" t="e">
        <f>SUM(U573:U586)</f>
        <v>#REF!</v>
      </c>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f>R587</f>
        <v>27112</v>
      </c>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row>
    <row r="588" spans="1:255" x14ac:dyDescent="0.2">
      <c r="A588" s="77"/>
      <c r="B588" s="76"/>
      <c r="C588" s="76"/>
      <c r="D588" s="76"/>
      <c r="E588" s="76"/>
      <c r="F588" s="76"/>
      <c r="G588" s="76"/>
      <c r="H588" s="386"/>
      <c r="I588" s="387"/>
      <c r="J588" s="386"/>
      <c r="K588" s="388"/>
    </row>
    <row r="589" spans="1:255" ht="47.25" x14ac:dyDescent="0.2">
      <c r="A589" s="126">
        <v>25</v>
      </c>
      <c r="B589" s="133" t="s">
        <v>429</v>
      </c>
      <c r="C589" s="127" t="s">
        <v>970</v>
      </c>
      <c r="D589" s="128" t="s">
        <v>49</v>
      </c>
      <c r="E589" s="129">
        <v>12.276999999999999</v>
      </c>
      <c r="F589" s="130">
        <f>Source!AK325</f>
        <v>5876.59</v>
      </c>
      <c r="G589" s="134" t="s">
        <v>6</v>
      </c>
      <c r="H589" s="130"/>
      <c r="I589" s="131">
        <f>SUM(DQ589:DQ600)</f>
        <v>7965</v>
      </c>
      <c r="J589" s="107" t="s">
        <v>429</v>
      </c>
      <c r="K589" s="132" t="e">
        <f>SUM(DS589:DS600)</f>
        <v>#REF!</v>
      </c>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row>
    <row r="590" spans="1:255" x14ac:dyDescent="0.2">
      <c r="A590" s="66"/>
      <c r="B590" s="67"/>
      <c r="C590" s="67" t="s">
        <v>853</v>
      </c>
      <c r="D590" s="68"/>
      <c r="E590" s="69"/>
      <c r="F590" s="70">
        <v>1059.6199999999999</v>
      </c>
      <c r="G590" s="71" t="s">
        <v>854</v>
      </c>
      <c r="H590" s="70">
        <f>Source!AF325</f>
        <v>1112.5999999999999</v>
      </c>
      <c r="I590" s="72">
        <f>T590</f>
        <v>3415</v>
      </c>
      <c r="J590" s="73">
        <v>25.36</v>
      </c>
      <c r="K590" s="74">
        <f>U590</f>
        <v>86601</v>
      </c>
      <c r="O590" s="23"/>
      <c r="P590" s="23"/>
      <c r="Q590" s="23"/>
      <c r="R590" s="23"/>
      <c r="S590" s="23"/>
      <c r="T590" s="23">
        <f>ROUND(Source!AF325*Source!AV325*Source!I325,0)</f>
        <v>3415</v>
      </c>
      <c r="U590" s="23">
        <f>Source!S325</f>
        <v>86601</v>
      </c>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v>1</v>
      </c>
      <c r="CW590" s="23"/>
      <c r="CX590" s="23"/>
      <c r="CY590" s="23"/>
      <c r="CZ590" s="23"/>
      <c r="DA590" s="23"/>
      <c r="DB590" s="23"/>
      <c r="DC590" s="23"/>
      <c r="DD590" s="23"/>
      <c r="DE590" s="23"/>
      <c r="DF590" s="23"/>
      <c r="DG590" s="23">
        <f>Source!S325</f>
        <v>86601</v>
      </c>
      <c r="DH590" s="23">
        <v>1015</v>
      </c>
      <c r="DI590" s="23"/>
      <c r="DJ590" s="23"/>
      <c r="DK590" s="23"/>
      <c r="DL590" s="23"/>
      <c r="DM590" s="23"/>
      <c r="DN590" s="23"/>
      <c r="DO590" s="23"/>
      <c r="DP590" s="23"/>
      <c r="DQ590" s="23">
        <f>T590</f>
        <v>3415</v>
      </c>
      <c r="DR590" s="23"/>
      <c r="DS590" s="23">
        <f>U590</f>
        <v>86601</v>
      </c>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f>T590</f>
        <v>3415</v>
      </c>
      <c r="GK590" s="23">
        <f>T590</f>
        <v>3415</v>
      </c>
      <c r="GL590" s="23"/>
      <c r="GM590" s="23"/>
      <c r="GN590" s="23"/>
      <c r="GO590" s="23"/>
      <c r="GP590" s="23"/>
      <c r="GQ590" s="23"/>
      <c r="GR590" s="23"/>
      <c r="GS590" s="23"/>
      <c r="GT590" s="23"/>
      <c r="GU590" s="23"/>
      <c r="GV590" s="23"/>
      <c r="GW590" s="23"/>
      <c r="GX590" s="23"/>
      <c r="GY590" s="23"/>
      <c r="GZ590" s="23"/>
      <c r="HA590" s="23"/>
      <c r="HB590" s="23">
        <f>T590</f>
        <v>3415</v>
      </c>
      <c r="HC590" s="23"/>
      <c r="HD590" s="23"/>
      <c r="HE590" s="23"/>
      <c r="HF590" s="23">
        <f>T590</f>
        <v>3415</v>
      </c>
      <c r="HG590" s="23"/>
      <c r="HH590" s="23"/>
      <c r="HI590" s="23"/>
      <c r="HJ590" s="23"/>
      <c r="HK590" s="23"/>
      <c r="HL590" s="23">
        <f>T590</f>
        <v>3415</v>
      </c>
      <c r="HM590" s="23"/>
      <c r="HN590" s="23">
        <f>T590</f>
        <v>3415</v>
      </c>
      <c r="HO590" s="23"/>
      <c r="HP590" s="23"/>
      <c r="HQ590" s="23"/>
      <c r="HR590" s="23"/>
      <c r="HS590" s="23"/>
      <c r="HT590" s="23"/>
      <c r="HU590" s="23"/>
      <c r="HV590" s="23"/>
      <c r="HW590" s="23"/>
      <c r="HX590" s="23">
        <f>T590</f>
        <v>3415</v>
      </c>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row>
    <row r="591" spans="1:255" x14ac:dyDescent="0.2">
      <c r="A591" s="78"/>
      <c r="B591" s="79"/>
      <c r="C591" s="79" t="s">
        <v>855</v>
      </c>
      <c r="D591" s="80"/>
      <c r="E591" s="81"/>
      <c r="F591" s="82">
        <v>63.91</v>
      </c>
      <c r="G591" s="83" t="s">
        <v>856</v>
      </c>
      <c r="H591" s="82">
        <f>Source!AD325</f>
        <v>71.58</v>
      </c>
      <c r="I591" s="84">
        <f>T591</f>
        <v>220</v>
      </c>
      <c r="J591" s="85">
        <v>7.84</v>
      </c>
      <c r="K591" s="86">
        <f>U591</f>
        <v>1722</v>
      </c>
      <c r="O591" s="23"/>
      <c r="P591" s="23"/>
      <c r="Q591" s="23"/>
      <c r="R591" s="23"/>
      <c r="S591" s="23"/>
      <c r="T591" s="23">
        <f>ROUND(Source!AD325*Source!AV325*Source!I325,0)</f>
        <v>220</v>
      </c>
      <c r="U591" s="23">
        <f>Source!Q325</f>
        <v>1722</v>
      </c>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v>1</v>
      </c>
      <c r="CW591" s="23"/>
      <c r="CX591" s="23"/>
      <c r="CY591" s="23"/>
      <c r="CZ591" s="23"/>
      <c r="DA591" s="23"/>
      <c r="DB591" s="23"/>
      <c r="DC591" s="23"/>
      <c r="DD591" s="23"/>
      <c r="DE591" s="23"/>
      <c r="DF591" s="23"/>
      <c r="DG591" s="23"/>
      <c r="DH591" s="23"/>
      <c r="DI591" s="23"/>
      <c r="DJ591" s="23"/>
      <c r="DK591" s="23"/>
      <c r="DL591" s="23"/>
      <c r="DM591" s="23"/>
      <c r="DN591" s="23"/>
      <c r="DO591" s="23"/>
      <c r="DP591" s="23"/>
      <c r="DQ591" s="23">
        <f>T591</f>
        <v>220</v>
      </c>
      <c r="DR591" s="23"/>
      <c r="DS591" s="23">
        <f>U591</f>
        <v>1722</v>
      </c>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f>T591</f>
        <v>220</v>
      </c>
      <c r="GK591" s="23"/>
      <c r="GL591" s="23">
        <f>T591</f>
        <v>220</v>
      </c>
      <c r="GM591" s="23"/>
      <c r="GN591" s="23"/>
      <c r="GO591" s="23"/>
      <c r="GP591" s="23"/>
      <c r="GQ591" s="23"/>
      <c r="GR591" s="23"/>
      <c r="GS591" s="23"/>
      <c r="GT591" s="23"/>
      <c r="GU591" s="23"/>
      <c r="GV591" s="23"/>
      <c r="GW591" s="23"/>
      <c r="GX591" s="23"/>
      <c r="GY591" s="23"/>
      <c r="GZ591" s="23"/>
      <c r="HA591" s="23"/>
      <c r="HB591" s="23">
        <f>T591</f>
        <v>220</v>
      </c>
      <c r="HC591" s="23"/>
      <c r="HD591" s="23"/>
      <c r="HE591" s="23"/>
      <c r="HF591" s="23">
        <f>T591</f>
        <v>220</v>
      </c>
      <c r="HG591" s="23"/>
      <c r="HH591" s="23"/>
      <c r="HI591" s="23"/>
      <c r="HJ591" s="23"/>
      <c r="HK591" s="23"/>
      <c r="HL591" s="23">
        <f>T591</f>
        <v>220</v>
      </c>
      <c r="HM591" s="23"/>
      <c r="HN591" s="23">
        <f>T591</f>
        <v>220</v>
      </c>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row>
    <row r="592" spans="1:255" x14ac:dyDescent="0.2">
      <c r="A592" s="78"/>
      <c r="B592" s="79"/>
      <c r="C592" s="79" t="s">
        <v>857</v>
      </c>
      <c r="D592" s="80"/>
      <c r="E592" s="81"/>
      <c r="F592" s="82">
        <v>6.12</v>
      </c>
      <c r="G592" s="83" t="s">
        <v>856</v>
      </c>
      <c r="H592" s="82">
        <f>Source!AE325</f>
        <v>6.85</v>
      </c>
      <c r="I592" s="84">
        <f>GM592</f>
        <v>21</v>
      </c>
      <c r="J592" s="85">
        <v>19.8</v>
      </c>
      <c r="K592" s="86">
        <f>Source!R325</f>
        <v>416</v>
      </c>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f>ROUND(Source!AE325*Source!AV325*Source!I325,0)</f>
        <v>21</v>
      </c>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f>GM592</f>
        <v>21</v>
      </c>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row>
    <row r="593" spans="1:255" x14ac:dyDescent="0.2">
      <c r="A593" s="87"/>
      <c r="B593" s="88"/>
      <c r="C593" s="88" t="s">
        <v>858</v>
      </c>
      <c r="D593" s="89"/>
      <c r="E593" s="90">
        <v>66</v>
      </c>
      <c r="F593" s="91" t="s">
        <v>859</v>
      </c>
      <c r="G593" s="92"/>
      <c r="H593" s="93">
        <f>ROUND((Source!AF325*Source!AV325+Source!AE325*Source!AV325)*(Source!FX325)/100,2)</f>
        <v>738.84</v>
      </c>
      <c r="I593" s="94">
        <f>T593</f>
        <v>2268</v>
      </c>
      <c r="J593" s="96">
        <v>0.63</v>
      </c>
      <c r="K593" s="95" t="e">
        <f>U593</f>
        <v>#REF!</v>
      </c>
      <c r="O593" s="23"/>
      <c r="P593" s="23"/>
      <c r="Q593" s="23"/>
      <c r="R593" s="23"/>
      <c r="S593" s="23"/>
      <c r="T593" s="23">
        <f>ROUND((ROUND(Source!AF325*Source!AV325*Source!I325,0)+ROUND(Source!AE325*Source!AV325*Source!I325,0))*(Source!DN325)/100,0)</f>
        <v>2268</v>
      </c>
      <c r="U593" s="23" t="e">
        <f>Source!X325</f>
        <v>#REF!</v>
      </c>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v>1</v>
      </c>
      <c r="CW593" s="23"/>
      <c r="CX593" s="23"/>
      <c r="CY593" s="23"/>
      <c r="CZ593" s="23"/>
      <c r="DA593" s="23"/>
      <c r="DB593" s="23"/>
      <c r="DC593" s="23"/>
      <c r="DD593" s="23"/>
      <c r="DE593" s="23"/>
      <c r="DF593" s="23"/>
      <c r="DG593" s="23"/>
      <c r="DH593" s="23"/>
      <c r="DI593" s="23"/>
      <c r="DJ593" s="23"/>
      <c r="DK593" s="23"/>
      <c r="DL593" s="23"/>
      <c r="DM593" s="23"/>
      <c r="DN593" s="23"/>
      <c r="DO593" s="23"/>
      <c r="DP593" s="23"/>
      <c r="DQ593" s="23">
        <f>T593</f>
        <v>2268</v>
      </c>
      <c r="DR593" s="23"/>
      <c r="DS593" s="23" t="e">
        <f>U593</f>
        <v>#REF!</v>
      </c>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f>T593</f>
        <v>2268</v>
      </c>
      <c r="GZ593" s="23"/>
      <c r="HA593" s="23"/>
      <c r="HB593" s="23">
        <f>T593</f>
        <v>2268</v>
      </c>
      <c r="HC593" s="23"/>
      <c r="HD593" s="23"/>
      <c r="HE593" s="23"/>
      <c r="HF593" s="23">
        <f>T593</f>
        <v>2268</v>
      </c>
      <c r="HG593" s="23"/>
      <c r="HH593" s="23"/>
      <c r="HI593" s="23"/>
      <c r="HJ593" s="23"/>
      <c r="HK593" s="23"/>
      <c r="HL593" s="23">
        <f>T593</f>
        <v>2268</v>
      </c>
      <c r="HM593" s="23"/>
      <c r="HN593" s="23">
        <f>T593</f>
        <v>2268</v>
      </c>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row>
    <row r="594" spans="1:255" x14ac:dyDescent="0.2">
      <c r="A594" s="87"/>
      <c r="B594" s="88"/>
      <c r="C594" s="88" t="s">
        <v>860</v>
      </c>
      <c r="D594" s="89"/>
      <c r="E594" s="90">
        <v>60</v>
      </c>
      <c r="F594" s="91" t="s">
        <v>859</v>
      </c>
      <c r="G594" s="92"/>
      <c r="H594" s="93">
        <f>ROUND((Source!AF325*Source!AV325+Source!AE325*Source!AV325)*(Source!FY325)/100,2)</f>
        <v>671.67</v>
      </c>
      <c r="I594" s="94">
        <f>T594</f>
        <v>2062</v>
      </c>
      <c r="J594" s="96">
        <v>0.51</v>
      </c>
      <c r="K594" s="95" t="e">
        <f>U594</f>
        <v>#REF!</v>
      </c>
      <c r="O594" s="23"/>
      <c r="P594" s="23"/>
      <c r="Q594" s="23"/>
      <c r="R594" s="23"/>
      <c r="S594" s="23"/>
      <c r="T594" s="23">
        <f>ROUND((ROUND(Source!AF325*Source!AV325*Source!I325,0)+ROUND(Source!AE325*Source!AV325*Source!I325,0))*(Source!DO325)/100,0)</f>
        <v>2062</v>
      </c>
      <c r="U594" s="23" t="e">
        <f>Source!Y325</f>
        <v>#REF!</v>
      </c>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v>1</v>
      </c>
      <c r="CW594" s="23"/>
      <c r="CX594" s="23"/>
      <c r="CY594" s="23"/>
      <c r="CZ594" s="23"/>
      <c r="DA594" s="23"/>
      <c r="DB594" s="23"/>
      <c r="DC594" s="23"/>
      <c r="DD594" s="23"/>
      <c r="DE594" s="23"/>
      <c r="DF594" s="23"/>
      <c r="DG594" s="23"/>
      <c r="DH594" s="23"/>
      <c r="DI594" s="23"/>
      <c r="DJ594" s="23"/>
      <c r="DK594" s="23"/>
      <c r="DL594" s="23"/>
      <c r="DM594" s="23"/>
      <c r="DN594" s="23"/>
      <c r="DO594" s="23"/>
      <c r="DP594" s="23"/>
      <c r="DQ594" s="23">
        <f>T594</f>
        <v>2062</v>
      </c>
      <c r="DR594" s="23"/>
      <c r="DS594" s="23" t="e">
        <f>U594</f>
        <v>#REF!</v>
      </c>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f>T594</f>
        <v>2062</v>
      </c>
      <c r="HA594" s="23"/>
      <c r="HB594" s="23">
        <f>T594</f>
        <v>2062</v>
      </c>
      <c r="HC594" s="23"/>
      <c r="HD594" s="23"/>
      <c r="HE594" s="23"/>
      <c r="HF594" s="23">
        <f>T594</f>
        <v>2062</v>
      </c>
      <c r="HG594" s="23"/>
      <c r="HH594" s="23"/>
      <c r="HI594" s="23"/>
      <c r="HJ594" s="23"/>
      <c r="HK594" s="23"/>
      <c r="HL594" s="23">
        <f>T594</f>
        <v>2062</v>
      </c>
      <c r="HM594" s="23"/>
      <c r="HN594" s="23">
        <f>T594</f>
        <v>2062</v>
      </c>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row>
    <row r="595" spans="1:255" x14ac:dyDescent="0.2">
      <c r="A595" s="78"/>
      <c r="B595" s="79"/>
      <c r="C595" s="79" t="s">
        <v>861</v>
      </c>
      <c r="D595" s="80" t="s">
        <v>862</v>
      </c>
      <c r="E595" s="81">
        <v>88.894000000000005</v>
      </c>
      <c r="F595" s="82"/>
      <c r="G595" s="83" t="s">
        <v>854</v>
      </c>
      <c r="H595" s="82" t="e">
        <f>ROUND(Source!AH325,2)</f>
        <v>#REF!</v>
      </c>
      <c r="I595" s="97" t="e">
        <f>Source!U325</f>
        <v>#REF!</v>
      </c>
      <c r="J595" s="85"/>
      <c r="K595" s="86"/>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row>
    <row r="596" spans="1:255" ht="24" x14ac:dyDescent="0.2">
      <c r="A596" s="100" t="s">
        <v>432</v>
      </c>
      <c r="B596" s="109" t="s">
        <v>433</v>
      </c>
      <c r="C596" s="101" t="s">
        <v>434</v>
      </c>
      <c r="D596" s="102" t="s">
        <v>33</v>
      </c>
      <c r="E596" s="103">
        <f>Source!I327</f>
        <v>3.0669499999999998</v>
      </c>
      <c r="F596" s="104">
        <v>5243.33</v>
      </c>
      <c r="G596" s="105"/>
      <c r="H596" s="104">
        <f>Source!AC326</f>
        <v>5243.33</v>
      </c>
      <c r="I596" s="106">
        <f>T596</f>
        <v>16081</v>
      </c>
      <c r="J596" s="107" t="s">
        <v>863</v>
      </c>
      <c r="K596" s="108">
        <f>U596</f>
        <v>192136</v>
      </c>
      <c r="L596" s="23"/>
      <c r="M596" s="23"/>
      <c r="N596" s="23"/>
      <c r="O596" s="23"/>
      <c r="P596" s="23"/>
      <c r="Q596" s="23"/>
      <c r="R596" s="23"/>
      <c r="S596" s="23"/>
      <c r="T596" s="23">
        <f>ROUND(Source!AC326*Source!AW326*Source!I326,0)</f>
        <v>16081</v>
      </c>
      <c r="U596" s="23">
        <f>Source!P327</f>
        <v>192136</v>
      </c>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v>1</v>
      </c>
      <c r="CW596" s="23"/>
      <c r="CX596" s="23"/>
      <c r="CY596" s="23"/>
      <c r="CZ596" s="23"/>
      <c r="DA596" s="23"/>
      <c r="DB596" s="23"/>
      <c r="DC596" s="23"/>
      <c r="DD596" s="23"/>
      <c r="DE596" s="23"/>
      <c r="DF596" s="23"/>
      <c r="DG596" s="23"/>
      <c r="DH596" s="23"/>
      <c r="DI596" s="23"/>
      <c r="DJ596" s="23"/>
      <c r="DK596" s="23">
        <f>T596</f>
        <v>16081</v>
      </c>
      <c r="DL596" s="23"/>
      <c r="DM596" s="23">
        <f>Source!P327</f>
        <v>192136</v>
      </c>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f>T596</f>
        <v>16081</v>
      </c>
      <c r="GK596" s="23"/>
      <c r="GL596" s="23"/>
      <c r="GM596" s="23"/>
      <c r="GN596" s="23">
        <f>T596</f>
        <v>16081</v>
      </c>
      <c r="GO596" s="23"/>
      <c r="GP596" s="23">
        <f>T596</f>
        <v>16081</v>
      </c>
      <c r="GQ596" s="23">
        <f>T596</f>
        <v>16081</v>
      </c>
      <c r="GR596" s="23"/>
      <c r="GS596" s="23">
        <f>T596</f>
        <v>16081</v>
      </c>
      <c r="GT596" s="23"/>
      <c r="GU596" s="23"/>
      <c r="GV596" s="23"/>
      <c r="GW596" s="23"/>
      <c r="GX596" s="23"/>
      <c r="GY596" s="23"/>
      <c r="GZ596" s="23"/>
      <c r="HA596" s="23"/>
      <c r="HB596" s="23">
        <f>T596</f>
        <v>16081</v>
      </c>
      <c r="HC596" s="23"/>
      <c r="HD596" s="23"/>
      <c r="HE596" s="23"/>
      <c r="HF596" s="23">
        <f>T596</f>
        <v>16081</v>
      </c>
      <c r="HG596" s="23"/>
      <c r="HH596" s="23"/>
      <c r="HI596" s="23"/>
      <c r="HJ596" s="23"/>
      <c r="HK596" s="23"/>
      <c r="HL596" s="23">
        <f>T596</f>
        <v>16081</v>
      </c>
      <c r="HM596" s="23"/>
      <c r="HN596" s="23">
        <f>T596</f>
        <v>16081</v>
      </c>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row>
    <row r="597" spans="1:255" x14ac:dyDescent="0.2">
      <c r="A597" s="64"/>
      <c r="B597" s="111" t="s">
        <v>864</v>
      </c>
      <c r="C597" s="111" t="s">
        <v>971</v>
      </c>
      <c r="D597" s="63"/>
      <c r="E597" s="63"/>
      <c r="F597" s="63"/>
      <c r="G597" s="63"/>
      <c r="H597" s="63"/>
      <c r="I597" s="63"/>
      <c r="J597" s="63"/>
      <c r="K597" s="65"/>
    </row>
    <row r="598" spans="1:255" ht="24" x14ac:dyDescent="0.2">
      <c r="A598" s="114" t="s">
        <v>437</v>
      </c>
      <c r="B598" s="115" t="s">
        <v>438</v>
      </c>
      <c r="C598" s="116" t="s">
        <v>439</v>
      </c>
      <c r="D598" s="117" t="s">
        <v>33</v>
      </c>
      <c r="E598" s="118">
        <f>Source!I329</f>
        <v>2.3E-3</v>
      </c>
      <c r="F598" s="119">
        <v>14346.51</v>
      </c>
      <c r="G598" s="71"/>
      <c r="H598" s="119">
        <f>Source!AC328</f>
        <v>14346.51</v>
      </c>
      <c r="I598" s="120">
        <f>T598</f>
        <v>33</v>
      </c>
      <c r="J598" s="73" t="s">
        <v>863</v>
      </c>
      <c r="K598" s="121">
        <f>U598</f>
        <v>261</v>
      </c>
      <c r="L598" s="23"/>
      <c r="M598" s="23"/>
      <c r="N598" s="23"/>
      <c r="O598" s="23"/>
      <c r="P598" s="23"/>
      <c r="Q598" s="23"/>
      <c r="R598" s="23"/>
      <c r="S598" s="23"/>
      <c r="T598" s="23">
        <f>ROUND(Source!AC328*Source!AW328*Source!I328,0)</f>
        <v>33</v>
      </c>
      <c r="U598" s="23">
        <f>Source!P329</f>
        <v>261</v>
      </c>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v>1</v>
      </c>
      <c r="CW598" s="23"/>
      <c r="CX598" s="23"/>
      <c r="CY598" s="23"/>
      <c r="CZ598" s="23"/>
      <c r="DA598" s="23"/>
      <c r="DB598" s="23"/>
      <c r="DC598" s="23"/>
      <c r="DD598" s="23"/>
      <c r="DE598" s="23"/>
      <c r="DF598" s="23"/>
      <c r="DG598" s="23"/>
      <c r="DH598" s="23"/>
      <c r="DI598" s="23"/>
      <c r="DJ598" s="23"/>
      <c r="DK598" s="23">
        <f>T598</f>
        <v>33</v>
      </c>
      <c r="DL598" s="23"/>
      <c r="DM598" s="23">
        <f>Source!P329</f>
        <v>261</v>
      </c>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f>T598</f>
        <v>33</v>
      </c>
      <c r="GK598" s="23"/>
      <c r="GL598" s="23"/>
      <c r="GM598" s="23"/>
      <c r="GN598" s="23">
        <f>T598</f>
        <v>33</v>
      </c>
      <c r="GO598" s="23"/>
      <c r="GP598" s="23">
        <f>T598</f>
        <v>33</v>
      </c>
      <c r="GQ598" s="23">
        <f>T598</f>
        <v>33</v>
      </c>
      <c r="GR598" s="23"/>
      <c r="GS598" s="23">
        <f>T598</f>
        <v>33</v>
      </c>
      <c r="GT598" s="23"/>
      <c r="GU598" s="23"/>
      <c r="GV598" s="23"/>
      <c r="GW598" s="23"/>
      <c r="GX598" s="23"/>
      <c r="GY598" s="23"/>
      <c r="GZ598" s="23"/>
      <c r="HA598" s="23"/>
      <c r="HB598" s="23">
        <f>T598</f>
        <v>33</v>
      </c>
      <c r="HC598" s="23"/>
      <c r="HD598" s="23"/>
      <c r="HE598" s="23"/>
      <c r="HF598" s="23">
        <f>T598</f>
        <v>33</v>
      </c>
      <c r="HG598" s="23"/>
      <c r="HH598" s="23"/>
      <c r="HI598" s="23"/>
      <c r="HJ598" s="23"/>
      <c r="HK598" s="23"/>
      <c r="HL598" s="23">
        <f>T598</f>
        <v>33</v>
      </c>
      <c r="HM598" s="23"/>
      <c r="HN598" s="23">
        <f>T598</f>
        <v>33</v>
      </c>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row>
    <row r="599" spans="1:255" x14ac:dyDescent="0.2">
      <c r="A599" s="98"/>
      <c r="B599" s="113" t="s">
        <v>864</v>
      </c>
      <c r="C599" s="113" t="s">
        <v>972</v>
      </c>
      <c r="D599" s="33"/>
      <c r="E599" s="33"/>
      <c r="F599" s="33"/>
      <c r="G599" s="33"/>
      <c r="H599" s="33"/>
      <c r="I599" s="33"/>
      <c r="J599" s="33"/>
      <c r="K599" s="99"/>
    </row>
    <row r="600" spans="1:255" ht="13.5" thickBot="1" x14ac:dyDescent="0.25">
      <c r="A600" s="124"/>
      <c r="B600" s="125"/>
      <c r="C600" s="125" t="s">
        <v>867</v>
      </c>
      <c r="D600" s="125"/>
      <c r="E600" s="125"/>
      <c r="F600" s="125"/>
      <c r="G600" s="125"/>
      <c r="H600" s="380">
        <f>SUM(DK589:DK599)</f>
        <v>16114</v>
      </c>
      <c r="I600" s="381"/>
      <c r="J600" s="380">
        <f>SUM(DM589:DM599)</f>
        <v>192397</v>
      </c>
      <c r="K600" s="382"/>
      <c r="L600" s="112"/>
      <c r="M600" s="112"/>
      <c r="N600" s="112"/>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row>
    <row r="601" spans="1:255" x14ac:dyDescent="0.2">
      <c r="A601" s="123"/>
      <c r="B601" s="122"/>
      <c r="C601" s="122" t="s">
        <v>868</v>
      </c>
      <c r="D601" s="122"/>
      <c r="E601" s="122"/>
      <c r="F601" s="122"/>
      <c r="G601" s="122"/>
      <c r="H601" s="383">
        <f>R601</f>
        <v>24079</v>
      </c>
      <c r="I601" s="384"/>
      <c r="J601" s="383" t="e">
        <f>S601</f>
        <v>#REF!</v>
      </c>
      <c r="K601" s="385"/>
      <c r="O601" s="23"/>
      <c r="P601" s="23"/>
      <c r="Q601" s="23"/>
      <c r="R601" s="23">
        <f>SUM(T589:T600)</f>
        <v>24079</v>
      </c>
      <c r="S601" s="23" t="e">
        <f>SUM(U589:U600)</f>
        <v>#REF!</v>
      </c>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f>R601</f>
        <v>24079</v>
      </c>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row>
    <row r="602" spans="1:255" x14ac:dyDescent="0.2">
      <c r="A602" s="77"/>
      <c r="B602" s="76"/>
      <c r="C602" s="76"/>
      <c r="D602" s="76"/>
      <c r="E602" s="76"/>
      <c r="F602" s="76"/>
      <c r="G602" s="76"/>
      <c r="H602" s="386"/>
      <c r="I602" s="387"/>
      <c r="J602" s="386"/>
      <c r="K602" s="388"/>
    </row>
    <row r="603" spans="1:255" ht="47.25" x14ac:dyDescent="0.2">
      <c r="A603" s="126">
        <v>26</v>
      </c>
      <c r="B603" s="133" t="s">
        <v>443</v>
      </c>
      <c r="C603" s="127" t="s">
        <v>973</v>
      </c>
      <c r="D603" s="128" t="s">
        <v>49</v>
      </c>
      <c r="E603" s="129">
        <v>32.906999999999996</v>
      </c>
      <c r="F603" s="130">
        <f>Source!AK331</f>
        <v>6361.31</v>
      </c>
      <c r="G603" s="134" t="s">
        <v>6</v>
      </c>
      <c r="H603" s="130"/>
      <c r="I603" s="131">
        <f>SUM(DQ603:DQ618)</f>
        <v>21367</v>
      </c>
      <c r="J603" s="107" t="s">
        <v>443</v>
      </c>
      <c r="K603" s="132" t="e">
        <f>SUM(DS603:DS618)</f>
        <v>#REF!</v>
      </c>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row>
    <row r="604" spans="1:255" x14ac:dyDescent="0.2">
      <c r="A604" s="66"/>
      <c r="B604" s="67"/>
      <c r="C604" s="67" t="s">
        <v>853</v>
      </c>
      <c r="D604" s="68"/>
      <c r="E604" s="69"/>
      <c r="F604" s="70">
        <v>1059.6199999999999</v>
      </c>
      <c r="G604" s="71" t="s">
        <v>854</v>
      </c>
      <c r="H604" s="70">
        <f>Source!AF331</f>
        <v>1112.5999999999999</v>
      </c>
      <c r="I604" s="72">
        <f>T604</f>
        <v>9153</v>
      </c>
      <c r="J604" s="73">
        <v>25.36</v>
      </c>
      <c r="K604" s="74">
        <f>U604</f>
        <v>232122</v>
      </c>
      <c r="O604" s="23"/>
      <c r="P604" s="23"/>
      <c r="Q604" s="23"/>
      <c r="R604" s="23"/>
      <c r="S604" s="23"/>
      <c r="T604" s="23">
        <f>ROUND(Source!AF331*Source!AV331*Source!I331,0)</f>
        <v>9153</v>
      </c>
      <c r="U604" s="23">
        <f>Source!S331</f>
        <v>232122</v>
      </c>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v>1</v>
      </c>
      <c r="CW604" s="23"/>
      <c r="CX604" s="23"/>
      <c r="CY604" s="23"/>
      <c r="CZ604" s="23"/>
      <c r="DA604" s="23"/>
      <c r="DB604" s="23"/>
      <c r="DC604" s="23"/>
      <c r="DD604" s="23"/>
      <c r="DE604" s="23"/>
      <c r="DF604" s="23"/>
      <c r="DG604" s="23">
        <f>Source!S331</f>
        <v>232122</v>
      </c>
      <c r="DH604" s="23">
        <v>1015</v>
      </c>
      <c r="DI604" s="23"/>
      <c r="DJ604" s="23"/>
      <c r="DK604" s="23"/>
      <c r="DL604" s="23"/>
      <c r="DM604" s="23"/>
      <c r="DN604" s="23"/>
      <c r="DO604" s="23"/>
      <c r="DP604" s="23"/>
      <c r="DQ604" s="23">
        <f>T604</f>
        <v>9153</v>
      </c>
      <c r="DR604" s="23"/>
      <c r="DS604" s="23">
        <f>U604</f>
        <v>232122</v>
      </c>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f>T604</f>
        <v>9153</v>
      </c>
      <c r="GK604" s="23">
        <f>T604</f>
        <v>9153</v>
      </c>
      <c r="GL604" s="23"/>
      <c r="GM604" s="23"/>
      <c r="GN604" s="23"/>
      <c r="GO604" s="23"/>
      <c r="GP604" s="23"/>
      <c r="GQ604" s="23"/>
      <c r="GR604" s="23"/>
      <c r="GS604" s="23"/>
      <c r="GT604" s="23"/>
      <c r="GU604" s="23"/>
      <c r="GV604" s="23"/>
      <c r="GW604" s="23"/>
      <c r="GX604" s="23"/>
      <c r="GY604" s="23"/>
      <c r="GZ604" s="23"/>
      <c r="HA604" s="23"/>
      <c r="HB604" s="23">
        <f>T604</f>
        <v>9153</v>
      </c>
      <c r="HC604" s="23"/>
      <c r="HD604" s="23"/>
      <c r="HE604" s="23"/>
      <c r="HF604" s="23">
        <f>T604</f>
        <v>9153</v>
      </c>
      <c r="HG604" s="23"/>
      <c r="HH604" s="23"/>
      <c r="HI604" s="23"/>
      <c r="HJ604" s="23"/>
      <c r="HK604" s="23"/>
      <c r="HL604" s="23">
        <f>T604</f>
        <v>9153</v>
      </c>
      <c r="HM604" s="23"/>
      <c r="HN604" s="23">
        <f>T604</f>
        <v>9153</v>
      </c>
      <c r="HO604" s="23"/>
      <c r="HP604" s="23"/>
      <c r="HQ604" s="23"/>
      <c r="HR604" s="23"/>
      <c r="HS604" s="23"/>
      <c r="HT604" s="23"/>
      <c r="HU604" s="23"/>
      <c r="HV604" s="23"/>
      <c r="HW604" s="23"/>
      <c r="HX604" s="23">
        <f>T604</f>
        <v>9153</v>
      </c>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row>
    <row r="605" spans="1:255" x14ac:dyDescent="0.2">
      <c r="A605" s="78"/>
      <c r="B605" s="79"/>
      <c r="C605" s="79" t="s">
        <v>855</v>
      </c>
      <c r="D605" s="80"/>
      <c r="E605" s="81"/>
      <c r="F605" s="82">
        <v>65.97</v>
      </c>
      <c r="G605" s="83" t="s">
        <v>856</v>
      </c>
      <c r="H605" s="82">
        <f>Source!AD331</f>
        <v>73.89</v>
      </c>
      <c r="I605" s="84">
        <f>T605</f>
        <v>608</v>
      </c>
      <c r="J605" s="85">
        <v>7.84</v>
      </c>
      <c r="K605" s="86">
        <f>U605</f>
        <v>4766</v>
      </c>
      <c r="O605" s="23"/>
      <c r="P605" s="23"/>
      <c r="Q605" s="23"/>
      <c r="R605" s="23"/>
      <c r="S605" s="23"/>
      <c r="T605" s="23">
        <f>ROUND(Source!AD331*Source!AV331*Source!I331,0)</f>
        <v>608</v>
      </c>
      <c r="U605" s="23">
        <f>Source!Q331</f>
        <v>4766</v>
      </c>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v>1</v>
      </c>
      <c r="CW605" s="23"/>
      <c r="CX605" s="23"/>
      <c r="CY605" s="23"/>
      <c r="CZ605" s="23"/>
      <c r="DA605" s="23"/>
      <c r="DB605" s="23"/>
      <c r="DC605" s="23"/>
      <c r="DD605" s="23"/>
      <c r="DE605" s="23"/>
      <c r="DF605" s="23"/>
      <c r="DG605" s="23"/>
      <c r="DH605" s="23"/>
      <c r="DI605" s="23"/>
      <c r="DJ605" s="23"/>
      <c r="DK605" s="23"/>
      <c r="DL605" s="23"/>
      <c r="DM605" s="23"/>
      <c r="DN605" s="23"/>
      <c r="DO605" s="23"/>
      <c r="DP605" s="23"/>
      <c r="DQ605" s="23">
        <f>T605</f>
        <v>608</v>
      </c>
      <c r="DR605" s="23"/>
      <c r="DS605" s="23">
        <f>U605</f>
        <v>4766</v>
      </c>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f>T605</f>
        <v>608</v>
      </c>
      <c r="GK605" s="23"/>
      <c r="GL605" s="23">
        <f>T605</f>
        <v>608</v>
      </c>
      <c r="GM605" s="23"/>
      <c r="GN605" s="23"/>
      <c r="GO605" s="23"/>
      <c r="GP605" s="23"/>
      <c r="GQ605" s="23"/>
      <c r="GR605" s="23"/>
      <c r="GS605" s="23"/>
      <c r="GT605" s="23"/>
      <c r="GU605" s="23"/>
      <c r="GV605" s="23"/>
      <c r="GW605" s="23"/>
      <c r="GX605" s="23"/>
      <c r="GY605" s="23"/>
      <c r="GZ605" s="23"/>
      <c r="HA605" s="23"/>
      <c r="HB605" s="23">
        <f>T605</f>
        <v>608</v>
      </c>
      <c r="HC605" s="23"/>
      <c r="HD605" s="23"/>
      <c r="HE605" s="23"/>
      <c r="HF605" s="23">
        <f>T605</f>
        <v>608</v>
      </c>
      <c r="HG605" s="23"/>
      <c r="HH605" s="23"/>
      <c r="HI605" s="23"/>
      <c r="HJ605" s="23"/>
      <c r="HK605" s="23"/>
      <c r="HL605" s="23">
        <f>T605</f>
        <v>608</v>
      </c>
      <c r="HM605" s="23"/>
      <c r="HN605" s="23">
        <f>T605</f>
        <v>608</v>
      </c>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row>
    <row r="606" spans="1:255" x14ac:dyDescent="0.2">
      <c r="A606" s="78"/>
      <c r="B606" s="79"/>
      <c r="C606" s="79" t="s">
        <v>857</v>
      </c>
      <c r="D606" s="80"/>
      <c r="E606" s="81"/>
      <c r="F606" s="82">
        <v>6.26</v>
      </c>
      <c r="G606" s="83" t="s">
        <v>856</v>
      </c>
      <c r="H606" s="82">
        <f>Source!AE331</f>
        <v>7.01</v>
      </c>
      <c r="I606" s="84">
        <f>GM606</f>
        <v>58</v>
      </c>
      <c r="J606" s="85">
        <v>19.8</v>
      </c>
      <c r="K606" s="86">
        <f>Source!R331</f>
        <v>1142</v>
      </c>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f>ROUND(Source!AE331*Source!AV331*Source!I331,0)</f>
        <v>58</v>
      </c>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f>GM606</f>
        <v>58</v>
      </c>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row>
    <row r="607" spans="1:255" x14ac:dyDescent="0.2">
      <c r="A607" s="87"/>
      <c r="B607" s="88"/>
      <c r="C607" s="88" t="s">
        <v>858</v>
      </c>
      <c r="D607" s="89"/>
      <c r="E607" s="90">
        <v>66</v>
      </c>
      <c r="F607" s="91" t="s">
        <v>859</v>
      </c>
      <c r="G607" s="92"/>
      <c r="H607" s="93">
        <f>ROUND((Source!AF331*Source!AV331+Source!AE331*Source!AV331)*(Source!FX331)/100,2)</f>
        <v>738.94</v>
      </c>
      <c r="I607" s="94">
        <f>T607</f>
        <v>6079</v>
      </c>
      <c r="J607" s="96">
        <v>0.63</v>
      </c>
      <c r="K607" s="95" t="e">
        <f>U607</f>
        <v>#REF!</v>
      </c>
      <c r="O607" s="23"/>
      <c r="P607" s="23"/>
      <c r="Q607" s="23"/>
      <c r="R607" s="23"/>
      <c r="S607" s="23"/>
      <c r="T607" s="23">
        <f>ROUND((ROUND(Source!AF331*Source!AV331*Source!I331,0)+ROUND(Source!AE331*Source!AV331*Source!I331,0))*(Source!DN331)/100,0)</f>
        <v>6079</v>
      </c>
      <c r="U607" s="23" t="e">
        <f>Source!X331</f>
        <v>#REF!</v>
      </c>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v>1</v>
      </c>
      <c r="CW607" s="23"/>
      <c r="CX607" s="23"/>
      <c r="CY607" s="23"/>
      <c r="CZ607" s="23"/>
      <c r="DA607" s="23"/>
      <c r="DB607" s="23"/>
      <c r="DC607" s="23"/>
      <c r="DD607" s="23"/>
      <c r="DE607" s="23"/>
      <c r="DF607" s="23"/>
      <c r="DG607" s="23"/>
      <c r="DH607" s="23"/>
      <c r="DI607" s="23"/>
      <c r="DJ607" s="23"/>
      <c r="DK607" s="23"/>
      <c r="DL607" s="23"/>
      <c r="DM607" s="23"/>
      <c r="DN607" s="23"/>
      <c r="DO607" s="23"/>
      <c r="DP607" s="23"/>
      <c r="DQ607" s="23">
        <f>T607</f>
        <v>6079</v>
      </c>
      <c r="DR607" s="23"/>
      <c r="DS607" s="23" t="e">
        <f>U607</f>
        <v>#REF!</v>
      </c>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f>T607</f>
        <v>6079</v>
      </c>
      <c r="GZ607" s="23"/>
      <c r="HA607" s="23"/>
      <c r="HB607" s="23">
        <f>T607</f>
        <v>6079</v>
      </c>
      <c r="HC607" s="23"/>
      <c r="HD607" s="23"/>
      <c r="HE607" s="23"/>
      <c r="HF607" s="23">
        <f>T607</f>
        <v>6079</v>
      </c>
      <c r="HG607" s="23"/>
      <c r="HH607" s="23"/>
      <c r="HI607" s="23"/>
      <c r="HJ607" s="23"/>
      <c r="HK607" s="23"/>
      <c r="HL607" s="23">
        <f>T607</f>
        <v>6079</v>
      </c>
      <c r="HM607" s="23"/>
      <c r="HN607" s="23">
        <f>T607</f>
        <v>6079</v>
      </c>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row>
    <row r="608" spans="1:255" x14ac:dyDescent="0.2">
      <c r="A608" s="87"/>
      <c r="B608" s="88"/>
      <c r="C608" s="88" t="s">
        <v>860</v>
      </c>
      <c r="D608" s="89"/>
      <c r="E608" s="90">
        <v>60</v>
      </c>
      <c r="F608" s="91" t="s">
        <v>859</v>
      </c>
      <c r="G608" s="92"/>
      <c r="H608" s="93">
        <f>ROUND((Source!AF331*Source!AV331+Source!AE331*Source!AV331)*(Source!FY331)/100,2)</f>
        <v>671.77</v>
      </c>
      <c r="I608" s="94">
        <f>T608</f>
        <v>5527</v>
      </c>
      <c r="J608" s="96">
        <v>0.51</v>
      </c>
      <c r="K608" s="95" t="e">
        <f>U608</f>
        <v>#REF!</v>
      </c>
      <c r="O608" s="23"/>
      <c r="P608" s="23"/>
      <c r="Q608" s="23"/>
      <c r="R608" s="23"/>
      <c r="S608" s="23"/>
      <c r="T608" s="23">
        <f>ROUND((ROUND(Source!AF331*Source!AV331*Source!I331,0)+ROUND(Source!AE331*Source!AV331*Source!I331,0))*(Source!DO331)/100,0)</f>
        <v>5527</v>
      </c>
      <c r="U608" s="23" t="e">
        <f>Source!Y331</f>
        <v>#REF!</v>
      </c>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v>1</v>
      </c>
      <c r="CW608" s="23"/>
      <c r="CX608" s="23"/>
      <c r="CY608" s="23"/>
      <c r="CZ608" s="23"/>
      <c r="DA608" s="23"/>
      <c r="DB608" s="23"/>
      <c r="DC608" s="23"/>
      <c r="DD608" s="23"/>
      <c r="DE608" s="23"/>
      <c r="DF608" s="23"/>
      <c r="DG608" s="23"/>
      <c r="DH608" s="23"/>
      <c r="DI608" s="23"/>
      <c r="DJ608" s="23"/>
      <c r="DK608" s="23"/>
      <c r="DL608" s="23"/>
      <c r="DM608" s="23"/>
      <c r="DN608" s="23"/>
      <c r="DO608" s="23"/>
      <c r="DP608" s="23"/>
      <c r="DQ608" s="23">
        <f>T608</f>
        <v>5527</v>
      </c>
      <c r="DR608" s="23"/>
      <c r="DS608" s="23" t="e">
        <f>U608</f>
        <v>#REF!</v>
      </c>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f>T608</f>
        <v>5527</v>
      </c>
      <c r="HA608" s="23"/>
      <c r="HB608" s="23">
        <f>T608</f>
        <v>5527</v>
      </c>
      <c r="HC608" s="23"/>
      <c r="HD608" s="23"/>
      <c r="HE608" s="23"/>
      <c r="HF608" s="23">
        <f>T608</f>
        <v>5527</v>
      </c>
      <c r="HG608" s="23"/>
      <c r="HH608" s="23"/>
      <c r="HI608" s="23"/>
      <c r="HJ608" s="23"/>
      <c r="HK608" s="23"/>
      <c r="HL608" s="23">
        <f>T608</f>
        <v>5527</v>
      </c>
      <c r="HM608" s="23"/>
      <c r="HN608" s="23">
        <f>T608</f>
        <v>5527</v>
      </c>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row>
    <row r="609" spans="1:255" x14ac:dyDescent="0.2">
      <c r="A609" s="78"/>
      <c r="B609" s="79"/>
      <c r="C609" s="79" t="s">
        <v>861</v>
      </c>
      <c r="D609" s="80" t="s">
        <v>862</v>
      </c>
      <c r="E609" s="81">
        <v>88.894000000000005</v>
      </c>
      <c r="F609" s="82"/>
      <c r="G609" s="83" t="s">
        <v>854</v>
      </c>
      <c r="H609" s="82" t="e">
        <f>ROUND(Source!AH331,2)</f>
        <v>#REF!</v>
      </c>
      <c r="I609" s="97" t="e">
        <f>Source!U331</f>
        <v>#REF!</v>
      </c>
      <c r="J609" s="85"/>
      <c r="K609" s="86"/>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row>
    <row r="610" spans="1:255" ht="24" x14ac:dyDescent="0.2">
      <c r="A610" s="100" t="s">
        <v>446</v>
      </c>
      <c r="B610" s="109" t="s">
        <v>447</v>
      </c>
      <c r="C610" s="101" t="s">
        <v>448</v>
      </c>
      <c r="D610" s="102" t="s">
        <v>33</v>
      </c>
      <c r="E610" s="103">
        <f>Source!I333</f>
        <v>0.24</v>
      </c>
      <c r="F610" s="104">
        <v>12829.31</v>
      </c>
      <c r="G610" s="105"/>
      <c r="H610" s="104">
        <f>Source!AC332</f>
        <v>12829.31</v>
      </c>
      <c r="I610" s="106">
        <f>T610</f>
        <v>3079</v>
      </c>
      <c r="J610" s="107" t="s">
        <v>863</v>
      </c>
      <c r="K610" s="108">
        <f>U610</f>
        <v>24390</v>
      </c>
      <c r="L610" s="23"/>
      <c r="M610" s="23"/>
      <c r="N610" s="23"/>
      <c r="O610" s="23"/>
      <c r="P610" s="23"/>
      <c r="Q610" s="23"/>
      <c r="R610" s="23"/>
      <c r="S610" s="23"/>
      <c r="T610" s="23">
        <f>ROUND(Source!AC332*Source!AW332*Source!I332,0)</f>
        <v>3079</v>
      </c>
      <c r="U610" s="23">
        <f>Source!P333</f>
        <v>24390</v>
      </c>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v>1</v>
      </c>
      <c r="CW610" s="23"/>
      <c r="CX610" s="23"/>
      <c r="CY610" s="23"/>
      <c r="CZ610" s="23"/>
      <c r="DA610" s="23"/>
      <c r="DB610" s="23"/>
      <c r="DC610" s="23"/>
      <c r="DD610" s="23"/>
      <c r="DE610" s="23"/>
      <c r="DF610" s="23"/>
      <c r="DG610" s="23"/>
      <c r="DH610" s="23"/>
      <c r="DI610" s="23"/>
      <c r="DJ610" s="23"/>
      <c r="DK610" s="23">
        <f>T610</f>
        <v>3079</v>
      </c>
      <c r="DL610" s="23"/>
      <c r="DM610" s="23">
        <f>Source!P333</f>
        <v>24390</v>
      </c>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f>T610</f>
        <v>3079</v>
      </c>
      <c r="GK610" s="23"/>
      <c r="GL610" s="23"/>
      <c r="GM610" s="23"/>
      <c r="GN610" s="23">
        <f>T610</f>
        <v>3079</v>
      </c>
      <c r="GO610" s="23"/>
      <c r="GP610" s="23">
        <f>T610</f>
        <v>3079</v>
      </c>
      <c r="GQ610" s="23">
        <f>T610</f>
        <v>3079</v>
      </c>
      <c r="GR610" s="23"/>
      <c r="GS610" s="23">
        <f>T610</f>
        <v>3079</v>
      </c>
      <c r="GT610" s="23"/>
      <c r="GU610" s="23"/>
      <c r="GV610" s="23"/>
      <c r="GW610" s="23"/>
      <c r="GX610" s="23"/>
      <c r="GY610" s="23"/>
      <c r="GZ610" s="23"/>
      <c r="HA610" s="23"/>
      <c r="HB610" s="23">
        <f>T610</f>
        <v>3079</v>
      </c>
      <c r="HC610" s="23"/>
      <c r="HD610" s="23"/>
      <c r="HE610" s="23"/>
      <c r="HF610" s="23">
        <f>T610</f>
        <v>3079</v>
      </c>
      <c r="HG610" s="23"/>
      <c r="HH610" s="23"/>
      <c r="HI610" s="23"/>
      <c r="HJ610" s="23"/>
      <c r="HK610" s="23"/>
      <c r="HL610" s="23">
        <f>T610</f>
        <v>3079</v>
      </c>
      <c r="HM610" s="23"/>
      <c r="HN610" s="23">
        <f>T610</f>
        <v>3079</v>
      </c>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row>
    <row r="611" spans="1:255" x14ac:dyDescent="0.2">
      <c r="A611" s="64"/>
      <c r="B611" s="111" t="s">
        <v>864</v>
      </c>
      <c r="C611" s="111" t="s">
        <v>974</v>
      </c>
      <c r="D611" s="63"/>
      <c r="E611" s="63"/>
      <c r="F611" s="63"/>
      <c r="G611" s="63"/>
      <c r="H611" s="63"/>
      <c r="I611" s="63"/>
      <c r="J611" s="63"/>
      <c r="K611" s="65"/>
    </row>
    <row r="612" spans="1:255" ht="24" x14ac:dyDescent="0.2">
      <c r="A612" s="100" t="s">
        <v>451</v>
      </c>
      <c r="B612" s="109" t="s">
        <v>438</v>
      </c>
      <c r="C612" s="101" t="s">
        <v>439</v>
      </c>
      <c r="D612" s="102" t="s">
        <v>33</v>
      </c>
      <c r="E612" s="103">
        <f>Source!I335</f>
        <v>1.3552500000000001</v>
      </c>
      <c r="F612" s="104">
        <v>14346.51</v>
      </c>
      <c r="G612" s="105"/>
      <c r="H612" s="104">
        <f>Source!AC334</f>
        <v>14346.51</v>
      </c>
      <c r="I612" s="106">
        <f>T612</f>
        <v>19443</v>
      </c>
      <c r="J612" s="107" t="s">
        <v>863</v>
      </c>
      <c r="K612" s="108">
        <f>U612</f>
        <v>154016</v>
      </c>
      <c r="L612" s="23"/>
      <c r="M612" s="23"/>
      <c r="N612" s="23"/>
      <c r="O612" s="23"/>
      <c r="P612" s="23"/>
      <c r="Q612" s="23"/>
      <c r="R612" s="23"/>
      <c r="S612" s="23"/>
      <c r="T612" s="23">
        <f>ROUND(Source!AC334*Source!AW334*Source!I334,0)</f>
        <v>19443</v>
      </c>
      <c r="U612" s="23">
        <f>Source!P335</f>
        <v>154016</v>
      </c>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v>1</v>
      </c>
      <c r="CW612" s="23"/>
      <c r="CX612" s="23"/>
      <c r="CY612" s="23"/>
      <c r="CZ612" s="23"/>
      <c r="DA612" s="23"/>
      <c r="DB612" s="23"/>
      <c r="DC612" s="23"/>
      <c r="DD612" s="23"/>
      <c r="DE612" s="23"/>
      <c r="DF612" s="23"/>
      <c r="DG612" s="23"/>
      <c r="DH612" s="23"/>
      <c r="DI612" s="23"/>
      <c r="DJ612" s="23"/>
      <c r="DK612" s="23">
        <f>T612</f>
        <v>19443</v>
      </c>
      <c r="DL612" s="23"/>
      <c r="DM612" s="23">
        <f>Source!P335</f>
        <v>154016</v>
      </c>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f>T612</f>
        <v>19443</v>
      </c>
      <c r="GK612" s="23"/>
      <c r="GL612" s="23"/>
      <c r="GM612" s="23"/>
      <c r="GN612" s="23">
        <f>T612</f>
        <v>19443</v>
      </c>
      <c r="GO612" s="23"/>
      <c r="GP612" s="23">
        <f>T612</f>
        <v>19443</v>
      </c>
      <c r="GQ612" s="23">
        <f>T612</f>
        <v>19443</v>
      </c>
      <c r="GR612" s="23"/>
      <c r="GS612" s="23">
        <f>T612</f>
        <v>19443</v>
      </c>
      <c r="GT612" s="23"/>
      <c r="GU612" s="23"/>
      <c r="GV612" s="23"/>
      <c r="GW612" s="23"/>
      <c r="GX612" s="23"/>
      <c r="GY612" s="23"/>
      <c r="GZ612" s="23"/>
      <c r="HA612" s="23"/>
      <c r="HB612" s="23">
        <f>T612</f>
        <v>19443</v>
      </c>
      <c r="HC612" s="23"/>
      <c r="HD612" s="23"/>
      <c r="HE612" s="23"/>
      <c r="HF612" s="23">
        <f>T612</f>
        <v>19443</v>
      </c>
      <c r="HG612" s="23"/>
      <c r="HH612" s="23"/>
      <c r="HI612" s="23"/>
      <c r="HJ612" s="23"/>
      <c r="HK612" s="23"/>
      <c r="HL612" s="23">
        <f>T612</f>
        <v>19443</v>
      </c>
      <c r="HM612" s="23"/>
      <c r="HN612" s="23">
        <f>T612</f>
        <v>19443</v>
      </c>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row>
    <row r="613" spans="1:255" x14ac:dyDescent="0.2">
      <c r="A613" s="64"/>
      <c r="B613" s="111" t="s">
        <v>864</v>
      </c>
      <c r="C613" s="111" t="s">
        <v>972</v>
      </c>
      <c r="D613" s="63"/>
      <c r="E613" s="63"/>
      <c r="F613" s="63"/>
      <c r="G613" s="63"/>
      <c r="H613" s="63"/>
      <c r="I613" s="63"/>
      <c r="J613" s="63"/>
      <c r="K613" s="65"/>
    </row>
    <row r="614" spans="1:255" ht="36" x14ac:dyDescent="0.2">
      <c r="A614" s="100" t="s">
        <v>452</v>
      </c>
      <c r="B614" s="109" t="s">
        <v>438</v>
      </c>
      <c r="C614" s="101" t="s">
        <v>453</v>
      </c>
      <c r="D614" s="102" t="s">
        <v>33</v>
      </c>
      <c r="E614" s="103">
        <f>Source!I337</f>
        <v>2.775E-2</v>
      </c>
      <c r="F614" s="104">
        <v>14346.51</v>
      </c>
      <c r="G614" s="105"/>
      <c r="H614" s="104">
        <f>Source!AC336</f>
        <v>14346.51</v>
      </c>
      <c r="I614" s="106">
        <f>T614</f>
        <v>398</v>
      </c>
      <c r="J614" s="107" t="s">
        <v>863</v>
      </c>
      <c r="K614" s="108">
        <f>U614</f>
        <v>3154</v>
      </c>
      <c r="L614" s="23"/>
      <c r="M614" s="23"/>
      <c r="N614" s="23"/>
      <c r="O614" s="23"/>
      <c r="P614" s="23"/>
      <c r="Q614" s="23"/>
      <c r="R614" s="23"/>
      <c r="S614" s="23"/>
      <c r="T614" s="23">
        <f>ROUND(Source!AC336*Source!AW336*Source!I336,0)</f>
        <v>398</v>
      </c>
      <c r="U614" s="23">
        <f>Source!P337</f>
        <v>3154</v>
      </c>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v>1</v>
      </c>
      <c r="CW614" s="23"/>
      <c r="CX614" s="23"/>
      <c r="CY614" s="23"/>
      <c r="CZ614" s="23"/>
      <c r="DA614" s="23"/>
      <c r="DB614" s="23"/>
      <c r="DC614" s="23"/>
      <c r="DD614" s="23"/>
      <c r="DE614" s="23"/>
      <c r="DF614" s="23"/>
      <c r="DG614" s="23"/>
      <c r="DH614" s="23"/>
      <c r="DI614" s="23"/>
      <c r="DJ614" s="23"/>
      <c r="DK614" s="23">
        <f>T614</f>
        <v>398</v>
      </c>
      <c r="DL614" s="23"/>
      <c r="DM614" s="23">
        <f>Source!P337</f>
        <v>3154</v>
      </c>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f>T614</f>
        <v>398</v>
      </c>
      <c r="GK614" s="23"/>
      <c r="GL614" s="23"/>
      <c r="GM614" s="23"/>
      <c r="GN614" s="23">
        <f>T614</f>
        <v>398</v>
      </c>
      <c r="GO614" s="23"/>
      <c r="GP614" s="23">
        <f>T614</f>
        <v>398</v>
      </c>
      <c r="GQ614" s="23">
        <f>T614</f>
        <v>398</v>
      </c>
      <c r="GR614" s="23"/>
      <c r="GS614" s="23">
        <f>T614</f>
        <v>398</v>
      </c>
      <c r="GT614" s="23"/>
      <c r="GU614" s="23"/>
      <c r="GV614" s="23"/>
      <c r="GW614" s="23"/>
      <c r="GX614" s="23"/>
      <c r="GY614" s="23"/>
      <c r="GZ614" s="23"/>
      <c r="HA614" s="23"/>
      <c r="HB614" s="23">
        <f>T614</f>
        <v>398</v>
      </c>
      <c r="HC614" s="23"/>
      <c r="HD614" s="23"/>
      <c r="HE614" s="23"/>
      <c r="HF614" s="23">
        <f>T614</f>
        <v>398</v>
      </c>
      <c r="HG614" s="23"/>
      <c r="HH614" s="23"/>
      <c r="HI614" s="23"/>
      <c r="HJ614" s="23"/>
      <c r="HK614" s="23"/>
      <c r="HL614" s="23">
        <f>T614</f>
        <v>398</v>
      </c>
      <c r="HM614" s="23"/>
      <c r="HN614" s="23">
        <f>T614</f>
        <v>398</v>
      </c>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row>
    <row r="615" spans="1:255" x14ac:dyDescent="0.2">
      <c r="A615" s="64"/>
      <c r="B615" s="111" t="s">
        <v>864</v>
      </c>
      <c r="C615" s="111" t="s">
        <v>972</v>
      </c>
      <c r="D615" s="63"/>
      <c r="E615" s="63"/>
      <c r="F615" s="63"/>
      <c r="G615" s="63"/>
      <c r="H615" s="63"/>
      <c r="I615" s="63"/>
      <c r="J615" s="63"/>
      <c r="K615" s="65"/>
    </row>
    <row r="616" spans="1:255" ht="24" x14ac:dyDescent="0.2">
      <c r="A616" s="114" t="s">
        <v>454</v>
      </c>
      <c r="B616" s="115" t="s">
        <v>433</v>
      </c>
      <c r="C616" s="116" t="s">
        <v>434</v>
      </c>
      <c r="D616" s="117" t="s">
        <v>33</v>
      </c>
      <c r="E616" s="118">
        <f>Source!I339</f>
        <v>6.6037499999999998</v>
      </c>
      <c r="F616" s="119">
        <v>5243.33</v>
      </c>
      <c r="G616" s="71"/>
      <c r="H616" s="119">
        <f>Source!AC338</f>
        <v>5243.33</v>
      </c>
      <c r="I616" s="120">
        <f>T616</f>
        <v>34626</v>
      </c>
      <c r="J616" s="73" t="s">
        <v>863</v>
      </c>
      <c r="K616" s="121">
        <f>U616</f>
        <v>413707</v>
      </c>
      <c r="L616" s="23"/>
      <c r="M616" s="23"/>
      <c r="N616" s="23"/>
      <c r="O616" s="23"/>
      <c r="P616" s="23"/>
      <c r="Q616" s="23"/>
      <c r="R616" s="23"/>
      <c r="S616" s="23"/>
      <c r="T616" s="23">
        <f>ROUND(Source!AC338*Source!AW338*Source!I338,0)</f>
        <v>34626</v>
      </c>
      <c r="U616" s="23">
        <f>Source!P339</f>
        <v>413707</v>
      </c>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v>1</v>
      </c>
      <c r="CW616" s="23"/>
      <c r="CX616" s="23"/>
      <c r="CY616" s="23"/>
      <c r="CZ616" s="23"/>
      <c r="DA616" s="23"/>
      <c r="DB616" s="23"/>
      <c r="DC616" s="23"/>
      <c r="DD616" s="23"/>
      <c r="DE616" s="23"/>
      <c r="DF616" s="23"/>
      <c r="DG616" s="23"/>
      <c r="DH616" s="23"/>
      <c r="DI616" s="23"/>
      <c r="DJ616" s="23"/>
      <c r="DK616" s="23">
        <f>T616</f>
        <v>34626</v>
      </c>
      <c r="DL616" s="23"/>
      <c r="DM616" s="23">
        <f>Source!P339</f>
        <v>413707</v>
      </c>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f>T616</f>
        <v>34626</v>
      </c>
      <c r="GK616" s="23"/>
      <c r="GL616" s="23"/>
      <c r="GM616" s="23"/>
      <c r="GN616" s="23">
        <f>T616</f>
        <v>34626</v>
      </c>
      <c r="GO616" s="23"/>
      <c r="GP616" s="23">
        <f>T616</f>
        <v>34626</v>
      </c>
      <c r="GQ616" s="23">
        <f>T616</f>
        <v>34626</v>
      </c>
      <c r="GR616" s="23"/>
      <c r="GS616" s="23">
        <f>T616</f>
        <v>34626</v>
      </c>
      <c r="GT616" s="23"/>
      <c r="GU616" s="23"/>
      <c r="GV616" s="23"/>
      <c r="GW616" s="23"/>
      <c r="GX616" s="23"/>
      <c r="GY616" s="23"/>
      <c r="GZ616" s="23"/>
      <c r="HA616" s="23"/>
      <c r="HB616" s="23">
        <f>T616</f>
        <v>34626</v>
      </c>
      <c r="HC616" s="23"/>
      <c r="HD616" s="23"/>
      <c r="HE616" s="23"/>
      <c r="HF616" s="23">
        <f>T616</f>
        <v>34626</v>
      </c>
      <c r="HG616" s="23"/>
      <c r="HH616" s="23"/>
      <c r="HI616" s="23"/>
      <c r="HJ616" s="23"/>
      <c r="HK616" s="23"/>
      <c r="HL616" s="23">
        <f>T616</f>
        <v>34626</v>
      </c>
      <c r="HM616" s="23"/>
      <c r="HN616" s="23">
        <f>T616</f>
        <v>34626</v>
      </c>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row>
    <row r="617" spans="1:255" x14ac:dyDescent="0.2">
      <c r="A617" s="98"/>
      <c r="B617" s="113" t="s">
        <v>864</v>
      </c>
      <c r="C617" s="113" t="s">
        <v>971</v>
      </c>
      <c r="D617" s="33"/>
      <c r="E617" s="33"/>
      <c r="F617" s="33"/>
      <c r="G617" s="33"/>
      <c r="H617" s="33"/>
      <c r="I617" s="33"/>
      <c r="J617" s="33"/>
      <c r="K617" s="99"/>
    </row>
    <row r="618" spans="1:255" ht="13.5" thickBot="1" x14ac:dyDescent="0.25">
      <c r="A618" s="124"/>
      <c r="B618" s="125"/>
      <c r="C618" s="125" t="s">
        <v>867</v>
      </c>
      <c r="D618" s="125"/>
      <c r="E618" s="125"/>
      <c r="F618" s="125"/>
      <c r="G618" s="125"/>
      <c r="H618" s="380">
        <f>SUM(DK603:DK617)</f>
        <v>57546</v>
      </c>
      <c r="I618" s="381"/>
      <c r="J618" s="380">
        <f>SUM(DM603:DM617)</f>
        <v>595267</v>
      </c>
      <c r="K618" s="382"/>
      <c r="L618" s="112"/>
      <c r="M618" s="112"/>
      <c r="N618" s="112"/>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row>
    <row r="619" spans="1:255" x14ac:dyDescent="0.2">
      <c r="A619" s="123"/>
      <c r="B619" s="122"/>
      <c r="C619" s="122" t="s">
        <v>868</v>
      </c>
      <c r="D619" s="122"/>
      <c r="E619" s="122"/>
      <c r="F619" s="122"/>
      <c r="G619" s="122"/>
      <c r="H619" s="383">
        <f>R619</f>
        <v>78913</v>
      </c>
      <c r="I619" s="384"/>
      <c r="J619" s="383" t="e">
        <f>S619</f>
        <v>#REF!</v>
      </c>
      <c r="K619" s="385"/>
      <c r="O619" s="23"/>
      <c r="P619" s="23"/>
      <c r="Q619" s="23"/>
      <c r="R619" s="23">
        <f>SUM(T603:T618)</f>
        <v>78913</v>
      </c>
      <c r="S619" s="23" t="e">
        <f>SUM(U603:U618)</f>
        <v>#REF!</v>
      </c>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f>R619</f>
        <v>78913</v>
      </c>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row>
    <row r="620" spans="1:255" x14ac:dyDescent="0.2">
      <c r="A620" s="77"/>
      <c r="B620" s="76"/>
      <c r="C620" s="76"/>
      <c r="D620" s="76"/>
      <c r="E620" s="76"/>
      <c r="F620" s="76"/>
      <c r="G620" s="76"/>
      <c r="H620" s="386"/>
      <c r="I620" s="387"/>
      <c r="J620" s="386"/>
      <c r="K620" s="388"/>
    </row>
    <row r="621" spans="1:255" ht="48" x14ac:dyDescent="0.2">
      <c r="A621" s="126">
        <v>27</v>
      </c>
      <c r="B621" s="133" t="s">
        <v>456</v>
      </c>
      <c r="C621" s="127" t="s">
        <v>975</v>
      </c>
      <c r="D621" s="128" t="s">
        <v>21</v>
      </c>
      <c r="E621" s="129">
        <v>208.8</v>
      </c>
      <c r="F621" s="130">
        <f>Source!AK341</f>
        <v>121.67999999999999</v>
      </c>
      <c r="G621" s="134" t="s">
        <v>6</v>
      </c>
      <c r="H621" s="130"/>
      <c r="I621" s="131">
        <f>SUM(DQ621:DQ638)</f>
        <v>11577</v>
      </c>
      <c r="J621" s="107" t="s">
        <v>456</v>
      </c>
      <c r="K621" s="132" t="e">
        <f>SUM(DS621:DS638)</f>
        <v>#REF!</v>
      </c>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row>
    <row r="622" spans="1:255" x14ac:dyDescent="0.2">
      <c r="A622" s="66"/>
      <c r="B622" s="67"/>
      <c r="C622" s="67" t="s">
        <v>853</v>
      </c>
      <c r="D622" s="68"/>
      <c r="E622" s="69"/>
      <c r="F622" s="70">
        <v>21.69</v>
      </c>
      <c r="G622" s="71" t="s">
        <v>854</v>
      </c>
      <c r="H622" s="70">
        <f>Source!AF341</f>
        <v>22.77</v>
      </c>
      <c r="I622" s="72">
        <f>T622</f>
        <v>1189</v>
      </c>
      <c r="J622" s="73">
        <v>36.07</v>
      </c>
      <c r="K622" s="74">
        <f>U622</f>
        <v>42873</v>
      </c>
      <c r="O622" s="23"/>
      <c r="P622" s="23"/>
      <c r="Q622" s="23"/>
      <c r="R622" s="23"/>
      <c r="S622" s="23"/>
      <c r="T622" s="23">
        <f>ROUND(Source!AF341*Source!AV341*Source!I341,0)</f>
        <v>1189</v>
      </c>
      <c r="U622" s="23">
        <f>Source!S341</f>
        <v>42873</v>
      </c>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v>1</v>
      </c>
      <c r="CW622" s="23"/>
      <c r="CX622" s="23"/>
      <c r="CY622" s="23"/>
      <c r="CZ622" s="23"/>
      <c r="DA622" s="23"/>
      <c r="DB622" s="23"/>
      <c r="DC622" s="23"/>
      <c r="DD622" s="23"/>
      <c r="DE622" s="23"/>
      <c r="DF622" s="23"/>
      <c r="DG622" s="23">
        <f>Source!S341</f>
        <v>42873</v>
      </c>
      <c r="DH622" s="23">
        <v>1003</v>
      </c>
      <c r="DI622" s="23"/>
      <c r="DJ622" s="23"/>
      <c r="DK622" s="23"/>
      <c r="DL622" s="23"/>
      <c r="DM622" s="23"/>
      <c r="DN622" s="23"/>
      <c r="DO622" s="23"/>
      <c r="DP622" s="23"/>
      <c r="DQ622" s="23">
        <f>T622</f>
        <v>1189</v>
      </c>
      <c r="DR622" s="23"/>
      <c r="DS622" s="23">
        <f>U622</f>
        <v>42873</v>
      </c>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f>T622</f>
        <v>1189</v>
      </c>
      <c r="GK622" s="23">
        <f>T622</f>
        <v>1189</v>
      </c>
      <c r="GL622" s="23"/>
      <c r="GM622" s="23"/>
      <c r="GN622" s="23"/>
      <c r="GO622" s="23"/>
      <c r="GP622" s="23"/>
      <c r="GQ622" s="23"/>
      <c r="GR622" s="23"/>
      <c r="GS622" s="23"/>
      <c r="GT622" s="23"/>
      <c r="GU622" s="23"/>
      <c r="GV622" s="23"/>
      <c r="GW622" s="23"/>
      <c r="GX622" s="23"/>
      <c r="GY622" s="23"/>
      <c r="GZ622" s="23"/>
      <c r="HA622" s="23"/>
      <c r="HB622" s="23">
        <f>T622</f>
        <v>1189</v>
      </c>
      <c r="HC622" s="23"/>
      <c r="HD622" s="23"/>
      <c r="HE622" s="23"/>
      <c r="HF622" s="23">
        <f>T622</f>
        <v>1189</v>
      </c>
      <c r="HG622" s="23"/>
      <c r="HH622" s="23"/>
      <c r="HI622" s="23"/>
      <c r="HJ622" s="23"/>
      <c r="HK622" s="23"/>
      <c r="HL622" s="23">
        <f>T622</f>
        <v>1189</v>
      </c>
      <c r="HM622" s="23"/>
      <c r="HN622" s="23">
        <f>T622</f>
        <v>1189</v>
      </c>
      <c r="HO622" s="23"/>
      <c r="HP622" s="23"/>
      <c r="HQ622" s="23"/>
      <c r="HR622" s="23"/>
      <c r="HS622" s="23"/>
      <c r="HT622" s="23"/>
      <c r="HU622" s="23"/>
      <c r="HV622" s="23"/>
      <c r="HW622" s="23"/>
      <c r="HX622" s="23">
        <f>T622</f>
        <v>1189</v>
      </c>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row>
    <row r="623" spans="1:255" x14ac:dyDescent="0.2">
      <c r="A623" s="78"/>
      <c r="B623" s="79"/>
      <c r="C623" s="79" t="s">
        <v>855</v>
      </c>
      <c r="D623" s="80"/>
      <c r="E623" s="81"/>
      <c r="F623" s="82">
        <v>88.86</v>
      </c>
      <c r="G623" s="83" t="s">
        <v>856</v>
      </c>
      <c r="H623" s="82">
        <f>Source!AD341</f>
        <v>125.28</v>
      </c>
      <c r="I623" s="84">
        <f>T623</f>
        <v>6540</v>
      </c>
      <c r="J623" s="85">
        <v>9.3000000000000007</v>
      </c>
      <c r="K623" s="86">
        <f>U623</f>
        <v>60818</v>
      </c>
      <c r="O623" s="23"/>
      <c r="P623" s="23"/>
      <c r="Q623" s="23"/>
      <c r="R623" s="23"/>
      <c r="S623" s="23"/>
      <c r="T623" s="23">
        <f>ROUND(Source!AD341*Source!AV341*Source!I341,0)</f>
        <v>6540</v>
      </c>
      <c r="U623" s="23">
        <f>Source!Q341</f>
        <v>60818</v>
      </c>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v>1</v>
      </c>
      <c r="CW623" s="23"/>
      <c r="CX623" s="23"/>
      <c r="CY623" s="23"/>
      <c r="CZ623" s="23"/>
      <c r="DA623" s="23"/>
      <c r="DB623" s="23"/>
      <c r="DC623" s="23"/>
      <c r="DD623" s="23"/>
      <c r="DE623" s="23"/>
      <c r="DF623" s="23"/>
      <c r="DG623" s="23"/>
      <c r="DH623" s="23"/>
      <c r="DI623" s="23"/>
      <c r="DJ623" s="23"/>
      <c r="DK623" s="23"/>
      <c r="DL623" s="23"/>
      <c r="DM623" s="23"/>
      <c r="DN623" s="23"/>
      <c r="DO623" s="23"/>
      <c r="DP623" s="23"/>
      <c r="DQ623" s="23">
        <f>T623</f>
        <v>6540</v>
      </c>
      <c r="DR623" s="23"/>
      <c r="DS623" s="23">
        <f>U623</f>
        <v>60818</v>
      </c>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f>T623</f>
        <v>6540</v>
      </c>
      <c r="GK623" s="23"/>
      <c r="GL623" s="23">
        <f>T623</f>
        <v>6540</v>
      </c>
      <c r="GM623" s="23"/>
      <c r="GN623" s="23"/>
      <c r="GO623" s="23"/>
      <c r="GP623" s="23"/>
      <c r="GQ623" s="23"/>
      <c r="GR623" s="23"/>
      <c r="GS623" s="23"/>
      <c r="GT623" s="23"/>
      <c r="GU623" s="23"/>
      <c r="GV623" s="23"/>
      <c r="GW623" s="23"/>
      <c r="GX623" s="23"/>
      <c r="GY623" s="23"/>
      <c r="GZ623" s="23"/>
      <c r="HA623" s="23"/>
      <c r="HB623" s="23">
        <f>T623</f>
        <v>6540</v>
      </c>
      <c r="HC623" s="23"/>
      <c r="HD623" s="23"/>
      <c r="HE623" s="23"/>
      <c r="HF623" s="23">
        <f>T623</f>
        <v>6540</v>
      </c>
      <c r="HG623" s="23"/>
      <c r="HH623" s="23"/>
      <c r="HI623" s="23"/>
      <c r="HJ623" s="23"/>
      <c r="HK623" s="23"/>
      <c r="HL623" s="23">
        <f>T623</f>
        <v>6540</v>
      </c>
      <c r="HM623" s="23"/>
      <c r="HN623" s="23">
        <f>T623</f>
        <v>6540</v>
      </c>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row>
    <row r="624" spans="1:255" x14ac:dyDescent="0.2">
      <c r="A624" s="78"/>
      <c r="B624" s="79"/>
      <c r="C624" s="79" t="s">
        <v>857</v>
      </c>
      <c r="D624" s="80"/>
      <c r="E624" s="81"/>
      <c r="F624" s="82">
        <v>13.07</v>
      </c>
      <c r="G624" s="83" t="s">
        <v>856</v>
      </c>
      <c r="H624" s="82">
        <f>Source!AE341</f>
        <v>14.64</v>
      </c>
      <c r="I624" s="84">
        <f>GM624</f>
        <v>764</v>
      </c>
      <c r="J624" s="85">
        <v>19.8</v>
      </c>
      <c r="K624" s="86">
        <f>Source!R341</f>
        <v>15131</v>
      </c>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f>ROUND(Source!AE341*Source!AV341*Source!I341,0)</f>
        <v>764</v>
      </c>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f>GM624</f>
        <v>764</v>
      </c>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row>
    <row r="625" spans="1:255" x14ac:dyDescent="0.2">
      <c r="A625" s="87"/>
      <c r="B625" s="88"/>
      <c r="C625" s="88" t="s">
        <v>858</v>
      </c>
      <c r="D625" s="89"/>
      <c r="E625" s="90">
        <v>120</v>
      </c>
      <c r="F625" s="91" t="s">
        <v>859</v>
      </c>
      <c r="G625" s="92"/>
      <c r="H625" s="93">
        <f>ROUND((Source!AF341*Source!AV341+Source!AE341*Source!AV341)*(Source!FX341)/100,2)</f>
        <v>44.89</v>
      </c>
      <c r="I625" s="94">
        <f>T625</f>
        <v>2344</v>
      </c>
      <c r="J625" s="96">
        <v>1.1399999999999999</v>
      </c>
      <c r="K625" s="95" t="e">
        <f>U625</f>
        <v>#REF!</v>
      </c>
      <c r="O625" s="23"/>
      <c r="P625" s="23"/>
      <c r="Q625" s="23"/>
      <c r="R625" s="23"/>
      <c r="S625" s="23"/>
      <c r="T625" s="23">
        <f>ROUND((ROUND(Source!AF341*Source!AV341*Source!I341,0)+ROUND(Source!AE341*Source!AV341*Source!I341,0))*(Source!DN341)/100,0)</f>
        <v>2344</v>
      </c>
      <c r="U625" s="23" t="e">
        <f>Source!X341</f>
        <v>#REF!</v>
      </c>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v>1</v>
      </c>
      <c r="CW625" s="23"/>
      <c r="CX625" s="23"/>
      <c r="CY625" s="23"/>
      <c r="CZ625" s="23"/>
      <c r="DA625" s="23"/>
      <c r="DB625" s="23"/>
      <c r="DC625" s="23"/>
      <c r="DD625" s="23"/>
      <c r="DE625" s="23"/>
      <c r="DF625" s="23"/>
      <c r="DG625" s="23"/>
      <c r="DH625" s="23"/>
      <c r="DI625" s="23"/>
      <c r="DJ625" s="23"/>
      <c r="DK625" s="23"/>
      <c r="DL625" s="23"/>
      <c r="DM625" s="23"/>
      <c r="DN625" s="23"/>
      <c r="DO625" s="23"/>
      <c r="DP625" s="23"/>
      <c r="DQ625" s="23">
        <f>T625</f>
        <v>2344</v>
      </c>
      <c r="DR625" s="23"/>
      <c r="DS625" s="23" t="e">
        <f>U625</f>
        <v>#REF!</v>
      </c>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f>T625</f>
        <v>2344</v>
      </c>
      <c r="GZ625" s="23"/>
      <c r="HA625" s="23"/>
      <c r="HB625" s="23">
        <f>T625</f>
        <v>2344</v>
      </c>
      <c r="HC625" s="23"/>
      <c r="HD625" s="23"/>
      <c r="HE625" s="23"/>
      <c r="HF625" s="23">
        <f>T625</f>
        <v>2344</v>
      </c>
      <c r="HG625" s="23"/>
      <c r="HH625" s="23"/>
      <c r="HI625" s="23"/>
      <c r="HJ625" s="23"/>
      <c r="HK625" s="23"/>
      <c r="HL625" s="23">
        <f>T625</f>
        <v>2344</v>
      </c>
      <c r="HM625" s="23"/>
      <c r="HN625" s="23">
        <f>T625</f>
        <v>2344</v>
      </c>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row>
    <row r="626" spans="1:255" x14ac:dyDescent="0.2">
      <c r="A626" s="87"/>
      <c r="B626" s="88"/>
      <c r="C626" s="88" t="s">
        <v>860</v>
      </c>
      <c r="D626" s="89"/>
      <c r="E626" s="90">
        <v>77</v>
      </c>
      <c r="F626" s="91" t="s">
        <v>859</v>
      </c>
      <c r="G626" s="92"/>
      <c r="H626" s="93">
        <f>ROUND((Source!AF341*Source!AV341+Source!AE341*Source!AV341)*(Source!FY341)/100,2)</f>
        <v>28.81</v>
      </c>
      <c r="I626" s="94">
        <f>T626</f>
        <v>1504</v>
      </c>
      <c r="J626" s="96">
        <v>0.65</v>
      </c>
      <c r="K626" s="95" t="e">
        <f>U626</f>
        <v>#REF!</v>
      </c>
      <c r="O626" s="23"/>
      <c r="P626" s="23"/>
      <c r="Q626" s="23"/>
      <c r="R626" s="23"/>
      <c r="S626" s="23"/>
      <c r="T626" s="23">
        <f>ROUND((ROUND(Source!AF341*Source!AV341*Source!I341,0)+ROUND(Source!AE341*Source!AV341*Source!I341,0))*(Source!DO341)/100,0)</f>
        <v>1504</v>
      </c>
      <c r="U626" s="23" t="e">
        <f>Source!Y341</f>
        <v>#REF!</v>
      </c>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v>1</v>
      </c>
      <c r="CW626" s="23"/>
      <c r="CX626" s="23"/>
      <c r="CY626" s="23"/>
      <c r="CZ626" s="23"/>
      <c r="DA626" s="23"/>
      <c r="DB626" s="23"/>
      <c r="DC626" s="23"/>
      <c r="DD626" s="23"/>
      <c r="DE626" s="23"/>
      <c r="DF626" s="23"/>
      <c r="DG626" s="23"/>
      <c r="DH626" s="23"/>
      <c r="DI626" s="23"/>
      <c r="DJ626" s="23"/>
      <c r="DK626" s="23"/>
      <c r="DL626" s="23"/>
      <c r="DM626" s="23"/>
      <c r="DN626" s="23"/>
      <c r="DO626" s="23"/>
      <c r="DP626" s="23"/>
      <c r="DQ626" s="23">
        <f>T626</f>
        <v>1504</v>
      </c>
      <c r="DR626" s="23"/>
      <c r="DS626" s="23" t="e">
        <f>U626</f>
        <v>#REF!</v>
      </c>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f>T626</f>
        <v>1504</v>
      </c>
      <c r="HA626" s="23"/>
      <c r="HB626" s="23">
        <f>T626</f>
        <v>1504</v>
      </c>
      <c r="HC626" s="23"/>
      <c r="HD626" s="23"/>
      <c r="HE626" s="23"/>
      <c r="HF626" s="23">
        <f>T626</f>
        <v>1504</v>
      </c>
      <c r="HG626" s="23"/>
      <c r="HH626" s="23"/>
      <c r="HI626" s="23"/>
      <c r="HJ626" s="23"/>
      <c r="HK626" s="23"/>
      <c r="HL626" s="23">
        <f>T626</f>
        <v>1504</v>
      </c>
      <c r="HM626" s="23"/>
      <c r="HN626" s="23">
        <f>T626</f>
        <v>1504</v>
      </c>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row>
    <row r="627" spans="1:255" x14ac:dyDescent="0.2">
      <c r="A627" s="78"/>
      <c r="B627" s="79"/>
      <c r="C627" s="79" t="s">
        <v>861</v>
      </c>
      <c r="D627" s="80" t="s">
        <v>862</v>
      </c>
      <c r="E627" s="81">
        <v>2.4900000000000002</v>
      </c>
      <c r="F627" s="82"/>
      <c r="G627" s="83" t="s">
        <v>854</v>
      </c>
      <c r="H627" s="82" t="e">
        <f>ROUND(Source!AH341,2)</f>
        <v>#REF!</v>
      </c>
      <c r="I627" s="97" t="e">
        <f>Source!U341</f>
        <v>#REF!</v>
      </c>
      <c r="J627" s="85"/>
      <c r="K627" s="86"/>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row>
    <row r="628" spans="1:255" x14ac:dyDescent="0.2">
      <c r="A628" s="100" t="s">
        <v>459</v>
      </c>
      <c r="B628" s="109" t="s">
        <v>71</v>
      </c>
      <c r="C628" s="101" t="s">
        <v>72</v>
      </c>
      <c r="D628" s="102" t="s">
        <v>33</v>
      </c>
      <c r="E628" s="103">
        <f>Source!I343</f>
        <v>0.10962</v>
      </c>
      <c r="F628" s="104">
        <v>1696.01</v>
      </c>
      <c r="G628" s="105"/>
      <c r="H628" s="104">
        <f>Source!AC342</f>
        <v>1696.01</v>
      </c>
      <c r="I628" s="106">
        <f>T628</f>
        <v>186</v>
      </c>
      <c r="J628" s="107" t="s">
        <v>863</v>
      </c>
      <c r="K628" s="108">
        <f>U628</f>
        <v>9594</v>
      </c>
      <c r="L628" s="23"/>
      <c r="M628" s="23"/>
      <c r="N628" s="23"/>
      <c r="O628" s="23"/>
      <c r="P628" s="23"/>
      <c r="Q628" s="23"/>
      <c r="R628" s="23"/>
      <c r="S628" s="23"/>
      <c r="T628" s="23">
        <f>ROUND(Source!AC342*Source!AW342*Source!I342,0)</f>
        <v>186</v>
      </c>
      <c r="U628" s="23">
        <f>Source!P343</f>
        <v>9594</v>
      </c>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v>1</v>
      </c>
      <c r="CW628" s="23"/>
      <c r="CX628" s="23"/>
      <c r="CY628" s="23"/>
      <c r="CZ628" s="23"/>
      <c r="DA628" s="23"/>
      <c r="DB628" s="23"/>
      <c r="DC628" s="23"/>
      <c r="DD628" s="23"/>
      <c r="DE628" s="23"/>
      <c r="DF628" s="23"/>
      <c r="DG628" s="23"/>
      <c r="DH628" s="23"/>
      <c r="DI628" s="23"/>
      <c r="DJ628" s="23"/>
      <c r="DK628" s="23">
        <f>T628</f>
        <v>186</v>
      </c>
      <c r="DL628" s="23"/>
      <c r="DM628" s="23">
        <f>Source!P343</f>
        <v>9594</v>
      </c>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f>T628</f>
        <v>186</v>
      </c>
      <c r="GK628" s="23"/>
      <c r="GL628" s="23"/>
      <c r="GM628" s="23"/>
      <c r="GN628" s="23">
        <f>T628</f>
        <v>186</v>
      </c>
      <c r="GO628" s="23"/>
      <c r="GP628" s="23">
        <f>T628</f>
        <v>186</v>
      </c>
      <c r="GQ628" s="23">
        <f>T628</f>
        <v>186</v>
      </c>
      <c r="GR628" s="23"/>
      <c r="GS628" s="23">
        <f>T628</f>
        <v>186</v>
      </c>
      <c r="GT628" s="23"/>
      <c r="GU628" s="23"/>
      <c r="GV628" s="23"/>
      <c r="GW628" s="23"/>
      <c r="GX628" s="23"/>
      <c r="GY628" s="23"/>
      <c r="GZ628" s="23"/>
      <c r="HA628" s="23"/>
      <c r="HB628" s="23">
        <f>T628</f>
        <v>186</v>
      </c>
      <c r="HC628" s="23"/>
      <c r="HD628" s="23"/>
      <c r="HE628" s="23"/>
      <c r="HF628" s="23">
        <f>T628</f>
        <v>186</v>
      </c>
      <c r="HG628" s="23"/>
      <c r="HH628" s="23"/>
      <c r="HI628" s="23"/>
      <c r="HJ628" s="23"/>
      <c r="HK628" s="23"/>
      <c r="HL628" s="23">
        <f>T628</f>
        <v>186</v>
      </c>
      <c r="HM628" s="23"/>
      <c r="HN628" s="23">
        <f>T628</f>
        <v>186</v>
      </c>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row>
    <row r="629" spans="1:255" x14ac:dyDescent="0.2">
      <c r="A629" s="64"/>
      <c r="B629" s="111" t="s">
        <v>864</v>
      </c>
      <c r="C629" s="111" t="s">
        <v>873</v>
      </c>
      <c r="D629" s="63"/>
      <c r="E629" s="63"/>
      <c r="F629" s="63"/>
      <c r="G629" s="63"/>
      <c r="H629" s="63"/>
      <c r="I629" s="63"/>
      <c r="J629" s="63"/>
      <c r="K629" s="65"/>
    </row>
    <row r="630" spans="1:255" ht="24" x14ac:dyDescent="0.2">
      <c r="A630" s="100" t="s">
        <v>460</v>
      </c>
      <c r="B630" s="109" t="s">
        <v>461</v>
      </c>
      <c r="C630" s="101" t="s">
        <v>462</v>
      </c>
      <c r="D630" s="102" t="s">
        <v>78</v>
      </c>
      <c r="E630" s="103">
        <f>Source!I345</f>
        <v>87.637500000000003</v>
      </c>
      <c r="F630" s="104">
        <v>9.3800000000000008</v>
      </c>
      <c r="G630" s="105"/>
      <c r="H630" s="104">
        <f>Source!AC344</f>
        <v>9.3800000000000008</v>
      </c>
      <c r="I630" s="106">
        <f>T630</f>
        <v>822</v>
      </c>
      <c r="J630" s="107" t="s">
        <v>863</v>
      </c>
      <c r="K630" s="108">
        <f>U630</f>
        <v>3200</v>
      </c>
      <c r="L630" s="23"/>
      <c r="M630" s="23"/>
      <c r="N630" s="23"/>
      <c r="O630" s="23"/>
      <c r="P630" s="23"/>
      <c r="Q630" s="23"/>
      <c r="R630" s="23"/>
      <c r="S630" s="23"/>
      <c r="T630" s="23">
        <f>ROUND(Source!AC344*Source!AW344*Source!I344,0)</f>
        <v>822</v>
      </c>
      <c r="U630" s="23">
        <f>Source!P345</f>
        <v>3200</v>
      </c>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v>1</v>
      </c>
      <c r="CW630" s="23"/>
      <c r="CX630" s="23"/>
      <c r="CY630" s="23"/>
      <c r="CZ630" s="23"/>
      <c r="DA630" s="23"/>
      <c r="DB630" s="23"/>
      <c r="DC630" s="23"/>
      <c r="DD630" s="23"/>
      <c r="DE630" s="23"/>
      <c r="DF630" s="23"/>
      <c r="DG630" s="23"/>
      <c r="DH630" s="23"/>
      <c r="DI630" s="23"/>
      <c r="DJ630" s="23"/>
      <c r="DK630" s="23">
        <f>T630</f>
        <v>822</v>
      </c>
      <c r="DL630" s="23"/>
      <c r="DM630" s="23">
        <f>Source!P345</f>
        <v>3200</v>
      </c>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f>T630</f>
        <v>822</v>
      </c>
      <c r="GK630" s="23"/>
      <c r="GL630" s="23"/>
      <c r="GM630" s="23"/>
      <c r="GN630" s="23">
        <f>T630</f>
        <v>822</v>
      </c>
      <c r="GO630" s="23"/>
      <c r="GP630" s="23">
        <f>T630</f>
        <v>822</v>
      </c>
      <c r="GQ630" s="23">
        <f>T630</f>
        <v>822</v>
      </c>
      <c r="GR630" s="23"/>
      <c r="GS630" s="23">
        <f>T630</f>
        <v>822</v>
      </c>
      <c r="GT630" s="23"/>
      <c r="GU630" s="23"/>
      <c r="GV630" s="23"/>
      <c r="GW630" s="23"/>
      <c r="GX630" s="23"/>
      <c r="GY630" s="23"/>
      <c r="GZ630" s="23"/>
      <c r="HA630" s="23"/>
      <c r="HB630" s="23">
        <f>T630</f>
        <v>822</v>
      </c>
      <c r="HC630" s="23"/>
      <c r="HD630" s="23"/>
      <c r="HE630" s="23"/>
      <c r="HF630" s="23">
        <f>T630</f>
        <v>822</v>
      </c>
      <c r="HG630" s="23"/>
      <c r="HH630" s="23"/>
      <c r="HI630" s="23"/>
      <c r="HJ630" s="23"/>
      <c r="HK630" s="23"/>
      <c r="HL630" s="23">
        <f>T630</f>
        <v>822</v>
      </c>
      <c r="HM630" s="23"/>
      <c r="HN630" s="23">
        <f>T630</f>
        <v>822</v>
      </c>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row>
    <row r="631" spans="1:255" x14ac:dyDescent="0.2">
      <c r="A631" s="64"/>
      <c r="B631" s="111" t="s">
        <v>864</v>
      </c>
      <c r="C631" s="111" t="s">
        <v>976</v>
      </c>
      <c r="D631" s="63"/>
      <c r="E631" s="63"/>
      <c r="F631" s="63"/>
      <c r="G631" s="63"/>
      <c r="H631" s="63"/>
      <c r="I631" s="63"/>
      <c r="J631" s="63"/>
      <c r="K631" s="65"/>
    </row>
    <row r="632" spans="1:255" ht="24" x14ac:dyDescent="0.2">
      <c r="A632" s="100" t="s">
        <v>465</v>
      </c>
      <c r="B632" s="109" t="s">
        <v>466</v>
      </c>
      <c r="C632" s="101" t="s">
        <v>467</v>
      </c>
      <c r="D632" s="102" t="s">
        <v>78</v>
      </c>
      <c r="E632" s="103">
        <f>Source!I347</f>
        <v>87.637500000000003</v>
      </c>
      <c r="F632" s="104">
        <v>61.4</v>
      </c>
      <c r="G632" s="105"/>
      <c r="H632" s="104">
        <f>Source!AC346</f>
        <v>61.4</v>
      </c>
      <c r="I632" s="106">
        <f>T632</f>
        <v>5381</v>
      </c>
      <c r="J632" s="107" t="s">
        <v>863</v>
      </c>
      <c r="K632" s="108">
        <f>U632</f>
        <v>21201</v>
      </c>
      <c r="L632" s="23"/>
      <c r="M632" s="23"/>
      <c r="N632" s="23"/>
      <c r="O632" s="23"/>
      <c r="P632" s="23"/>
      <c r="Q632" s="23"/>
      <c r="R632" s="23"/>
      <c r="S632" s="23"/>
      <c r="T632" s="23">
        <f>ROUND(Source!AC346*Source!AW346*Source!I346,0)</f>
        <v>5381</v>
      </c>
      <c r="U632" s="23">
        <f>Source!P347</f>
        <v>21201</v>
      </c>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v>1</v>
      </c>
      <c r="CW632" s="23"/>
      <c r="CX632" s="23"/>
      <c r="CY632" s="23"/>
      <c r="CZ632" s="23"/>
      <c r="DA632" s="23"/>
      <c r="DB632" s="23"/>
      <c r="DC632" s="23"/>
      <c r="DD632" s="23"/>
      <c r="DE632" s="23"/>
      <c r="DF632" s="23"/>
      <c r="DG632" s="23"/>
      <c r="DH632" s="23"/>
      <c r="DI632" s="23"/>
      <c r="DJ632" s="23"/>
      <c r="DK632" s="23">
        <f>T632</f>
        <v>5381</v>
      </c>
      <c r="DL632" s="23"/>
      <c r="DM632" s="23">
        <f>Source!P347</f>
        <v>21201</v>
      </c>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f>T632</f>
        <v>5381</v>
      </c>
      <c r="GK632" s="23"/>
      <c r="GL632" s="23"/>
      <c r="GM632" s="23"/>
      <c r="GN632" s="23">
        <f>T632</f>
        <v>5381</v>
      </c>
      <c r="GO632" s="23"/>
      <c r="GP632" s="23">
        <f>T632</f>
        <v>5381</v>
      </c>
      <c r="GQ632" s="23">
        <f>T632</f>
        <v>5381</v>
      </c>
      <c r="GR632" s="23"/>
      <c r="GS632" s="23">
        <f>T632</f>
        <v>5381</v>
      </c>
      <c r="GT632" s="23"/>
      <c r="GU632" s="23"/>
      <c r="GV632" s="23"/>
      <c r="GW632" s="23"/>
      <c r="GX632" s="23"/>
      <c r="GY632" s="23"/>
      <c r="GZ632" s="23"/>
      <c r="HA632" s="23"/>
      <c r="HB632" s="23">
        <f>T632</f>
        <v>5381</v>
      </c>
      <c r="HC632" s="23"/>
      <c r="HD632" s="23"/>
      <c r="HE632" s="23"/>
      <c r="HF632" s="23">
        <f>T632</f>
        <v>5381</v>
      </c>
      <c r="HG632" s="23"/>
      <c r="HH632" s="23"/>
      <c r="HI632" s="23"/>
      <c r="HJ632" s="23"/>
      <c r="HK632" s="23"/>
      <c r="HL632" s="23">
        <f>T632</f>
        <v>5381</v>
      </c>
      <c r="HM632" s="23"/>
      <c r="HN632" s="23">
        <f>T632</f>
        <v>5381</v>
      </c>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row>
    <row r="633" spans="1:255" x14ac:dyDescent="0.2">
      <c r="A633" s="64"/>
      <c r="B633" s="111" t="s">
        <v>864</v>
      </c>
      <c r="C633" s="111" t="s">
        <v>977</v>
      </c>
      <c r="D633" s="63"/>
      <c r="E633" s="63"/>
      <c r="F633" s="63"/>
      <c r="G633" s="63"/>
      <c r="H633" s="63"/>
      <c r="I633" s="63"/>
      <c r="J633" s="63"/>
      <c r="K633" s="65"/>
    </row>
    <row r="634" spans="1:255" ht="24" x14ac:dyDescent="0.2">
      <c r="A634" s="100" t="s">
        <v>470</v>
      </c>
      <c r="B634" s="109" t="s">
        <v>87</v>
      </c>
      <c r="C634" s="101" t="s">
        <v>88</v>
      </c>
      <c r="D634" s="102" t="s">
        <v>44</v>
      </c>
      <c r="E634" s="103">
        <f>Source!I349</f>
        <v>88.952062499999997</v>
      </c>
      <c r="F634" s="104">
        <v>878.79</v>
      </c>
      <c r="G634" s="105"/>
      <c r="H634" s="104">
        <f>Source!AC348</f>
        <v>878.79</v>
      </c>
      <c r="I634" s="106">
        <f>T634</f>
        <v>78170</v>
      </c>
      <c r="J634" s="107" t="s">
        <v>863</v>
      </c>
      <c r="K634" s="108">
        <f>U634</f>
        <v>655666</v>
      </c>
      <c r="L634" s="23"/>
      <c r="M634" s="23"/>
      <c r="N634" s="23"/>
      <c r="O634" s="23"/>
      <c r="P634" s="23"/>
      <c r="Q634" s="23"/>
      <c r="R634" s="23"/>
      <c r="S634" s="23"/>
      <c r="T634" s="23">
        <f>ROUND(Source!AC348*Source!AW348*Source!I348,0)</f>
        <v>78170</v>
      </c>
      <c r="U634" s="23">
        <f>Source!P349</f>
        <v>655666</v>
      </c>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v>1</v>
      </c>
      <c r="CW634" s="23"/>
      <c r="CX634" s="23"/>
      <c r="CY634" s="23"/>
      <c r="CZ634" s="23"/>
      <c r="DA634" s="23"/>
      <c r="DB634" s="23"/>
      <c r="DC634" s="23"/>
      <c r="DD634" s="23"/>
      <c r="DE634" s="23"/>
      <c r="DF634" s="23"/>
      <c r="DG634" s="23"/>
      <c r="DH634" s="23"/>
      <c r="DI634" s="23"/>
      <c r="DJ634" s="23"/>
      <c r="DK634" s="23">
        <f>T634</f>
        <v>78170</v>
      </c>
      <c r="DL634" s="23"/>
      <c r="DM634" s="23">
        <f>Source!P349</f>
        <v>655666</v>
      </c>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f>T634</f>
        <v>78170</v>
      </c>
      <c r="GK634" s="23"/>
      <c r="GL634" s="23"/>
      <c r="GM634" s="23"/>
      <c r="GN634" s="23">
        <f>T634</f>
        <v>78170</v>
      </c>
      <c r="GO634" s="23"/>
      <c r="GP634" s="23">
        <f>T634</f>
        <v>78170</v>
      </c>
      <c r="GQ634" s="23">
        <f>T634</f>
        <v>78170</v>
      </c>
      <c r="GR634" s="23"/>
      <c r="GS634" s="23">
        <f>T634</f>
        <v>78170</v>
      </c>
      <c r="GT634" s="23"/>
      <c r="GU634" s="23"/>
      <c r="GV634" s="23"/>
      <c r="GW634" s="23"/>
      <c r="GX634" s="23"/>
      <c r="GY634" s="23"/>
      <c r="GZ634" s="23"/>
      <c r="HA634" s="23"/>
      <c r="HB634" s="23">
        <f>T634</f>
        <v>78170</v>
      </c>
      <c r="HC634" s="23"/>
      <c r="HD634" s="23"/>
      <c r="HE634" s="23"/>
      <c r="HF634" s="23">
        <f>T634</f>
        <v>78170</v>
      </c>
      <c r="HG634" s="23"/>
      <c r="HH634" s="23"/>
      <c r="HI634" s="23"/>
      <c r="HJ634" s="23"/>
      <c r="HK634" s="23"/>
      <c r="HL634" s="23">
        <f>T634</f>
        <v>78170</v>
      </c>
      <c r="HM634" s="23"/>
      <c r="HN634" s="23">
        <f>T634</f>
        <v>78170</v>
      </c>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row>
    <row r="635" spans="1:255" x14ac:dyDescent="0.2">
      <c r="A635" s="64"/>
      <c r="B635" s="111" t="s">
        <v>864</v>
      </c>
      <c r="C635" s="111" t="s">
        <v>876</v>
      </c>
      <c r="D635" s="63"/>
      <c r="E635" s="63"/>
      <c r="F635" s="63"/>
      <c r="G635" s="63"/>
      <c r="H635" s="63"/>
      <c r="I635" s="63"/>
      <c r="J635" s="63"/>
      <c r="K635" s="65"/>
    </row>
    <row r="636" spans="1:255" x14ac:dyDescent="0.2">
      <c r="A636" s="114" t="s">
        <v>471</v>
      </c>
      <c r="B636" s="115" t="s">
        <v>472</v>
      </c>
      <c r="C636" s="116" t="s">
        <v>473</v>
      </c>
      <c r="D636" s="117" t="s">
        <v>103</v>
      </c>
      <c r="E636" s="118">
        <f>Source!I351</f>
        <v>1200.5999999999999</v>
      </c>
      <c r="F636" s="119">
        <v>0.28000000000000003</v>
      </c>
      <c r="G636" s="71"/>
      <c r="H636" s="119">
        <f>Source!AC350</f>
        <v>0.28000000000000003</v>
      </c>
      <c r="I636" s="120">
        <f>T636</f>
        <v>336</v>
      </c>
      <c r="J636" s="73" t="s">
        <v>863</v>
      </c>
      <c r="K636" s="121">
        <f>U636</f>
        <v>998</v>
      </c>
      <c r="L636" s="23"/>
      <c r="M636" s="23"/>
      <c r="N636" s="23"/>
      <c r="O636" s="23"/>
      <c r="P636" s="23"/>
      <c r="Q636" s="23"/>
      <c r="R636" s="23"/>
      <c r="S636" s="23"/>
      <c r="T636" s="23">
        <f>ROUND(Source!AC350*Source!AW350*Source!I350,0)</f>
        <v>336</v>
      </c>
      <c r="U636" s="23">
        <f>Source!P351</f>
        <v>998</v>
      </c>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v>1</v>
      </c>
      <c r="CW636" s="23"/>
      <c r="CX636" s="23"/>
      <c r="CY636" s="23"/>
      <c r="CZ636" s="23"/>
      <c r="DA636" s="23"/>
      <c r="DB636" s="23"/>
      <c r="DC636" s="23"/>
      <c r="DD636" s="23"/>
      <c r="DE636" s="23"/>
      <c r="DF636" s="23"/>
      <c r="DG636" s="23"/>
      <c r="DH636" s="23"/>
      <c r="DI636" s="23"/>
      <c r="DJ636" s="23"/>
      <c r="DK636" s="23">
        <f>T636</f>
        <v>336</v>
      </c>
      <c r="DL636" s="23"/>
      <c r="DM636" s="23">
        <f>Source!P351</f>
        <v>998</v>
      </c>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f>T636</f>
        <v>336</v>
      </c>
      <c r="GK636" s="23"/>
      <c r="GL636" s="23"/>
      <c r="GM636" s="23"/>
      <c r="GN636" s="23">
        <f>T636</f>
        <v>336</v>
      </c>
      <c r="GO636" s="23"/>
      <c r="GP636" s="23">
        <f>T636</f>
        <v>336</v>
      </c>
      <c r="GQ636" s="23">
        <f>T636</f>
        <v>336</v>
      </c>
      <c r="GR636" s="23"/>
      <c r="GS636" s="23">
        <f>T636</f>
        <v>336</v>
      </c>
      <c r="GT636" s="23"/>
      <c r="GU636" s="23"/>
      <c r="GV636" s="23"/>
      <c r="GW636" s="23"/>
      <c r="GX636" s="23"/>
      <c r="GY636" s="23"/>
      <c r="GZ636" s="23"/>
      <c r="HA636" s="23"/>
      <c r="HB636" s="23">
        <f>T636</f>
        <v>336</v>
      </c>
      <c r="HC636" s="23"/>
      <c r="HD636" s="23"/>
      <c r="HE636" s="23"/>
      <c r="HF636" s="23">
        <f>T636</f>
        <v>336</v>
      </c>
      <c r="HG636" s="23"/>
      <c r="HH636" s="23"/>
      <c r="HI636" s="23"/>
      <c r="HJ636" s="23"/>
      <c r="HK636" s="23"/>
      <c r="HL636" s="23">
        <f>T636</f>
        <v>336</v>
      </c>
      <c r="HM636" s="23"/>
      <c r="HN636" s="23">
        <f>T636</f>
        <v>336</v>
      </c>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row>
    <row r="637" spans="1:255" x14ac:dyDescent="0.2">
      <c r="A637" s="98"/>
      <c r="B637" s="113" t="s">
        <v>864</v>
      </c>
      <c r="C637" s="113" t="s">
        <v>978</v>
      </c>
      <c r="D637" s="33"/>
      <c r="E637" s="33"/>
      <c r="F637" s="33"/>
      <c r="G637" s="33"/>
      <c r="H637" s="33"/>
      <c r="I637" s="33"/>
      <c r="J637" s="33"/>
      <c r="K637" s="99"/>
    </row>
    <row r="638" spans="1:255" ht="13.5" thickBot="1" x14ac:dyDescent="0.25">
      <c r="A638" s="124"/>
      <c r="B638" s="125"/>
      <c r="C638" s="125" t="s">
        <v>867</v>
      </c>
      <c r="D638" s="125"/>
      <c r="E638" s="125"/>
      <c r="F638" s="125"/>
      <c r="G638" s="125"/>
      <c r="H638" s="380">
        <f>SUM(DK621:DK637)</f>
        <v>84895</v>
      </c>
      <c r="I638" s="381"/>
      <c r="J638" s="380">
        <f>SUM(DM621:DM637)</f>
        <v>690659</v>
      </c>
      <c r="K638" s="382"/>
      <c r="L638" s="112"/>
      <c r="M638" s="112"/>
      <c r="N638" s="112"/>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row>
    <row r="639" spans="1:255" x14ac:dyDescent="0.2">
      <c r="A639" s="123"/>
      <c r="B639" s="122"/>
      <c r="C639" s="122" t="s">
        <v>868</v>
      </c>
      <c r="D639" s="122"/>
      <c r="E639" s="122"/>
      <c r="F639" s="122"/>
      <c r="G639" s="122"/>
      <c r="H639" s="383">
        <f>R639</f>
        <v>96472</v>
      </c>
      <c r="I639" s="384"/>
      <c r="J639" s="383" t="e">
        <f>S639</f>
        <v>#REF!</v>
      </c>
      <c r="K639" s="385"/>
      <c r="O639" s="23"/>
      <c r="P639" s="23"/>
      <c r="Q639" s="23"/>
      <c r="R639" s="23">
        <f>SUM(T621:T638)</f>
        <v>96472</v>
      </c>
      <c r="S639" s="23" t="e">
        <f>SUM(U621:U638)</f>
        <v>#REF!</v>
      </c>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f>R639</f>
        <v>96472</v>
      </c>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row>
    <row r="640" spans="1:255" x14ac:dyDescent="0.2">
      <c r="A640" s="77"/>
      <c r="B640" s="76"/>
      <c r="C640" s="76"/>
      <c r="D640" s="76"/>
      <c r="E640" s="76"/>
      <c r="F640" s="76"/>
      <c r="G640" s="76"/>
      <c r="H640" s="386"/>
      <c r="I640" s="387"/>
      <c r="J640" s="386"/>
      <c r="K640" s="388"/>
    </row>
    <row r="641" spans="1:255" ht="13.5" thickBot="1" x14ac:dyDescent="0.25">
      <c r="A641" s="135">
        <v>28</v>
      </c>
      <c r="B641" s="136" t="s">
        <v>135</v>
      </c>
      <c r="C641" s="137" t="s">
        <v>136</v>
      </c>
      <c r="D641" s="138" t="s">
        <v>137</v>
      </c>
      <c r="E641" s="139">
        <v>65.23</v>
      </c>
      <c r="F641" s="140">
        <v>105.9</v>
      </c>
      <c r="G641" s="141"/>
      <c r="H641" s="140">
        <f>Source!AD353</f>
        <v>105.9</v>
      </c>
      <c r="I641" s="142" t="e">
        <f>T641</f>
        <v>#REF!</v>
      </c>
      <c r="J641" s="143">
        <v>7.84</v>
      </c>
      <c r="K641" s="144" t="e">
        <f>U641</f>
        <v>#REF!</v>
      </c>
      <c r="L641" s="23"/>
      <c r="M641" s="23"/>
      <c r="N641" s="23"/>
      <c r="O641" s="23"/>
      <c r="P641" s="23"/>
      <c r="Q641" s="23"/>
      <c r="R641" s="23"/>
      <c r="S641" s="23"/>
      <c r="T641" s="23" t="e">
        <f>ROUND(Source!AD353*Source!AV353*Source!I353,0)</f>
        <v>#REF!</v>
      </c>
      <c r="U641" s="23" t="e">
        <f>Source!Q353</f>
        <v>#REF!</v>
      </c>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v>1</v>
      </c>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t="e">
        <f>T641</f>
        <v>#REF!</v>
      </c>
      <c r="GK641" s="23"/>
      <c r="GL641" s="23" t="e">
        <f>T641</f>
        <v>#REF!</v>
      </c>
      <c r="GM641" s="23"/>
      <c r="GN641" s="23"/>
      <c r="GO641" s="23"/>
      <c r="GP641" s="23"/>
      <c r="GQ641" s="23"/>
      <c r="GR641" s="23"/>
      <c r="GS641" s="23"/>
      <c r="GT641" s="23"/>
      <c r="GU641" s="23"/>
      <c r="GV641" s="23"/>
      <c r="GW641" s="23"/>
      <c r="GX641" s="23"/>
      <c r="GY641" s="23"/>
      <c r="GZ641" s="23"/>
      <c r="HA641" s="23"/>
      <c r="HB641" s="23" t="e">
        <f>T641</f>
        <v>#REF!</v>
      </c>
      <c r="HC641" s="23"/>
      <c r="HD641" s="23"/>
      <c r="HE641" s="23"/>
      <c r="HF641" s="23" t="e">
        <f>T641</f>
        <v>#REF!</v>
      </c>
      <c r="HG641" s="23"/>
      <c r="HH641" s="23"/>
      <c r="HI641" s="23"/>
      <c r="HJ641" s="23"/>
      <c r="HK641" s="23"/>
      <c r="HL641" s="23" t="e">
        <f>T641</f>
        <v>#REF!</v>
      </c>
      <c r="HM641" s="23"/>
      <c r="HN641" s="23" t="e">
        <f>T641</f>
        <v>#REF!</v>
      </c>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row>
    <row r="642" spans="1:255" x14ac:dyDescent="0.2">
      <c r="A642" s="123"/>
      <c r="B642" s="122"/>
      <c r="C642" s="122" t="s">
        <v>868</v>
      </c>
      <c r="D642" s="122"/>
      <c r="E642" s="122"/>
      <c r="F642" s="122"/>
      <c r="G642" s="122"/>
      <c r="H642" s="383" t="e">
        <f>R642</f>
        <v>#REF!</v>
      </c>
      <c r="I642" s="384"/>
      <c r="J642" s="383" t="e">
        <f>S642</f>
        <v>#REF!</v>
      </c>
      <c r="K642" s="385"/>
      <c r="O642" s="23"/>
      <c r="P642" s="23"/>
      <c r="Q642" s="23"/>
      <c r="R642" s="23" t="e">
        <f>SUM(T641:T641)</f>
        <v>#REF!</v>
      </c>
      <c r="S642" s="23" t="e">
        <f>SUM(U641:U641)</f>
        <v>#REF!</v>
      </c>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t="e">
        <f>R642</f>
        <v>#REF!</v>
      </c>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row>
    <row r="643" spans="1:255" x14ac:dyDescent="0.2">
      <c r="A643" s="77"/>
      <c r="B643" s="76"/>
      <c r="C643" s="76"/>
      <c r="D643" s="76"/>
      <c r="E643" s="76"/>
      <c r="F643" s="76"/>
      <c r="G643" s="76"/>
      <c r="H643" s="386"/>
      <c r="I643" s="387"/>
      <c r="J643" s="386"/>
      <c r="K643" s="388"/>
    </row>
    <row r="644" spans="1:255" ht="45" x14ac:dyDescent="0.2">
      <c r="A644" s="126">
        <v>29</v>
      </c>
      <c r="B644" s="133" t="s">
        <v>355</v>
      </c>
      <c r="C644" s="127" t="s">
        <v>955</v>
      </c>
      <c r="D644" s="128" t="s">
        <v>49</v>
      </c>
      <c r="E644" s="129">
        <v>7.3200000000000001E-2</v>
      </c>
      <c r="F644" s="130">
        <f>Source!AK355</f>
        <v>6866.6600000000008</v>
      </c>
      <c r="G644" s="134" t="s">
        <v>6</v>
      </c>
      <c r="H644" s="130"/>
      <c r="I644" s="131">
        <f>SUM(DQ644:DQ655)</f>
        <v>175</v>
      </c>
      <c r="J644" s="107" t="s">
        <v>355</v>
      </c>
      <c r="K644" s="132" t="e">
        <f>SUM(DS644:DS655)</f>
        <v>#REF!</v>
      </c>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row>
    <row r="645" spans="1:255" x14ac:dyDescent="0.2">
      <c r="A645" s="66"/>
      <c r="B645" s="67"/>
      <c r="C645" s="67" t="s">
        <v>853</v>
      </c>
      <c r="D645" s="68"/>
      <c r="E645" s="69"/>
      <c r="F645" s="70">
        <v>725.79</v>
      </c>
      <c r="G645" s="71" t="s">
        <v>854</v>
      </c>
      <c r="H645" s="70">
        <f>Source!AF355</f>
        <v>762.08</v>
      </c>
      <c r="I645" s="72">
        <f>T645</f>
        <v>56</v>
      </c>
      <c r="J645" s="73">
        <v>25.36</v>
      </c>
      <c r="K645" s="74">
        <f>U645</f>
        <v>1415</v>
      </c>
      <c r="O645" s="23"/>
      <c r="P645" s="23"/>
      <c r="Q645" s="23"/>
      <c r="R645" s="23"/>
      <c r="S645" s="23"/>
      <c r="T645" s="23">
        <f>ROUND(Source!AF355*Source!AV355*Source!I355,0)</f>
        <v>56</v>
      </c>
      <c r="U645" s="23">
        <f>Source!S355</f>
        <v>1415</v>
      </c>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v>1</v>
      </c>
      <c r="CW645" s="23"/>
      <c r="CX645" s="23"/>
      <c r="CY645" s="23"/>
      <c r="CZ645" s="23"/>
      <c r="DA645" s="23"/>
      <c r="DB645" s="23"/>
      <c r="DC645" s="23"/>
      <c r="DD645" s="23"/>
      <c r="DE645" s="23"/>
      <c r="DF645" s="23"/>
      <c r="DG645" s="23">
        <f>Source!S355</f>
        <v>1415</v>
      </c>
      <c r="DH645" s="23">
        <v>1015</v>
      </c>
      <c r="DI645" s="23"/>
      <c r="DJ645" s="23"/>
      <c r="DK645" s="23"/>
      <c r="DL645" s="23"/>
      <c r="DM645" s="23"/>
      <c r="DN645" s="23"/>
      <c r="DO645" s="23"/>
      <c r="DP645" s="23"/>
      <c r="DQ645" s="23">
        <f>T645</f>
        <v>56</v>
      </c>
      <c r="DR645" s="23"/>
      <c r="DS645" s="23">
        <f>U645</f>
        <v>1415</v>
      </c>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f>T645</f>
        <v>56</v>
      </c>
      <c r="GK645" s="23">
        <f>T645</f>
        <v>56</v>
      </c>
      <c r="GL645" s="23"/>
      <c r="GM645" s="23"/>
      <c r="GN645" s="23"/>
      <c r="GO645" s="23"/>
      <c r="GP645" s="23"/>
      <c r="GQ645" s="23"/>
      <c r="GR645" s="23"/>
      <c r="GS645" s="23"/>
      <c r="GT645" s="23"/>
      <c r="GU645" s="23"/>
      <c r="GV645" s="23"/>
      <c r="GW645" s="23"/>
      <c r="GX645" s="23"/>
      <c r="GY645" s="23"/>
      <c r="GZ645" s="23"/>
      <c r="HA645" s="23"/>
      <c r="HB645" s="23">
        <f>T645</f>
        <v>56</v>
      </c>
      <c r="HC645" s="23"/>
      <c r="HD645" s="23"/>
      <c r="HE645" s="23"/>
      <c r="HF645" s="23">
        <f>T645</f>
        <v>56</v>
      </c>
      <c r="HG645" s="23"/>
      <c r="HH645" s="23"/>
      <c r="HI645" s="23"/>
      <c r="HJ645" s="23"/>
      <c r="HK645" s="23"/>
      <c r="HL645" s="23">
        <f>T645</f>
        <v>56</v>
      </c>
      <c r="HM645" s="23"/>
      <c r="HN645" s="23">
        <f>T645</f>
        <v>56</v>
      </c>
      <c r="HO645" s="23"/>
      <c r="HP645" s="23"/>
      <c r="HQ645" s="23"/>
      <c r="HR645" s="23"/>
      <c r="HS645" s="23"/>
      <c r="HT645" s="23"/>
      <c r="HU645" s="23"/>
      <c r="HV645" s="23"/>
      <c r="HW645" s="23"/>
      <c r="HX645" s="23">
        <f>T645</f>
        <v>56</v>
      </c>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row>
    <row r="646" spans="1:255" x14ac:dyDescent="0.2">
      <c r="A646" s="78"/>
      <c r="B646" s="79"/>
      <c r="C646" s="79" t="s">
        <v>855</v>
      </c>
      <c r="D646" s="80"/>
      <c r="E646" s="81"/>
      <c r="F646" s="82">
        <v>77.52</v>
      </c>
      <c r="G646" s="83" t="s">
        <v>856</v>
      </c>
      <c r="H646" s="82">
        <f>Source!AD355</f>
        <v>102.38</v>
      </c>
      <c r="I646" s="84">
        <f>T646</f>
        <v>7</v>
      </c>
      <c r="J646" s="85">
        <v>7.84</v>
      </c>
      <c r="K646" s="86">
        <f>U646</f>
        <v>59</v>
      </c>
      <c r="O646" s="23"/>
      <c r="P646" s="23"/>
      <c r="Q646" s="23"/>
      <c r="R646" s="23"/>
      <c r="S646" s="23"/>
      <c r="T646" s="23">
        <f>ROUND(Source!AD355*Source!AV355*Source!I355,0)</f>
        <v>7</v>
      </c>
      <c r="U646" s="23">
        <f>Source!Q355</f>
        <v>59</v>
      </c>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v>1</v>
      </c>
      <c r="CW646" s="23"/>
      <c r="CX646" s="23"/>
      <c r="CY646" s="23"/>
      <c r="CZ646" s="23"/>
      <c r="DA646" s="23"/>
      <c r="DB646" s="23"/>
      <c r="DC646" s="23"/>
      <c r="DD646" s="23"/>
      <c r="DE646" s="23"/>
      <c r="DF646" s="23"/>
      <c r="DG646" s="23"/>
      <c r="DH646" s="23"/>
      <c r="DI646" s="23"/>
      <c r="DJ646" s="23"/>
      <c r="DK646" s="23"/>
      <c r="DL646" s="23"/>
      <c r="DM646" s="23"/>
      <c r="DN646" s="23"/>
      <c r="DO646" s="23"/>
      <c r="DP646" s="23"/>
      <c r="DQ646" s="23">
        <f>T646</f>
        <v>7</v>
      </c>
      <c r="DR646" s="23"/>
      <c r="DS646" s="23">
        <f>U646</f>
        <v>59</v>
      </c>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f>T646</f>
        <v>7</v>
      </c>
      <c r="GK646" s="23"/>
      <c r="GL646" s="23">
        <f>T646</f>
        <v>7</v>
      </c>
      <c r="GM646" s="23"/>
      <c r="GN646" s="23"/>
      <c r="GO646" s="23"/>
      <c r="GP646" s="23"/>
      <c r="GQ646" s="23"/>
      <c r="GR646" s="23"/>
      <c r="GS646" s="23"/>
      <c r="GT646" s="23"/>
      <c r="GU646" s="23"/>
      <c r="GV646" s="23"/>
      <c r="GW646" s="23"/>
      <c r="GX646" s="23"/>
      <c r="GY646" s="23"/>
      <c r="GZ646" s="23"/>
      <c r="HA646" s="23"/>
      <c r="HB646" s="23">
        <f>T646</f>
        <v>7</v>
      </c>
      <c r="HC646" s="23"/>
      <c r="HD646" s="23"/>
      <c r="HE646" s="23"/>
      <c r="HF646" s="23">
        <f>T646</f>
        <v>7</v>
      </c>
      <c r="HG646" s="23"/>
      <c r="HH646" s="23"/>
      <c r="HI646" s="23"/>
      <c r="HJ646" s="23"/>
      <c r="HK646" s="23"/>
      <c r="HL646" s="23">
        <f>T646</f>
        <v>7</v>
      </c>
      <c r="HM646" s="23"/>
      <c r="HN646" s="23">
        <f>T646</f>
        <v>7</v>
      </c>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row>
    <row r="647" spans="1:255" x14ac:dyDescent="0.2">
      <c r="A647" s="78"/>
      <c r="B647" s="79"/>
      <c r="C647" s="79" t="s">
        <v>857</v>
      </c>
      <c r="D647" s="80"/>
      <c r="E647" s="81"/>
      <c r="F647" s="82">
        <v>9.25</v>
      </c>
      <c r="G647" s="83" t="s">
        <v>856</v>
      </c>
      <c r="H647" s="82">
        <f>Source!AE355</f>
        <v>10.36</v>
      </c>
      <c r="I647" s="84">
        <f>GM647</f>
        <v>1</v>
      </c>
      <c r="J647" s="85">
        <v>19.8</v>
      </c>
      <c r="K647" s="86">
        <f>Source!R355</f>
        <v>15</v>
      </c>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f>ROUND(Source!AE355*Source!AV355*Source!I355,0)</f>
        <v>1</v>
      </c>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f>GM647</f>
        <v>1</v>
      </c>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row>
    <row r="648" spans="1:255" x14ac:dyDescent="0.2">
      <c r="A648" s="87"/>
      <c r="B648" s="88"/>
      <c r="C648" s="88" t="s">
        <v>858</v>
      </c>
      <c r="D648" s="89"/>
      <c r="E648" s="90">
        <v>120</v>
      </c>
      <c r="F648" s="91" t="s">
        <v>859</v>
      </c>
      <c r="G648" s="92"/>
      <c r="H648" s="93">
        <f>ROUND((Source!AF355*Source!AV355+Source!AE355*Source!AV355)*(Source!FX355)/100,2)</f>
        <v>926.93</v>
      </c>
      <c r="I648" s="94">
        <f>T648</f>
        <v>68</v>
      </c>
      <c r="J648" s="96">
        <v>1.1399999999999999</v>
      </c>
      <c r="K648" s="95" t="e">
        <f>U648</f>
        <v>#REF!</v>
      </c>
      <c r="O648" s="23"/>
      <c r="P648" s="23"/>
      <c r="Q648" s="23"/>
      <c r="R648" s="23"/>
      <c r="S648" s="23"/>
      <c r="T648" s="23">
        <f>ROUND((ROUND(Source!AF355*Source!AV355*Source!I355,0)+ROUND(Source!AE355*Source!AV355*Source!I355,0))*(Source!DN355)/100,0)</f>
        <v>68</v>
      </c>
      <c r="U648" s="23" t="e">
        <f>Source!X355</f>
        <v>#REF!</v>
      </c>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v>1</v>
      </c>
      <c r="CW648" s="23"/>
      <c r="CX648" s="23"/>
      <c r="CY648" s="23"/>
      <c r="CZ648" s="23"/>
      <c r="DA648" s="23"/>
      <c r="DB648" s="23"/>
      <c r="DC648" s="23"/>
      <c r="DD648" s="23"/>
      <c r="DE648" s="23"/>
      <c r="DF648" s="23"/>
      <c r="DG648" s="23"/>
      <c r="DH648" s="23"/>
      <c r="DI648" s="23"/>
      <c r="DJ648" s="23"/>
      <c r="DK648" s="23"/>
      <c r="DL648" s="23"/>
      <c r="DM648" s="23"/>
      <c r="DN648" s="23"/>
      <c r="DO648" s="23"/>
      <c r="DP648" s="23"/>
      <c r="DQ648" s="23">
        <f>T648</f>
        <v>68</v>
      </c>
      <c r="DR648" s="23"/>
      <c r="DS648" s="23" t="e">
        <f>U648</f>
        <v>#REF!</v>
      </c>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f>T648</f>
        <v>68</v>
      </c>
      <c r="GZ648" s="23"/>
      <c r="HA648" s="23"/>
      <c r="HB648" s="23">
        <f>T648</f>
        <v>68</v>
      </c>
      <c r="HC648" s="23"/>
      <c r="HD648" s="23"/>
      <c r="HE648" s="23"/>
      <c r="HF648" s="23">
        <f>T648</f>
        <v>68</v>
      </c>
      <c r="HG648" s="23"/>
      <c r="HH648" s="23"/>
      <c r="HI648" s="23"/>
      <c r="HJ648" s="23"/>
      <c r="HK648" s="23"/>
      <c r="HL648" s="23">
        <f>T648</f>
        <v>68</v>
      </c>
      <c r="HM648" s="23"/>
      <c r="HN648" s="23">
        <f>T648</f>
        <v>68</v>
      </c>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row>
    <row r="649" spans="1:255" x14ac:dyDescent="0.2">
      <c r="A649" s="87"/>
      <c r="B649" s="88"/>
      <c r="C649" s="88" t="s">
        <v>860</v>
      </c>
      <c r="D649" s="89"/>
      <c r="E649" s="90">
        <v>77</v>
      </c>
      <c r="F649" s="91" t="s">
        <v>859</v>
      </c>
      <c r="G649" s="92"/>
      <c r="H649" s="93">
        <f>ROUND((Source!AF355*Source!AV355+Source!AE355*Source!AV355)*(Source!FY355)/100,2)</f>
        <v>594.78</v>
      </c>
      <c r="I649" s="94">
        <f>T649</f>
        <v>44</v>
      </c>
      <c r="J649" s="96">
        <v>0.65</v>
      </c>
      <c r="K649" s="95" t="e">
        <f>U649</f>
        <v>#REF!</v>
      </c>
      <c r="O649" s="23"/>
      <c r="P649" s="23"/>
      <c r="Q649" s="23"/>
      <c r="R649" s="23"/>
      <c r="S649" s="23"/>
      <c r="T649" s="23">
        <f>ROUND((ROUND(Source!AF355*Source!AV355*Source!I355,0)+ROUND(Source!AE355*Source!AV355*Source!I355,0))*(Source!DO355)/100,0)</f>
        <v>44</v>
      </c>
      <c r="U649" s="23" t="e">
        <f>Source!Y355</f>
        <v>#REF!</v>
      </c>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v>1</v>
      </c>
      <c r="CW649" s="23"/>
      <c r="CX649" s="23"/>
      <c r="CY649" s="23"/>
      <c r="CZ649" s="23"/>
      <c r="DA649" s="23"/>
      <c r="DB649" s="23"/>
      <c r="DC649" s="23"/>
      <c r="DD649" s="23"/>
      <c r="DE649" s="23"/>
      <c r="DF649" s="23"/>
      <c r="DG649" s="23"/>
      <c r="DH649" s="23"/>
      <c r="DI649" s="23"/>
      <c r="DJ649" s="23"/>
      <c r="DK649" s="23"/>
      <c r="DL649" s="23"/>
      <c r="DM649" s="23"/>
      <c r="DN649" s="23"/>
      <c r="DO649" s="23"/>
      <c r="DP649" s="23"/>
      <c r="DQ649" s="23">
        <f>T649</f>
        <v>44</v>
      </c>
      <c r="DR649" s="23"/>
      <c r="DS649" s="23" t="e">
        <f>U649</f>
        <v>#REF!</v>
      </c>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f>T649</f>
        <v>44</v>
      </c>
      <c r="HA649" s="23"/>
      <c r="HB649" s="23">
        <f>T649</f>
        <v>44</v>
      </c>
      <c r="HC649" s="23"/>
      <c r="HD649" s="23"/>
      <c r="HE649" s="23"/>
      <c r="HF649" s="23">
        <f>T649</f>
        <v>44</v>
      </c>
      <c r="HG649" s="23"/>
      <c r="HH649" s="23"/>
      <c r="HI649" s="23"/>
      <c r="HJ649" s="23"/>
      <c r="HK649" s="23"/>
      <c r="HL649" s="23">
        <f>T649</f>
        <v>44</v>
      </c>
      <c r="HM649" s="23"/>
      <c r="HN649" s="23">
        <f>T649</f>
        <v>44</v>
      </c>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row>
    <row r="650" spans="1:255" x14ac:dyDescent="0.2">
      <c r="A650" s="78"/>
      <c r="B650" s="79"/>
      <c r="C650" s="79" t="s">
        <v>861</v>
      </c>
      <c r="D650" s="80" t="s">
        <v>862</v>
      </c>
      <c r="E650" s="81">
        <v>90.61</v>
      </c>
      <c r="F650" s="82"/>
      <c r="G650" s="83" t="s">
        <v>854</v>
      </c>
      <c r="H650" s="82" t="e">
        <f>ROUND(Source!AH355,2)</f>
        <v>#REF!</v>
      </c>
      <c r="I650" s="97" t="e">
        <f>Source!U355</f>
        <v>#REF!</v>
      </c>
      <c r="J650" s="85"/>
      <c r="K650" s="86"/>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row>
    <row r="651" spans="1:255" x14ac:dyDescent="0.2">
      <c r="A651" s="100" t="s">
        <v>478</v>
      </c>
      <c r="B651" s="109" t="s">
        <v>316</v>
      </c>
      <c r="C651" s="101" t="s">
        <v>317</v>
      </c>
      <c r="D651" s="102" t="s">
        <v>33</v>
      </c>
      <c r="E651" s="103">
        <f>Source!I357</f>
        <v>4.3899999999999999E-4</v>
      </c>
      <c r="F651" s="104">
        <v>10559.12</v>
      </c>
      <c r="G651" s="105"/>
      <c r="H651" s="104">
        <f>Source!AC356</f>
        <v>10559.12</v>
      </c>
      <c r="I651" s="106">
        <f>T651</f>
        <v>5</v>
      </c>
      <c r="J651" s="107" t="s">
        <v>863</v>
      </c>
      <c r="K651" s="108">
        <f>U651</f>
        <v>45</v>
      </c>
      <c r="L651" s="23"/>
      <c r="M651" s="23"/>
      <c r="N651" s="23"/>
      <c r="O651" s="23"/>
      <c r="P651" s="23"/>
      <c r="Q651" s="23"/>
      <c r="R651" s="23"/>
      <c r="S651" s="23"/>
      <c r="T651" s="23">
        <f>ROUND(Source!AC356*Source!AW356*Source!I356,0)</f>
        <v>5</v>
      </c>
      <c r="U651" s="23">
        <f>Source!P357</f>
        <v>45</v>
      </c>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v>1</v>
      </c>
      <c r="CW651" s="23"/>
      <c r="CX651" s="23"/>
      <c r="CY651" s="23"/>
      <c r="CZ651" s="23"/>
      <c r="DA651" s="23"/>
      <c r="DB651" s="23"/>
      <c r="DC651" s="23"/>
      <c r="DD651" s="23"/>
      <c r="DE651" s="23"/>
      <c r="DF651" s="23"/>
      <c r="DG651" s="23"/>
      <c r="DH651" s="23"/>
      <c r="DI651" s="23"/>
      <c r="DJ651" s="23"/>
      <c r="DK651" s="23">
        <f>T651</f>
        <v>5</v>
      </c>
      <c r="DL651" s="23"/>
      <c r="DM651" s="23">
        <f>Source!P357</f>
        <v>45</v>
      </c>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f>T651</f>
        <v>5</v>
      </c>
      <c r="GK651" s="23"/>
      <c r="GL651" s="23"/>
      <c r="GM651" s="23"/>
      <c r="GN651" s="23">
        <f>T651</f>
        <v>5</v>
      </c>
      <c r="GO651" s="23"/>
      <c r="GP651" s="23">
        <f>T651</f>
        <v>5</v>
      </c>
      <c r="GQ651" s="23">
        <f>T651</f>
        <v>5</v>
      </c>
      <c r="GR651" s="23"/>
      <c r="GS651" s="23">
        <f>T651</f>
        <v>5</v>
      </c>
      <c r="GT651" s="23"/>
      <c r="GU651" s="23"/>
      <c r="GV651" s="23"/>
      <c r="GW651" s="23"/>
      <c r="GX651" s="23"/>
      <c r="GY651" s="23"/>
      <c r="GZ651" s="23"/>
      <c r="HA651" s="23"/>
      <c r="HB651" s="23">
        <f>T651</f>
        <v>5</v>
      </c>
      <c r="HC651" s="23"/>
      <c r="HD651" s="23"/>
      <c r="HE651" s="23"/>
      <c r="HF651" s="23">
        <f>T651</f>
        <v>5</v>
      </c>
      <c r="HG651" s="23"/>
      <c r="HH651" s="23"/>
      <c r="HI651" s="23"/>
      <c r="HJ651" s="23"/>
      <c r="HK651" s="23"/>
      <c r="HL651" s="23">
        <f>T651</f>
        <v>5</v>
      </c>
      <c r="HM651" s="23"/>
      <c r="HN651" s="23">
        <f>T651</f>
        <v>5</v>
      </c>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row>
    <row r="652" spans="1:255" x14ac:dyDescent="0.2">
      <c r="A652" s="64"/>
      <c r="B652" s="111" t="s">
        <v>864</v>
      </c>
      <c r="C652" s="111" t="s">
        <v>949</v>
      </c>
      <c r="D652" s="63"/>
      <c r="E652" s="63"/>
      <c r="F652" s="63"/>
      <c r="G652" s="63"/>
      <c r="H652" s="63"/>
      <c r="I652" s="63"/>
      <c r="J652" s="63"/>
      <c r="K652" s="65"/>
    </row>
    <row r="653" spans="1:255" ht="24" x14ac:dyDescent="0.2">
      <c r="A653" s="114" t="s">
        <v>479</v>
      </c>
      <c r="B653" s="115" t="s">
        <v>480</v>
      </c>
      <c r="C653" s="116" t="s">
        <v>481</v>
      </c>
      <c r="D653" s="117" t="s">
        <v>33</v>
      </c>
      <c r="E653" s="118">
        <f>Source!I359</f>
        <v>7.2108000000000005E-2</v>
      </c>
      <c r="F653" s="119">
        <v>14571.47</v>
      </c>
      <c r="G653" s="71"/>
      <c r="H653" s="119">
        <f>Source!AC358</f>
        <v>14571.47</v>
      </c>
      <c r="I653" s="120">
        <f>T653</f>
        <v>1051</v>
      </c>
      <c r="J653" s="73" t="s">
        <v>863</v>
      </c>
      <c r="K653" s="121">
        <f>U653</f>
        <v>8458</v>
      </c>
      <c r="L653" s="23"/>
      <c r="M653" s="23"/>
      <c r="N653" s="23"/>
      <c r="O653" s="23"/>
      <c r="P653" s="23"/>
      <c r="Q653" s="23"/>
      <c r="R653" s="23"/>
      <c r="S653" s="23"/>
      <c r="T653" s="23">
        <f>ROUND(Source!AC358*Source!AW358*Source!I358,0)</f>
        <v>1051</v>
      </c>
      <c r="U653" s="23">
        <f>Source!P359</f>
        <v>8458</v>
      </c>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v>1</v>
      </c>
      <c r="CW653" s="23"/>
      <c r="CX653" s="23"/>
      <c r="CY653" s="23"/>
      <c r="CZ653" s="23"/>
      <c r="DA653" s="23"/>
      <c r="DB653" s="23"/>
      <c r="DC653" s="23"/>
      <c r="DD653" s="23"/>
      <c r="DE653" s="23"/>
      <c r="DF653" s="23"/>
      <c r="DG653" s="23"/>
      <c r="DH653" s="23"/>
      <c r="DI653" s="23"/>
      <c r="DJ653" s="23"/>
      <c r="DK653" s="23">
        <f>T653</f>
        <v>1051</v>
      </c>
      <c r="DL653" s="23"/>
      <c r="DM653" s="23">
        <f>Source!P359</f>
        <v>8458</v>
      </c>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f>T653</f>
        <v>1051</v>
      </c>
      <c r="GK653" s="23"/>
      <c r="GL653" s="23"/>
      <c r="GM653" s="23"/>
      <c r="GN653" s="23">
        <f>T653</f>
        <v>1051</v>
      </c>
      <c r="GO653" s="23"/>
      <c r="GP653" s="23">
        <f>T653</f>
        <v>1051</v>
      </c>
      <c r="GQ653" s="23">
        <f>T653</f>
        <v>1051</v>
      </c>
      <c r="GR653" s="23"/>
      <c r="GS653" s="23">
        <f>T653</f>
        <v>1051</v>
      </c>
      <c r="GT653" s="23"/>
      <c r="GU653" s="23"/>
      <c r="GV653" s="23"/>
      <c r="GW653" s="23"/>
      <c r="GX653" s="23"/>
      <c r="GY653" s="23"/>
      <c r="GZ653" s="23"/>
      <c r="HA653" s="23"/>
      <c r="HB653" s="23">
        <f>T653</f>
        <v>1051</v>
      </c>
      <c r="HC653" s="23"/>
      <c r="HD653" s="23"/>
      <c r="HE653" s="23"/>
      <c r="HF653" s="23">
        <f>T653</f>
        <v>1051</v>
      </c>
      <c r="HG653" s="23"/>
      <c r="HH653" s="23"/>
      <c r="HI653" s="23"/>
      <c r="HJ653" s="23"/>
      <c r="HK653" s="23"/>
      <c r="HL653" s="23">
        <f>T653</f>
        <v>1051</v>
      </c>
      <c r="HM653" s="23"/>
      <c r="HN653" s="23">
        <f>T653</f>
        <v>1051</v>
      </c>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row>
    <row r="654" spans="1:255" x14ac:dyDescent="0.2">
      <c r="A654" s="98"/>
      <c r="B654" s="113" t="s">
        <v>864</v>
      </c>
      <c r="C654" s="113" t="s">
        <v>979</v>
      </c>
      <c r="D654" s="33"/>
      <c r="E654" s="33"/>
      <c r="F654" s="33"/>
      <c r="G654" s="33"/>
      <c r="H654" s="33"/>
      <c r="I654" s="33"/>
      <c r="J654" s="33"/>
      <c r="K654" s="99"/>
    </row>
    <row r="655" spans="1:255" ht="13.5" thickBot="1" x14ac:dyDescent="0.25">
      <c r="A655" s="124"/>
      <c r="B655" s="125"/>
      <c r="C655" s="125" t="s">
        <v>867</v>
      </c>
      <c r="D655" s="125"/>
      <c r="E655" s="125"/>
      <c r="F655" s="125"/>
      <c r="G655" s="125"/>
      <c r="H655" s="380">
        <f>SUM(DK644:DK654)</f>
        <v>1056</v>
      </c>
      <c r="I655" s="381"/>
      <c r="J655" s="380">
        <f>SUM(DM644:DM654)</f>
        <v>8503</v>
      </c>
      <c r="K655" s="382"/>
      <c r="L655" s="112"/>
      <c r="M655" s="112"/>
      <c r="N655" s="112"/>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row>
    <row r="656" spans="1:255" x14ac:dyDescent="0.2">
      <c r="A656" s="123"/>
      <c r="B656" s="122"/>
      <c r="C656" s="122" t="s">
        <v>868</v>
      </c>
      <c r="D656" s="122"/>
      <c r="E656" s="122"/>
      <c r="F656" s="122"/>
      <c r="G656" s="122"/>
      <c r="H656" s="383">
        <f>R656</f>
        <v>1231</v>
      </c>
      <c r="I656" s="384"/>
      <c r="J656" s="383" t="e">
        <f>S656</f>
        <v>#REF!</v>
      </c>
      <c r="K656" s="385"/>
      <c r="O656" s="23"/>
      <c r="P656" s="23"/>
      <c r="Q656" s="23"/>
      <c r="R656" s="23">
        <f>SUM(T644:T655)</f>
        <v>1231</v>
      </c>
      <c r="S656" s="23" t="e">
        <f>SUM(U644:U655)</f>
        <v>#REF!</v>
      </c>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f>R656</f>
        <v>1231</v>
      </c>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row>
    <row r="657" spans="1:255" x14ac:dyDescent="0.2">
      <c r="A657" s="77"/>
      <c r="B657" s="76"/>
      <c r="C657" s="76"/>
      <c r="D657" s="76"/>
      <c r="E657" s="76"/>
      <c r="F657" s="76"/>
      <c r="G657" s="76"/>
      <c r="H657" s="386"/>
      <c r="I657" s="387"/>
      <c r="J657" s="386"/>
      <c r="K657" s="388"/>
    </row>
    <row r="658" spans="1:255" ht="45" x14ac:dyDescent="0.2">
      <c r="A658" s="126">
        <v>30</v>
      </c>
      <c r="B658" s="133" t="s">
        <v>369</v>
      </c>
      <c r="C658" s="127" t="s">
        <v>958</v>
      </c>
      <c r="D658" s="128" t="s">
        <v>49</v>
      </c>
      <c r="E658" s="129">
        <v>0.2</v>
      </c>
      <c r="F658" s="130">
        <f>Source!AK361</f>
        <v>6348.380000000001</v>
      </c>
      <c r="G658" s="134" t="s">
        <v>6</v>
      </c>
      <c r="H658" s="130"/>
      <c r="I658" s="131">
        <f>SUM(DQ658:DQ671)</f>
        <v>36</v>
      </c>
      <c r="J658" s="107" t="s">
        <v>369</v>
      </c>
      <c r="K658" s="132" t="e">
        <f>SUM(DS658:DS671)</f>
        <v>#REF!</v>
      </c>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row>
    <row r="659" spans="1:255" x14ac:dyDescent="0.2">
      <c r="A659" s="66"/>
      <c r="B659" s="67"/>
      <c r="C659" s="67" t="s">
        <v>853</v>
      </c>
      <c r="D659" s="68"/>
      <c r="E659" s="69"/>
      <c r="F659" s="70">
        <v>218.51</v>
      </c>
      <c r="G659" s="71" t="s">
        <v>854</v>
      </c>
      <c r="H659" s="70">
        <f>Source!AF361</f>
        <v>229.44</v>
      </c>
      <c r="I659" s="72">
        <f>T659</f>
        <v>11</v>
      </c>
      <c r="J659" s="73">
        <v>25.36</v>
      </c>
      <c r="K659" s="74">
        <f>U659</f>
        <v>291</v>
      </c>
      <c r="O659" s="23"/>
      <c r="P659" s="23"/>
      <c r="Q659" s="23"/>
      <c r="R659" s="23"/>
      <c r="S659" s="23"/>
      <c r="T659" s="23">
        <f>ROUND(Source!AF361*Source!AV361*Source!I361,0)</f>
        <v>11</v>
      </c>
      <c r="U659" s="23">
        <f>Source!S361</f>
        <v>291</v>
      </c>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v>1</v>
      </c>
      <c r="CW659" s="23"/>
      <c r="CX659" s="23"/>
      <c r="CY659" s="23"/>
      <c r="CZ659" s="23"/>
      <c r="DA659" s="23"/>
      <c r="DB659" s="23"/>
      <c r="DC659" s="23"/>
      <c r="DD659" s="23"/>
      <c r="DE659" s="23"/>
      <c r="DF659" s="23"/>
      <c r="DG659" s="23">
        <f>Source!S361</f>
        <v>291</v>
      </c>
      <c r="DH659" s="23">
        <v>1015</v>
      </c>
      <c r="DI659" s="23"/>
      <c r="DJ659" s="23"/>
      <c r="DK659" s="23"/>
      <c r="DL659" s="23"/>
      <c r="DM659" s="23"/>
      <c r="DN659" s="23"/>
      <c r="DO659" s="23"/>
      <c r="DP659" s="23"/>
      <c r="DQ659" s="23">
        <f>T659</f>
        <v>11</v>
      </c>
      <c r="DR659" s="23"/>
      <c r="DS659" s="23">
        <f>U659</f>
        <v>291</v>
      </c>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f>T659</f>
        <v>11</v>
      </c>
      <c r="GK659" s="23">
        <f>T659</f>
        <v>11</v>
      </c>
      <c r="GL659" s="23"/>
      <c r="GM659" s="23"/>
      <c r="GN659" s="23"/>
      <c r="GO659" s="23"/>
      <c r="GP659" s="23"/>
      <c r="GQ659" s="23"/>
      <c r="GR659" s="23"/>
      <c r="GS659" s="23"/>
      <c r="GT659" s="23"/>
      <c r="GU659" s="23"/>
      <c r="GV659" s="23"/>
      <c r="GW659" s="23"/>
      <c r="GX659" s="23"/>
      <c r="GY659" s="23"/>
      <c r="GZ659" s="23"/>
      <c r="HA659" s="23"/>
      <c r="HB659" s="23">
        <f>T659</f>
        <v>11</v>
      </c>
      <c r="HC659" s="23"/>
      <c r="HD659" s="23"/>
      <c r="HE659" s="23"/>
      <c r="HF659" s="23">
        <f>T659</f>
        <v>11</v>
      </c>
      <c r="HG659" s="23"/>
      <c r="HH659" s="23"/>
      <c r="HI659" s="23"/>
      <c r="HJ659" s="23"/>
      <c r="HK659" s="23"/>
      <c r="HL659" s="23">
        <f>T659</f>
        <v>11</v>
      </c>
      <c r="HM659" s="23"/>
      <c r="HN659" s="23">
        <f>T659</f>
        <v>11</v>
      </c>
      <c r="HO659" s="23"/>
      <c r="HP659" s="23"/>
      <c r="HQ659" s="23"/>
      <c r="HR659" s="23"/>
      <c r="HS659" s="23"/>
      <c r="HT659" s="23"/>
      <c r="HU659" s="23"/>
      <c r="HV659" s="23"/>
      <c r="HW659" s="23"/>
      <c r="HX659" s="23">
        <f>T659</f>
        <v>11</v>
      </c>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row>
    <row r="660" spans="1:255" x14ac:dyDescent="0.2">
      <c r="A660" s="78"/>
      <c r="B660" s="79"/>
      <c r="C660" s="79" t="s">
        <v>855</v>
      </c>
      <c r="D660" s="80"/>
      <c r="E660" s="81"/>
      <c r="F660" s="82">
        <v>66.52</v>
      </c>
      <c r="G660" s="83" t="s">
        <v>856</v>
      </c>
      <c r="H660" s="82">
        <f>Source!AD361</f>
        <v>86.84</v>
      </c>
      <c r="I660" s="84">
        <f>T660</f>
        <v>4</v>
      </c>
      <c r="J660" s="85">
        <v>7.84</v>
      </c>
      <c r="K660" s="86">
        <f>U660</f>
        <v>34</v>
      </c>
      <c r="O660" s="23"/>
      <c r="P660" s="23"/>
      <c r="Q660" s="23"/>
      <c r="R660" s="23"/>
      <c r="S660" s="23"/>
      <c r="T660" s="23">
        <f>ROUND(Source!AD361*Source!AV361*Source!I361,0)</f>
        <v>4</v>
      </c>
      <c r="U660" s="23">
        <f>Source!Q361</f>
        <v>34</v>
      </c>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v>1</v>
      </c>
      <c r="CW660" s="23"/>
      <c r="CX660" s="23"/>
      <c r="CY660" s="23"/>
      <c r="CZ660" s="23"/>
      <c r="DA660" s="23"/>
      <c r="DB660" s="23"/>
      <c r="DC660" s="23"/>
      <c r="DD660" s="23"/>
      <c r="DE660" s="23"/>
      <c r="DF660" s="23"/>
      <c r="DG660" s="23"/>
      <c r="DH660" s="23"/>
      <c r="DI660" s="23"/>
      <c r="DJ660" s="23"/>
      <c r="DK660" s="23"/>
      <c r="DL660" s="23"/>
      <c r="DM660" s="23"/>
      <c r="DN660" s="23"/>
      <c r="DO660" s="23"/>
      <c r="DP660" s="23"/>
      <c r="DQ660" s="23">
        <f>T660</f>
        <v>4</v>
      </c>
      <c r="DR660" s="23"/>
      <c r="DS660" s="23">
        <f>U660</f>
        <v>34</v>
      </c>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f>T660</f>
        <v>4</v>
      </c>
      <c r="GK660" s="23"/>
      <c r="GL660" s="23">
        <f>T660</f>
        <v>4</v>
      </c>
      <c r="GM660" s="23"/>
      <c r="GN660" s="23"/>
      <c r="GO660" s="23"/>
      <c r="GP660" s="23"/>
      <c r="GQ660" s="23"/>
      <c r="GR660" s="23"/>
      <c r="GS660" s="23"/>
      <c r="GT660" s="23"/>
      <c r="GU660" s="23"/>
      <c r="GV660" s="23"/>
      <c r="GW660" s="23"/>
      <c r="GX660" s="23"/>
      <c r="GY660" s="23"/>
      <c r="GZ660" s="23"/>
      <c r="HA660" s="23"/>
      <c r="HB660" s="23">
        <f>T660</f>
        <v>4</v>
      </c>
      <c r="HC660" s="23"/>
      <c r="HD660" s="23"/>
      <c r="HE660" s="23"/>
      <c r="HF660" s="23">
        <f>T660</f>
        <v>4</v>
      </c>
      <c r="HG660" s="23"/>
      <c r="HH660" s="23"/>
      <c r="HI660" s="23"/>
      <c r="HJ660" s="23"/>
      <c r="HK660" s="23"/>
      <c r="HL660" s="23">
        <f>T660</f>
        <v>4</v>
      </c>
      <c r="HM660" s="23"/>
      <c r="HN660" s="23">
        <f>T660</f>
        <v>4</v>
      </c>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row>
    <row r="661" spans="1:255" x14ac:dyDescent="0.2">
      <c r="A661" s="78"/>
      <c r="B661" s="79"/>
      <c r="C661" s="79" t="s">
        <v>857</v>
      </c>
      <c r="D661" s="80"/>
      <c r="E661" s="81"/>
      <c r="F661" s="82">
        <v>7.62</v>
      </c>
      <c r="G661" s="83" t="s">
        <v>856</v>
      </c>
      <c r="H661" s="82">
        <f>Source!AE361</f>
        <v>8.5299999999999994</v>
      </c>
      <c r="I661" s="84">
        <f>GM661</f>
        <v>0</v>
      </c>
      <c r="J661" s="85">
        <v>19.8</v>
      </c>
      <c r="K661" s="86">
        <f>Source!R361</f>
        <v>8</v>
      </c>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f>ROUND(Source!AE361*Source!AV361*Source!I361,0)</f>
        <v>0</v>
      </c>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f>GM661</f>
        <v>0</v>
      </c>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row>
    <row r="662" spans="1:255" x14ac:dyDescent="0.2">
      <c r="A662" s="87"/>
      <c r="B662" s="88"/>
      <c r="C662" s="88" t="s">
        <v>858</v>
      </c>
      <c r="D662" s="89"/>
      <c r="E662" s="90">
        <v>120</v>
      </c>
      <c r="F662" s="91" t="s">
        <v>859</v>
      </c>
      <c r="G662" s="92"/>
      <c r="H662" s="93">
        <f>ROUND((Source!AF361*Source!AV361+Source!AE361*Source!AV361)*(Source!FX361)/100,2)</f>
        <v>285.56</v>
      </c>
      <c r="I662" s="94">
        <f>T662</f>
        <v>13</v>
      </c>
      <c r="J662" s="96">
        <v>1.1399999999999999</v>
      </c>
      <c r="K662" s="95" t="e">
        <f>U662</f>
        <v>#REF!</v>
      </c>
      <c r="O662" s="23"/>
      <c r="P662" s="23"/>
      <c r="Q662" s="23"/>
      <c r="R662" s="23"/>
      <c r="S662" s="23"/>
      <c r="T662" s="23">
        <f>ROUND((ROUND(Source!AF361*Source!AV361*Source!I361,0)+ROUND(Source!AE361*Source!AV361*Source!I361,0))*(Source!DN361)/100,0)</f>
        <v>13</v>
      </c>
      <c r="U662" s="23" t="e">
        <f>Source!X361</f>
        <v>#REF!</v>
      </c>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v>1</v>
      </c>
      <c r="CW662" s="23"/>
      <c r="CX662" s="23"/>
      <c r="CY662" s="23"/>
      <c r="CZ662" s="23"/>
      <c r="DA662" s="23"/>
      <c r="DB662" s="23"/>
      <c r="DC662" s="23"/>
      <c r="DD662" s="23"/>
      <c r="DE662" s="23"/>
      <c r="DF662" s="23"/>
      <c r="DG662" s="23"/>
      <c r="DH662" s="23"/>
      <c r="DI662" s="23"/>
      <c r="DJ662" s="23"/>
      <c r="DK662" s="23"/>
      <c r="DL662" s="23"/>
      <c r="DM662" s="23"/>
      <c r="DN662" s="23"/>
      <c r="DO662" s="23"/>
      <c r="DP662" s="23"/>
      <c r="DQ662" s="23">
        <f>T662</f>
        <v>13</v>
      </c>
      <c r="DR662" s="23"/>
      <c r="DS662" s="23" t="e">
        <f>U662</f>
        <v>#REF!</v>
      </c>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f>T662</f>
        <v>13</v>
      </c>
      <c r="GZ662" s="23"/>
      <c r="HA662" s="23"/>
      <c r="HB662" s="23">
        <f>T662</f>
        <v>13</v>
      </c>
      <c r="HC662" s="23"/>
      <c r="HD662" s="23"/>
      <c r="HE662" s="23"/>
      <c r="HF662" s="23">
        <f>T662</f>
        <v>13</v>
      </c>
      <c r="HG662" s="23"/>
      <c r="HH662" s="23"/>
      <c r="HI662" s="23"/>
      <c r="HJ662" s="23"/>
      <c r="HK662" s="23"/>
      <c r="HL662" s="23">
        <f>T662</f>
        <v>13</v>
      </c>
      <c r="HM662" s="23"/>
      <c r="HN662" s="23">
        <f>T662</f>
        <v>13</v>
      </c>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row>
    <row r="663" spans="1:255" x14ac:dyDescent="0.2">
      <c r="A663" s="87"/>
      <c r="B663" s="88"/>
      <c r="C663" s="88" t="s">
        <v>860</v>
      </c>
      <c r="D663" s="89"/>
      <c r="E663" s="90">
        <v>77</v>
      </c>
      <c r="F663" s="91" t="s">
        <v>859</v>
      </c>
      <c r="G663" s="92"/>
      <c r="H663" s="93">
        <f>ROUND((Source!AF361*Source!AV361+Source!AE361*Source!AV361)*(Source!FY361)/100,2)</f>
        <v>183.24</v>
      </c>
      <c r="I663" s="94">
        <f>T663</f>
        <v>8</v>
      </c>
      <c r="J663" s="96">
        <v>0.65</v>
      </c>
      <c r="K663" s="95" t="e">
        <f>U663</f>
        <v>#REF!</v>
      </c>
      <c r="O663" s="23"/>
      <c r="P663" s="23"/>
      <c r="Q663" s="23"/>
      <c r="R663" s="23"/>
      <c r="S663" s="23"/>
      <c r="T663" s="23">
        <f>ROUND((ROUND(Source!AF361*Source!AV361*Source!I361,0)+ROUND(Source!AE361*Source!AV361*Source!I361,0))*(Source!DO361)/100,0)</f>
        <v>8</v>
      </c>
      <c r="U663" s="23" t="e">
        <f>Source!Y361</f>
        <v>#REF!</v>
      </c>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v>1</v>
      </c>
      <c r="CW663" s="23"/>
      <c r="CX663" s="23"/>
      <c r="CY663" s="23"/>
      <c r="CZ663" s="23"/>
      <c r="DA663" s="23"/>
      <c r="DB663" s="23"/>
      <c r="DC663" s="23"/>
      <c r="DD663" s="23"/>
      <c r="DE663" s="23"/>
      <c r="DF663" s="23"/>
      <c r="DG663" s="23"/>
      <c r="DH663" s="23"/>
      <c r="DI663" s="23"/>
      <c r="DJ663" s="23"/>
      <c r="DK663" s="23"/>
      <c r="DL663" s="23"/>
      <c r="DM663" s="23"/>
      <c r="DN663" s="23"/>
      <c r="DO663" s="23"/>
      <c r="DP663" s="23"/>
      <c r="DQ663" s="23">
        <f>T663</f>
        <v>8</v>
      </c>
      <c r="DR663" s="23"/>
      <c r="DS663" s="23" t="e">
        <f>U663</f>
        <v>#REF!</v>
      </c>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f>T663</f>
        <v>8</v>
      </c>
      <c r="HA663" s="23"/>
      <c r="HB663" s="23">
        <f>T663</f>
        <v>8</v>
      </c>
      <c r="HC663" s="23"/>
      <c r="HD663" s="23"/>
      <c r="HE663" s="23"/>
      <c r="HF663" s="23">
        <f>T663</f>
        <v>8</v>
      </c>
      <c r="HG663" s="23"/>
      <c r="HH663" s="23"/>
      <c r="HI663" s="23"/>
      <c r="HJ663" s="23"/>
      <c r="HK663" s="23"/>
      <c r="HL663" s="23">
        <f>T663</f>
        <v>8</v>
      </c>
      <c r="HM663" s="23"/>
      <c r="HN663" s="23">
        <f>T663</f>
        <v>8</v>
      </c>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row>
    <row r="664" spans="1:255" x14ac:dyDescent="0.2">
      <c r="A664" s="78"/>
      <c r="B664" s="79"/>
      <c r="C664" s="79" t="s">
        <v>861</v>
      </c>
      <c r="D664" s="80" t="s">
        <v>862</v>
      </c>
      <c r="E664" s="81">
        <v>27.28</v>
      </c>
      <c r="F664" s="82"/>
      <c r="G664" s="83" t="s">
        <v>854</v>
      </c>
      <c r="H664" s="82" t="e">
        <f>ROUND(Source!AH361,2)</f>
        <v>#REF!</v>
      </c>
      <c r="I664" s="97" t="e">
        <f>Source!U361</f>
        <v>#REF!</v>
      </c>
      <c r="J664" s="85"/>
      <c r="K664" s="86"/>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row>
    <row r="665" spans="1:255" x14ac:dyDescent="0.2">
      <c r="A665" s="100" t="s">
        <v>485</v>
      </c>
      <c r="B665" s="109" t="s">
        <v>316</v>
      </c>
      <c r="C665" s="101" t="s">
        <v>317</v>
      </c>
      <c r="D665" s="102" t="s">
        <v>33</v>
      </c>
      <c r="E665" s="103">
        <f>Source!I363</f>
        <v>2.9999999999999997E-4</v>
      </c>
      <c r="F665" s="104">
        <v>10559.12</v>
      </c>
      <c r="G665" s="105"/>
      <c r="H665" s="104">
        <f>Source!AC362</f>
        <v>10559.12</v>
      </c>
      <c r="I665" s="106">
        <f>T665</f>
        <v>3</v>
      </c>
      <c r="J665" s="107" t="s">
        <v>863</v>
      </c>
      <c r="K665" s="108">
        <f>U665</f>
        <v>31</v>
      </c>
      <c r="L665" s="23"/>
      <c r="M665" s="23"/>
      <c r="N665" s="23"/>
      <c r="O665" s="23"/>
      <c r="P665" s="23"/>
      <c r="Q665" s="23"/>
      <c r="R665" s="23"/>
      <c r="S665" s="23"/>
      <c r="T665" s="23">
        <f>ROUND(Source!AC362*Source!AW362*Source!I362,0)</f>
        <v>3</v>
      </c>
      <c r="U665" s="23">
        <f>Source!P363</f>
        <v>31</v>
      </c>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v>1</v>
      </c>
      <c r="CW665" s="23"/>
      <c r="CX665" s="23"/>
      <c r="CY665" s="23"/>
      <c r="CZ665" s="23"/>
      <c r="DA665" s="23"/>
      <c r="DB665" s="23"/>
      <c r="DC665" s="23"/>
      <c r="DD665" s="23"/>
      <c r="DE665" s="23"/>
      <c r="DF665" s="23"/>
      <c r="DG665" s="23"/>
      <c r="DH665" s="23"/>
      <c r="DI665" s="23"/>
      <c r="DJ665" s="23"/>
      <c r="DK665" s="23">
        <f>T665</f>
        <v>3</v>
      </c>
      <c r="DL665" s="23"/>
      <c r="DM665" s="23">
        <f>Source!P363</f>
        <v>31</v>
      </c>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f>T665</f>
        <v>3</v>
      </c>
      <c r="GK665" s="23"/>
      <c r="GL665" s="23"/>
      <c r="GM665" s="23"/>
      <c r="GN665" s="23">
        <f>T665</f>
        <v>3</v>
      </c>
      <c r="GO665" s="23"/>
      <c r="GP665" s="23">
        <f>T665</f>
        <v>3</v>
      </c>
      <c r="GQ665" s="23">
        <f>T665</f>
        <v>3</v>
      </c>
      <c r="GR665" s="23"/>
      <c r="GS665" s="23">
        <f>T665</f>
        <v>3</v>
      </c>
      <c r="GT665" s="23"/>
      <c r="GU665" s="23"/>
      <c r="GV665" s="23"/>
      <c r="GW665" s="23"/>
      <c r="GX665" s="23"/>
      <c r="GY665" s="23"/>
      <c r="GZ665" s="23"/>
      <c r="HA665" s="23"/>
      <c r="HB665" s="23">
        <f>T665</f>
        <v>3</v>
      </c>
      <c r="HC665" s="23"/>
      <c r="HD665" s="23"/>
      <c r="HE665" s="23"/>
      <c r="HF665" s="23">
        <f>T665</f>
        <v>3</v>
      </c>
      <c r="HG665" s="23"/>
      <c r="HH665" s="23"/>
      <c r="HI665" s="23"/>
      <c r="HJ665" s="23"/>
      <c r="HK665" s="23"/>
      <c r="HL665" s="23">
        <f>T665</f>
        <v>3</v>
      </c>
      <c r="HM665" s="23"/>
      <c r="HN665" s="23">
        <f>T665</f>
        <v>3</v>
      </c>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row>
    <row r="666" spans="1:255" x14ac:dyDescent="0.2">
      <c r="A666" s="64"/>
      <c r="B666" s="111" t="s">
        <v>864</v>
      </c>
      <c r="C666" s="111" t="s">
        <v>949</v>
      </c>
      <c r="D666" s="63"/>
      <c r="E666" s="63"/>
      <c r="F666" s="63"/>
      <c r="G666" s="63"/>
      <c r="H666" s="63"/>
      <c r="I666" s="63"/>
      <c r="J666" s="63"/>
      <c r="K666" s="65"/>
    </row>
    <row r="667" spans="1:255" x14ac:dyDescent="0.2">
      <c r="A667" s="100" t="s">
        <v>486</v>
      </c>
      <c r="B667" s="109" t="s">
        <v>487</v>
      </c>
      <c r="C667" s="101" t="s">
        <v>488</v>
      </c>
      <c r="D667" s="102" t="s">
        <v>33</v>
      </c>
      <c r="E667" s="103">
        <f>Source!I365</f>
        <v>4.7324999999999999E-2</v>
      </c>
      <c r="F667" s="104">
        <v>16366.06</v>
      </c>
      <c r="G667" s="105"/>
      <c r="H667" s="104">
        <f>Source!AC364</f>
        <v>16366.06</v>
      </c>
      <c r="I667" s="106">
        <f>T667</f>
        <v>775</v>
      </c>
      <c r="J667" s="107" t="s">
        <v>863</v>
      </c>
      <c r="K667" s="108">
        <f>U667</f>
        <v>6408</v>
      </c>
      <c r="L667" s="23"/>
      <c r="M667" s="23"/>
      <c r="N667" s="23"/>
      <c r="O667" s="23"/>
      <c r="P667" s="23"/>
      <c r="Q667" s="23"/>
      <c r="R667" s="23"/>
      <c r="S667" s="23"/>
      <c r="T667" s="23">
        <f>ROUND(Source!AC364*Source!AW364*Source!I364,0)</f>
        <v>775</v>
      </c>
      <c r="U667" s="23">
        <f>Source!P365</f>
        <v>6408</v>
      </c>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v>1</v>
      </c>
      <c r="CW667" s="23"/>
      <c r="CX667" s="23"/>
      <c r="CY667" s="23"/>
      <c r="CZ667" s="23"/>
      <c r="DA667" s="23"/>
      <c r="DB667" s="23"/>
      <c r="DC667" s="23"/>
      <c r="DD667" s="23"/>
      <c r="DE667" s="23"/>
      <c r="DF667" s="23"/>
      <c r="DG667" s="23"/>
      <c r="DH667" s="23"/>
      <c r="DI667" s="23"/>
      <c r="DJ667" s="23"/>
      <c r="DK667" s="23">
        <f>T667</f>
        <v>775</v>
      </c>
      <c r="DL667" s="23"/>
      <c r="DM667" s="23">
        <f>Source!P365</f>
        <v>6408</v>
      </c>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f>T667</f>
        <v>775</v>
      </c>
      <c r="GK667" s="23"/>
      <c r="GL667" s="23"/>
      <c r="GM667" s="23"/>
      <c r="GN667" s="23">
        <f>T667</f>
        <v>775</v>
      </c>
      <c r="GO667" s="23"/>
      <c r="GP667" s="23">
        <f>T667</f>
        <v>775</v>
      </c>
      <c r="GQ667" s="23">
        <f>T667</f>
        <v>775</v>
      </c>
      <c r="GR667" s="23"/>
      <c r="GS667" s="23">
        <f>T667</f>
        <v>775</v>
      </c>
      <c r="GT667" s="23"/>
      <c r="GU667" s="23"/>
      <c r="GV667" s="23"/>
      <c r="GW667" s="23"/>
      <c r="GX667" s="23"/>
      <c r="GY667" s="23"/>
      <c r="GZ667" s="23"/>
      <c r="HA667" s="23"/>
      <c r="HB667" s="23">
        <f>T667</f>
        <v>775</v>
      </c>
      <c r="HC667" s="23"/>
      <c r="HD667" s="23"/>
      <c r="HE667" s="23"/>
      <c r="HF667" s="23">
        <f>T667</f>
        <v>775</v>
      </c>
      <c r="HG667" s="23"/>
      <c r="HH667" s="23"/>
      <c r="HI667" s="23"/>
      <c r="HJ667" s="23"/>
      <c r="HK667" s="23"/>
      <c r="HL667" s="23">
        <f>T667</f>
        <v>775</v>
      </c>
      <c r="HM667" s="23"/>
      <c r="HN667" s="23">
        <f>T667</f>
        <v>775</v>
      </c>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row>
    <row r="668" spans="1:255" x14ac:dyDescent="0.2">
      <c r="A668" s="64"/>
      <c r="B668" s="111" t="s">
        <v>864</v>
      </c>
      <c r="C668" s="111" t="s">
        <v>980</v>
      </c>
      <c r="D668" s="63"/>
      <c r="E668" s="63"/>
      <c r="F668" s="63"/>
      <c r="G668" s="63"/>
      <c r="H668" s="63"/>
      <c r="I668" s="63"/>
      <c r="J668" s="63"/>
      <c r="K668" s="65"/>
    </row>
    <row r="669" spans="1:255" ht="24" x14ac:dyDescent="0.2">
      <c r="A669" s="114" t="s">
        <v>491</v>
      </c>
      <c r="B669" s="115" t="s">
        <v>480</v>
      </c>
      <c r="C669" s="116" t="s">
        <v>492</v>
      </c>
      <c r="D669" s="117" t="s">
        <v>33</v>
      </c>
      <c r="E669" s="118">
        <f>Source!I367</f>
        <v>2.6949999999999999E-3</v>
      </c>
      <c r="F669" s="119">
        <v>14571.47</v>
      </c>
      <c r="G669" s="71"/>
      <c r="H669" s="119">
        <f>Source!AC366</f>
        <v>14571.47</v>
      </c>
      <c r="I669" s="120">
        <f>T669</f>
        <v>39</v>
      </c>
      <c r="J669" s="73" t="s">
        <v>863</v>
      </c>
      <c r="K669" s="121">
        <f>U669</f>
        <v>316</v>
      </c>
      <c r="L669" s="23"/>
      <c r="M669" s="23"/>
      <c r="N669" s="23"/>
      <c r="O669" s="23"/>
      <c r="P669" s="23"/>
      <c r="Q669" s="23"/>
      <c r="R669" s="23"/>
      <c r="S669" s="23"/>
      <c r="T669" s="23">
        <f>ROUND(Source!AC366*Source!AW366*Source!I366,0)</f>
        <v>39</v>
      </c>
      <c r="U669" s="23">
        <f>Source!P367</f>
        <v>316</v>
      </c>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v>1</v>
      </c>
      <c r="CW669" s="23"/>
      <c r="CX669" s="23"/>
      <c r="CY669" s="23"/>
      <c r="CZ669" s="23"/>
      <c r="DA669" s="23"/>
      <c r="DB669" s="23"/>
      <c r="DC669" s="23"/>
      <c r="DD669" s="23"/>
      <c r="DE669" s="23"/>
      <c r="DF669" s="23"/>
      <c r="DG669" s="23"/>
      <c r="DH669" s="23"/>
      <c r="DI669" s="23"/>
      <c r="DJ669" s="23"/>
      <c r="DK669" s="23">
        <f>T669</f>
        <v>39</v>
      </c>
      <c r="DL669" s="23"/>
      <c r="DM669" s="23">
        <f>Source!P367</f>
        <v>316</v>
      </c>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f>T669</f>
        <v>39</v>
      </c>
      <c r="GK669" s="23"/>
      <c r="GL669" s="23"/>
      <c r="GM669" s="23"/>
      <c r="GN669" s="23">
        <f>T669</f>
        <v>39</v>
      </c>
      <c r="GO669" s="23"/>
      <c r="GP669" s="23">
        <f>T669</f>
        <v>39</v>
      </c>
      <c r="GQ669" s="23">
        <f>T669</f>
        <v>39</v>
      </c>
      <c r="GR669" s="23"/>
      <c r="GS669" s="23">
        <f>T669</f>
        <v>39</v>
      </c>
      <c r="GT669" s="23"/>
      <c r="GU669" s="23"/>
      <c r="GV669" s="23"/>
      <c r="GW669" s="23"/>
      <c r="GX669" s="23"/>
      <c r="GY669" s="23"/>
      <c r="GZ669" s="23"/>
      <c r="HA669" s="23"/>
      <c r="HB669" s="23">
        <f>T669</f>
        <v>39</v>
      </c>
      <c r="HC669" s="23"/>
      <c r="HD669" s="23"/>
      <c r="HE669" s="23"/>
      <c r="HF669" s="23">
        <f>T669</f>
        <v>39</v>
      </c>
      <c r="HG669" s="23"/>
      <c r="HH669" s="23"/>
      <c r="HI669" s="23"/>
      <c r="HJ669" s="23"/>
      <c r="HK669" s="23"/>
      <c r="HL669" s="23">
        <f>T669</f>
        <v>39</v>
      </c>
      <c r="HM669" s="23"/>
      <c r="HN669" s="23">
        <f>T669</f>
        <v>39</v>
      </c>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row>
    <row r="670" spans="1:255" x14ac:dyDescent="0.2">
      <c r="A670" s="98"/>
      <c r="B670" s="113" t="s">
        <v>864</v>
      </c>
      <c r="C670" s="113" t="s">
        <v>979</v>
      </c>
      <c r="D670" s="33"/>
      <c r="E670" s="33"/>
      <c r="F670" s="33"/>
      <c r="G670" s="33"/>
      <c r="H670" s="33"/>
      <c r="I670" s="33"/>
      <c r="J670" s="33"/>
      <c r="K670" s="99"/>
    </row>
    <row r="671" spans="1:255" ht="13.5" thickBot="1" x14ac:dyDescent="0.25">
      <c r="A671" s="124"/>
      <c r="B671" s="125"/>
      <c r="C671" s="125" t="s">
        <v>867</v>
      </c>
      <c r="D671" s="125"/>
      <c r="E671" s="125"/>
      <c r="F671" s="125"/>
      <c r="G671" s="125"/>
      <c r="H671" s="380">
        <f>SUM(DK658:DK670)</f>
        <v>817</v>
      </c>
      <c r="I671" s="381"/>
      <c r="J671" s="380">
        <f>SUM(DM658:DM670)</f>
        <v>6755</v>
      </c>
      <c r="K671" s="382"/>
      <c r="L671" s="112"/>
      <c r="M671" s="112"/>
      <c r="N671" s="112"/>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row>
    <row r="672" spans="1:255" x14ac:dyDescent="0.2">
      <c r="A672" s="123"/>
      <c r="B672" s="122"/>
      <c r="C672" s="122" t="s">
        <v>868</v>
      </c>
      <c r="D672" s="122"/>
      <c r="E672" s="122"/>
      <c r="F672" s="122"/>
      <c r="G672" s="122"/>
      <c r="H672" s="383">
        <f>R672</f>
        <v>853</v>
      </c>
      <c r="I672" s="384"/>
      <c r="J672" s="383" t="e">
        <f>S672</f>
        <v>#REF!</v>
      </c>
      <c r="K672" s="385"/>
      <c r="O672" s="23"/>
      <c r="P672" s="23"/>
      <c r="Q672" s="23"/>
      <c r="R672" s="23">
        <f>SUM(T658:T671)</f>
        <v>853</v>
      </c>
      <c r="S672" s="23" t="e">
        <f>SUM(U658:U671)</f>
        <v>#REF!</v>
      </c>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f>R672</f>
        <v>853</v>
      </c>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row>
    <row r="673" spans="1:255" x14ac:dyDescent="0.2">
      <c r="A673" s="77"/>
      <c r="B673" s="76"/>
      <c r="C673" s="76"/>
      <c r="D673" s="76"/>
      <c r="E673" s="76"/>
      <c r="F673" s="76"/>
      <c r="G673" s="76"/>
      <c r="H673" s="386"/>
      <c r="I673" s="387"/>
      <c r="J673" s="386"/>
      <c r="K673" s="388"/>
    </row>
    <row r="674" spans="1:255" ht="33.75" x14ac:dyDescent="0.2">
      <c r="A674" s="126">
        <v>31</v>
      </c>
      <c r="B674" s="133" t="s">
        <v>494</v>
      </c>
      <c r="C674" s="127" t="s">
        <v>495</v>
      </c>
      <c r="D674" s="128" t="s">
        <v>496</v>
      </c>
      <c r="E674" s="129">
        <v>0.16300000000000001</v>
      </c>
      <c r="F674" s="130">
        <f>Source!AK369</f>
        <v>15154.3</v>
      </c>
      <c r="G674" s="134" t="s">
        <v>6</v>
      </c>
      <c r="H674" s="130"/>
      <c r="I674" s="131">
        <f>SUM(DQ674:DQ684)</f>
        <v>66</v>
      </c>
      <c r="J674" s="107" t="s">
        <v>494</v>
      </c>
      <c r="K674" s="132" t="e">
        <f>SUM(DS674:DS684)</f>
        <v>#REF!</v>
      </c>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row>
    <row r="675" spans="1:255" x14ac:dyDescent="0.2">
      <c r="A675" s="66"/>
      <c r="B675" s="67"/>
      <c r="C675" s="67" t="s">
        <v>853</v>
      </c>
      <c r="D675" s="68"/>
      <c r="E675" s="69"/>
      <c r="F675" s="70">
        <v>439.81</v>
      </c>
      <c r="G675" s="71"/>
      <c r="H675" s="70">
        <f>Source!AF369</f>
        <v>439.81</v>
      </c>
      <c r="I675" s="72">
        <f>T675</f>
        <v>18</v>
      </c>
      <c r="J675" s="73">
        <v>25.6</v>
      </c>
      <c r="K675" s="74">
        <f>U675</f>
        <v>459</v>
      </c>
      <c r="O675" s="23"/>
      <c r="P675" s="23"/>
      <c r="Q675" s="23"/>
      <c r="R675" s="23"/>
      <c r="S675" s="23"/>
      <c r="T675" s="23">
        <f>ROUND(Source!AF369*Source!AV369*Source!I369,0)</f>
        <v>18</v>
      </c>
      <c r="U675" s="23">
        <f>Source!S369</f>
        <v>459</v>
      </c>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v>1</v>
      </c>
      <c r="CW675" s="23"/>
      <c r="CX675" s="23"/>
      <c r="CY675" s="23"/>
      <c r="CZ675" s="23"/>
      <c r="DA675" s="23"/>
      <c r="DB675" s="23"/>
      <c r="DC675" s="23"/>
      <c r="DD675" s="23"/>
      <c r="DE675" s="23"/>
      <c r="DF675" s="23"/>
      <c r="DG675" s="23">
        <f>Source!S369</f>
        <v>459</v>
      </c>
      <c r="DH675" s="23">
        <v>1008</v>
      </c>
      <c r="DI675" s="23"/>
      <c r="DJ675" s="23"/>
      <c r="DK675" s="23"/>
      <c r="DL675" s="23"/>
      <c r="DM675" s="23"/>
      <c r="DN675" s="23"/>
      <c r="DO675" s="23"/>
      <c r="DP675" s="23"/>
      <c r="DQ675" s="23">
        <f>T675</f>
        <v>18</v>
      </c>
      <c r="DR675" s="23"/>
      <c r="DS675" s="23">
        <f>U675</f>
        <v>459</v>
      </c>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f>T675</f>
        <v>18</v>
      </c>
      <c r="GK675" s="23">
        <f>T675</f>
        <v>18</v>
      </c>
      <c r="GL675" s="23"/>
      <c r="GM675" s="23"/>
      <c r="GN675" s="23"/>
      <c r="GO675" s="23"/>
      <c r="GP675" s="23"/>
      <c r="GQ675" s="23"/>
      <c r="GR675" s="23"/>
      <c r="GS675" s="23"/>
      <c r="GT675" s="23"/>
      <c r="GU675" s="23"/>
      <c r="GV675" s="23"/>
      <c r="GW675" s="23"/>
      <c r="GX675" s="23"/>
      <c r="GY675" s="23"/>
      <c r="GZ675" s="23"/>
      <c r="HA675" s="23"/>
      <c r="HB675" s="23">
        <f>T675</f>
        <v>18</v>
      </c>
      <c r="HC675" s="23"/>
      <c r="HD675" s="23"/>
      <c r="HE675" s="23"/>
      <c r="HF675" s="23">
        <f>T675</f>
        <v>18</v>
      </c>
      <c r="HG675" s="23"/>
      <c r="HH675" s="23"/>
      <c r="HI675" s="23"/>
      <c r="HJ675" s="23"/>
      <c r="HK675" s="23"/>
      <c r="HL675" s="23">
        <f>T675</f>
        <v>18</v>
      </c>
      <c r="HM675" s="23"/>
      <c r="HN675" s="23">
        <f>T675</f>
        <v>18</v>
      </c>
      <c r="HO675" s="23"/>
      <c r="HP675" s="23"/>
      <c r="HQ675" s="23"/>
      <c r="HR675" s="23"/>
      <c r="HS675" s="23"/>
      <c r="HT675" s="23"/>
      <c r="HU675" s="23"/>
      <c r="HV675" s="23"/>
      <c r="HW675" s="23"/>
      <c r="HX675" s="23">
        <f>T675</f>
        <v>18</v>
      </c>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row>
    <row r="676" spans="1:255" x14ac:dyDescent="0.2">
      <c r="A676" s="78"/>
      <c r="B676" s="79"/>
      <c r="C676" s="79" t="s">
        <v>855</v>
      </c>
      <c r="D676" s="80"/>
      <c r="E676" s="81"/>
      <c r="F676" s="82">
        <v>255.76</v>
      </c>
      <c r="G676" s="83"/>
      <c r="H676" s="82">
        <f>Source!AD369</f>
        <v>255.76</v>
      </c>
      <c r="I676" s="84">
        <f>T676</f>
        <v>10</v>
      </c>
      <c r="J676" s="85">
        <v>9.3000000000000007</v>
      </c>
      <c r="K676" s="86">
        <f>U676</f>
        <v>97</v>
      </c>
      <c r="O676" s="23"/>
      <c r="P676" s="23"/>
      <c r="Q676" s="23"/>
      <c r="R676" s="23"/>
      <c r="S676" s="23"/>
      <c r="T676" s="23">
        <f>ROUND(Source!AD369*Source!AV369*Source!I369,0)</f>
        <v>10</v>
      </c>
      <c r="U676" s="23">
        <f>Source!Q369</f>
        <v>97</v>
      </c>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v>1</v>
      </c>
      <c r="CW676" s="23"/>
      <c r="CX676" s="23"/>
      <c r="CY676" s="23"/>
      <c r="CZ676" s="23"/>
      <c r="DA676" s="23"/>
      <c r="DB676" s="23"/>
      <c r="DC676" s="23"/>
      <c r="DD676" s="23"/>
      <c r="DE676" s="23"/>
      <c r="DF676" s="23"/>
      <c r="DG676" s="23"/>
      <c r="DH676" s="23"/>
      <c r="DI676" s="23"/>
      <c r="DJ676" s="23"/>
      <c r="DK676" s="23"/>
      <c r="DL676" s="23"/>
      <c r="DM676" s="23"/>
      <c r="DN676" s="23"/>
      <c r="DO676" s="23"/>
      <c r="DP676" s="23"/>
      <c r="DQ676" s="23">
        <f>T676</f>
        <v>10</v>
      </c>
      <c r="DR676" s="23"/>
      <c r="DS676" s="23">
        <f>U676</f>
        <v>97</v>
      </c>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f>T676</f>
        <v>10</v>
      </c>
      <c r="GK676" s="23"/>
      <c r="GL676" s="23">
        <f>T676</f>
        <v>10</v>
      </c>
      <c r="GM676" s="23"/>
      <c r="GN676" s="23"/>
      <c r="GO676" s="23"/>
      <c r="GP676" s="23"/>
      <c r="GQ676" s="23"/>
      <c r="GR676" s="23"/>
      <c r="GS676" s="23"/>
      <c r="GT676" s="23"/>
      <c r="GU676" s="23"/>
      <c r="GV676" s="23"/>
      <c r="GW676" s="23"/>
      <c r="GX676" s="23"/>
      <c r="GY676" s="23"/>
      <c r="GZ676" s="23"/>
      <c r="HA676" s="23"/>
      <c r="HB676" s="23">
        <f>T676</f>
        <v>10</v>
      </c>
      <c r="HC676" s="23"/>
      <c r="HD676" s="23"/>
      <c r="HE676" s="23"/>
      <c r="HF676" s="23">
        <f>T676</f>
        <v>10</v>
      </c>
      <c r="HG676" s="23"/>
      <c r="HH676" s="23"/>
      <c r="HI676" s="23"/>
      <c r="HJ676" s="23"/>
      <c r="HK676" s="23"/>
      <c r="HL676" s="23">
        <f>T676</f>
        <v>10</v>
      </c>
      <c r="HM676" s="23"/>
      <c r="HN676" s="23">
        <f>T676</f>
        <v>10</v>
      </c>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row>
    <row r="677" spans="1:255" x14ac:dyDescent="0.2">
      <c r="A677" s="87"/>
      <c r="B677" s="88"/>
      <c r="C677" s="88" t="s">
        <v>858</v>
      </c>
      <c r="D677" s="89"/>
      <c r="E677" s="90">
        <v>130</v>
      </c>
      <c r="F677" s="91" t="s">
        <v>859</v>
      </c>
      <c r="G677" s="92"/>
      <c r="H677" s="93">
        <f>ROUND((Source!AF369*Source!AV369+Source!AE369*Source!AV369)*(Source!FX369)/100,2)</f>
        <v>571.75</v>
      </c>
      <c r="I677" s="94">
        <f>T677</f>
        <v>23</v>
      </c>
      <c r="J677" s="96">
        <v>1.24</v>
      </c>
      <c r="K677" s="95" t="e">
        <f>U677</f>
        <v>#REF!</v>
      </c>
      <c r="O677" s="23"/>
      <c r="P677" s="23"/>
      <c r="Q677" s="23"/>
      <c r="R677" s="23"/>
      <c r="S677" s="23"/>
      <c r="T677" s="23">
        <f>ROUND((ROUND(Source!AF369*Source!AV369*Source!I369,0)+ROUND(Source!AE369*Source!AV369*Source!I369,0))*(Source!DN369)/100,0)</f>
        <v>23</v>
      </c>
      <c r="U677" s="23" t="e">
        <f>Source!X369</f>
        <v>#REF!</v>
      </c>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v>1</v>
      </c>
      <c r="CW677" s="23"/>
      <c r="CX677" s="23"/>
      <c r="CY677" s="23"/>
      <c r="CZ677" s="23"/>
      <c r="DA677" s="23"/>
      <c r="DB677" s="23"/>
      <c r="DC677" s="23"/>
      <c r="DD677" s="23"/>
      <c r="DE677" s="23"/>
      <c r="DF677" s="23"/>
      <c r="DG677" s="23"/>
      <c r="DH677" s="23"/>
      <c r="DI677" s="23"/>
      <c r="DJ677" s="23"/>
      <c r="DK677" s="23"/>
      <c r="DL677" s="23"/>
      <c r="DM677" s="23"/>
      <c r="DN677" s="23"/>
      <c r="DO677" s="23"/>
      <c r="DP677" s="23"/>
      <c r="DQ677" s="23">
        <f>T677</f>
        <v>23</v>
      </c>
      <c r="DR677" s="23"/>
      <c r="DS677" s="23" t="e">
        <f>U677</f>
        <v>#REF!</v>
      </c>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f>T677</f>
        <v>23</v>
      </c>
      <c r="GZ677" s="23"/>
      <c r="HA677" s="23"/>
      <c r="HB677" s="23">
        <f>T677</f>
        <v>23</v>
      </c>
      <c r="HC677" s="23"/>
      <c r="HD677" s="23"/>
      <c r="HE677" s="23"/>
      <c r="HF677" s="23">
        <f>T677</f>
        <v>23</v>
      </c>
      <c r="HG677" s="23"/>
      <c r="HH677" s="23"/>
      <c r="HI677" s="23"/>
      <c r="HJ677" s="23"/>
      <c r="HK677" s="23"/>
      <c r="HL677" s="23">
        <f>T677</f>
        <v>23</v>
      </c>
      <c r="HM677" s="23"/>
      <c r="HN677" s="23">
        <f>T677</f>
        <v>23</v>
      </c>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row>
    <row r="678" spans="1:255" x14ac:dyDescent="0.2">
      <c r="A678" s="87"/>
      <c r="B678" s="88"/>
      <c r="C678" s="88" t="s">
        <v>860</v>
      </c>
      <c r="D678" s="89"/>
      <c r="E678" s="90">
        <v>85</v>
      </c>
      <c r="F678" s="91" t="s">
        <v>859</v>
      </c>
      <c r="G678" s="92"/>
      <c r="H678" s="93">
        <f>ROUND((Source!AF369*Source!AV369+Source!AE369*Source!AV369)*(Source!FY369)/100,2)</f>
        <v>373.84</v>
      </c>
      <c r="I678" s="94">
        <f>T678</f>
        <v>15</v>
      </c>
      <c r="J678" s="96">
        <v>0.72</v>
      </c>
      <c r="K678" s="95" t="e">
        <f>U678</f>
        <v>#REF!</v>
      </c>
      <c r="O678" s="23"/>
      <c r="P678" s="23"/>
      <c r="Q678" s="23"/>
      <c r="R678" s="23"/>
      <c r="S678" s="23"/>
      <c r="T678" s="23">
        <f>ROUND((ROUND(Source!AF369*Source!AV369*Source!I369,0)+ROUND(Source!AE369*Source!AV369*Source!I369,0))*(Source!DO369)/100,0)</f>
        <v>15</v>
      </c>
      <c r="U678" s="23" t="e">
        <f>Source!Y369</f>
        <v>#REF!</v>
      </c>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v>1</v>
      </c>
      <c r="CW678" s="23"/>
      <c r="CX678" s="23"/>
      <c r="CY678" s="23"/>
      <c r="CZ678" s="23"/>
      <c r="DA678" s="23"/>
      <c r="DB678" s="23"/>
      <c r="DC678" s="23"/>
      <c r="DD678" s="23"/>
      <c r="DE678" s="23"/>
      <c r="DF678" s="23"/>
      <c r="DG678" s="23"/>
      <c r="DH678" s="23"/>
      <c r="DI678" s="23"/>
      <c r="DJ678" s="23"/>
      <c r="DK678" s="23"/>
      <c r="DL678" s="23"/>
      <c r="DM678" s="23"/>
      <c r="DN678" s="23"/>
      <c r="DO678" s="23"/>
      <c r="DP678" s="23"/>
      <c r="DQ678" s="23">
        <f>T678</f>
        <v>15</v>
      </c>
      <c r="DR678" s="23"/>
      <c r="DS678" s="23" t="e">
        <f>U678</f>
        <v>#REF!</v>
      </c>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f>T678</f>
        <v>15</v>
      </c>
      <c r="HA678" s="23"/>
      <c r="HB678" s="23">
        <f>T678</f>
        <v>15</v>
      </c>
      <c r="HC678" s="23"/>
      <c r="HD678" s="23"/>
      <c r="HE678" s="23"/>
      <c r="HF678" s="23">
        <f>T678</f>
        <v>15</v>
      </c>
      <c r="HG678" s="23"/>
      <c r="HH678" s="23"/>
      <c r="HI678" s="23"/>
      <c r="HJ678" s="23"/>
      <c r="HK678" s="23"/>
      <c r="HL678" s="23">
        <f>T678</f>
        <v>15</v>
      </c>
      <c r="HM678" s="23"/>
      <c r="HN678" s="23">
        <f>T678</f>
        <v>15</v>
      </c>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row>
    <row r="679" spans="1:255" x14ac:dyDescent="0.2">
      <c r="A679" s="78"/>
      <c r="B679" s="79"/>
      <c r="C679" s="79" t="s">
        <v>861</v>
      </c>
      <c r="D679" s="80" t="s">
        <v>862</v>
      </c>
      <c r="E679" s="81">
        <v>42.7</v>
      </c>
      <c r="F679" s="82"/>
      <c r="G679" s="83"/>
      <c r="H679" s="82" t="e">
        <f>ROUND(Source!AH369,2)</f>
        <v>#REF!</v>
      </c>
      <c r="I679" s="97" t="e">
        <f>Source!U369</f>
        <v>#REF!</v>
      </c>
      <c r="J679" s="85"/>
      <c r="K679" s="86"/>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row>
    <row r="680" spans="1:255" x14ac:dyDescent="0.2">
      <c r="A680" s="100" t="s">
        <v>500</v>
      </c>
      <c r="B680" s="109" t="s">
        <v>501</v>
      </c>
      <c r="C680" s="101" t="s">
        <v>502</v>
      </c>
      <c r="D680" s="102" t="s">
        <v>33</v>
      </c>
      <c r="E680" s="103">
        <f>Source!I371</f>
        <v>1.6299999999999997E-3</v>
      </c>
      <c r="F680" s="104">
        <v>10380</v>
      </c>
      <c r="G680" s="105"/>
      <c r="H680" s="104">
        <f>Source!AC370</f>
        <v>10380</v>
      </c>
      <c r="I680" s="106">
        <f>T680</f>
        <v>17</v>
      </c>
      <c r="J680" s="107" t="s">
        <v>863</v>
      </c>
      <c r="K680" s="108">
        <f>U680</f>
        <v>303</v>
      </c>
      <c r="L680" s="23"/>
      <c r="M680" s="23"/>
      <c r="N680" s="23"/>
      <c r="O680" s="23"/>
      <c r="P680" s="23"/>
      <c r="Q680" s="23"/>
      <c r="R680" s="23"/>
      <c r="S680" s="23"/>
      <c r="T680" s="23">
        <f>ROUND(Source!AC370*Source!AW370*Source!I370,0)</f>
        <v>17</v>
      </c>
      <c r="U680" s="23">
        <f>Source!P371</f>
        <v>303</v>
      </c>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v>1</v>
      </c>
      <c r="CW680" s="23"/>
      <c r="CX680" s="23"/>
      <c r="CY680" s="23"/>
      <c r="CZ680" s="23"/>
      <c r="DA680" s="23"/>
      <c r="DB680" s="23"/>
      <c r="DC680" s="23"/>
      <c r="DD680" s="23"/>
      <c r="DE680" s="23"/>
      <c r="DF680" s="23"/>
      <c r="DG680" s="23"/>
      <c r="DH680" s="23"/>
      <c r="DI680" s="23"/>
      <c r="DJ680" s="23"/>
      <c r="DK680" s="23">
        <f>T680</f>
        <v>17</v>
      </c>
      <c r="DL680" s="23"/>
      <c r="DM680" s="23">
        <f>Source!P371</f>
        <v>303</v>
      </c>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f>T680</f>
        <v>17</v>
      </c>
      <c r="GK680" s="23"/>
      <c r="GL680" s="23"/>
      <c r="GM680" s="23"/>
      <c r="GN680" s="23">
        <f>T680</f>
        <v>17</v>
      </c>
      <c r="GO680" s="23"/>
      <c r="GP680" s="23">
        <f>T680</f>
        <v>17</v>
      </c>
      <c r="GQ680" s="23">
        <f>T680</f>
        <v>17</v>
      </c>
      <c r="GR680" s="23"/>
      <c r="GS680" s="23">
        <f>T680</f>
        <v>17</v>
      </c>
      <c r="GT680" s="23"/>
      <c r="GU680" s="23"/>
      <c r="GV680" s="23"/>
      <c r="GW680" s="23"/>
      <c r="GX680" s="23"/>
      <c r="GY680" s="23"/>
      <c r="GZ680" s="23"/>
      <c r="HA680" s="23"/>
      <c r="HB680" s="23">
        <f>T680</f>
        <v>17</v>
      </c>
      <c r="HC680" s="23"/>
      <c r="HD680" s="23"/>
      <c r="HE680" s="23"/>
      <c r="HF680" s="23">
        <f>T680</f>
        <v>17</v>
      </c>
      <c r="HG680" s="23"/>
      <c r="HH680" s="23"/>
      <c r="HI680" s="23"/>
      <c r="HJ680" s="23"/>
      <c r="HK680" s="23"/>
      <c r="HL680" s="23">
        <f>T680</f>
        <v>17</v>
      </c>
      <c r="HM680" s="23"/>
      <c r="HN680" s="23">
        <f>T680</f>
        <v>17</v>
      </c>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row>
    <row r="681" spans="1:255" x14ac:dyDescent="0.2">
      <c r="A681" s="64"/>
      <c r="B681" s="111" t="s">
        <v>864</v>
      </c>
      <c r="C681" s="111" t="s">
        <v>981</v>
      </c>
      <c r="D681" s="63"/>
      <c r="E681" s="63"/>
      <c r="F681" s="63"/>
      <c r="G681" s="63"/>
      <c r="H681" s="63"/>
      <c r="I681" s="63"/>
      <c r="J681" s="63"/>
      <c r="K681" s="65"/>
    </row>
    <row r="682" spans="1:255" x14ac:dyDescent="0.2">
      <c r="A682" s="114" t="s">
        <v>505</v>
      </c>
      <c r="B682" s="115" t="s">
        <v>506</v>
      </c>
      <c r="C682" s="116" t="s">
        <v>507</v>
      </c>
      <c r="D682" s="117" t="s">
        <v>33</v>
      </c>
      <c r="E682" s="118">
        <f>Source!I373</f>
        <v>4.0750000000000001E-2</v>
      </c>
      <c r="F682" s="119">
        <v>15447.19</v>
      </c>
      <c r="G682" s="71"/>
      <c r="H682" s="119">
        <f>Source!AC372</f>
        <v>15447.19</v>
      </c>
      <c r="I682" s="120">
        <f>T682</f>
        <v>629</v>
      </c>
      <c r="J682" s="73" t="s">
        <v>863</v>
      </c>
      <c r="K682" s="121">
        <f>U682</f>
        <v>5305</v>
      </c>
      <c r="L682" s="23"/>
      <c r="M682" s="23"/>
      <c r="N682" s="23"/>
      <c r="O682" s="23"/>
      <c r="P682" s="23"/>
      <c r="Q682" s="23"/>
      <c r="R682" s="23"/>
      <c r="S682" s="23"/>
      <c r="T682" s="23">
        <f>ROUND(Source!AC372*Source!AW372*Source!I372,0)</f>
        <v>629</v>
      </c>
      <c r="U682" s="23">
        <f>Source!P373</f>
        <v>5305</v>
      </c>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v>1</v>
      </c>
      <c r="CW682" s="23"/>
      <c r="CX682" s="23"/>
      <c r="CY682" s="23"/>
      <c r="CZ682" s="23"/>
      <c r="DA682" s="23"/>
      <c r="DB682" s="23"/>
      <c r="DC682" s="23"/>
      <c r="DD682" s="23"/>
      <c r="DE682" s="23"/>
      <c r="DF682" s="23"/>
      <c r="DG682" s="23"/>
      <c r="DH682" s="23"/>
      <c r="DI682" s="23"/>
      <c r="DJ682" s="23"/>
      <c r="DK682" s="23">
        <f>T682</f>
        <v>629</v>
      </c>
      <c r="DL682" s="23"/>
      <c r="DM682" s="23">
        <f>Source!P373</f>
        <v>5305</v>
      </c>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f>T682</f>
        <v>629</v>
      </c>
      <c r="GK682" s="23"/>
      <c r="GL682" s="23"/>
      <c r="GM682" s="23"/>
      <c r="GN682" s="23">
        <f>T682</f>
        <v>629</v>
      </c>
      <c r="GO682" s="23"/>
      <c r="GP682" s="23">
        <f>T682</f>
        <v>629</v>
      </c>
      <c r="GQ682" s="23">
        <f>T682</f>
        <v>629</v>
      </c>
      <c r="GR682" s="23"/>
      <c r="GS682" s="23">
        <f>T682</f>
        <v>629</v>
      </c>
      <c r="GT682" s="23"/>
      <c r="GU682" s="23"/>
      <c r="GV682" s="23"/>
      <c r="GW682" s="23"/>
      <c r="GX682" s="23"/>
      <c r="GY682" s="23"/>
      <c r="GZ682" s="23"/>
      <c r="HA682" s="23"/>
      <c r="HB682" s="23">
        <f>T682</f>
        <v>629</v>
      </c>
      <c r="HC682" s="23"/>
      <c r="HD682" s="23"/>
      <c r="HE682" s="23"/>
      <c r="HF682" s="23">
        <f>T682</f>
        <v>629</v>
      </c>
      <c r="HG682" s="23"/>
      <c r="HH682" s="23"/>
      <c r="HI682" s="23"/>
      <c r="HJ682" s="23"/>
      <c r="HK682" s="23"/>
      <c r="HL682" s="23">
        <f>T682</f>
        <v>629</v>
      </c>
      <c r="HM682" s="23"/>
      <c r="HN682" s="23">
        <f>T682</f>
        <v>629</v>
      </c>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row>
    <row r="683" spans="1:255" x14ac:dyDescent="0.2">
      <c r="A683" s="98"/>
      <c r="B683" s="113" t="s">
        <v>864</v>
      </c>
      <c r="C683" s="113" t="s">
        <v>982</v>
      </c>
      <c r="D683" s="33"/>
      <c r="E683" s="33"/>
      <c r="F683" s="33"/>
      <c r="G683" s="33"/>
      <c r="H683" s="33"/>
      <c r="I683" s="33"/>
      <c r="J683" s="33"/>
      <c r="K683" s="99"/>
    </row>
    <row r="684" spans="1:255" ht="13.5" thickBot="1" x14ac:dyDescent="0.25">
      <c r="A684" s="124"/>
      <c r="B684" s="125"/>
      <c r="C684" s="125" t="s">
        <v>867</v>
      </c>
      <c r="D684" s="125"/>
      <c r="E684" s="125"/>
      <c r="F684" s="125"/>
      <c r="G684" s="125"/>
      <c r="H684" s="380">
        <f>SUM(DK674:DK683)</f>
        <v>646</v>
      </c>
      <c r="I684" s="381"/>
      <c r="J684" s="380">
        <f>SUM(DM674:DM683)</f>
        <v>5608</v>
      </c>
      <c r="K684" s="382"/>
      <c r="L684" s="112"/>
      <c r="M684" s="112"/>
      <c r="N684" s="112"/>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row>
    <row r="685" spans="1:255" x14ac:dyDescent="0.2">
      <c r="A685" s="123"/>
      <c r="B685" s="122"/>
      <c r="C685" s="122" t="s">
        <v>868</v>
      </c>
      <c r="D685" s="122"/>
      <c r="E685" s="122"/>
      <c r="F685" s="122"/>
      <c r="G685" s="122"/>
      <c r="H685" s="383">
        <f>R685</f>
        <v>712</v>
      </c>
      <c r="I685" s="384"/>
      <c r="J685" s="383" t="e">
        <f>S685</f>
        <v>#REF!</v>
      </c>
      <c r="K685" s="385"/>
      <c r="O685" s="23"/>
      <c r="P685" s="23"/>
      <c r="Q685" s="23"/>
      <c r="R685" s="23">
        <f>SUM(T674:T684)</f>
        <v>712</v>
      </c>
      <c r="S685" s="23" t="e">
        <f>SUM(U674:U684)</f>
        <v>#REF!</v>
      </c>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f>R685</f>
        <v>712</v>
      </c>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row>
    <row r="686" spans="1:255" x14ac:dyDescent="0.2">
      <c r="A686" s="77"/>
      <c r="B686" s="76"/>
      <c r="C686" s="76"/>
      <c r="D686" s="76"/>
      <c r="E686" s="76"/>
      <c r="F686" s="76"/>
      <c r="G686" s="76"/>
      <c r="H686" s="386"/>
      <c r="I686" s="387"/>
      <c r="J686" s="386"/>
      <c r="K686" s="388"/>
    </row>
    <row r="687" spans="1:255" ht="56.25" x14ac:dyDescent="0.2">
      <c r="A687" s="126">
        <v>32</v>
      </c>
      <c r="B687" s="133" t="s">
        <v>375</v>
      </c>
      <c r="C687" s="127" t="s">
        <v>376</v>
      </c>
      <c r="D687" s="128" t="s">
        <v>377</v>
      </c>
      <c r="E687" s="129">
        <v>0.23</v>
      </c>
      <c r="F687" s="130">
        <f>Source!AK375</f>
        <v>321.88</v>
      </c>
      <c r="G687" s="134" t="s">
        <v>6</v>
      </c>
      <c r="H687" s="130"/>
      <c r="I687" s="131" t="e">
        <f>SUM(DQ687:DQ699)</f>
        <v>#REF!</v>
      </c>
      <c r="J687" s="107" t="s">
        <v>375</v>
      </c>
      <c r="K687" s="132" t="e">
        <f>SUM(DS687:DS699)</f>
        <v>#REF!</v>
      </c>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row>
    <row r="688" spans="1:255" x14ac:dyDescent="0.2">
      <c r="A688" s="66"/>
      <c r="B688" s="67"/>
      <c r="C688" s="67" t="s">
        <v>853</v>
      </c>
      <c r="D688" s="68"/>
      <c r="E688" s="69"/>
      <c r="F688" s="70">
        <v>35.04</v>
      </c>
      <c r="G688" s="71" t="s">
        <v>960</v>
      </c>
      <c r="H688" s="70">
        <f>Source!AF375</f>
        <v>70.08</v>
      </c>
      <c r="I688" s="72" t="e">
        <f>T688</f>
        <v>#REF!</v>
      </c>
      <c r="J688" s="73">
        <v>26.95</v>
      </c>
      <c r="K688" s="74" t="e">
        <f>U688</f>
        <v>#REF!</v>
      </c>
      <c r="O688" s="23"/>
      <c r="P688" s="23"/>
      <c r="Q688" s="23"/>
      <c r="R688" s="23"/>
      <c r="S688" s="23"/>
      <c r="T688" s="23" t="e">
        <f>ROUND(Source!AF375*Source!AV375*Source!I375,0)</f>
        <v>#REF!</v>
      </c>
      <c r="U688" s="23" t="e">
        <f>Source!S375</f>
        <v>#REF!</v>
      </c>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v>1</v>
      </c>
      <c r="CW688" s="23"/>
      <c r="CX688" s="23"/>
      <c r="CY688" s="23"/>
      <c r="CZ688" s="23"/>
      <c r="DA688" s="23"/>
      <c r="DB688" s="23"/>
      <c r="DC688" s="23"/>
      <c r="DD688" s="23"/>
      <c r="DE688" s="23"/>
      <c r="DF688" s="23"/>
      <c r="DG688" s="23" t="e">
        <f>Source!S375</f>
        <v>#REF!</v>
      </c>
      <c r="DH688" s="23">
        <v>1009</v>
      </c>
      <c r="DI688" s="23"/>
      <c r="DJ688" s="23"/>
      <c r="DK688" s="23"/>
      <c r="DL688" s="23"/>
      <c r="DM688" s="23"/>
      <c r="DN688" s="23"/>
      <c r="DO688" s="23"/>
      <c r="DP688" s="23"/>
      <c r="DQ688" s="23" t="e">
        <f>T688</f>
        <v>#REF!</v>
      </c>
      <c r="DR688" s="23"/>
      <c r="DS688" s="23" t="e">
        <f>U688</f>
        <v>#REF!</v>
      </c>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t="e">
        <f>T688</f>
        <v>#REF!</v>
      </c>
      <c r="GK688" s="23" t="e">
        <f>T688</f>
        <v>#REF!</v>
      </c>
      <c r="GL688" s="23"/>
      <c r="GM688" s="23"/>
      <c r="GN688" s="23"/>
      <c r="GO688" s="23"/>
      <c r="GP688" s="23"/>
      <c r="GQ688" s="23"/>
      <c r="GR688" s="23"/>
      <c r="GS688" s="23"/>
      <c r="GT688" s="23"/>
      <c r="GU688" s="23"/>
      <c r="GV688" s="23"/>
      <c r="GW688" s="23"/>
      <c r="GX688" s="23"/>
      <c r="GY688" s="23"/>
      <c r="GZ688" s="23"/>
      <c r="HA688" s="23"/>
      <c r="HB688" s="23" t="e">
        <f>T688</f>
        <v>#REF!</v>
      </c>
      <c r="HC688" s="23"/>
      <c r="HD688" s="23"/>
      <c r="HE688" s="23"/>
      <c r="HF688" s="23" t="e">
        <f>T688</f>
        <v>#REF!</v>
      </c>
      <c r="HG688" s="23"/>
      <c r="HH688" s="23"/>
      <c r="HI688" s="23"/>
      <c r="HJ688" s="23"/>
      <c r="HK688" s="23"/>
      <c r="HL688" s="23" t="e">
        <f>T688</f>
        <v>#REF!</v>
      </c>
      <c r="HM688" s="23"/>
      <c r="HN688" s="23" t="e">
        <f>T688</f>
        <v>#REF!</v>
      </c>
      <c r="HO688" s="23"/>
      <c r="HP688" s="23"/>
      <c r="HQ688" s="23"/>
      <c r="HR688" s="23"/>
      <c r="HS688" s="23"/>
      <c r="HT688" s="23"/>
      <c r="HU688" s="23"/>
      <c r="HV688" s="23"/>
      <c r="HW688" s="23"/>
      <c r="HX688" s="23" t="e">
        <f>T688</f>
        <v>#REF!</v>
      </c>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row>
    <row r="689" spans="1:255" x14ac:dyDescent="0.2">
      <c r="A689" s="78"/>
      <c r="B689" s="79"/>
      <c r="C689" s="79" t="s">
        <v>855</v>
      </c>
      <c r="D689" s="80"/>
      <c r="E689" s="81"/>
      <c r="F689" s="82">
        <v>6.27</v>
      </c>
      <c r="G689" s="83" t="s">
        <v>960</v>
      </c>
      <c r="H689" s="82">
        <f>Source!AD375</f>
        <v>12.54</v>
      </c>
      <c r="I689" s="84" t="e">
        <f>T689</f>
        <v>#REF!</v>
      </c>
      <c r="J689" s="85">
        <v>9.3000000000000007</v>
      </c>
      <c r="K689" s="86" t="e">
        <f>U689</f>
        <v>#REF!</v>
      </c>
      <c r="O689" s="23"/>
      <c r="P689" s="23"/>
      <c r="Q689" s="23"/>
      <c r="R689" s="23"/>
      <c r="S689" s="23"/>
      <c r="T689" s="23" t="e">
        <f>ROUND(Source!AD375*Source!AV375*Source!I375,0)</f>
        <v>#REF!</v>
      </c>
      <c r="U689" s="23" t="e">
        <f>Source!Q375</f>
        <v>#REF!</v>
      </c>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v>1</v>
      </c>
      <c r="CW689" s="23"/>
      <c r="CX689" s="23"/>
      <c r="CY689" s="23"/>
      <c r="CZ689" s="23"/>
      <c r="DA689" s="23"/>
      <c r="DB689" s="23"/>
      <c r="DC689" s="23"/>
      <c r="DD689" s="23"/>
      <c r="DE689" s="23"/>
      <c r="DF689" s="23"/>
      <c r="DG689" s="23"/>
      <c r="DH689" s="23"/>
      <c r="DI689" s="23"/>
      <c r="DJ689" s="23"/>
      <c r="DK689" s="23"/>
      <c r="DL689" s="23"/>
      <c r="DM689" s="23"/>
      <c r="DN689" s="23"/>
      <c r="DO689" s="23"/>
      <c r="DP689" s="23"/>
      <c r="DQ689" s="23" t="e">
        <f>T689</f>
        <v>#REF!</v>
      </c>
      <c r="DR689" s="23"/>
      <c r="DS689" s="23" t="e">
        <f>U689</f>
        <v>#REF!</v>
      </c>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t="e">
        <f>T689</f>
        <v>#REF!</v>
      </c>
      <c r="GK689" s="23"/>
      <c r="GL689" s="23" t="e">
        <f>T689</f>
        <v>#REF!</v>
      </c>
      <c r="GM689" s="23"/>
      <c r="GN689" s="23"/>
      <c r="GO689" s="23"/>
      <c r="GP689" s="23"/>
      <c r="GQ689" s="23"/>
      <c r="GR689" s="23"/>
      <c r="GS689" s="23"/>
      <c r="GT689" s="23"/>
      <c r="GU689" s="23"/>
      <c r="GV689" s="23"/>
      <c r="GW689" s="23"/>
      <c r="GX689" s="23"/>
      <c r="GY689" s="23"/>
      <c r="GZ689" s="23"/>
      <c r="HA689" s="23"/>
      <c r="HB689" s="23" t="e">
        <f>T689</f>
        <v>#REF!</v>
      </c>
      <c r="HC689" s="23"/>
      <c r="HD689" s="23"/>
      <c r="HE689" s="23"/>
      <c r="HF689" s="23" t="e">
        <f>T689</f>
        <v>#REF!</v>
      </c>
      <c r="HG689" s="23"/>
      <c r="HH689" s="23"/>
      <c r="HI689" s="23"/>
      <c r="HJ689" s="23"/>
      <c r="HK689" s="23"/>
      <c r="HL689" s="23" t="e">
        <f>T689</f>
        <v>#REF!</v>
      </c>
      <c r="HM689" s="23"/>
      <c r="HN689" s="23" t="e">
        <f>T689</f>
        <v>#REF!</v>
      </c>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row>
    <row r="690" spans="1:255" x14ac:dyDescent="0.2">
      <c r="A690" s="78"/>
      <c r="B690" s="79"/>
      <c r="C690" s="79" t="s">
        <v>857</v>
      </c>
      <c r="D690" s="80"/>
      <c r="E690" s="81"/>
      <c r="F690" s="82">
        <v>0.1</v>
      </c>
      <c r="G690" s="83" t="s">
        <v>960</v>
      </c>
      <c r="H690" s="82">
        <f>Source!AE375</f>
        <v>0.2</v>
      </c>
      <c r="I690" s="84" t="e">
        <f>GM690</f>
        <v>#REF!</v>
      </c>
      <c r="J690" s="85">
        <v>19.8</v>
      </c>
      <c r="K690" s="86" t="e">
        <f>Source!R375</f>
        <v>#REF!</v>
      </c>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t="e">
        <f>ROUND(Source!AE375*Source!AV375*Source!I375,0)</f>
        <v>#REF!</v>
      </c>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t="e">
        <f>GM690</f>
        <v>#REF!</v>
      </c>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row>
    <row r="691" spans="1:255" x14ac:dyDescent="0.2">
      <c r="A691" s="78"/>
      <c r="B691" s="79"/>
      <c r="C691" s="79" t="s">
        <v>947</v>
      </c>
      <c r="D691" s="80"/>
      <c r="E691" s="81"/>
      <c r="F691" s="82">
        <v>280.57</v>
      </c>
      <c r="G691" s="83" t="s">
        <v>960</v>
      </c>
      <c r="H691" s="82">
        <f>Source!AC375</f>
        <v>0.01</v>
      </c>
      <c r="I691" s="84" t="e">
        <f>T691</f>
        <v>#REF!</v>
      </c>
      <c r="J691" s="85">
        <v>7.56</v>
      </c>
      <c r="K691" s="86" t="e">
        <f>U691</f>
        <v>#REF!</v>
      </c>
      <c r="O691" s="23"/>
      <c r="P691" s="23"/>
      <c r="Q691" s="23"/>
      <c r="R691" s="23"/>
      <c r="S691" s="23"/>
      <c r="T691" s="23" t="e">
        <f>ROUND(Source!AC375*Source!AW375*Source!I375,0)</f>
        <v>#REF!</v>
      </c>
      <c r="U691" s="23" t="e">
        <f>Source!P375</f>
        <v>#REF!</v>
      </c>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v>1</v>
      </c>
      <c r="CW691" s="23"/>
      <c r="CX691" s="23"/>
      <c r="CY691" s="23"/>
      <c r="CZ691" s="23"/>
      <c r="DA691" s="23"/>
      <c r="DB691" s="23"/>
      <c r="DC691" s="23"/>
      <c r="DD691" s="23"/>
      <c r="DE691" s="23"/>
      <c r="DF691" s="23"/>
      <c r="DG691" s="23"/>
      <c r="DH691" s="23"/>
      <c r="DI691" s="23"/>
      <c r="DJ691" s="23"/>
      <c r="DK691" s="23" t="e">
        <f>T691</f>
        <v>#REF!</v>
      </c>
      <c r="DL691" s="23"/>
      <c r="DM691" s="23" t="e">
        <f>U691</f>
        <v>#REF!</v>
      </c>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t="e">
        <f>T691</f>
        <v>#REF!</v>
      </c>
      <c r="GK691" s="23"/>
      <c r="GL691" s="23"/>
      <c r="GM691" s="23"/>
      <c r="GN691" s="23" t="e">
        <f>T691</f>
        <v>#REF!</v>
      </c>
      <c r="GO691" s="23"/>
      <c r="GP691" s="23" t="e">
        <f>T691</f>
        <v>#REF!</v>
      </c>
      <c r="GQ691" s="23" t="e">
        <f>T691</f>
        <v>#REF!</v>
      </c>
      <c r="GR691" s="23"/>
      <c r="GS691" s="23" t="e">
        <f>T691</f>
        <v>#REF!</v>
      </c>
      <c r="GT691" s="23"/>
      <c r="GU691" s="23"/>
      <c r="GV691" s="23"/>
      <c r="GW691" s="23" t="e">
        <f>ROUND(Source!AG375*Source!I375,0)</f>
        <v>#REF!</v>
      </c>
      <c r="GX691" s="23" t="e">
        <f>ROUND(Source!AJ375*Source!I375,0)</f>
        <v>#REF!</v>
      </c>
      <c r="GY691" s="23"/>
      <c r="GZ691" s="23"/>
      <c r="HA691" s="23"/>
      <c r="HB691" s="23" t="e">
        <f>T691</f>
        <v>#REF!</v>
      </c>
      <c r="HC691" s="23"/>
      <c r="HD691" s="23"/>
      <c r="HE691" s="23"/>
      <c r="HF691" s="23" t="e">
        <f>T691</f>
        <v>#REF!</v>
      </c>
      <c r="HG691" s="23"/>
      <c r="HH691" s="23"/>
      <c r="HI691" s="23"/>
      <c r="HJ691" s="23"/>
      <c r="HK691" s="23"/>
      <c r="HL691" s="23" t="e">
        <f>T691</f>
        <v>#REF!</v>
      </c>
      <c r="HM691" s="23"/>
      <c r="HN691" s="23" t="e">
        <f>T691</f>
        <v>#REF!</v>
      </c>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row>
    <row r="692" spans="1:255" x14ac:dyDescent="0.2">
      <c r="A692" s="87"/>
      <c r="B692" s="88"/>
      <c r="C692" s="88" t="s">
        <v>858</v>
      </c>
      <c r="D692" s="89"/>
      <c r="E692" s="90">
        <v>90</v>
      </c>
      <c r="F692" s="91" t="s">
        <v>859</v>
      </c>
      <c r="G692" s="92"/>
      <c r="H692" s="93">
        <f>ROUND((Source!AF375*Source!AV375+Source!AE375*Source!AV375)*(Source!FX375)/100,2)</f>
        <v>63.25</v>
      </c>
      <c r="I692" s="94" t="e">
        <f>T692</f>
        <v>#REF!</v>
      </c>
      <c r="J692" s="96">
        <v>0.86</v>
      </c>
      <c r="K692" s="95" t="e">
        <f>U692</f>
        <v>#REF!</v>
      </c>
      <c r="O692" s="23"/>
      <c r="P692" s="23"/>
      <c r="Q692" s="23"/>
      <c r="R692" s="23"/>
      <c r="S692" s="23"/>
      <c r="T692" s="23" t="e">
        <f>ROUND((ROUND(Source!AF375*Source!AV375*Source!I375,0)+ROUND(Source!AE375*Source!AV375*Source!I375,0))*(Source!DN375)/100,0)</f>
        <v>#REF!</v>
      </c>
      <c r="U692" s="23" t="e">
        <f>Source!X375</f>
        <v>#REF!</v>
      </c>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v>1</v>
      </c>
      <c r="CW692" s="23"/>
      <c r="CX692" s="23"/>
      <c r="CY692" s="23"/>
      <c r="CZ692" s="23"/>
      <c r="DA692" s="23"/>
      <c r="DB692" s="23"/>
      <c r="DC692" s="23"/>
      <c r="DD692" s="23"/>
      <c r="DE692" s="23"/>
      <c r="DF692" s="23"/>
      <c r="DG692" s="23"/>
      <c r="DH692" s="23"/>
      <c r="DI692" s="23"/>
      <c r="DJ692" s="23"/>
      <c r="DK692" s="23"/>
      <c r="DL692" s="23"/>
      <c r="DM692" s="23"/>
      <c r="DN692" s="23"/>
      <c r="DO692" s="23"/>
      <c r="DP692" s="23"/>
      <c r="DQ692" s="23" t="e">
        <f>T692</f>
        <v>#REF!</v>
      </c>
      <c r="DR692" s="23"/>
      <c r="DS692" s="23" t="e">
        <f>U692</f>
        <v>#REF!</v>
      </c>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t="e">
        <f>T692</f>
        <v>#REF!</v>
      </c>
      <c r="GZ692" s="23"/>
      <c r="HA692" s="23"/>
      <c r="HB692" s="23" t="e">
        <f>T692</f>
        <v>#REF!</v>
      </c>
      <c r="HC692" s="23"/>
      <c r="HD692" s="23"/>
      <c r="HE692" s="23"/>
      <c r="HF692" s="23" t="e">
        <f>T692</f>
        <v>#REF!</v>
      </c>
      <c r="HG692" s="23"/>
      <c r="HH692" s="23"/>
      <c r="HI692" s="23"/>
      <c r="HJ692" s="23"/>
      <c r="HK692" s="23"/>
      <c r="HL692" s="23" t="e">
        <f>T692</f>
        <v>#REF!</v>
      </c>
      <c r="HM692" s="23"/>
      <c r="HN692" s="23" t="e">
        <f>T692</f>
        <v>#REF!</v>
      </c>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row>
    <row r="693" spans="1:255" x14ac:dyDescent="0.2">
      <c r="A693" s="87"/>
      <c r="B693" s="88"/>
      <c r="C693" s="88" t="s">
        <v>860</v>
      </c>
      <c r="D693" s="89"/>
      <c r="E693" s="90">
        <v>70</v>
      </c>
      <c r="F693" s="91" t="s">
        <v>859</v>
      </c>
      <c r="G693" s="92"/>
      <c r="H693" s="93">
        <f>ROUND((Source!AF375*Source!AV375+Source!AE375*Source!AV375)*(Source!FY375)/100,2)</f>
        <v>49.2</v>
      </c>
      <c r="I693" s="94" t="e">
        <f>T693</f>
        <v>#REF!</v>
      </c>
      <c r="J693" s="96">
        <v>0.6</v>
      </c>
      <c r="K693" s="95" t="e">
        <f>U693</f>
        <v>#REF!</v>
      </c>
      <c r="O693" s="23"/>
      <c r="P693" s="23"/>
      <c r="Q693" s="23"/>
      <c r="R693" s="23"/>
      <c r="S693" s="23"/>
      <c r="T693" s="23" t="e">
        <f>ROUND((ROUND(Source!AF375*Source!AV375*Source!I375,0)+ROUND(Source!AE375*Source!AV375*Source!I375,0))*(Source!DO375)/100,0)</f>
        <v>#REF!</v>
      </c>
      <c r="U693" s="23" t="e">
        <f>Source!Y375</f>
        <v>#REF!</v>
      </c>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v>1</v>
      </c>
      <c r="CW693" s="23"/>
      <c r="CX693" s="23"/>
      <c r="CY693" s="23"/>
      <c r="CZ693" s="23"/>
      <c r="DA693" s="23"/>
      <c r="DB693" s="23"/>
      <c r="DC693" s="23"/>
      <c r="DD693" s="23"/>
      <c r="DE693" s="23"/>
      <c r="DF693" s="23"/>
      <c r="DG693" s="23"/>
      <c r="DH693" s="23"/>
      <c r="DI693" s="23"/>
      <c r="DJ693" s="23"/>
      <c r="DK693" s="23"/>
      <c r="DL693" s="23"/>
      <c r="DM693" s="23"/>
      <c r="DN693" s="23"/>
      <c r="DO693" s="23"/>
      <c r="DP693" s="23"/>
      <c r="DQ693" s="23" t="e">
        <f>T693</f>
        <v>#REF!</v>
      </c>
      <c r="DR693" s="23"/>
      <c r="DS693" s="23" t="e">
        <f>U693</f>
        <v>#REF!</v>
      </c>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t="e">
        <f>T693</f>
        <v>#REF!</v>
      </c>
      <c r="HA693" s="23"/>
      <c r="HB693" s="23" t="e">
        <f>T693</f>
        <v>#REF!</v>
      </c>
      <c r="HC693" s="23"/>
      <c r="HD693" s="23"/>
      <c r="HE693" s="23"/>
      <c r="HF693" s="23" t="e">
        <f>T693</f>
        <v>#REF!</v>
      </c>
      <c r="HG693" s="23"/>
      <c r="HH693" s="23"/>
      <c r="HI693" s="23"/>
      <c r="HJ693" s="23"/>
      <c r="HK693" s="23"/>
      <c r="HL693" s="23" t="e">
        <f>T693</f>
        <v>#REF!</v>
      </c>
      <c r="HM693" s="23"/>
      <c r="HN693" s="23" t="e">
        <f>T693</f>
        <v>#REF!</v>
      </c>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row>
    <row r="694" spans="1:255" x14ac:dyDescent="0.2">
      <c r="A694" s="78"/>
      <c r="B694" s="79"/>
      <c r="C694" s="79" t="s">
        <v>861</v>
      </c>
      <c r="D694" s="80" t="s">
        <v>862</v>
      </c>
      <c r="E694" s="81">
        <v>3.83</v>
      </c>
      <c r="F694" s="82"/>
      <c r="G694" s="83" t="s">
        <v>960</v>
      </c>
      <c r="H694" s="82" t="e">
        <f>ROUND(Source!AH375,2)</f>
        <v>#REF!</v>
      </c>
      <c r="I694" s="97" t="e">
        <f>Source!U375</f>
        <v>#REF!</v>
      </c>
      <c r="J694" s="85"/>
      <c r="K694" s="86"/>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row>
    <row r="695" spans="1:255" x14ac:dyDescent="0.2">
      <c r="A695" s="100" t="s">
        <v>511</v>
      </c>
      <c r="B695" s="109" t="s">
        <v>383</v>
      </c>
      <c r="C695" s="101" t="s">
        <v>384</v>
      </c>
      <c r="D695" s="102" t="s">
        <v>33</v>
      </c>
      <c r="E695" s="103" t="e">
        <f>Source!I377</f>
        <v>#REF!</v>
      </c>
      <c r="F695" s="104">
        <v>6156.33</v>
      </c>
      <c r="G695" s="105"/>
      <c r="H695" s="104">
        <f>Source!AC376</f>
        <v>6156.33</v>
      </c>
      <c r="I695" s="106" t="e">
        <f>T695</f>
        <v>#REF!</v>
      </c>
      <c r="J695" s="107" t="s">
        <v>863</v>
      </c>
      <c r="K695" s="108" t="e">
        <f>U695</f>
        <v>#REF!</v>
      </c>
      <c r="L695" s="23"/>
      <c r="M695" s="23"/>
      <c r="N695" s="23"/>
      <c r="O695" s="23"/>
      <c r="P695" s="23"/>
      <c r="Q695" s="23"/>
      <c r="R695" s="23"/>
      <c r="S695" s="23"/>
      <c r="T695" s="23" t="e">
        <f>ROUND(Source!AC376*Source!AW376*Source!I376,0)</f>
        <v>#REF!</v>
      </c>
      <c r="U695" s="23" t="e">
        <f>Source!P377</f>
        <v>#REF!</v>
      </c>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v>1</v>
      </c>
      <c r="CW695" s="23"/>
      <c r="CX695" s="23"/>
      <c r="CY695" s="23"/>
      <c r="CZ695" s="23"/>
      <c r="DA695" s="23"/>
      <c r="DB695" s="23"/>
      <c r="DC695" s="23"/>
      <c r="DD695" s="23"/>
      <c r="DE695" s="23"/>
      <c r="DF695" s="23"/>
      <c r="DG695" s="23"/>
      <c r="DH695" s="23"/>
      <c r="DI695" s="23"/>
      <c r="DJ695" s="23"/>
      <c r="DK695" s="23" t="e">
        <f>T695</f>
        <v>#REF!</v>
      </c>
      <c r="DL695" s="23"/>
      <c r="DM695" s="23" t="e">
        <f>Source!P377</f>
        <v>#REF!</v>
      </c>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t="e">
        <f>T695</f>
        <v>#REF!</v>
      </c>
      <c r="GK695" s="23"/>
      <c r="GL695" s="23"/>
      <c r="GM695" s="23"/>
      <c r="GN695" s="23" t="e">
        <f>T695</f>
        <v>#REF!</v>
      </c>
      <c r="GO695" s="23"/>
      <c r="GP695" s="23" t="e">
        <f>T695</f>
        <v>#REF!</v>
      </c>
      <c r="GQ695" s="23" t="e">
        <f>T695</f>
        <v>#REF!</v>
      </c>
      <c r="GR695" s="23"/>
      <c r="GS695" s="23" t="e">
        <f>T695</f>
        <v>#REF!</v>
      </c>
      <c r="GT695" s="23"/>
      <c r="GU695" s="23"/>
      <c r="GV695" s="23"/>
      <c r="GW695" s="23"/>
      <c r="GX695" s="23"/>
      <c r="GY695" s="23"/>
      <c r="GZ695" s="23"/>
      <c r="HA695" s="23"/>
      <c r="HB695" s="23" t="e">
        <f>T695</f>
        <v>#REF!</v>
      </c>
      <c r="HC695" s="23"/>
      <c r="HD695" s="23"/>
      <c r="HE695" s="23"/>
      <c r="HF695" s="23" t="e">
        <f>T695</f>
        <v>#REF!</v>
      </c>
      <c r="HG695" s="23"/>
      <c r="HH695" s="23"/>
      <c r="HI695" s="23"/>
      <c r="HJ695" s="23"/>
      <c r="HK695" s="23"/>
      <c r="HL695" s="23" t="e">
        <f>T695</f>
        <v>#REF!</v>
      </c>
      <c r="HM695" s="23"/>
      <c r="HN695" s="23" t="e">
        <f>T695</f>
        <v>#REF!</v>
      </c>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row>
    <row r="696" spans="1:255" x14ac:dyDescent="0.2">
      <c r="A696" s="64"/>
      <c r="B696" s="111" t="s">
        <v>864</v>
      </c>
      <c r="C696" s="111" t="s">
        <v>961</v>
      </c>
      <c r="D696" s="63"/>
      <c r="E696" s="63"/>
      <c r="F696" s="63"/>
      <c r="G696" s="63"/>
      <c r="H696" s="63"/>
      <c r="I696" s="63"/>
      <c r="J696" s="63"/>
      <c r="K696" s="65"/>
    </row>
    <row r="697" spans="1:255" x14ac:dyDescent="0.2">
      <c r="A697" s="114" t="s">
        <v>512</v>
      </c>
      <c r="B697" s="115" t="s">
        <v>388</v>
      </c>
      <c r="C697" s="116" t="s">
        <v>389</v>
      </c>
      <c r="D697" s="117" t="s">
        <v>33</v>
      </c>
      <c r="E697" s="118" t="e">
        <f>Source!I379</f>
        <v>#REF!</v>
      </c>
      <c r="F697" s="119">
        <v>14313</v>
      </c>
      <c r="G697" s="71"/>
      <c r="H697" s="119">
        <f>Source!AC378</f>
        <v>14313</v>
      </c>
      <c r="I697" s="120" t="e">
        <f>T697</f>
        <v>#REF!</v>
      </c>
      <c r="J697" s="73" t="s">
        <v>863</v>
      </c>
      <c r="K697" s="121" t="e">
        <f>U697</f>
        <v>#REF!</v>
      </c>
      <c r="L697" s="23"/>
      <c r="M697" s="23"/>
      <c r="N697" s="23"/>
      <c r="O697" s="23"/>
      <c r="P697" s="23"/>
      <c r="Q697" s="23"/>
      <c r="R697" s="23"/>
      <c r="S697" s="23"/>
      <c r="T697" s="23" t="e">
        <f>ROUND(Source!AC378*Source!AW378*Source!I378,0)</f>
        <v>#REF!</v>
      </c>
      <c r="U697" s="23" t="e">
        <f>Source!P379</f>
        <v>#REF!</v>
      </c>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v>1</v>
      </c>
      <c r="CW697" s="23"/>
      <c r="CX697" s="23"/>
      <c r="CY697" s="23"/>
      <c r="CZ697" s="23"/>
      <c r="DA697" s="23"/>
      <c r="DB697" s="23"/>
      <c r="DC697" s="23"/>
      <c r="DD697" s="23"/>
      <c r="DE697" s="23"/>
      <c r="DF697" s="23"/>
      <c r="DG697" s="23"/>
      <c r="DH697" s="23"/>
      <c r="DI697" s="23"/>
      <c r="DJ697" s="23"/>
      <c r="DK697" s="23" t="e">
        <f>T697</f>
        <v>#REF!</v>
      </c>
      <c r="DL697" s="23"/>
      <c r="DM697" s="23" t="e">
        <f>Source!P379</f>
        <v>#REF!</v>
      </c>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t="e">
        <f>T697</f>
        <v>#REF!</v>
      </c>
      <c r="GK697" s="23"/>
      <c r="GL697" s="23"/>
      <c r="GM697" s="23"/>
      <c r="GN697" s="23" t="e">
        <f>T697</f>
        <v>#REF!</v>
      </c>
      <c r="GO697" s="23"/>
      <c r="GP697" s="23" t="e">
        <f>T697</f>
        <v>#REF!</v>
      </c>
      <c r="GQ697" s="23" t="e">
        <f>T697</f>
        <v>#REF!</v>
      </c>
      <c r="GR697" s="23"/>
      <c r="GS697" s="23" t="e">
        <f>T697</f>
        <v>#REF!</v>
      </c>
      <c r="GT697" s="23"/>
      <c r="GU697" s="23"/>
      <c r="GV697" s="23"/>
      <c r="GW697" s="23"/>
      <c r="GX697" s="23"/>
      <c r="GY697" s="23"/>
      <c r="GZ697" s="23"/>
      <c r="HA697" s="23"/>
      <c r="HB697" s="23" t="e">
        <f>T697</f>
        <v>#REF!</v>
      </c>
      <c r="HC697" s="23"/>
      <c r="HD697" s="23"/>
      <c r="HE697" s="23"/>
      <c r="HF697" s="23" t="e">
        <f>T697</f>
        <v>#REF!</v>
      </c>
      <c r="HG697" s="23"/>
      <c r="HH697" s="23"/>
      <c r="HI697" s="23"/>
      <c r="HJ697" s="23"/>
      <c r="HK697" s="23"/>
      <c r="HL697" s="23" t="e">
        <f>T697</f>
        <v>#REF!</v>
      </c>
      <c r="HM697" s="23"/>
      <c r="HN697" s="23" t="e">
        <f>T697</f>
        <v>#REF!</v>
      </c>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row>
    <row r="698" spans="1:255" x14ac:dyDescent="0.2">
      <c r="A698" s="98"/>
      <c r="B698" s="113" t="s">
        <v>864</v>
      </c>
      <c r="C698" s="113" t="s">
        <v>962</v>
      </c>
      <c r="D698" s="33"/>
      <c r="E698" s="33"/>
      <c r="F698" s="33"/>
      <c r="G698" s="33"/>
      <c r="H698" s="33"/>
      <c r="I698" s="33"/>
      <c r="J698" s="33"/>
      <c r="K698" s="99"/>
    </row>
    <row r="699" spans="1:255" ht="13.5" thickBot="1" x14ac:dyDescent="0.25">
      <c r="A699" s="124"/>
      <c r="B699" s="125"/>
      <c r="C699" s="125" t="s">
        <v>867</v>
      </c>
      <c r="D699" s="125"/>
      <c r="E699" s="125"/>
      <c r="F699" s="125"/>
      <c r="G699" s="125"/>
      <c r="H699" s="380" t="e">
        <f>SUM(DK687:DK698)</f>
        <v>#REF!</v>
      </c>
      <c r="I699" s="381"/>
      <c r="J699" s="380" t="e">
        <f>SUM(DM687:DM698)</f>
        <v>#REF!</v>
      </c>
      <c r="K699" s="382"/>
      <c r="L699" s="112"/>
      <c r="M699" s="112"/>
      <c r="N699" s="112"/>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row>
    <row r="700" spans="1:255" x14ac:dyDescent="0.2">
      <c r="A700" s="123"/>
      <c r="B700" s="122"/>
      <c r="C700" s="122" t="s">
        <v>868</v>
      </c>
      <c r="D700" s="122"/>
      <c r="E700" s="122"/>
      <c r="F700" s="122"/>
      <c r="G700" s="122"/>
      <c r="H700" s="383" t="e">
        <f>R700</f>
        <v>#REF!</v>
      </c>
      <c r="I700" s="384"/>
      <c r="J700" s="383" t="e">
        <f>S700</f>
        <v>#REF!</v>
      </c>
      <c r="K700" s="385"/>
      <c r="O700" s="23"/>
      <c r="P700" s="23"/>
      <c r="Q700" s="23"/>
      <c r="R700" s="23" t="e">
        <f>SUM(T687:T699)</f>
        <v>#REF!</v>
      </c>
      <c r="S700" s="23" t="e">
        <f>SUM(U687:U699)</f>
        <v>#REF!</v>
      </c>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t="e">
        <f>R700</f>
        <v>#REF!</v>
      </c>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row>
    <row r="701" spans="1:255" x14ac:dyDescent="0.2">
      <c r="A701" s="77"/>
      <c r="B701" s="76"/>
      <c r="C701" s="76"/>
      <c r="D701" s="76"/>
      <c r="E701" s="76"/>
      <c r="F701" s="76"/>
      <c r="G701" s="76"/>
      <c r="H701" s="386"/>
      <c r="I701" s="387"/>
      <c r="J701" s="386"/>
      <c r="K701" s="388"/>
    </row>
    <row r="702" spans="1:255" ht="36" x14ac:dyDescent="0.2">
      <c r="A702" s="126">
        <v>33</v>
      </c>
      <c r="B702" s="133" t="s">
        <v>514</v>
      </c>
      <c r="C702" s="127" t="s">
        <v>983</v>
      </c>
      <c r="D702" s="128" t="s">
        <v>516</v>
      </c>
      <c r="E702" s="129">
        <v>6.4</v>
      </c>
      <c r="F702" s="130">
        <f>Source!AK381</f>
        <v>1135.98</v>
      </c>
      <c r="G702" s="134" t="s">
        <v>6</v>
      </c>
      <c r="H702" s="130"/>
      <c r="I702" s="131" t="e">
        <f>SUM(DQ702:DQ710)</f>
        <v>#REF!</v>
      </c>
      <c r="J702" s="107" t="s">
        <v>514</v>
      </c>
      <c r="K702" s="132" t="e">
        <f>SUM(DS702:DS710)</f>
        <v>#REF!</v>
      </c>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row>
    <row r="703" spans="1:255" x14ac:dyDescent="0.2">
      <c r="A703" s="66"/>
      <c r="B703" s="67"/>
      <c r="C703" s="67" t="s">
        <v>853</v>
      </c>
      <c r="D703" s="68"/>
      <c r="E703" s="69"/>
      <c r="F703" s="70">
        <v>89.78</v>
      </c>
      <c r="G703" s="71" t="s">
        <v>984</v>
      </c>
      <c r="H703" s="70">
        <f>Source!AF381</f>
        <v>134.66999999999999</v>
      </c>
      <c r="I703" s="72" t="e">
        <f>T703</f>
        <v>#REF!</v>
      </c>
      <c r="J703" s="73">
        <v>25.6</v>
      </c>
      <c r="K703" s="74" t="e">
        <f>U703</f>
        <v>#REF!</v>
      </c>
      <c r="O703" s="23"/>
      <c r="P703" s="23"/>
      <c r="Q703" s="23"/>
      <c r="R703" s="23"/>
      <c r="S703" s="23"/>
      <c r="T703" s="23" t="e">
        <f>ROUND(Source!AF381*Source!AV381*Source!I381,0)</f>
        <v>#REF!</v>
      </c>
      <c r="U703" s="23" t="e">
        <f>Source!S381</f>
        <v>#REF!</v>
      </c>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v>1</v>
      </c>
      <c r="CW703" s="23"/>
      <c r="CX703" s="23"/>
      <c r="CY703" s="23"/>
      <c r="CZ703" s="23"/>
      <c r="DA703" s="23"/>
      <c r="DB703" s="23"/>
      <c r="DC703" s="23"/>
      <c r="DD703" s="23"/>
      <c r="DE703" s="23"/>
      <c r="DF703" s="23"/>
      <c r="DG703" s="23" t="e">
        <f>Source!S381</f>
        <v>#REF!</v>
      </c>
      <c r="DH703" s="23">
        <v>1008</v>
      </c>
      <c r="DI703" s="23"/>
      <c r="DJ703" s="23"/>
      <c r="DK703" s="23"/>
      <c r="DL703" s="23"/>
      <c r="DM703" s="23"/>
      <c r="DN703" s="23"/>
      <c r="DO703" s="23"/>
      <c r="DP703" s="23"/>
      <c r="DQ703" s="23" t="e">
        <f>T703</f>
        <v>#REF!</v>
      </c>
      <c r="DR703" s="23"/>
      <c r="DS703" s="23" t="e">
        <f>U703</f>
        <v>#REF!</v>
      </c>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t="e">
        <f>T703</f>
        <v>#REF!</v>
      </c>
      <c r="GK703" s="23" t="e">
        <f>T703</f>
        <v>#REF!</v>
      </c>
      <c r="GL703" s="23"/>
      <c r="GM703" s="23"/>
      <c r="GN703" s="23"/>
      <c r="GO703" s="23"/>
      <c r="GP703" s="23"/>
      <c r="GQ703" s="23"/>
      <c r="GR703" s="23"/>
      <c r="GS703" s="23"/>
      <c r="GT703" s="23"/>
      <c r="GU703" s="23"/>
      <c r="GV703" s="23"/>
      <c r="GW703" s="23"/>
      <c r="GX703" s="23"/>
      <c r="GY703" s="23"/>
      <c r="GZ703" s="23"/>
      <c r="HA703" s="23"/>
      <c r="HB703" s="23" t="e">
        <f>T703</f>
        <v>#REF!</v>
      </c>
      <c r="HC703" s="23"/>
      <c r="HD703" s="23"/>
      <c r="HE703" s="23"/>
      <c r="HF703" s="23" t="e">
        <f>T703</f>
        <v>#REF!</v>
      </c>
      <c r="HG703" s="23"/>
      <c r="HH703" s="23"/>
      <c r="HI703" s="23"/>
      <c r="HJ703" s="23"/>
      <c r="HK703" s="23"/>
      <c r="HL703" s="23" t="e">
        <f>T703</f>
        <v>#REF!</v>
      </c>
      <c r="HM703" s="23"/>
      <c r="HN703" s="23" t="e">
        <f>T703</f>
        <v>#REF!</v>
      </c>
      <c r="HO703" s="23"/>
      <c r="HP703" s="23"/>
      <c r="HQ703" s="23"/>
      <c r="HR703" s="23"/>
      <c r="HS703" s="23"/>
      <c r="HT703" s="23"/>
      <c r="HU703" s="23"/>
      <c r="HV703" s="23"/>
      <c r="HW703" s="23"/>
      <c r="HX703" s="23" t="e">
        <f>T703</f>
        <v>#REF!</v>
      </c>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row>
    <row r="704" spans="1:255" x14ac:dyDescent="0.2">
      <c r="A704" s="78"/>
      <c r="B704" s="79"/>
      <c r="C704" s="79" t="s">
        <v>855</v>
      </c>
      <c r="D704" s="80"/>
      <c r="E704" s="81"/>
      <c r="F704" s="82">
        <v>31.92</v>
      </c>
      <c r="G704" s="83"/>
      <c r="H704" s="82">
        <f>Source!AD381</f>
        <v>31.92</v>
      </c>
      <c r="I704" s="84" t="e">
        <f>T704</f>
        <v>#REF!</v>
      </c>
      <c r="J704" s="85">
        <v>9.3000000000000007</v>
      </c>
      <c r="K704" s="86" t="e">
        <f>U704</f>
        <v>#REF!</v>
      </c>
      <c r="O704" s="23"/>
      <c r="P704" s="23"/>
      <c r="Q704" s="23"/>
      <c r="R704" s="23"/>
      <c r="S704" s="23"/>
      <c r="T704" s="23" t="e">
        <f>ROUND(Source!AD381*Source!AV381*Source!I381,0)</f>
        <v>#REF!</v>
      </c>
      <c r="U704" s="23" t="e">
        <f>Source!Q381</f>
        <v>#REF!</v>
      </c>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v>1</v>
      </c>
      <c r="CW704" s="23"/>
      <c r="CX704" s="23"/>
      <c r="CY704" s="23"/>
      <c r="CZ704" s="23"/>
      <c r="DA704" s="23"/>
      <c r="DB704" s="23"/>
      <c r="DC704" s="23"/>
      <c r="DD704" s="23"/>
      <c r="DE704" s="23"/>
      <c r="DF704" s="23"/>
      <c r="DG704" s="23"/>
      <c r="DH704" s="23"/>
      <c r="DI704" s="23"/>
      <c r="DJ704" s="23"/>
      <c r="DK704" s="23"/>
      <c r="DL704" s="23"/>
      <c r="DM704" s="23"/>
      <c r="DN704" s="23"/>
      <c r="DO704" s="23"/>
      <c r="DP704" s="23"/>
      <c r="DQ704" s="23" t="e">
        <f>T704</f>
        <v>#REF!</v>
      </c>
      <c r="DR704" s="23"/>
      <c r="DS704" s="23" t="e">
        <f>U704</f>
        <v>#REF!</v>
      </c>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t="e">
        <f>T704</f>
        <v>#REF!</v>
      </c>
      <c r="GK704" s="23"/>
      <c r="GL704" s="23" t="e">
        <f>T704</f>
        <v>#REF!</v>
      </c>
      <c r="GM704" s="23"/>
      <c r="GN704" s="23"/>
      <c r="GO704" s="23"/>
      <c r="GP704" s="23"/>
      <c r="GQ704" s="23"/>
      <c r="GR704" s="23"/>
      <c r="GS704" s="23"/>
      <c r="GT704" s="23"/>
      <c r="GU704" s="23"/>
      <c r="GV704" s="23"/>
      <c r="GW704" s="23"/>
      <c r="GX704" s="23"/>
      <c r="GY704" s="23"/>
      <c r="GZ704" s="23"/>
      <c r="HA704" s="23"/>
      <c r="HB704" s="23" t="e">
        <f>T704</f>
        <v>#REF!</v>
      </c>
      <c r="HC704" s="23"/>
      <c r="HD704" s="23"/>
      <c r="HE704" s="23"/>
      <c r="HF704" s="23" t="e">
        <f>T704</f>
        <v>#REF!</v>
      </c>
      <c r="HG704" s="23"/>
      <c r="HH704" s="23"/>
      <c r="HI704" s="23"/>
      <c r="HJ704" s="23"/>
      <c r="HK704" s="23"/>
      <c r="HL704" s="23" t="e">
        <f>T704</f>
        <v>#REF!</v>
      </c>
      <c r="HM704" s="23"/>
      <c r="HN704" s="23" t="e">
        <f>T704</f>
        <v>#REF!</v>
      </c>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row>
    <row r="705" spans="1:255" x14ac:dyDescent="0.2">
      <c r="A705" s="87"/>
      <c r="B705" s="88"/>
      <c r="C705" s="88" t="s">
        <v>858</v>
      </c>
      <c r="D705" s="89"/>
      <c r="E705" s="90">
        <v>100</v>
      </c>
      <c r="F705" s="91" t="s">
        <v>859</v>
      </c>
      <c r="G705" s="92"/>
      <c r="H705" s="93">
        <f>ROUND((Source!AF381*Source!AV381+Source!AE381*Source!AV381)*(Source!FX381)/100,2)</f>
        <v>134.66999999999999</v>
      </c>
      <c r="I705" s="94" t="e">
        <f>T705</f>
        <v>#REF!</v>
      </c>
      <c r="J705" s="96">
        <v>0.95</v>
      </c>
      <c r="K705" s="95" t="e">
        <f>U705</f>
        <v>#REF!</v>
      </c>
      <c r="O705" s="23"/>
      <c r="P705" s="23"/>
      <c r="Q705" s="23"/>
      <c r="R705" s="23"/>
      <c r="S705" s="23"/>
      <c r="T705" s="23" t="e">
        <f>ROUND((ROUND(Source!AF381*Source!AV381*Source!I381,0)+ROUND(Source!AE381*Source!AV381*Source!I381,0))*(Source!DN381)/100,0)</f>
        <v>#REF!</v>
      </c>
      <c r="U705" s="23" t="e">
        <f>Source!X381</f>
        <v>#REF!</v>
      </c>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v>1</v>
      </c>
      <c r="CW705" s="23"/>
      <c r="CX705" s="23"/>
      <c r="CY705" s="23"/>
      <c r="CZ705" s="23"/>
      <c r="DA705" s="23"/>
      <c r="DB705" s="23"/>
      <c r="DC705" s="23"/>
      <c r="DD705" s="23"/>
      <c r="DE705" s="23"/>
      <c r="DF705" s="23"/>
      <c r="DG705" s="23"/>
      <c r="DH705" s="23"/>
      <c r="DI705" s="23"/>
      <c r="DJ705" s="23"/>
      <c r="DK705" s="23"/>
      <c r="DL705" s="23"/>
      <c r="DM705" s="23"/>
      <c r="DN705" s="23"/>
      <c r="DO705" s="23"/>
      <c r="DP705" s="23"/>
      <c r="DQ705" s="23" t="e">
        <f>T705</f>
        <v>#REF!</v>
      </c>
      <c r="DR705" s="23"/>
      <c r="DS705" s="23" t="e">
        <f>U705</f>
        <v>#REF!</v>
      </c>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t="e">
        <f>T705</f>
        <v>#REF!</v>
      </c>
      <c r="GZ705" s="23"/>
      <c r="HA705" s="23"/>
      <c r="HB705" s="23" t="e">
        <f>T705</f>
        <v>#REF!</v>
      </c>
      <c r="HC705" s="23"/>
      <c r="HD705" s="23"/>
      <c r="HE705" s="23"/>
      <c r="HF705" s="23" t="e">
        <f>T705</f>
        <v>#REF!</v>
      </c>
      <c r="HG705" s="23"/>
      <c r="HH705" s="23"/>
      <c r="HI705" s="23"/>
      <c r="HJ705" s="23"/>
      <c r="HK705" s="23"/>
      <c r="HL705" s="23" t="e">
        <f>T705</f>
        <v>#REF!</v>
      </c>
      <c r="HM705" s="23"/>
      <c r="HN705" s="23" t="e">
        <f>T705</f>
        <v>#REF!</v>
      </c>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row>
    <row r="706" spans="1:255" x14ac:dyDescent="0.2">
      <c r="A706" s="87"/>
      <c r="B706" s="88"/>
      <c r="C706" s="88" t="s">
        <v>860</v>
      </c>
      <c r="D706" s="89"/>
      <c r="E706" s="90">
        <v>70</v>
      </c>
      <c r="F706" s="91" t="s">
        <v>859</v>
      </c>
      <c r="G706" s="92"/>
      <c r="H706" s="93">
        <f>ROUND((Source!AF381*Source!AV381+Source!AE381*Source!AV381)*(Source!FY381)/100,2)</f>
        <v>94.27</v>
      </c>
      <c r="I706" s="94" t="e">
        <f>T706</f>
        <v>#REF!</v>
      </c>
      <c r="J706" s="96">
        <v>0.6</v>
      </c>
      <c r="K706" s="95" t="e">
        <f>U706</f>
        <v>#REF!</v>
      </c>
      <c r="O706" s="23"/>
      <c r="P706" s="23"/>
      <c r="Q706" s="23"/>
      <c r="R706" s="23"/>
      <c r="S706" s="23"/>
      <c r="T706" s="23" t="e">
        <f>ROUND((ROUND(Source!AF381*Source!AV381*Source!I381,0)+ROUND(Source!AE381*Source!AV381*Source!I381,0))*(Source!DO381)/100,0)</f>
        <v>#REF!</v>
      </c>
      <c r="U706" s="23" t="e">
        <f>Source!Y381</f>
        <v>#REF!</v>
      </c>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v>1</v>
      </c>
      <c r="CW706" s="23"/>
      <c r="CX706" s="23"/>
      <c r="CY706" s="23"/>
      <c r="CZ706" s="23"/>
      <c r="DA706" s="23"/>
      <c r="DB706" s="23"/>
      <c r="DC706" s="23"/>
      <c r="DD706" s="23"/>
      <c r="DE706" s="23"/>
      <c r="DF706" s="23"/>
      <c r="DG706" s="23"/>
      <c r="DH706" s="23"/>
      <c r="DI706" s="23"/>
      <c r="DJ706" s="23"/>
      <c r="DK706" s="23"/>
      <c r="DL706" s="23"/>
      <c r="DM706" s="23"/>
      <c r="DN706" s="23"/>
      <c r="DO706" s="23"/>
      <c r="DP706" s="23"/>
      <c r="DQ706" s="23" t="e">
        <f>T706</f>
        <v>#REF!</v>
      </c>
      <c r="DR706" s="23"/>
      <c r="DS706" s="23" t="e">
        <f>U706</f>
        <v>#REF!</v>
      </c>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t="e">
        <f>T706</f>
        <v>#REF!</v>
      </c>
      <c r="HA706" s="23"/>
      <c r="HB706" s="23" t="e">
        <f>T706</f>
        <v>#REF!</v>
      </c>
      <c r="HC706" s="23"/>
      <c r="HD706" s="23"/>
      <c r="HE706" s="23"/>
      <c r="HF706" s="23" t="e">
        <f>T706</f>
        <v>#REF!</v>
      </c>
      <c r="HG706" s="23"/>
      <c r="HH706" s="23"/>
      <c r="HI706" s="23"/>
      <c r="HJ706" s="23"/>
      <c r="HK706" s="23"/>
      <c r="HL706" s="23" t="e">
        <f>T706</f>
        <v>#REF!</v>
      </c>
      <c r="HM706" s="23"/>
      <c r="HN706" s="23" t="e">
        <f>T706</f>
        <v>#REF!</v>
      </c>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row>
    <row r="707" spans="1:255" x14ac:dyDescent="0.2">
      <c r="A707" s="78"/>
      <c r="B707" s="79"/>
      <c r="C707" s="79" t="s">
        <v>861</v>
      </c>
      <c r="D707" s="80" t="s">
        <v>862</v>
      </c>
      <c r="E707" s="81">
        <v>9.4700000000000006</v>
      </c>
      <c r="F707" s="82"/>
      <c r="G707" s="83" t="s">
        <v>984</v>
      </c>
      <c r="H707" s="82" t="e">
        <f>ROUND(Source!AH381,2)</f>
        <v>#REF!</v>
      </c>
      <c r="I707" s="97" t="e">
        <f>Source!U381</f>
        <v>#REF!</v>
      </c>
      <c r="J707" s="85"/>
      <c r="K707" s="86"/>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row>
    <row r="708" spans="1:255" x14ac:dyDescent="0.2">
      <c r="A708" s="114" t="s">
        <v>523</v>
      </c>
      <c r="B708" s="115" t="s">
        <v>217</v>
      </c>
      <c r="C708" s="116" t="s">
        <v>524</v>
      </c>
      <c r="D708" s="117" t="s">
        <v>44</v>
      </c>
      <c r="E708" s="118" t="e">
        <f>Source!I383</f>
        <v>#REF!</v>
      </c>
      <c r="F708" s="119">
        <v>459.1</v>
      </c>
      <c r="G708" s="71"/>
      <c r="H708" s="119">
        <f>Source!AC382</f>
        <v>459.1</v>
      </c>
      <c r="I708" s="120" t="e">
        <f>T708</f>
        <v>#REF!</v>
      </c>
      <c r="J708" s="73" t="s">
        <v>863</v>
      </c>
      <c r="K708" s="121" t="e">
        <f>U708</f>
        <v>#REF!</v>
      </c>
      <c r="L708" s="23"/>
      <c r="M708" s="23"/>
      <c r="N708" s="23"/>
      <c r="O708" s="23"/>
      <c r="P708" s="23"/>
      <c r="Q708" s="23"/>
      <c r="R708" s="23"/>
      <c r="S708" s="23"/>
      <c r="T708" s="23" t="e">
        <f>ROUND(Source!AC382*Source!AW382*Source!I382,0)</f>
        <v>#REF!</v>
      </c>
      <c r="U708" s="23" t="e">
        <f>Source!P383</f>
        <v>#REF!</v>
      </c>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v>1</v>
      </c>
      <c r="CW708" s="23"/>
      <c r="CX708" s="23"/>
      <c r="CY708" s="23"/>
      <c r="CZ708" s="23"/>
      <c r="DA708" s="23"/>
      <c r="DB708" s="23"/>
      <c r="DC708" s="23"/>
      <c r="DD708" s="23"/>
      <c r="DE708" s="23"/>
      <c r="DF708" s="23"/>
      <c r="DG708" s="23"/>
      <c r="DH708" s="23"/>
      <c r="DI708" s="23"/>
      <c r="DJ708" s="23"/>
      <c r="DK708" s="23" t="e">
        <f>T708</f>
        <v>#REF!</v>
      </c>
      <c r="DL708" s="23"/>
      <c r="DM708" s="23" t="e">
        <f>Source!P383</f>
        <v>#REF!</v>
      </c>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t="e">
        <f>T708</f>
        <v>#REF!</v>
      </c>
      <c r="GK708" s="23"/>
      <c r="GL708" s="23"/>
      <c r="GM708" s="23"/>
      <c r="GN708" s="23" t="e">
        <f>T708</f>
        <v>#REF!</v>
      </c>
      <c r="GO708" s="23"/>
      <c r="GP708" s="23" t="e">
        <f>T708</f>
        <v>#REF!</v>
      </c>
      <c r="GQ708" s="23" t="e">
        <f>T708</f>
        <v>#REF!</v>
      </c>
      <c r="GR708" s="23"/>
      <c r="GS708" s="23" t="e">
        <f>T708</f>
        <v>#REF!</v>
      </c>
      <c r="GT708" s="23"/>
      <c r="GU708" s="23"/>
      <c r="GV708" s="23"/>
      <c r="GW708" s="23"/>
      <c r="GX708" s="23"/>
      <c r="GY708" s="23"/>
      <c r="GZ708" s="23"/>
      <c r="HA708" s="23"/>
      <c r="HB708" s="23" t="e">
        <f>T708</f>
        <v>#REF!</v>
      </c>
      <c r="HC708" s="23"/>
      <c r="HD708" s="23"/>
      <c r="HE708" s="23"/>
      <c r="HF708" s="23" t="e">
        <f>T708</f>
        <v>#REF!</v>
      </c>
      <c r="HG708" s="23"/>
      <c r="HH708" s="23"/>
      <c r="HI708" s="23"/>
      <c r="HJ708" s="23"/>
      <c r="HK708" s="23"/>
      <c r="HL708" s="23" t="e">
        <f>T708</f>
        <v>#REF!</v>
      </c>
      <c r="HM708" s="23"/>
      <c r="HN708" s="23" t="e">
        <f>T708</f>
        <v>#REF!</v>
      </c>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row>
    <row r="709" spans="1:255" x14ac:dyDescent="0.2">
      <c r="A709" s="98"/>
      <c r="B709" s="113" t="s">
        <v>864</v>
      </c>
      <c r="C709" s="113" t="s">
        <v>938</v>
      </c>
      <c r="D709" s="33"/>
      <c r="E709" s="33"/>
      <c r="F709" s="33"/>
      <c r="G709" s="33"/>
      <c r="H709" s="33"/>
      <c r="I709" s="33"/>
      <c r="J709" s="33"/>
      <c r="K709" s="99"/>
    </row>
    <row r="710" spans="1:255" ht="13.5" thickBot="1" x14ac:dyDescent="0.25">
      <c r="A710" s="124"/>
      <c r="B710" s="125"/>
      <c r="C710" s="125" t="s">
        <v>867</v>
      </c>
      <c r="D710" s="125"/>
      <c r="E710" s="125"/>
      <c r="F710" s="125"/>
      <c r="G710" s="125"/>
      <c r="H710" s="380" t="e">
        <f>SUM(DK702:DK709)</f>
        <v>#REF!</v>
      </c>
      <c r="I710" s="381"/>
      <c r="J710" s="380" t="e">
        <f>SUM(DM702:DM709)</f>
        <v>#REF!</v>
      </c>
      <c r="K710" s="382"/>
      <c r="L710" s="112"/>
      <c r="M710" s="112"/>
      <c r="N710" s="112"/>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row>
    <row r="711" spans="1:255" x14ac:dyDescent="0.2">
      <c r="A711" s="123"/>
      <c r="B711" s="122"/>
      <c r="C711" s="122" t="s">
        <v>868</v>
      </c>
      <c r="D711" s="122"/>
      <c r="E711" s="122"/>
      <c r="F711" s="122"/>
      <c r="G711" s="122"/>
      <c r="H711" s="383" t="e">
        <f>R711</f>
        <v>#REF!</v>
      </c>
      <c r="I711" s="384"/>
      <c r="J711" s="383" t="e">
        <f>S711</f>
        <v>#REF!</v>
      </c>
      <c r="K711" s="385"/>
      <c r="O711" s="23"/>
      <c r="P711" s="23"/>
      <c r="Q711" s="23"/>
      <c r="R711" s="23" t="e">
        <f>SUM(T702:T710)</f>
        <v>#REF!</v>
      </c>
      <c r="S711" s="23" t="e">
        <f>SUM(U702:U710)</f>
        <v>#REF!</v>
      </c>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t="e">
        <f>R711</f>
        <v>#REF!</v>
      </c>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row>
    <row r="712" spans="1:255" x14ac:dyDescent="0.2">
      <c r="A712" s="77"/>
      <c r="B712" s="76"/>
      <c r="C712" s="76"/>
      <c r="D712" s="76"/>
      <c r="E712" s="76"/>
      <c r="F712" s="76"/>
      <c r="G712" s="76"/>
      <c r="H712" s="386"/>
      <c r="I712" s="387"/>
      <c r="J712" s="386"/>
      <c r="K712" s="388"/>
    </row>
    <row r="713" spans="1:255" ht="36" x14ac:dyDescent="0.2">
      <c r="A713" s="126">
        <v>34</v>
      </c>
      <c r="B713" s="133" t="s">
        <v>309</v>
      </c>
      <c r="C713" s="127" t="s">
        <v>310</v>
      </c>
      <c r="D713" s="128" t="s">
        <v>298</v>
      </c>
      <c r="E713" s="129">
        <v>2.72</v>
      </c>
      <c r="F713" s="130">
        <f>Source!AK385</f>
        <v>187.51999999999998</v>
      </c>
      <c r="G713" s="134" t="s">
        <v>6</v>
      </c>
      <c r="H713" s="130"/>
      <c r="I713" s="131">
        <f>SUM(DQ713:DQ732)</f>
        <v>272</v>
      </c>
      <c r="J713" s="107" t="s">
        <v>309</v>
      </c>
      <c r="K713" s="132" t="e">
        <f>SUM(DS713:DS732)</f>
        <v>#REF!</v>
      </c>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row>
    <row r="714" spans="1:255" x14ac:dyDescent="0.2">
      <c r="A714" s="66"/>
      <c r="B714" s="67"/>
      <c r="C714" s="67" t="s">
        <v>853</v>
      </c>
      <c r="D714" s="68"/>
      <c r="E714" s="69"/>
      <c r="F714" s="70">
        <v>144.85</v>
      </c>
      <c r="G714" s="71"/>
      <c r="H714" s="70">
        <f>Source!AF385</f>
        <v>144.85</v>
      </c>
      <c r="I714" s="72">
        <f>T714</f>
        <v>98</v>
      </c>
      <c r="J714" s="73">
        <v>25.36</v>
      </c>
      <c r="K714" s="74">
        <f>U714</f>
        <v>2498</v>
      </c>
      <c r="O714" s="23"/>
      <c r="P714" s="23"/>
      <c r="Q714" s="23"/>
      <c r="R714" s="23"/>
      <c r="S714" s="23"/>
      <c r="T714" s="23">
        <f>ROUND(Source!AF385*Source!AV385*Source!I385,0)</f>
        <v>98</v>
      </c>
      <c r="U714" s="23">
        <f>Source!S385</f>
        <v>2498</v>
      </c>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v>2</v>
      </c>
      <c r="CW714" s="23"/>
      <c r="CX714" s="23"/>
      <c r="CY714" s="23"/>
      <c r="CZ714" s="23"/>
      <c r="DA714" s="23"/>
      <c r="DB714" s="23"/>
      <c r="DC714" s="23"/>
      <c r="DD714" s="23"/>
      <c r="DE714" s="23"/>
      <c r="DF714" s="23"/>
      <c r="DG714" s="23">
        <f>Source!S385</f>
        <v>2498</v>
      </c>
      <c r="DH714" s="23">
        <v>1015</v>
      </c>
      <c r="DI714" s="23"/>
      <c r="DJ714" s="23"/>
      <c r="DK714" s="23"/>
      <c r="DL714" s="23"/>
      <c r="DM714" s="23"/>
      <c r="DN714" s="23"/>
      <c r="DO714" s="23"/>
      <c r="DP714" s="23"/>
      <c r="DQ714" s="23">
        <f>T714</f>
        <v>98</v>
      </c>
      <c r="DR714" s="23"/>
      <c r="DS714" s="23">
        <f>U714</f>
        <v>2498</v>
      </c>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f>T714</f>
        <v>98</v>
      </c>
      <c r="GK714" s="23">
        <f>T714</f>
        <v>98</v>
      </c>
      <c r="GL714" s="23"/>
      <c r="GM714" s="23"/>
      <c r="GN714" s="23"/>
      <c r="GO714" s="23"/>
      <c r="GP714" s="23"/>
      <c r="GQ714" s="23"/>
      <c r="GR714" s="23"/>
      <c r="GS714" s="23"/>
      <c r="GT714" s="23"/>
      <c r="GU714" s="23"/>
      <c r="GV714" s="23"/>
      <c r="GW714" s="23"/>
      <c r="GX714" s="23"/>
      <c r="GY714" s="23"/>
      <c r="GZ714" s="23"/>
      <c r="HA714" s="23"/>
      <c r="HB714" s="23"/>
      <c r="HC714" s="23">
        <f>T714</f>
        <v>98</v>
      </c>
      <c r="HD714" s="23"/>
      <c r="HE714" s="23"/>
      <c r="HF714" s="23">
        <f>T714</f>
        <v>98</v>
      </c>
      <c r="HG714" s="23"/>
      <c r="HH714" s="23"/>
      <c r="HI714" s="23"/>
      <c r="HJ714" s="23"/>
      <c r="HK714" s="23"/>
      <c r="HL714" s="23">
        <f>T714</f>
        <v>98</v>
      </c>
      <c r="HM714" s="23"/>
      <c r="HN714" s="23"/>
      <c r="HO714" s="23"/>
      <c r="HP714" s="23">
        <f>T714</f>
        <v>98</v>
      </c>
      <c r="HQ714" s="23"/>
      <c r="HR714" s="23"/>
      <c r="HS714" s="23"/>
      <c r="HT714" s="23"/>
      <c r="HU714" s="23"/>
      <c r="HV714" s="23"/>
      <c r="HW714" s="23"/>
      <c r="HX714" s="23">
        <f>T714</f>
        <v>98</v>
      </c>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row>
    <row r="715" spans="1:255" x14ac:dyDescent="0.2">
      <c r="A715" s="78"/>
      <c r="B715" s="79"/>
      <c r="C715" s="79" t="s">
        <v>855</v>
      </c>
      <c r="D715" s="80"/>
      <c r="E715" s="81"/>
      <c r="F715" s="82">
        <v>23.51</v>
      </c>
      <c r="G715" s="83"/>
      <c r="H715" s="82">
        <f>Source!AD385</f>
        <v>23.51</v>
      </c>
      <c r="I715" s="84">
        <f>T715</f>
        <v>16</v>
      </c>
      <c r="J715" s="85">
        <v>7.84</v>
      </c>
      <c r="K715" s="86">
        <f>U715</f>
        <v>125</v>
      </c>
      <c r="O715" s="23"/>
      <c r="P715" s="23"/>
      <c r="Q715" s="23"/>
      <c r="R715" s="23"/>
      <c r="S715" s="23"/>
      <c r="T715" s="23">
        <f>ROUND(Source!AD385*Source!AV385*Source!I385,0)</f>
        <v>16</v>
      </c>
      <c r="U715" s="23">
        <f>Source!Q385</f>
        <v>125</v>
      </c>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v>2</v>
      </c>
      <c r="CW715" s="23"/>
      <c r="CX715" s="23"/>
      <c r="CY715" s="23"/>
      <c r="CZ715" s="23"/>
      <c r="DA715" s="23"/>
      <c r="DB715" s="23"/>
      <c r="DC715" s="23"/>
      <c r="DD715" s="23"/>
      <c r="DE715" s="23"/>
      <c r="DF715" s="23"/>
      <c r="DG715" s="23"/>
      <c r="DH715" s="23"/>
      <c r="DI715" s="23"/>
      <c r="DJ715" s="23"/>
      <c r="DK715" s="23"/>
      <c r="DL715" s="23"/>
      <c r="DM715" s="23"/>
      <c r="DN715" s="23"/>
      <c r="DO715" s="23"/>
      <c r="DP715" s="23"/>
      <c r="DQ715" s="23">
        <f>T715</f>
        <v>16</v>
      </c>
      <c r="DR715" s="23"/>
      <c r="DS715" s="23">
        <f>U715</f>
        <v>125</v>
      </c>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f>T715</f>
        <v>16</v>
      </c>
      <c r="GK715" s="23"/>
      <c r="GL715" s="23">
        <f>T715</f>
        <v>16</v>
      </c>
      <c r="GM715" s="23"/>
      <c r="GN715" s="23"/>
      <c r="GO715" s="23"/>
      <c r="GP715" s="23"/>
      <c r="GQ715" s="23"/>
      <c r="GR715" s="23"/>
      <c r="GS715" s="23"/>
      <c r="GT715" s="23"/>
      <c r="GU715" s="23"/>
      <c r="GV715" s="23"/>
      <c r="GW715" s="23"/>
      <c r="GX715" s="23"/>
      <c r="GY715" s="23"/>
      <c r="GZ715" s="23"/>
      <c r="HA715" s="23"/>
      <c r="HB715" s="23"/>
      <c r="HC715" s="23">
        <f>T715</f>
        <v>16</v>
      </c>
      <c r="HD715" s="23"/>
      <c r="HE715" s="23"/>
      <c r="HF715" s="23">
        <f>T715</f>
        <v>16</v>
      </c>
      <c r="HG715" s="23"/>
      <c r="HH715" s="23"/>
      <c r="HI715" s="23"/>
      <c r="HJ715" s="23"/>
      <c r="HK715" s="23"/>
      <c r="HL715" s="23">
        <f>T715</f>
        <v>16</v>
      </c>
      <c r="HM715" s="23"/>
      <c r="HN715" s="23"/>
      <c r="HO715" s="23"/>
      <c r="HP715" s="23">
        <f>T715</f>
        <v>16</v>
      </c>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row>
    <row r="716" spans="1:255" x14ac:dyDescent="0.2">
      <c r="A716" s="78"/>
      <c r="B716" s="79"/>
      <c r="C716" s="79" t="s">
        <v>857</v>
      </c>
      <c r="D716" s="80"/>
      <c r="E716" s="81"/>
      <c r="F716" s="82">
        <v>1.22</v>
      </c>
      <c r="G716" s="83"/>
      <c r="H716" s="82">
        <f>Source!AE385</f>
        <v>1.22</v>
      </c>
      <c r="I716" s="84">
        <f>GM716</f>
        <v>1</v>
      </c>
      <c r="J716" s="85">
        <v>19.8</v>
      </c>
      <c r="K716" s="86">
        <f>Source!R385</f>
        <v>16</v>
      </c>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f>ROUND(Source!AE385*Source!AV385*Source!I385,0)</f>
        <v>1</v>
      </c>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f>GM716</f>
        <v>1</v>
      </c>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row>
    <row r="717" spans="1:255" x14ac:dyDescent="0.2">
      <c r="A717" s="87"/>
      <c r="B717" s="88"/>
      <c r="C717" s="88" t="s">
        <v>858</v>
      </c>
      <c r="D717" s="89"/>
      <c r="E717" s="90">
        <v>95</v>
      </c>
      <c r="F717" s="91" t="s">
        <v>859</v>
      </c>
      <c r="G717" s="92"/>
      <c r="H717" s="93">
        <f>ROUND((Source!AF385*Source!AV385+Source!AE385*Source!AV385)*(Source!FX385)/100,2)</f>
        <v>138.77000000000001</v>
      </c>
      <c r="I717" s="94">
        <f>T717</f>
        <v>94</v>
      </c>
      <c r="J717" s="96">
        <v>0.9</v>
      </c>
      <c r="K717" s="95" t="e">
        <f>U717</f>
        <v>#REF!</v>
      </c>
      <c r="O717" s="23"/>
      <c r="P717" s="23"/>
      <c r="Q717" s="23"/>
      <c r="R717" s="23"/>
      <c r="S717" s="23"/>
      <c r="T717" s="23">
        <f>ROUND((ROUND(Source!AF385*Source!AV385*Source!I385,0)+ROUND(Source!AE385*Source!AV385*Source!I385,0))*(Source!DN385)/100,0)</f>
        <v>94</v>
      </c>
      <c r="U717" s="23" t="e">
        <f>Source!X385</f>
        <v>#REF!</v>
      </c>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v>2</v>
      </c>
      <c r="CW717" s="23"/>
      <c r="CX717" s="23"/>
      <c r="CY717" s="23"/>
      <c r="CZ717" s="23"/>
      <c r="DA717" s="23"/>
      <c r="DB717" s="23"/>
      <c r="DC717" s="23"/>
      <c r="DD717" s="23"/>
      <c r="DE717" s="23"/>
      <c r="DF717" s="23"/>
      <c r="DG717" s="23"/>
      <c r="DH717" s="23"/>
      <c r="DI717" s="23"/>
      <c r="DJ717" s="23"/>
      <c r="DK717" s="23"/>
      <c r="DL717" s="23"/>
      <c r="DM717" s="23"/>
      <c r="DN717" s="23"/>
      <c r="DO717" s="23"/>
      <c r="DP717" s="23"/>
      <c r="DQ717" s="23">
        <f>T717</f>
        <v>94</v>
      </c>
      <c r="DR717" s="23"/>
      <c r="DS717" s="23" t="e">
        <f>U717</f>
        <v>#REF!</v>
      </c>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f>T717</f>
        <v>94</v>
      </c>
      <c r="GZ717" s="23"/>
      <c r="HA717" s="23"/>
      <c r="HB717" s="23"/>
      <c r="HC717" s="23">
        <f>T717</f>
        <v>94</v>
      </c>
      <c r="HD717" s="23"/>
      <c r="HE717" s="23"/>
      <c r="HF717" s="23">
        <f>T717</f>
        <v>94</v>
      </c>
      <c r="HG717" s="23"/>
      <c r="HH717" s="23"/>
      <c r="HI717" s="23"/>
      <c r="HJ717" s="23"/>
      <c r="HK717" s="23"/>
      <c r="HL717" s="23">
        <f>T717</f>
        <v>94</v>
      </c>
      <c r="HM717" s="23"/>
      <c r="HN717" s="23"/>
      <c r="HO717" s="23"/>
      <c r="HP717" s="23">
        <f>T717</f>
        <v>94</v>
      </c>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row>
    <row r="718" spans="1:255" x14ac:dyDescent="0.2">
      <c r="A718" s="87"/>
      <c r="B718" s="88"/>
      <c r="C718" s="88" t="s">
        <v>860</v>
      </c>
      <c r="D718" s="89"/>
      <c r="E718" s="90">
        <v>65</v>
      </c>
      <c r="F718" s="91" t="s">
        <v>859</v>
      </c>
      <c r="G718" s="92"/>
      <c r="H718" s="93">
        <f>ROUND((Source!AF385*Source!AV385+Source!AE385*Source!AV385)*(Source!FY385)/100,2)</f>
        <v>94.95</v>
      </c>
      <c r="I718" s="94">
        <f>T718</f>
        <v>64</v>
      </c>
      <c r="J718" s="96">
        <v>0.55000000000000004</v>
      </c>
      <c r="K718" s="95" t="e">
        <f>U718</f>
        <v>#REF!</v>
      </c>
      <c r="O718" s="23"/>
      <c r="P718" s="23"/>
      <c r="Q718" s="23"/>
      <c r="R718" s="23"/>
      <c r="S718" s="23"/>
      <c r="T718" s="23">
        <f>ROUND((ROUND(Source!AF385*Source!AV385*Source!I385,0)+ROUND(Source!AE385*Source!AV385*Source!I385,0))*(Source!DO385)/100,0)</f>
        <v>64</v>
      </c>
      <c r="U718" s="23" t="e">
        <f>Source!Y385</f>
        <v>#REF!</v>
      </c>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v>2</v>
      </c>
      <c r="CW718" s="23"/>
      <c r="CX718" s="23"/>
      <c r="CY718" s="23"/>
      <c r="CZ718" s="23"/>
      <c r="DA718" s="23"/>
      <c r="DB718" s="23"/>
      <c r="DC718" s="23"/>
      <c r="DD718" s="23"/>
      <c r="DE718" s="23"/>
      <c r="DF718" s="23"/>
      <c r="DG718" s="23"/>
      <c r="DH718" s="23"/>
      <c r="DI718" s="23"/>
      <c r="DJ718" s="23"/>
      <c r="DK718" s="23"/>
      <c r="DL718" s="23"/>
      <c r="DM718" s="23"/>
      <c r="DN718" s="23"/>
      <c r="DO718" s="23"/>
      <c r="DP718" s="23"/>
      <c r="DQ718" s="23">
        <f>T718</f>
        <v>64</v>
      </c>
      <c r="DR718" s="23"/>
      <c r="DS718" s="23" t="e">
        <f>U718</f>
        <v>#REF!</v>
      </c>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f>T718</f>
        <v>64</v>
      </c>
      <c r="HA718" s="23"/>
      <c r="HB718" s="23"/>
      <c r="HC718" s="23">
        <f>T718</f>
        <v>64</v>
      </c>
      <c r="HD718" s="23"/>
      <c r="HE718" s="23"/>
      <c r="HF718" s="23">
        <f>T718</f>
        <v>64</v>
      </c>
      <c r="HG718" s="23"/>
      <c r="HH718" s="23"/>
      <c r="HI718" s="23"/>
      <c r="HJ718" s="23"/>
      <c r="HK718" s="23"/>
      <c r="HL718" s="23">
        <f>T718</f>
        <v>64</v>
      </c>
      <c r="HM718" s="23"/>
      <c r="HN718" s="23"/>
      <c r="HO718" s="23"/>
      <c r="HP718" s="23">
        <f>T718</f>
        <v>64</v>
      </c>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row>
    <row r="719" spans="1:255" x14ac:dyDescent="0.2">
      <c r="A719" s="78"/>
      <c r="B719" s="79"/>
      <c r="C719" s="79" t="s">
        <v>861</v>
      </c>
      <c r="D719" s="80" t="s">
        <v>862</v>
      </c>
      <c r="E719" s="81">
        <v>15.28</v>
      </c>
      <c r="F719" s="82"/>
      <c r="G719" s="83"/>
      <c r="H719" s="82" t="e">
        <f>ROUND(Source!AH385,2)</f>
        <v>#REF!</v>
      </c>
      <c r="I719" s="97" t="e">
        <f>Source!U385</f>
        <v>#REF!</v>
      </c>
      <c r="J719" s="85"/>
      <c r="K719" s="86"/>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row>
    <row r="720" spans="1:255" x14ac:dyDescent="0.2">
      <c r="A720" s="100" t="s">
        <v>526</v>
      </c>
      <c r="B720" s="109" t="s">
        <v>316</v>
      </c>
      <c r="C720" s="101" t="s">
        <v>317</v>
      </c>
      <c r="D720" s="102" t="s">
        <v>33</v>
      </c>
      <c r="E720" s="103">
        <f>Source!I387</f>
        <v>1.4959999999999999E-3</v>
      </c>
      <c r="F720" s="104">
        <v>10559.12</v>
      </c>
      <c r="G720" s="105"/>
      <c r="H720" s="104">
        <f>Source!AC386</f>
        <v>10559.12</v>
      </c>
      <c r="I720" s="106">
        <f>T720</f>
        <v>16</v>
      </c>
      <c r="J720" s="107" t="s">
        <v>863</v>
      </c>
      <c r="K720" s="108">
        <f>U720</f>
        <v>153</v>
      </c>
      <c r="L720" s="23"/>
      <c r="M720" s="23"/>
      <c r="N720" s="23"/>
      <c r="O720" s="23"/>
      <c r="P720" s="23"/>
      <c r="Q720" s="23"/>
      <c r="R720" s="23"/>
      <c r="S720" s="23"/>
      <c r="T720" s="23">
        <f>ROUND(Source!AC386*Source!AW386*Source!I386,0)</f>
        <v>16</v>
      </c>
      <c r="U720" s="23">
        <f>Source!P387</f>
        <v>153</v>
      </c>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v>1</v>
      </c>
      <c r="CW720" s="23"/>
      <c r="CX720" s="23"/>
      <c r="CY720" s="23"/>
      <c r="CZ720" s="23"/>
      <c r="DA720" s="23"/>
      <c r="DB720" s="23"/>
      <c r="DC720" s="23"/>
      <c r="DD720" s="23"/>
      <c r="DE720" s="23"/>
      <c r="DF720" s="23"/>
      <c r="DG720" s="23"/>
      <c r="DH720" s="23"/>
      <c r="DI720" s="23"/>
      <c r="DJ720" s="23"/>
      <c r="DK720" s="23">
        <f>T720</f>
        <v>16</v>
      </c>
      <c r="DL720" s="23"/>
      <c r="DM720" s="23">
        <f>Source!P387</f>
        <v>153</v>
      </c>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f>T720</f>
        <v>16</v>
      </c>
      <c r="GK720" s="23"/>
      <c r="GL720" s="23"/>
      <c r="GM720" s="23"/>
      <c r="GN720" s="23">
        <f>T720</f>
        <v>16</v>
      </c>
      <c r="GO720" s="23"/>
      <c r="GP720" s="23">
        <f>T720</f>
        <v>16</v>
      </c>
      <c r="GQ720" s="23">
        <f>T720</f>
        <v>16</v>
      </c>
      <c r="GR720" s="23"/>
      <c r="GS720" s="23">
        <f>T720</f>
        <v>16</v>
      </c>
      <c r="GT720" s="23"/>
      <c r="GU720" s="23"/>
      <c r="GV720" s="23"/>
      <c r="GW720" s="23"/>
      <c r="GX720" s="23"/>
      <c r="GY720" s="23"/>
      <c r="GZ720" s="23"/>
      <c r="HA720" s="23"/>
      <c r="HB720" s="23">
        <f>T720</f>
        <v>16</v>
      </c>
      <c r="HC720" s="23"/>
      <c r="HD720" s="23"/>
      <c r="HE720" s="23"/>
      <c r="HF720" s="23">
        <f>T720</f>
        <v>16</v>
      </c>
      <c r="HG720" s="23"/>
      <c r="HH720" s="23"/>
      <c r="HI720" s="23"/>
      <c r="HJ720" s="23"/>
      <c r="HK720" s="23"/>
      <c r="HL720" s="23">
        <f>T720</f>
        <v>16</v>
      </c>
      <c r="HM720" s="23"/>
      <c r="HN720" s="23">
        <f>T720</f>
        <v>16</v>
      </c>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row>
    <row r="721" spans="1:255" x14ac:dyDescent="0.2">
      <c r="A721" s="64"/>
      <c r="B721" s="111" t="s">
        <v>864</v>
      </c>
      <c r="C721" s="111" t="s">
        <v>949</v>
      </c>
      <c r="D721" s="63"/>
      <c r="E721" s="63"/>
      <c r="F721" s="63"/>
      <c r="G721" s="63"/>
      <c r="H721" s="63"/>
      <c r="I721" s="63"/>
      <c r="J721" s="63"/>
      <c r="K721" s="65"/>
    </row>
    <row r="722" spans="1:255" x14ac:dyDescent="0.2">
      <c r="A722" s="100" t="s">
        <v>527</v>
      </c>
      <c r="B722" s="109" t="s">
        <v>321</v>
      </c>
      <c r="C722" s="101" t="s">
        <v>528</v>
      </c>
      <c r="D722" s="102" t="s">
        <v>325</v>
      </c>
      <c r="E722" s="103">
        <f>Source!I389</f>
        <v>28</v>
      </c>
      <c r="F722" s="104">
        <v>7.93</v>
      </c>
      <c r="G722" s="105"/>
      <c r="H722" s="104">
        <f>Source!AC388</f>
        <v>7.93</v>
      </c>
      <c r="I722" s="106">
        <f>T722</f>
        <v>222</v>
      </c>
      <c r="J722" s="107" t="s">
        <v>863</v>
      </c>
      <c r="K722" s="108">
        <f>U722</f>
        <v>747</v>
      </c>
      <c r="L722" s="23"/>
      <c r="M722" s="23"/>
      <c r="N722" s="23"/>
      <c r="O722" s="23"/>
      <c r="P722" s="23"/>
      <c r="Q722" s="23"/>
      <c r="R722" s="23"/>
      <c r="S722" s="23"/>
      <c r="T722" s="23">
        <f>ROUND(Source!AC388*Source!AW388*Source!I388,0)</f>
        <v>222</v>
      </c>
      <c r="U722" s="23">
        <f>Source!P389</f>
        <v>747</v>
      </c>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v>2</v>
      </c>
      <c r="CW722" s="23"/>
      <c r="CX722" s="23"/>
      <c r="CY722" s="23"/>
      <c r="CZ722" s="23"/>
      <c r="DA722" s="23"/>
      <c r="DB722" s="23"/>
      <c r="DC722" s="23"/>
      <c r="DD722" s="23"/>
      <c r="DE722" s="23"/>
      <c r="DF722" s="23"/>
      <c r="DG722" s="23"/>
      <c r="DH722" s="23"/>
      <c r="DI722" s="23"/>
      <c r="DJ722" s="23"/>
      <c r="DK722" s="23">
        <f>T722</f>
        <v>222</v>
      </c>
      <c r="DL722" s="23"/>
      <c r="DM722" s="23">
        <f>Source!P389</f>
        <v>747</v>
      </c>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f>T722</f>
        <v>222</v>
      </c>
      <c r="GK722" s="23"/>
      <c r="GL722" s="23"/>
      <c r="GM722" s="23"/>
      <c r="GN722" s="23">
        <f>T722</f>
        <v>222</v>
      </c>
      <c r="GO722" s="23"/>
      <c r="GP722" s="23">
        <f>T722</f>
        <v>222</v>
      </c>
      <c r="GQ722" s="23">
        <f>T722</f>
        <v>222</v>
      </c>
      <c r="GR722" s="23"/>
      <c r="GS722" s="23">
        <f>T722</f>
        <v>222</v>
      </c>
      <c r="GT722" s="23"/>
      <c r="GU722" s="23"/>
      <c r="GV722" s="23"/>
      <c r="GW722" s="23"/>
      <c r="GX722" s="23"/>
      <c r="GY722" s="23"/>
      <c r="GZ722" s="23"/>
      <c r="HA722" s="23"/>
      <c r="HB722" s="23"/>
      <c r="HC722" s="23">
        <f>T722</f>
        <v>222</v>
      </c>
      <c r="HD722" s="23"/>
      <c r="HE722" s="23"/>
      <c r="HF722" s="23">
        <f>T722</f>
        <v>222</v>
      </c>
      <c r="HG722" s="23"/>
      <c r="HH722" s="23"/>
      <c r="HI722" s="23"/>
      <c r="HJ722" s="23"/>
      <c r="HK722" s="23"/>
      <c r="HL722" s="23">
        <f>T722</f>
        <v>222</v>
      </c>
      <c r="HM722" s="23"/>
      <c r="HN722" s="23"/>
      <c r="HO722" s="23"/>
      <c r="HP722" s="23">
        <f>T722</f>
        <v>222</v>
      </c>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row>
    <row r="723" spans="1:255" x14ac:dyDescent="0.2">
      <c r="A723" s="64"/>
      <c r="B723" s="111" t="s">
        <v>864</v>
      </c>
      <c r="C723" s="111" t="s">
        <v>950</v>
      </c>
      <c r="D723" s="63"/>
      <c r="E723" s="63"/>
      <c r="F723" s="63"/>
      <c r="G723" s="63"/>
      <c r="H723" s="63"/>
      <c r="I723" s="63"/>
      <c r="J723" s="63"/>
      <c r="K723" s="65"/>
    </row>
    <row r="724" spans="1:255" x14ac:dyDescent="0.2">
      <c r="A724" s="100" t="s">
        <v>529</v>
      </c>
      <c r="B724" s="109" t="s">
        <v>321</v>
      </c>
      <c r="C724" s="101" t="s">
        <v>328</v>
      </c>
      <c r="D724" s="102" t="s">
        <v>325</v>
      </c>
      <c r="E724" s="103">
        <f>Source!I391</f>
        <v>37</v>
      </c>
      <c r="F724" s="104">
        <v>7.93</v>
      </c>
      <c r="G724" s="105"/>
      <c r="H724" s="104">
        <f>Source!AC390</f>
        <v>7.93</v>
      </c>
      <c r="I724" s="106">
        <f>T724</f>
        <v>293</v>
      </c>
      <c r="J724" s="107" t="s">
        <v>863</v>
      </c>
      <c r="K724" s="108">
        <f>U724</f>
        <v>1189</v>
      </c>
      <c r="L724" s="23"/>
      <c r="M724" s="23"/>
      <c r="N724" s="23"/>
      <c r="O724" s="23"/>
      <c r="P724" s="23"/>
      <c r="Q724" s="23"/>
      <c r="R724" s="23"/>
      <c r="S724" s="23"/>
      <c r="T724" s="23">
        <f>ROUND(Source!AC390*Source!AW390*Source!I390,0)</f>
        <v>293</v>
      </c>
      <c r="U724" s="23">
        <f>Source!P391</f>
        <v>1189</v>
      </c>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v>2</v>
      </c>
      <c r="CW724" s="23"/>
      <c r="CX724" s="23"/>
      <c r="CY724" s="23"/>
      <c r="CZ724" s="23"/>
      <c r="DA724" s="23"/>
      <c r="DB724" s="23"/>
      <c r="DC724" s="23"/>
      <c r="DD724" s="23"/>
      <c r="DE724" s="23"/>
      <c r="DF724" s="23"/>
      <c r="DG724" s="23"/>
      <c r="DH724" s="23"/>
      <c r="DI724" s="23"/>
      <c r="DJ724" s="23"/>
      <c r="DK724" s="23">
        <f>T724</f>
        <v>293</v>
      </c>
      <c r="DL724" s="23"/>
      <c r="DM724" s="23">
        <f>Source!P391</f>
        <v>1189</v>
      </c>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f>T724</f>
        <v>293</v>
      </c>
      <c r="GK724" s="23"/>
      <c r="GL724" s="23"/>
      <c r="GM724" s="23"/>
      <c r="GN724" s="23">
        <f>T724</f>
        <v>293</v>
      </c>
      <c r="GO724" s="23"/>
      <c r="GP724" s="23">
        <f>T724</f>
        <v>293</v>
      </c>
      <c r="GQ724" s="23">
        <f>T724</f>
        <v>293</v>
      </c>
      <c r="GR724" s="23"/>
      <c r="GS724" s="23">
        <f>T724</f>
        <v>293</v>
      </c>
      <c r="GT724" s="23"/>
      <c r="GU724" s="23"/>
      <c r="GV724" s="23"/>
      <c r="GW724" s="23"/>
      <c r="GX724" s="23"/>
      <c r="GY724" s="23"/>
      <c r="GZ724" s="23"/>
      <c r="HA724" s="23"/>
      <c r="HB724" s="23"/>
      <c r="HC724" s="23">
        <f>T724</f>
        <v>293</v>
      </c>
      <c r="HD724" s="23"/>
      <c r="HE724" s="23"/>
      <c r="HF724" s="23">
        <f>T724</f>
        <v>293</v>
      </c>
      <c r="HG724" s="23"/>
      <c r="HH724" s="23"/>
      <c r="HI724" s="23"/>
      <c r="HJ724" s="23"/>
      <c r="HK724" s="23"/>
      <c r="HL724" s="23">
        <f>T724</f>
        <v>293</v>
      </c>
      <c r="HM724" s="23"/>
      <c r="HN724" s="23"/>
      <c r="HO724" s="23"/>
      <c r="HP724" s="23">
        <f>T724</f>
        <v>293</v>
      </c>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row>
    <row r="725" spans="1:255" x14ac:dyDescent="0.2">
      <c r="A725" s="64"/>
      <c r="B725" s="111" t="s">
        <v>864</v>
      </c>
      <c r="C725" s="111" t="s">
        <v>951</v>
      </c>
      <c r="D725" s="63"/>
      <c r="E725" s="63"/>
      <c r="F725" s="63"/>
      <c r="G725" s="63"/>
      <c r="H725" s="63"/>
      <c r="I725" s="63"/>
      <c r="J725" s="63"/>
      <c r="K725" s="65"/>
    </row>
    <row r="726" spans="1:255" ht="48" x14ac:dyDescent="0.2">
      <c r="A726" s="100" t="s">
        <v>530</v>
      </c>
      <c r="B726" s="109" t="s">
        <v>331</v>
      </c>
      <c r="C726" s="101" t="s">
        <v>332</v>
      </c>
      <c r="D726" s="102" t="s">
        <v>333</v>
      </c>
      <c r="E726" s="103">
        <f>Source!I393</f>
        <v>6.7999999999999989</v>
      </c>
      <c r="F726" s="104">
        <v>56.95</v>
      </c>
      <c r="G726" s="105"/>
      <c r="H726" s="104">
        <f>Source!AC392</f>
        <v>56.95</v>
      </c>
      <c r="I726" s="106">
        <f>T726</f>
        <v>387</v>
      </c>
      <c r="J726" s="107" t="s">
        <v>863</v>
      </c>
      <c r="K726" s="108">
        <f>U726</f>
        <v>1450</v>
      </c>
      <c r="L726" s="23"/>
      <c r="M726" s="23"/>
      <c r="N726" s="23"/>
      <c r="O726" s="23"/>
      <c r="P726" s="23"/>
      <c r="Q726" s="23"/>
      <c r="R726" s="23"/>
      <c r="S726" s="23"/>
      <c r="T726" s="23">
        <f>ROUND(Source!AC392*Source!AW392*Source!I392,0)</f>
        <v>387</v>
      </c>
      <c r="U726" s="23">
        <f>Source!P393</f>
        <v>1450</v>
      </c>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v>2</v>
      </c>
      <c r="CW726" s="23"/>
      <c r="CX726" s="23"/>
      <c r="CY726" s="23"/>
      <c r="CZ726" s="23"/>
      <c r="DA726" s="23"/>
      <c r="DB726" s="23"/>
      <c r="DC726" s="23"/>
      <c r="DD726" s="23"/>
      <c r="DE726" s="23"/>
      <c r="DF726" s="23"/>
      <c r="DG726" s="23"/>
      <c r="DH726" s="23"/>
      <c r="DI726" s="23"/>
      <c r="DJ726" s="23"/>
      <c r="DK726" s="23">
        <f>T726</f>
        <v>387</v>
      </c>
      <c r="DL726" s="23"/>
      <c r="DM726" s="23">
        <f>Source!P393</f>
        <v>1450</v>
      </c>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f>T726</f>
        <v>387</v>
      </c>
      <c r="GK726" s="23"/>
      <c r="GL726" s="23"/>
      <c r="GM726" s="23"/>
      <c r="GN726" s="23">
        <f>T726</f>
        <v>387</v>
      </c>
      <c r="GO726" s="23"/>
      <c r="GP726" s="23">
        <f>T726</f>
        <v>387</v>
      </c>
      <c r="GQ726" s="23">
        <f>T726</f>
        <v>387</v>
      </c>
      <c r="GR726" s="23"/>
      <c r="GS726" s="23">
        <f>T726</f>
        <v>387</v>
      </c>
      <c r="GT726" s="23"/>
      <c r="GU726" s="23"/>
      <c r="GV726" s="23"/>
      <c r="GW726" s="23"/>
      <c r="GX726" s="23"/>
      <c r="GY726" s="23"/>
      <c r="GZ726" s="23"/>
      <c r="HA726" s="23"/>
      <c r="HB726" s="23"/>
      <c r="HC726" s="23">
        <f>T726</f>
        <v>387</v>
      </c>
      <c r="HD726" s="23"/>
      <c r="HE726" s="23"/>
      <c r="HF726" s="23">
        <f>T726</f>
        <v>387</v>
      </c>
      <c r="HG726" s="23"/>
      <c r="HH726" s="23"/>
      <c r="HI726" s="23"/>
      <c r="HJ726" s="23"/>
      <c r="HK726" s="23"/>
      <c r="HL726" s="23">
        <f>T726</f>
        <v>387</v>
      </c>
      <c r="HM726" s="23"/>
      <c r="HN726" s="23"/>
      <c r="HO726" s="23"/>
      <c r="HP726" s="23">
        <f>T726</f>
        <v>387</v>
      </c>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row>
    <row r="727" spans="1:255" x14ac:dyDescent="0.2">
      <c r="A727" s="64"/>
      <c r="B727" s="111" t="s">
        <v>864</v>
      </c>
      <c r="C727" s="111" t="s">
        <v>952</v>
      </c>
      <c r="D727" s="63"/>
      <c r="E727" s="63"/>
      <c r="F727" s="63"/>
      <c r="G727" s="63"/>
      <c r="H727" s="63"/>
      <c r="I727" s="63"/>
      <c r="J727" s="63"/>
      <c r="K727" s="65"/>
    </row>
    <row r="728" spans="1:255" ht="24" x14ac:dyDescent="0.2">
      <c r="A728" s="100" t="s">
        <v>531</v>
      </c>
      <c r="B728" s="109" t="s">
        <v>532</v>
      </c>
      <c r="C728" s="101" t="s">
        <v>533</v>
      </c>
      <c r="D728" s="102" t="s">
        <v>33</v>
      </c>
      <c r="E728" s="103">
        <f>Source!I395</f>
        <v>4.0800000000000003E-3</v>
      </c>
      <c r="F728" s="104">
        <v>11267.15</v>
      </c>
      <c r="G728" s="105"/>
      <c r="H728" s="104">
        <f>Source!AC394</f>
        <v>11267.15</v>
      </c>
      <c r="I728" s="106">
        <f>T728</f>
        <v>46</v>
      </c>
      <c r="J728" s="107" t="s">
        <v>863</v>
      </c>
      <c r="K728" s="108">
        <f>U728</f>
        <v>364</v>
      </c>
      <c r="L728" s="23"/>
      <c r="M728" s="23"/>
      <c r="N728" s="23"/>
      <c r="O728" s="23"/>
      <c r="P728" s="23"/>
      <c r="Q728" s="23"/>
      <c r="R728" s="23"/>
      <c r="S728" s="23"/>
      <c r="T728" s="23">
        <f>ROUND(Source!AC394*Source!AW394*Source!I394,0)</f>
        <v>46</v>
      </c>
      <c r="U728" s="23">
        <f>Source!P395</f>
        <v>364</v>
      </c>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v>1</v>
      </c>
      <c r="CW728" s="23"/>
      <c r="CX728" s="23"/>
      <c r="CY728" s="23"/>
      <c r="CZ728" s="23"/>
      <c r="DA728" s="23"/>
      <c r="DB728" s="23"/>
      <c r="DC728" s="23"/>
      <c r="DD728" s="23"/>
      <c r="DE728" s="23"/>
      <c r="DF728" s="23"/>
      <c r="DG728" s="23"/>
      <c r="DH728" s="23"/>
      <c r="DI728" s="23"/>
      <c r="DJ728" s="23"/>
      <c r="DK728" s="23">
        <f>T728</f>
        <v>46</v>
      </c>
      <c r="DL728" s="23"/>
      <c r="DM728" s="23">
        <f>Source!P395</f>
        <v>364</v>
      </c>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f>T728</f>
        <v>46</v>
      </c>
      <c r="GK728" s="23"/>
      <c r="GL728" s="23"/>
      <c r="GM728" s="23"/>
      <c r="GN728" s="23">
        <f>T728</f>
        <v>46</v>
      </c>
      <c r="GO728" s="23"/>
      <c r="GP728" s="23">
        <f>T728</f>
        <v>46</v>
      </c>
      <c r="GQ728" s="23">
        <f>T728</f>
        <v>46</v>
      </c>
      <c r="GR728" s="23"/>
      <c r="GS728" s="23">
        <f>T728</f>
        <v>46</v>
      </c>
      <c r="GT728" s="23"/>
      <c r="GU728" s="23"/>
      <c r="GV728" s="23"/>
      <c r="GW728" s="23"/>
      <c r="GX728" s="23"/>
      <c r="GY728" s="23"/>
      <c r="GZ728" s="23"/>
      <c r="HA728" s="23"/>
      <c r="HB728" s="23">
        <f>T728</f>
        <v>46</v>
      </c>
      <c r="HC728" s="23"/>
      <c r="HD728" s="23"/>
      <c r="HE728" s="23"/>
      <c r="HF728" s="23">
        <f>T728</f>
        <v>46</v>
      </c>
      <c r="HG728" s="23"/>
      <c r="HH728" s="23"/>
      <c r="HI728" s="23"/>
      <c r="HJ728" s="23"/>
      <c r="HK728" s="23"/>
      <c r="HL728" s="23">
        <f>T728</f>
        <v>46</v>
      </c>
      <c r="HM728" s="23"/>
      <c r="HN728" s="23">
        <f>T728</f>
        <v>46</v>
      </c>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row>
    <row r="729" spans="1:255" x14ac:dyDescent="0.2">
      <c r="A729" s="64"/>
      <c r="B729" s="111" t="s">
        <v>864</v>
      </c>
      <c r="C729" s="111" t="s">
        <v>985</v>
      </c>
      <c r="D729" s="63"/>
      <c r="E729" s="63"/>
      <c r="F729" s="63"/>
      <c r="G729" s="63"/>
      <c r="H729" s="63"/>
      <c r="I729" s="63"/>
      <c r="J729" s="63"/>
      <c r="K729" s="65"/>
    </row>
    <row r="730" spans="1:255" ht="24" x14ac:dyDescent="0.2">
      <c r="A730" s="114" t="s">
        <v>536</v>
      </c>
      <c r="B730" s="115" t="s">
        <v>337</v>
      </c>
      <c r="C730" s="116" t="s">
        <v>338</v>
      </c>
      <c r="D730" s="117" t="s">
        <v>44</v>
      </c>
      <c r="E730" s="118">
        <f>Source!I397</f>
        <v>1.4279999999999999E-2</v>
      </c>
      <c r="F730" s="119">
        <v>586.71</v>
      </c>
      <c r="G730" s="71"/>
      <c r="H730" s="119">
        <f>Source!AC396</f>
        <v>586.71</v>
      </c>
      <c r="I730" s="120">
        <f>T730</f>
        <v>8</v>
      </c>
      <c r="J730" s="73" t="s">
        <v>863</v>
      </c>
      <c r="K730" s="121">
        <f>U730</f>
        <v>75</v>
      </c>
      <c r="L730" s="23"/>
      <c r="M730" s="23"/>
      <c r="N730" s="23"/>
      <c r="O730" s="23"/>
      <c r="P730" s="23"/>
      <c r="Q730" s="23"/>
      <c r="R730" s="23"/>
      <c r="S730" s="23"/>
      <c r="T730" s="23">
        <f>ROUND(Source!AC396*Source!AW396*Source!I396,0)</f>
        <v>8</v>
      </c>
      <c r="U730" s="23">
        <f>Source!P397</f>
        <v>75</v>
      </c>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v>1</v>
      </c>
      <c r="CW730" s="23"/>
      <c r="CX730" s="23"/>
      <c r="CY730" s="23"/>
      <c r="CZ730" s="23"/>
      <c r="DA730" s="23"/>
      <c r="DB730" s="23"/>
      <c r="DC730" s="23"/>
      <c r="DD730" s="23"/>
      <c r="DE730" s="23"/>
      <c r="DF730" s="23"/>
      <c r="DG730" s="23"/>
      <c r="DH730" s="23"/>
      <c r="DI730" s="23"/>
      <c r="DJ730" s="23"/>
      <c r="DK730" s="23">
        <f>T730</f>
        <v>8</v>
      </c>
      <c r="DL730" s="23"/>
      <c r="DM730" s="23">
        <f>Source!P397</f>
        <v>75</v>
      </c>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f>T730</f>
        <v>8</v>
      </c>
      <c r="GK730" s="23"/>
      <c r="GL730" s="23"/>
      <c r="GM730" s="23"/>
      <c r="GN730" s="23">
        <f>T730</f>
        <v>8</v>
      </c>
      <c r="GO730" s="23"/>
      <c r="GP730" s="23">
        <f>T730</f>
        <v>8</v>
      </c>
      <c r="GQ730" s="23">
        <f>T730</f>
        <v>8</v>
      </c>
      <c r="GR730" s="23"/>
      <c r="GS730" s="23">
        <f>T730</f>
        <v>8</v>
      </c>
      <c r="GT730" s="23"/>
      <c r="GU730" s="23"/>
      <c r="GV730" s="23"/>
      <c r="GW730" s="23"/>
      <c r="GX730" s="23"/>
      <c r="GY730" s="23"/>
      <c r="GZ730" s="23"/>
      <c r="HA730" s="23"/>
      <c r="HB730" s="23">
        <f>T730</f>
        <v>8</v>
      </c>
      <c r="HC730" s="23"/>
      <c r="HD730" s="23"/>
      <c r="HE730" s="23"/>
      <c r="HF730" s="23">
        <f>T730</f>
        <v>8</v>
      </c>
      <c r="HG730" s="23"/>
      <c r="HH730" s="23"/>
      <c r="HI730" s="23"/>
      <c r="HJ730" s="23"/>
      <c r="HK730" s="23"/>
      <c r="HL730" s="23">
        <f>T730</f>
        <v>8</v>
      </c>
      <c r="HM730" s="23"/>
      <c r="HN730" s="23">
        <f>T730</f>
        <v>8</v>
      </c>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row>
    <row r="731" spans="1:255" x14ac:dyDescent="0.2">
      <c r="A731" s="98"/>
      <c r="B731" s="113" t="s">
        <v>864</v>
      </c>
      <c r="C731" s="113" t="s">
        <v>953</v>
      </c>
      <c r="D731" s="33"/>
      <c r="E731" s="33"/>
      <c r="F731" s="33"/>
      <c r="G731" s="33"/>
      <c r="H731" s="33"/>
      <c r="I731" s="33"/>
      <c r="J731" s="33"/>
      <c r="K731" s="99"/>
    </row>
    <row r="732" spans="1:255" ht="13.5" thickBot="1" x14ac:dyDescent="0.25">
      <c r="A732" s="124"/>
      <c r="B732" s="125"/>
      <c r="C732" s="125" t="s">
        <v>867</v>
      </c>
      <c r="D732" s="125"/>
      <c r="E732" s="125"/>
      <c r="F732" s="125"/>
      <c r="G732" s="125"/>
      <c r="H732" s="380">
        <f>SUM(DK713:DK731)</f>
        <v>972</v>
      </c>
      <c r="I732" s="381"/>
      <c r="J732" s="380">
        <f>SUM(DM713:DM731)</f>
        <v>3978</v>
      </c>
      <c r="K732" s="382"/>
      <c r="L732" s="112"/>
      <c r="M732" s="112"/>
      <c r="N732" s="112"/>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row>
    <row r="733" spans="1:255" x14ac:dyDescent="0.2">
      <c r="A733" s="123"/>
      <c r="B733" s="122"/>
      <c r="C733" s="122" t="s">
        <v>868</v>
      </c>
      <c r="D733" s="122"/>
      <c r="E733" s="122"/>
      <c r="F733" s="122"/>
      <c r="G733" s="122"/>
      <c r="H733" s="383">
        <f>R733</f>
        <v>1244</v>
      </c>
      <c r="I733" s="384"/>
      <c r="J733" s="383" t="e">
        <f>S733</f>
        <v>#REF!</v>
      </c>
      <c r="K733" s="385"/>
      <c r="O733" s="23"/>
      <c r="P733" s="23"/>
      <c r="Q733" s="23"/>
      <c r="R733" s="23">
        <f>SUM(T713:T732)</f>
        <v>1244</v>
      </c>
      <c r="S733" s="23" t="e">
        <f>SUM(U713:U732)</f>
        <v>#REF!</v>
      </c>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f>R733</f>
        <v>1244</v>
      </c>
      <c r="HB733" s="23"/>
      <c r="HC733" s="23"/>
      <c r="HD733" s="23"/>
      <c r="HE733" s="23"/>
      <c r="HF733" s="23"/>
      <c r="HG733" s="23"/>
      <c r="HH733" s="23"/>
      <c r="HI733" s="23"/>
      <c r="HJ733" s="23"/>
      <c r="HK733" s="23"/>
      <c r="HL733" s="23"/>
      <c r="HM733" s="23"/>
      <c r="HN733" s="23"/>
      <c r="HO733" s="23"/>
      <c r="HP733" s="23"/>
      <c r="HQ733" s="23"/>
      <c r="HR733" s="23"/>
      <c r="HS733" s="23"/>
      <c r="HT733" s="23"/>
      <c r="HU733" s="23"/>
      <c r="HV733" s="23"/>
      <c r="HW733" s="23"/>
      <c r="HX733" s="23"/>
      <c r="HY733" s="23"/>
      <c r="HZ733" s="23"/>
      <c r="IA733" s="23"/>
      <c r="IB733" s="23"/>
      <c r="IC733" s="23"/>
      <c r="ID733" s="23"/>
      <c r="IE733" s="23"/>
      <c r="IF733" s="23"/>
      <c r="IG733" s="23"/>
      <c r="IH733" s="23"/>
      <c r="II733" s="23"/>
      <c r="IJ733" s="23"/>
      <c r="IK733" s="23"/>
      <c r="IL733" s="23"/>
      <c r="IM733" s="23"/>
      <c r="IN733" s="23"/>
      <c r="IO733" s="23"/>
      <c r="IP733" s="23"/>
      <c r="IQ733" s="23"/>
      <c r="IR733" s="23"/>
      <c r="IS733" s="23"/>
      <c r="IT733" s="23"/>
      <c r="IU733" s="23"/>
    </row>
    <row r="734" spans="1:255" x14ac:dyDescent="0.2">
      <c r="A734" s="77"/>
      <c r="B734" s="76"/>
      <c r="C734" s="76"/>
      <c r="D734" s="76"/>
      <c r="E734" s="76"/>
      <c r="F734" s="76"/>
      <c r="G734" s="76"/>
      <c r="H734" s="386"/>
      <c r="I734" s="387"/>
      <c r="J734" s="386"/>
      <c r="K734" s="388"/>
    </row>
    <row r="735" spans="1:255" ht="48" x14ac:dyDescent="0.2">
      <c r="A735" s="126">
        <v>35</v>
      </c>
      <c r="B735" s="133" t="s">
        <v>394</v>
      </c>
      <c r="C735" s="127" t="s">
        <v>538</v>
      </c>
      <c r="D735" s="128" t="s">
        <v>396</v>
      </c>
      <c r="E735" s="129">
        <v>0.04</v>
      </c>
      <c r="F735" s="130">
        <f>Source!AK399</f>
        <v>93.089999999999989</v>
      </c>
      <c r="G735" s="134" t="s">
        <v>6</v>
      </c>
      <c r="H735" s="130"/>
      <c r="I735" s="131" t="e">
        <f>SUM(DQ735:DQ745)</f>
        <v>#REF!</v>
      </c>
      <c r="J735" s="107" t="s">
        <v>394</v>
      </c>
      <c r="K735" s="132" t="e">
        <f>SUM(DS735:DS745)</f>
        <v>#REF!</v>
      </c>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c r="HS735" s="23"/>
      <c r="HT735" s="23"/>
      <c r="HU735" s="23"/>
      <c r="HV735" s="23"/>
      <c r="HW735" s="23"/>
      <c r="HX735" s="23"/>
      <c r="HY735" s="23"/>
      <c r="HZ735" s="23"/>
      <c r="IA735" s="23"/>
      <c r="IB735" s="23"/>
      <c r="IC735" s="23"/>
      <c r="ID735" s="23"/>
      <c r="IE735" s="23"/>
      <c r="IF735" s="23"/>
      <c r="IG735" s="23"/>
      <c r="IH735" s="23"/>
      <c r="II735" s="23"/>
      <c r="IJ735" s="23"/>
      <c r="IK735" s="23"/>
      <c r="IL735" s="23"/>
      <c r="IM735" s="23"/>
      <c r="IN735" s="23"/>
      <c r="IO735" s="23"/>
      <c r="IP735" s="23"/>
      <c r="IQ735" s="23"/>
      <c r="IR735" s="23"/>
      <c r="IS735" s="23"/>
      <c r="IT735" s="23"/>
      <c r="IU735" s="23"/>
    </row>
    <row r="736" spans="1:255" x14ac:dyDescent="0.2">
      <c r="A736" s="66"/>
      <c r="B736" s="67"/>
      <c r="C736" s="67" t="s">
        <v>853</v>
      </c>
      <c r="D736" s="68"/>
      <c r="E736" s="69"/>
      <c r="F736" s="70">
        <v>74.819999999999993</v>
      </c>
      <c r="G736" s="71"/>
      <c r="H736" s="70">
        <f>Source!AF399</f>
        <v>74.819999999999993</v>
      </c>
      <c r="I736" s="72" t="e">
        <f>T736</f>
        <v>#REF!</v>
      </c>
      <c r="J736" s="73">
        <v>25.36</v>
      </c>
      <c r="K736" s="74" t="e">
        <f>U736</f>
        <v>#REF!</v>
      </c>
      <c r="O736" s="23"/>
      <c r="P736" s="23"/>
      <c r="Q736" s="23"/>
      <c r="R736" s="23"/>
      <c r="S736" s="23"/>
      <c r="T736" s="23" t="e">
        <f>ROUND(Source!AF399*Source!AV399*Source!I399,0)</f>
        <v>#REF!</v>
      </c>
      <c r="U736" s="23" t="e">
        <f>Source!S399</f>
        <v>#REF!</v>
      </c>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v>1</v>
      </c>
      <c r="CW736" s="23"/>
      <c r="CX736" s="23"/>
      <c r="CY736" s="23"/>
      <c r="CZ736" s="23"/>
      <c r="DA736" s="23"/>
      <c r="DB736" s="23"/>
      <c r="DC736" s="23"/>
      <c r="DD736" s="23"/>
      <c r="DE736" s="23"/>
      <c r="DF736" s="23"/>
      <c r="DG736" s="23" t="e">
        <f>Source!S399</f>
        <v>#REF!</v>
      </c>
      <c r="DH736" s="23">
        <v>1015</v>
      </c>
      <c r="DI736" s="23"/>
      <c r="DJ736" s="23"/>
      <c r="DK736" s="23"/>
      <c r="DL736" s="23"/>
      <c r="DM736" s="23"/>
      <c r="DN736" s="23"/>
      <c r="DO736" s="23"/>
      <c r="DP736" s="23"/>
      <c r="DQ736" s="23" t="e">
        <f>T736</f>
        <v>#REF!</v>
      </c>
      <c r="DR736" s="23"/>
      <c r="DS736" s="23" t="e">
        <f>U736</f>
        <v>#REF!</v>
      </c>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t="e">
        <f>T736</f>
        <v>#REF!</v>
      </c>
      <c r="GK736" s="23" t="e">
        <f>T736</f>
        <v>#REF!</v>
      </c>
      <c r="GL736" s="23"/>
      <c r="GM736" s="23"/>
      <c r="GN736" s="23"/>
      <c r="GO736" s="23"/>
      <c r="GP736" s="23"/>
      <c r="GQ736" s="23"/>
      <c r="GR736" s="23"/>
      <c r="GS736" s="23"/>
      <c r="GT736" s="23"/>
      <c r="GU736" s="23"/>
      <c r="GV736" s="23"/>
      <c r="GW736" s="23"/>
      <c r="GX736" s="23"/>
      <c r="GY736" s="23"/>
      <c r="GZ736" s="23"/>
      <c r="HA736" s="23"/>
      <c r="HB736" s="23" t="e">
        <f>T736</f>
        <v>#REF!</v>
      </c>
      <c r="HC736" s="23"/>
      <c r="HD736" s="23"/>
      <c r="HE736" s="23"/>
      <c r="HF736" s="23" t="e">
        <f>T736</f>
        <v>#REF!</v>
      </c>
      <c r="HG736" s="23"/>
      <c r="HH736" s="23"/>
      <c r="HI736" s="23"/>
      <c r="HJ736" s="23"/>
      <c r="HK736" s="23"/>
      <c r="HL736" s="23" t="e">
        <f>T736</f>
        <v>#REF!</v>
      </c>
      <c r="HM736" s="23"/>
      <c r="HN736" s="23" t="e">
        <f>T736</f>
        <v>#REF!</v>
      </c>
      <c r="HO736" s="23"/>
      <c r="HP736" s="23"/>
      <c r="HQ736" s="23"/>
      <c r="HR736" s="23"/>
      <c r="HS736" s="23"/>
      <c r="HT736" s="23"/>
      <c r="HU736" s="23"/>
      <c r="HV736" s="23"/>
      <c r="HW736" s="23"/>
      <c r="HX736" s="23" t="e">
        <f>T736</f>
        <v>#REF!</v>
      </c>
      <c r="HY736" s="23"/>
      <c r="HZ736" s="23"/>
      <c r="IA736" s="23"/>
      <c r="IB736" s="23"/>
      <c r="IC736" s="23"/>
      <c r="ID736" s="23"/>
      <c r="IE736" s="23"/>
      <c r="IF736" s="23"/>
      <c r="IG736" s="23"/>
      <c r="IH736" s="23"/>
      <c r="II736" s="23"/>
      <c r="IJ736" s="23"/>
      <c r="IK736" s="23"/>
      <c r="IL736" s="23"/>
      <c r="IM736" s="23"/>
      <c r="IN736" s="23"/>
      <c r="IO736" s="23"/>
      <c r="IP736" s="23"/>
      <c r="IQ736" s="23"/>
      <c r="IR736" s="23"/>
      <c r="IS736" s="23"/>
      <c r="IT736" s="23"/>
      <c r="IU736" s="23"/>
    </row>
    <row r="737" spans="1:255" x14ac:dyDescent="0.2">
      <c r="A737" s="78"/>
      <c r="B737" s="79"/>
      <c r="C737" s="79" t="s">
        <v>855</v>
      </c>
      <c r="D737" s="80"/>
      <c r="E737" s="81"/>
      <c r="F737" s="82">
        <v>18.27</v>
      </c>
      <c r="G737" s="83"/>
      <c r="H737" s="82">
        <f>Source!AD399</f>
        <v>18.27</v>
      </c>
      <c r="I737" s="84" t="e">
        <f>T737</f>
        <v>#REF!</v>
      </c>
      <c r="J737" s="85">
        <v>7.84</v>
      </c>
      <c r="K737" s="86" t="e">
        <f>U737</f>
        <v>#REF!</v>
      </c>
      <c r="O737" s="23"/>
      <c r="P737" s="23"/>
      <c r="Q737" s="23"/>
      <c r="R737" s="23"/>
      <c r="S737" s="23"/>
      <c r="T737" s="23" t="e">
        <f>ROUND(Source!AD399*Source!AV399*Source!I399,0)</f>
        <v>#REF!</v>
      </c>
      <c r="U737" s="23" t="e">
        <f>Source!Q399</f>
        <v>#REF!</v>
      </c>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v>1</v>
      </c>
      <c r="CW737" s="23"/>
      <c r="CX737" s="23"/>
      <c r="CY737" s="23"/>
      <c r="CZ737" s="23"/>
      <c r="DA737" s="23"/>
      <c r="DB737" s="23"/>
      <c r="DC737" s="23"/>
      <c r="DD737" s="23"/>
      <c r="DE737" s="23"/>
      <c r="DF737" s="23"/>
      <c r="DG737" s="23"/>
      <c r="DH737" s="23"/>
      <c r="DI737" s="23"/>
      <c r="DJ737" s="23"/>
      <c r="DK737" s="23"/>
      <c r="DL737" s="23"/>
      <c r="DM737" s="23"/>
      <c r="DN737" s="23"/>
      <c r="DO737" s="23"/>
      <c r="DP737" s="23"/>
      <c r="DQ737" s="23" t="e">
        <f>T737</f>
        <v>#REF!</v>
      </c>
      <c r="DR737" s="23"/>
      <c r="DS737" s="23" t="e">
        <f>U737</f>
        <v>#REF!</v>
      </c>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t="e">
        <f>T737</f>
        <v>#REF!</v>
      </c>
      <c r="GK737" s="23"/>
      <c r="GL737" s="23" t="e">
        <f>T737</f>
        <v>#REF!</v>
      </c>
      <c r="GM737" s="23"/>
      <c r="GN737" s="23"/>
      <c r="GO737" s="23"/>
      <c r="GP737" s="23"/>
      <c r="GQ737" s="23"/>
      <c r="GR737" s="23"/>
      <c r="GS737" s="23"/>
      <c r="GT737" s="23"/>
      <c r="GU737" s="23"/>
      <c r="GV737" s="23"/>
      <c r="GW737" s="23"/>
      <c r="GX737" s="23"/>
      <c r="GY737" s="23"/>
      <c r="GZ737" s="23"/>
      <c r="HA737" s="23"/>
      <c r="HB737" s="23" t="e">
        <f>T737</f>
        <v>#REF!</v>
      </c>
      <c r="HC737" s="23"/>
      <c r="HD737" s="23"/>
      <c r="HE737" s="23"/>
      <c r="HF737" s="23" t="e">
        <f>T737</f>
        <v>#REF!</v>
      </c>
      <c r="HG737" s="23"/>
      <c r="HH737" s="23"/>
      <c r="HI737" s="23"/>
      <c r="HJ737" s="23"/>
      <c r="HK737" s="23"/>
      <c r="HL737" s="23" t="e">
        <f>T737</f>
        <v>#REF!</v>
      </c>
      <c r="HM737" s="23"/>
      <c r="HN737" s="23" t="e">
        <f>T737</f>
        <v>#REF!</v>
      </c>
      <c r="HO737" s="23"/>
      <c r="HP737" s="23"/>
      <c r="HQ737" s="23"/>
      <c r="HR737" s="23"/>
      <c r="HS737" s="23"/>
      <c r="HT737" s="23"/>
      <c r="HU737" s="23"/>
      <c r="HV737" s="23"/>
      <c r="HW737" s="23"/>
      <c r="HX737" s="23"/>
      <c r="HY737" s="23"/>
      <c r="HZ737" s="23"/>
      <c r="IA737" s="23"/>
      <c r="IB737" s="23"/>
      <c r="IC737" s="23"/>
      <c r="ID737" s="23"/>
      <c r="IE737" s="23"/>
      <c r="IF737" s="23"/>
      <c r="IG737" s="23"/>
      <c r="IH737" s="23"/>
      <c r="II737" s="23"/>
      <c r="IJ737" s="23"/>
      <c r="IK737" s="23"/>
      <c r="IL737" s="23"/>
      <c r="IM737" s="23"/>
      <c r="IN737" s="23"/>
      <c r="IO737" s="23"/>
      <c r="IP737" s="23"/>
      <c r="IQ737" s="23"/>
      <c r="IR737" s="23"/>
      <c r="IS737" s="23"/>
      <c r="IT737" s="23"/>
      <c r="IU737" s="23"/>
    </row>
    <row r="738" spans="1:255" x14ac:dyDescent="0.2">
      <c r="A738" s="87"/>
      <c r="B738" s="88"/>
      <c r="C738" s="88" t="s">
        <v>858</v>
      </c>
      <c r="D738" s="89"/>
      <c r="E738" s="90">
        <v>110</v>
      </c>
      <c r="F738" s="91" t="s">
        <v>859</v>
      </c>
      <c r="G738" s="92"/>
      <c r="H738" s="93">
        <f>ROUND((Source!AF399*Source!AV399+Source!AE399*Source!AV399)*(Source!FX399)/100,2)</f>
        <v>82.3</v>
      </c>
      <c r="I738" s="94" t="e">
        <f>T738</f>
        <v>#REF!</v>
      </c>
      <c r="J738" s="96">
        <v>1.05</v>
      </c>
      <c r="K738" s="95" t="e">
        <f>U738</f>
        <v>#REF!</v>
      </c>
      <c r="O738" s="23"/>
      <c r="P738" s="23"/>
      <c r="Q738" s="23"/>
      <c r="R738" s="23"/>
      <c r="S738" s="23"/>
      <c r="T738" s="23" t="e">
        <f>ROUND((ROUND(Source!AF399*Source!AV399*Source!I399,0)+ROUND(Source!AE399*Source!AV399*Source!I399,0))*(Source!DN399)/100,0)</f>
        <v>#REF!</v>
      </c>
      <c r="U738" s="23" t="e">
        <f>Source!X399</f>
        <v>#REF!</v>
      </c>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v>1</v>
      </c>
      <c r="CW738" s="23"/>
      <c r="CX738" s="23"/>
      <c r="CY738" s="23"/>
      <c r="CZ738" s="23"/>
      <c r="DA738" s="23"/>
      <c r="DB738" s="23"/>
      <c r="DC738" s="23"/>
      <c r="DD738" s="23"/>
      <c r="DE738" s="23"/>
      <c r="DF738" s="23"/>
      <c r="DG738" s="23"/>
      <c r="DH738" s="23"/>
      <c r="DI738" s="23"/>
      <c r="DJ738" s="23"/>
      <c r="DK738" s="23"/>
      <c r="DL738" s="23"/>
      <c r="DM738" s="23"/>
      <c r="DN738" s="23"/>
      <c r="DO738" s="23"/>
      <c r="DP738" s="23"/>
      <c r="DQ738" s="23" t="e">
        <f>T738</f>
        <v>#REF!</v>
      </c>
      <c r="DR738" s="23"/>
      <c r="DS738" s="23" t="e">
        <f>U738</f>
        <v>#REF!</v>
      </c>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t="e">
        <f>T738</f>
        <v>#REF!</v>
      </c>
      <c r="GZ738" s="23"/>
      <c r="HA738" s="23"/>
      <c r="HB738" s="23" t="e">
        <f>T738</f>
        <v>#REF!</v>
      </c>
      <c r="HC738" s="23"/>
      <c r="HD738" s="23"/>
      <c r="HE738" s="23"/>
      <c r="HF738" s="23" t="e">
        <f>T738</f>
        <v>#REF!</v>
      </c>
      <c r="HG738" s="23"/>
      <c r="HH738" s="23"/>
      <c r="HI738" s="23"/>
      <c r="HJ738" s="23"/>
      <c r="HK738" s="23"/>
      <c r="HL738" s="23" t="e">
        <f>T738</f>
        <v>#REF!</v>
      </c>
      <c r="HM738" s="23"/>
      <c r="HN738" s="23" t="e">
        <f>T738</f>
        <v>#REF!</v>
      </c>
      <c r="HO738" s="23"/>
      <c r="HP738" s="23"/>
      <c r="HQ738" s="23"/>
      <c r="HR738" s="23"/>
      <c r="HS738" s="23"/>
      <c r="HT738" s="23"/>
      <c r="HU738" s="23"/>
      <c r="HV738" s="23"/>
      <c r="HW738" s="23"/>
      <c r="HX738" s="23"/>
      <c r="HY738" s="23"/>
      <c r="HZ738" s="23"/>
      <c r="IA738" s="23"/>
      <c r="IB738" s="23"/>
      <c r="IC738" s="23"/>
      <c r="ID738" s="23"/>
      <c r="IE738" s="23"/>
      <c r="IF738" s="23"/>
      <c r="IG738" s="23"/>
      <c r="IH738" s="23"/>
      <c r="II738" s="23"/>
      <c r="IJ738" s="23"/>
      <c r="IK738" s="23"/>
      <c r="IL738" s="23"/>
      <c r="IM738" s="23"/>
      <c r="IN738" s="23"/>
      <c r="IO738" s="23"/>
      <c r="IP738" s="23"/>
      <c r="IQ738" s="23"/>
      <c r="IR738" s="23"/>
      <c r="IS738" s="23"/>
      <c r="IT738" s="23"/>
      <c r="IU738" s="23"/>
    </row>
    <row r="739" spans="1:255" x14ac:dyDescent="0.2">
      <c r="A739" s="87"/>
      <c r="B739" s="88"/>
      <c r="C739" s="88" t="s">
        <v>860</v>
      </c>
      <c r="D739" s="89"/>
      <c r="E739" s="90">
        <v>70</v>
      </c>
      <c r="F739" s="91" t="s">
        <v>859</v>
      </c>
      <c r="G739" s="92"/>
      <c r="H739" s="93">
        <f>ROUND((Source!AF399*Source!AV399+Source!AE399*Source!AV399)*(Source!FY399)/100,2)</f>
        <v>52.37</v>
      </c>
      <c r="I739" s="94" t="e">
        <f>T739</f>
        <v>#REF!</v>
      </c>
      <c r="J739" s="96">
        <v>0.6</v>
      </c>
      <c r="K739" s="95" t="e">
        <f>U739</f>
        <v>#REF!</v>
      </c>
      <c r="O739" s="23"/>
      <c r="P739" s="23"/>
      <c r="Q739" s="23"/>
      <c r="R739" s="23"/>
      <c r="S739" s="23"/>
      <c r="T739" s="23" t="e">
        <f>ROUND((ROUND(Source!AF399*Source!AV399*Source!I399,0)+ROUND(Source!AE399*Source!AV399*Source!I399,0))*(Source!DO399)/100,0)</f>
        <v>#REF!</v>
      </c>
      <c r="U739" s="23" t="e">
        <f>Source!Y399</f>
        <v>#REF!</v>
      </c>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v>1</v>
      </c>
      <c r="CW739" s="23"/>
      <c r="CX739" s="23"/>
      <c r="CY739" s="23"/>
      <c r="CZ739" s="23"/>
      <c r="DA739" s="23"/>
      <c r="DB739" s="23"/>
      <c r="DC739" s="23"/>
      <c r="DD739" s="23"/>
      <c r="DE739" s="23"/>
      <c r="DF739" s="23"/>
      <c r="DG739" s="23"/>
      <c r="DH739" s="23"/>
      <c r="DI739" s="23"/>
      <c r="DJ739" s="23"/>
      <c r="DK739" s="23"/>
      <c r="DL739" s="23"/>
      <c r="DM739" s="23"/>
      <c r="DN739" s="23"/>
      <c r="DO739" s="23"/>
      <c r="DP739" s="23"/>
      <c r="DQ739" s="23" t="e">
        <f>T739</f>
        <v>#REF!</v>
      </c>
      <c r="DR739" s="23"/>
      <c r="DS739" s="23" t="e">
        <f>U739</f>
        <v>#REF!</v>
      </c>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t="e">
        <f>T739</f>
        <v>#REF!</v>
      </c>
      <c r="HA739" s="23"/>
      <c r="HB739" s="23" t="e">
        <f>T739</f>
        <v>#REF!</v>
      </c>
      <c r="HC739" s="23"/>
      <c r="HD739" s="23"/>
      <c r="HE739" s="23"/>
      <c r="HF739" s="23" t="e">
        <f>T739</f>
        <v>#REF!</v>
      </c>
      <c r="HG739" s="23"/>
      <c r="HH739" s="23"/>
      <c r="HI739" s="23"/>
      <c r="HJ739" s="23"/>
      <c r="HK739" s="23"/>
      <c r="HL739" s="23" t="e">
        <f>T739</f>
        <v>#REF!</v>
      </c>
      <c r="HM739" s="23"/>
      <c r="HN739" s="23" t="e">
        <f>T739</f>
        <v>#REF!</v>
      </c>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row>
    <row r="740" spans="1:255" x14ac:dyDescent="0.2">
      <c r="A740" s="78"/>
      <c r="B740" s="79"/>
      <c r="C740" s="79" t="s">
        <v>861</v>
      </c>
      <c r="D740" s="80" t="s">
        <v>862</v>
      </c>
      <c r="E740" s="81">
        <v>8.6999999999999993</v>
      </c>
      <c r="F740" s="82"/>
      <c r="G740" s="83"/>
      <c r="H740" s="82" t="e">
        <f>ROUND(Source!AH399,2)</f>
        <v>#REF!</v>
      </c>
      <c r="I740" s="97" t="e">
        <f>Source!U399</f>
        <v>#REF!</v>
      </c>
      <c r="J740" s="85"/>
      <c r="K740" s="86"/>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row>
    <row r="741" spans="1:255" x14ac:dyDescent="0.2">
      <c r="A741" s="100" t="s">
        <v>539</v>
      </c>
      <c r="B741" s="109" t="s">
        <v>401</v>
      </c>
      <c r="C741" s="101" t="s">
        <v>402</v>
      </c>
      <c r="D741" s="102" t="s">
        <v>33</v>
      </c>
      <c r="E741" s="103" t="e">
        <f>Source!I401</f>
        <v>#REF!</v>
      </c>
      <c r="F741" s="104">
        <v>18003.77</v>
      </c>
      <c r="G741" s="105"/>
      <c r="H741" s="104">
        <f>Source!AC400</f>
        <v>18003.77</v>
      </c>
      <c r="I741" s="106" t="e">
        <f>T741</f>
        <v>#REF!</v>
      </c>
      <c r="J741" s="107" t="s">
        <v>863</v>
      </c>
      <c r="K741" s="108" t="e">
        <f>U741</f>
        <v>#REF!</v>
      </c>
      <c r="L741" s="23"/>
      <c r="M741" s="23"/>
      <c r="N741" s="23"/>
      <c r="O741" s="23"/>
      <c r="P741" s="23"/>
      <c r="Q741" s="23"/>
      <c r="R741" s="23"/>
      <c r="S741" s="23"/>
      <c r="T741" s="23" t="e">
        <f>ROUND(Source!AC400*Source!AW400*Source!I400,0)</f>
        <v>#REF!</v>
      </c>
      <c r="U741" s="23" t="e">
        <f>Source!P401</f>
        <v>#REF!</v>
      </c>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v>1</v>
      </c>
      <c r="CW741" s="23"/>
      <c r="CX741" s="23"/>
      <c r="CY741" s="23"/>
      <c r="CZ741" s="23"/>
      <c r="DA741" s="23"/>
      <c r="DB741" s="23"/>
      <c r="DC741" s="23"/>
      <c r="DD741" s="23"/>
      <c r="DE741" s="23"/>
      <c r="DF741" s="23"/>
      <c r="DG741" s="23"/>
      <c r="DH741" s="23"/>
      <c r="DI741" s="23"/>
      <c r="DJ741" s="23"/>
      <c r="DK741" s="23" t="e">
        <f>T741</f>
        <v>#REF!</v>
      </c>
      <c r="DL741" s="23"/>
      <c r="DM741" s="23" t="e">
        <f>Source!P401</f>
        <v>#REF!</v>
      </c>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t="e">
        <f>T741</f>
        <v>#REF!</v>
      </c>
      <c r="GK741" s="23"/>
      <c r="GL741" s="23"/>
      <c r="GM741" s="23"/>
      <c r="GN741" s="23" t="e">
        <f>T741</f>
        <v>#REF!</v>
      </c>
      <c r="GO741" s="23"/>
      <c r="GP741" s="23" t="e">
        <f>T741</f>
        <v>#REF!</v>
      </c>
      <c r="GQ741" s="23" t="e">
        <f>T741</f>
        <v>#REF!</v>
      </c>
      <c r="GR741" s="23"/>
      <c r="GS741" s="23" t="e">
        <f>T741</f>
        <v>#REF!</v>
      </c>
      <c r="GT741" s="23"/>
      <c r="GU741" s="23"/>
      <c r="GV741" s="23"/>
      <c r="GW741" s="23"/>
      <c r="GX741" s="23"/>
      <c r="GY741" s="23"/>
      <c r="GZ741" s="23"/>
      <c r="HA741" s="23"/>
      <c r="HB741" s="23" t="e">
        <f>T741</f>
        <v>#REF!</v>
      </c>
      <c r="HC741" s="23"/>
      <c r="HD741" s="23"/>
      <c r="HE741" s="23"/>
      <c r="HF741" s="23" t="e">
        <f>T741</f>
        <v>#REF!</v>
      </c>
      <c r="HG741" s="23"/>
      <c r="HH741" s="23"/>
      <c r="HI741" s="23"/>
      <c r="HJ741" s="23"/>
      <c r="HK741" s="23"/>
      <c r="HL741" s="23" t="e">
        <f>T741</f>
        <v>#REF!</v>
      </c>
      <c r="HM741" s="23"/>
      <c r="HN741" s="23" t="e">
        <f>T741</f>
        <v>#REF!</v>
      </c>
      <c r="HO741" s="23"/>
      <c r="HP741" s="23"/>
      <c r="HQ741" s="23"/>
      <c r="HR741" s="23"/>
      <c r="HS741" s="23"/>
      <c r="HT741" s="23"/>
      <c r="HU741" s="23"/>
      <c r="HV741" s="23"/>
      <c r="HW741" s="23"/>
      <c r="HX741" s="23"/>
      <c r="HY741" s="23"/>
      <c r="HZ741" s="23"/>
      <c r="IA741" s="23"/>
      <c r="IB741" s="23"/>
      <c r="IC741" s="23"/>
      <c r="ID741" s="23"/>
      <c r="IE741" s="23"/>
      <c r="IF741" s="23"/>
      <c r="IG741" s="23"/>
      <c r="IH741" s="23"/>
      <c r="II741" s="23"/>
      <c r="IJ741" s="23"/>
      <c r="IK741" s="23"/>
      <c r="IL741" s="23"/>
      <c r="IM741" s="23"/>
      <c r="IN741" s="23"/>
      <c r="IO741" s="23"/>
      <c r="IP741" s="23"/>
      <c r="IQ741" s="23"/>
      <c r="IR741" s="23"/>
      <c r="IS741" s="23"/>
      <c r="IT741" s="23"/>
      <c r="IU741" s="23"/>
    </row>
    <row r="742" spans="1:255" x14ac:dyDescent="0.2">
      <c r="A742" s="64"/>
      <c r="B742" s="111" t="s">
        <v>864</v>
      </c>
      <c r="C742" s="111" t="s">
        <v>963</v>
      </c>
      <c r="D742" s="63"/>
      <c r="E742" s="63"/>
      <c r="F742" s="63"/>
      <c r="G742" s="63"/>
      <c r="H742" s="63"/>
      <c r="I742" s="63"/>
      <c r="J742" s="63"/>
      <c r="K742" s="65"/>
    </row>
    <row r="743" spans="1:255" ht="36" x14ac:dyDescent="0.2">
      <c r="A743" s="114" t="s">
        <v>540</v>
      </c>
      <c r="B743" s="115" t="s">
        <v>406</v>
      </c>
      <c r="C743" s="116" t="s">
        <v>407</v>
      </c>
      <c r="D743" s="117" t="s">
        <v>325</v>
      </c>
      <c r="E743" s="118" t="e">
        <f>Source!I403</f>
        <v>#REF!</v>
      </c>
      <c r="F743" s="119">
        <v>391.34</v>
      </c>
      <c r="G743" s="71"/>
      <c r="H743" s="119">
        <f>Source!AC402</f>
        <v>391.34</v>
      </c>
      <c r="I743" s="120" t="e">
        <f>T743</f>
        <v>#REF!</v>
      </c>
      <c r="J743" s="73" t="s">
        <v>863</v>
      </c>
      <c r="K743" s="121" t="e">
        <f>U743</f>
        <v>#REF!</v>
      </c>
      <c r="L743" s="23"/>
      <c r="M743" s="23"/>
      <c r="N743" s="23"/>
      <c r="O743" s="23"/>
      <c r="P743" s="23"/>
      <c r="Q743" s="23"/>
      <c r="R743" s="23"/>
      <c r="S743" s="23"/>
      <c r="T743" s="23" t="e">
        <f>ROUND(Source!AC402*Source!AW402*Source!I402,0)</f>
        <v>#REF!</v>
      </c>
      <c r="U743" s="23" t="e">
        <f>Source!P403</f>
        <v>#REF!</v>
      </c>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v>2</v>
      </c>
      <c r="CW743" s="23"/>
      <c r="CX743" s="23"/>
      <c r="CY743" s="23"/>
      <c r="CZ743" s="23"/>
      <c r="DA743" s="23"/>
      <c r="DB743" s="23"/>
      <c r="DC743" s="23"/>
      <c r="DD743" s="23"/>
      <c r="DE743" s="23"/>
      <c r="DF743" s="23"/>
      <c r="DG743" s="23"/>
      <c r="DH743" s="23"/>
      <c r="DI743" s="23"/>
      <c r="DJ743" s="23"/>
      <c r="DK743" s="23" t="e">
        <f>T743</f>
        <v>#REF!</v>
      </c>
      <c r="DL743" s="23"/>
      <c r="DM743" s="23" t="e">
        <f>Source!P403</f>
        <v>#REF!</v>
      </c>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t="e">
        <f>T743</f>
        <v>#REF!</v>
      </c>
      <c r="GK743" s="23"/>
      <c r="GL743" s="23"/>
      <c r="GM743" s="23"/>
      <c r="GN743" s="23" t="e">
        <f>T743</f>
        <v>#REF!</v>
      </c>
      <c r="GO743" s="23"/>
      <c r="GP743" s="23" t="e">
        <f>T743</f>
        <v>#REF!</v>
      </c>
      <c r="GQ743" s="23" t="e">
        <f>T743</f>
        <v>#REF!</v>
      </c>
      <c r="GR743" s="23"/>
      <c r="GS743" s="23" t="e">
        <f>T743</f>
        <v>#REF!</v>
      </c>
      <c r="GT743" s="23"/>
      <c r="GU743" s="23"/>
      <c r="GV743" s="23"/>
      <c r="GW743" s="23"/>
      <c r="GX743" s="23"/>
      <c r="GY743" s="23"/>
      <c r="GZ743" s="23"/>
      <c r="HA743" s="23"/>
      <c r="HB743" s="23"/>
      <c r="HC743" s="23" t="e">
        <f>T743</f>
        <v>#REF!</v>
      </c>
      <c r="HD743" s="23"/>
      <c r="HE743" s="23"/>
      <c r="HF743" s="23" t="e">
        <f>T743</f>
        <v>#REF!</v>
      </c>
      <c r="HG743" s="23"/>
      <c r="HH743" s="23"/>
      <c r="HI743" s="23"/>
      <c r="HJ743" s="23"/>
      <c r="HK743" s="23"/>
      <c r="HL743" s="23" t="e">
        <f>T743</f>
        <v>#REF!</v>
      </c>
      <c r="HM743" s="23"/>
      <c r="HN743" s="23"/>
      <c r="HO743" s="23"/>
      <c r="HP743" s="23" t="e">
        <f>T743</f>
        <v>#REF!</v>
      </c>
      <c r="HQ743" s="23"/>
      <c r="HR743" s="23"/>
      <c r="HS743" s="23"/>
      <c r="HT743" s="23"/>
      <c r="HU743" s="23"/>
      <c r="HV743" s="23"/>
      <c r="HW743" s="23"/>
      <c r="HX743" s="23"/>
      <c r="HY743" s="23"/>
      <c r="HZ743" s="23"/>
      <c r="IA743" s="23"/>
      <c r="IB743" s="23"/>
      <c r="IC743" s="23"/>
      <c r="ID743" s="23"/>
      <c r="IE743" s="23"/>
      <c r="IF743" s="23"/>
      <c r="IG743" s="23"/>
      <c r="IH743" s="23"/>
      <c r="II743" s="23"/>
      <c r="IJ743" s="23"/>
      <c r="IK743" s="23"/>
      <c r="IL743" s="23"/>
      <c r="IM743" s="23"/>
      <c r="IN743" s="23"/>
      <c r="IO743" s="23"/>
      <c r="IP743" s="23"/>
      <c r="IQ743" s="23"/>
      <c r="IR743" s="23"/>
      <c r="IS743" s="23"/>
      <c r="IT743" s="23"/>
      <c r="IU743" s="23"/>
    </row>
    <row r="744" spans="1:255" x14ac:dyDescent="0.2">
      <c r="A744" s="98"/>
      <c r="B744" s="113" t="s">
        <v>864</v>
      </c>
      <c r="C744" s="113" t="s">
        <v>964</v>
      </c>
      <c r="D744" s="33"/>
      <c r="E744" s="33"/>
      <c r="F744" s="33"/>
      <c r="G744" s="33"/>
      <c r="H744" s="33"/>
      <c r="I744" s="33"/>
      <c r="J744" s="33"/>
      <c r="K744" s="99"/>
    </row>
    <row r="745" spans="1:255" ht="13.5" thickBot="1" x14ac:dyDescent="0.25">
      <c r="A745" s="124"/>
      <c r="B745" s="125"/>
      <c r="C745" s="125" t="s">
        <v>867</v>
      </c>
      <c r="D745" s="125"/>
      <c r="E745" s="125"/>
      <c r="F745" s="125"/>
      <c r="G745" s="125"/>
      <c r="H745" s="380" t="e">
        <f>SUM(DK735:DK744)</f>
        <v>#REF!</v>
      </c>
      <c r="I745" s="381"/>
      <c r="J745" s="380" t="e">
        <f>SUM(DM735:DM744)</f>
        <v>#REF!</v>
      </c>
      <c r="K745" s="382"/>
      <c r="L745" s="112"/>
      <c r="M745" s="112"/>
      <c r="N745" s="112"/>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c r="HS745" s="23"/>
      <c r="HT745" s="23"/>
      <c r="HU745" s="23"/>
      <c r="HV745" s="23"/>
      <c r="HW745" s="23"/>
      <c r="HX745" s="23"/>
      <c r="HY745" s="23"/>
      <c r="HZ745" s="23"/>
      <c r="IA745" s="23"/>
      <c r="IB745" s="23"/>
      <c r="IC745" s="23"/>
      <c r="ID745" s="23"/>
      <c r="IE745" s="23"/>
      <c r="IF745" s="23"/>
      <c r="IG745" s="23"/>
      <c r="IH745" s="23"/>
      <c r="II745" s="23"/>
      <c r="IJ745" s="23"/>
      <c r="IK745" s="23"/>
      <c r="IL745" s="23"/>
      <c r="IM745" s="23"/>
      <c r="IN745" s="23"/>
      <c r="IO745" s="23"/>
      <c r="IP745" s="23"/>
      <c r="IQ745" s="23"/>
      <c r="IR745" s="23"/>
      <c r="IS745" s="23"/>
      <c r="IT745" s="23"/>
      <c r="IU745" s="23"/>
    </row>
    <row r="746" spans="1:255" x14ac:dyDescent="0.2">
      <c r="A746" s="123"/>
      <c r="B746" s="122"/>
      <c r="C746" s="122" t="s">
        <v>868</v>
      </c>
      <c r="D746" s="122"/>
      <c r="E746" s="122"/>
      <c r="F746" s="122"/>
      <c r="G746" s="122"/>
      <c r="H746" s="383" t="e">
        <f>R746</f>
        <v>#REF!</v>
      </c>
      <c r="I746" s="384"/>
      <c r="J746" s="383" t="e">
        <f>S746</f>
        <v>#REF!</v>
      </c>
      <c r="K746" s="385"/>
      <c r="O746" s="23"/>
      <c r="P746" s="23"/>
      <c r="Q746" s="23"/>
      <c r="R746" s="23" t="e">
        <f>SUM(T735:T745)</f>
        <v>#REF!</v>
      </c>
      <c r="S746" s="23" t="e">
        <f>SUM(U735:U745)</f>
        <v>#REF!</v>
      </c>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t="e">
        <f>R746</f>
        <v>#REF!</v>
      </c>
      <c r="HB746" s="23"/>
      <c r="HC746" s="23"/>
      <c r="HD746" s="23"/>
      <c r="HE746" s="23"/>
      <c r="HF746" s="23"/>
      <c r="HG746" s="23"/>
      <c r="HH746" s="23"/>
      <c r="HI746" s="23"/>
      <c r="HJ746" s="23"/>
      <c r="HK746" s="23"/>
      <c r="HL746" s="23"/>
      <c r="HM746" s="23"/>
      <c r="HN746" s="23"/>
      <c r="HO746" s="23"/>
      <c r="HP746" s="23"/>
      <c r="HQ746" s="23"/>
      <c r="HR746" s="23"/>
      <c r="HS746" s="23"/>
      <c r="HT746" s="23"/>
      <c r="HU746" s="23"/>
      <c r="HV746" s="23"/>
      <c r="HW746" s="23"/>
      <c r="HX746" s="23"/>
      <c r="HY746" s="23"/>
      <c r="HZ746" s="23"/>
      <c r="IA746" s="23"/>
      <c r="IB746" s="23"/>
      <c r="IC746" s="23"/>
      <c r="ID746" s="23"/>
      <c r="IE746" s="23"/>
      <c r="IF746" s="23"/>
      <c r="IG746" s="23"/>
      <c r="IH746" s="23"/>
      <c r="II746" s="23"/>
      <c r="IJ746" s="23"/>
      <c r="IK746" s="23"/>
      <c r="IL746" s="23"/>
      <c r="IM746" s="23"/>
      <c r="IN746" s="23"/>
      <c r="IO746" s="23"/>
      <c r="IP746" s="23"/>
      <c r="IQ746" s="23"/>
      <c r="IR746" s="23"/>
      <c r="IS746" s="23"/>
      <c r="IT746" s="23"/>
      <c r="IU746" s="23"/>
    </row>
    <row r="747" spans="1:255" x14ac:dyDescent="0.2">
      <c r="A747" s="77"/>
      <c r="B747" s="76"/>
      <c r="C747" s="76"/>
      <c r="D747" s="76"/>
      <c r="E747" s="76"/>
      <c r="F747" s="76"/>
      <c r="G747" s="76"/>
      <c r="H747" s="386"/>
      <c r="I747" s="387"/>
      <c r="J747" s="386"/>
      <c r="K747" s="388"/>
    </row>
    <row r="748" spans="1:255" ht="36" x14ac:dyDescent="0.2">
      <c r="A748" s="126">
        <v>36</v>
      </c>
      <c r="B748" s="133" t="s">
        <v>411</v>
      </c>
      <c r="C748" s="127" t="s">
        <v>412</v>
      </c>
      <c r="D748" s="128" t="s">
        <v>396</v>
      </c>
      <c r="E748" s="129">
        <v>0.04</v>
      </c>
      <c r="F748" s="130">
        <f>Source!AK405</f>
        <v>8.75</v>
      </c>
      <c r="G748" s="134" t="s">
        <v>6</v>
      </c>
      <c r="H748" s="130"/>
      <c r="I748" s="131" t="e">
        <f>SUM(DQ748:DQ753)</f>
        <v>#REF!</v>
      </c>
      <c r="J748" s="107" t="s">
        <v>411</v>
      </c>
      <c r="K748" s="132" t="e">
        <f>SUM(DS748:DS753)</f>
        <v>#REF!</v>
      </c>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c r="HS748" s="23"/>
      <c r="HT748" s="23"/>
      <c r="HU748" s="23"/>
      <c r="HV748" s="23"/>
      <c r="HW748" s="23"/>
      <c r="HX748" s="23"/>
      <c r="HY748" s="23"/>
      <c r="HZ748" s="23"/>
      <c r="IA748" s="23"/>
      <c r="IB748" s="23"/>
      <c r="IC748" s="23"/>
      <c r="ID748" s="23"/>
      <c r="IE748" s="23"/>
      <c r="IF748" s="23"/>
      <c r="IG748" s="23"/>
      <c r="IH748" s="23"/>
      <c r="II748" s="23"/>
      <c r="IJ748" s="23"/>
      <c r="IK748" s="23"/>
      <c r="IL748" s="23"/>
      <c r="IM748" s="23"/>
      <c r="IN748" s="23"/>
      <c r="IO748" s="23"/>
      <c r="IP748" s="23"/>
      <c r="IQ748" s="23"/>
      <c r="IR748" s="23"/>
      <c r="IS748" s="23"/>
      <c r="IT748" s="23"/>
      <c r="IU748" s="23"/>
    </row>
    <row r="749" spans="1:255" x14ac:dyDescent="0.2">
      <c r="A749" s="66"/>
      <c r="B749" s="67"/>
      <c r="C749" s="67" t="s">
        <v>853</v>
      </c>
      <c r="D749" s="68"/>
      <c r="E749" s="69"/>
      <c r="F749" s="70">
        <v>7.05</v>
      </c>
      <c r="G749" s="71" t="s">
        <v>986</v>
      </c>
      <c r="H749" s="70">
        <f>Source!AF405</f>
        <v>98.7</v>
      </c>
      <c r="I749" s="72" t="e">
        <f>T749</f>
        <v>#REF!</v>
      </c>
      <c r="J749" s="73">
        <v>25.36</v>
      </c>
      <c r="K749" s="74" t="e">
        <f>U749</f>
        <v>#REF!</v>
      </c>
      <c r="O749" s="23"/>
      <c r="P749" s="23"/>
      <c r="Q749" s="23"/>
      <c r="R749" s="23"/>
      <c r="S749" s="23"/>
      <c r="T749" s="23" t="e">
        <f>ROUND(Source!AF405*Source!AV405*Source!I405,0)</f>
        <v>#REF!</v>
      </c>
      <c r="U749" s="23" t="e">
        <f>Source!S405</f>
        <v>#REF!</v>
      </c>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v>1</v>
      </c>
      <c r="CW749" s="23"/>
      <c r="CX749" s="23"/>
      <c r="CY749" s="23"/>
      <c r="CZ749" s="23"/>
      <c r="DA749" s="23"/>
      <c r="DB749" s="23"/>
      <c r="DC749" s="23"/>
      <c r="DD749" s="23"/>
      <c r="DE749" s="23"/>
      <c r="DF749" s="23"/>
      <c r="DG749" s="23" t="e">
        <f>Source!S405</f>
        <v>#REF!</v>
      </c>
      <c r="DH749" s="23">
        <v>1015</v>
      </c>
      <c r="DI749" s="23"/>
      <c r="DJ749" s="23"/>
      <c r="DK749" s="23"/>
      <c r="DL749" s="23"/>
      <c r="DM749" s="23"/>
      <c r="DN749" s="23"/>
      <c r="DO749" s="23"/>
      <c r="DP749" s="23"/>
      <c r="DQ749" s="23" t="e">
        <f>T749</f>
        <v>#REF!</v>
      </c>
      <c r="DR749" s="23"/>
      <c r="DS749" s="23" t="e">
        <f>U749</f>
        <v>#REF!</v>
      </c>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t="e">
        <f>T749</f>
        <v>#REF!</v>
      </c>
      <c r="GK749" s="23" t="e">
        <f>T749</f>
        <v>#REF!</v>
      </c>
      <c r="GL749" s="23"/>
      <c r="GM749" s="23"/>
      <c r="GN749" s="23"/>
      <c r="GO749" s="23"/>
      <c r="GP749" s="23"/>
      <c r="GQ749" s="23"/>
      <c r="GR749" s="23"/>
      <c r="GS749" s="23"/>
      <c r="GT749" s="23"/>
      <c r="GU749" s="23"/>
      <c r="GV749" s="23"/>
      <c r="GW749" s="23"/>
      <c r="GX749" s="23"/>
      <c r="GY749" s="23"/>
      <c r="GZ749" s="23"/>
      <c r="HA749" s="23"/>
      <c r="HB749" s="23" t="e">
        <f>T749</f>
        <v>#REF!</v>
      </c>
      <c r="HC749" s="23"/>
      <c r="HD749" s="23"/>
      <c r="HE749" s="23"/>
      <c r="HF749" s="23" t="e">
        <f>T749</f>
        <v>#REF!</v>
      </c>
      <c r="HG749" s="23"/>
      <c r="HH749" s="23"/>
      <c r="HI749" s="23"/>
      <c r="HJ749" s="23"/>
      <c r="HK749" s="23"/>
      <c r="HL749" s="23" t="e">
        <f>T749</f>
        <v>#REF!</v>
      </c>
      <c r="HM749" s="23"/>
      <c r="HN749" s="23" t="e">
        <f>T749</f>
        <v>#REF!</v>
      </c>
      <c r="HO749" s="23"/>
      <c r="HP749" s="23"/>
      <c r="HQ749" s="23"/>
      <c r="HR749" s="23"/>
      <c r="HS749" s="23"/>
      <c r="HT749" s="23"/>
      <c r="HU749" s="23"/>
      <c r="HV749" s="23"/>
      <c r="HW749" s="23"/>
      <c r="HX749" s="23" t="e">
        <f>T749</f>
        <v>#REF!</v>
      </c>
      <c r="HY749" s="23"/>
      <c r="HZ749" s="23"/>
      <c r="IA749" s="23"/>
      <c r="IB749" s="23"/>
      <c r="IC749" s="23"/>
      <c r="ID749" s="23"/>
      <c r="IE749" s="23"/>
      <c r="IF749" s="23"/>
      <c r="IG749" s="23"/>
      <c r="IH749" s="23"/>
      <c r="II749" s="23"/>
      <c r="IJ749" s="23"/>
      <c r="IK749" s="23"/>
      <c r="IL749" s="23"/>
      <c r="IM749" s="23"/>
      <c r="IN749" s="23"/>
      <c r="IO749" s="23"/>
      <c r="IP749" s="23"/>
      <c r="IQ749" s="23"/>
      <c r="IR749" s="23"/>
      <c r="IS749" s="23"/>
      <c r="IT749" s="23"/>
      <c r="IU749" s="23"/>
    </row>
    <row r="750" spans="1:255" x14ac:dyDescent="0.2">
      <c r="A750" s="78"/>
      <c r="B750" s="79"/>
      <c r="C750" s="79" t="s">
        <v>855</v>
      </c>
      <c r="D750" s="80"/>
      <c r="E750" s="81"/>
      <c r="F750" s="82">
        <v>1.7</v>
      </c>
      <c r="G750" s="83" t="s">
        <v>986</v>
      </c>
      <c r="H750" s="82">
        <f>Source!AD405</f>
        <v>23.8</v>
      </c>
      <c r="I750" s="84" t="e">
        <f>T750</f>
        <v>#REF!</v>
      </c>
      <c r="J750" s="85">
        <v>7.84</v>
      </c>
      <c r="K750" s="86" t="e">
        <f>U750</f>
        <v>#REF!</v>
      </c>
      <c r="O750" s="23"/>
      <c r="P750" s="23"/>
      <c r="Q750" s="23"/>
      <c r="R750" s="23"/>
      <c r="S750" s="23"/>
      <c r="T750" s="23" t="e">
        <f>ROUND(Source!AD405*Source!AV405*Source!I405,0)</f>
        <v>#REF!</v>
      </c>
      <c r="U750" s="23" t="e">
        <f>Source!Q405</f>
        <v>#REF!</v>
      </c>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v>1</v>
      </c>
      <c r="CW750" s="23"/>
      <c r="CX750" s="23"/>
      <c r="CY750" s="23"/>
      <c r="CZ750" s="23"/>
      <c r="DA750" s="23"/>
      <c r="DB750" s="23"/>
      <c r="DC750" s="23"/>
      <c r="DD750" s="23"/>
      <c r="DE750" s="23"/>
      <c r="DF750" s="23"/>
      <c r="DG750" s="23"/>
      <c r="DH750" s="23"/>
      <c r="DI750" s="23"/>
      <c r="DJ750" s="23"/>
      <c r="DK750" s="23"/>
      <c r="DL750" s="23"/>
      <c r="DM750" s="23"/>
      <c r="DN750" s="23"/>
      <c r="DO750" s="23"/>
      <c r="DP750" s="23"/>
      <c r="DQ750" s="23" t="e">
        <f>T750</f>
        <v>#REF!</v>
      </c>
      <c r="DR750" s="23"/>
      <c r="DS750" s="23" t="e">
        <f>U750</f>
        <v>#REF!</v>
      </c>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t="e">
        <f>T750</f>
        <v>#REF!</v>
      </c>
      <c r="GK750" s="23"/>
      <c r="GL750" s="23" t="e">
        <f>T750</f>
        <v>#REF!</v>
      </c>
      <c r="GM750" s="23"/>
      <c r="GN750" s="23"/>
      <c r="GO750" s="23"/>
      <c r="GP750" s="23"/>
      <c r="GQ750" s="23"/>
      <c r="GR750" s="23"/>
      <c r="GS750" s="23"/>
      <c r="GT750" s="23"/>
      <c r="GU750" s="23"/>
      <c r="GV750" s="23"/>
      <c r="GW750" s="23"/>
      <c r="GX750" s="23"/>
      <c r="GY750" s="23"/>
      <c r="GZ750" s="23"/>
      <c r="HA750" s="23"/>
      <c r="HB750" s="23" t="e">
        <f>T750</f>
        <v>#REF!</v>
      </c>
      <c r="HC750" s="23"/>
      <c r="HD750" s="23"/>
      <c r="HE750" s="23"/>
      <c r="HF750" s="23" t="e">
        <f>T750</f>
        <v>#REF!</v>
      </c>
      <c r="HG750" s="23"/>
      <c r="HH750" s="23"/>
      <c r="HI750" s="23"/>
      <c r="HJ750" s="23"/>
      <c r="HK750" s="23"/>
      <c r="HL750" s="23" t="e">
        <f>T750</f>
        <v>#REF!</v>
      </c>
      <c r="HM750" s="23"/>
      <c r="HN750" s="23" t="e">
        <f>T750</f>
        <v>#REF!</v>
      </c>
      <c r="HO750" s="23"/>
      <c r="HP750" s="23"/>
      <c r="HQ750" s="23"/>
      <c r="HR750" s="23"/>
      <c r="HS750" s="23"/>
      <c r="HT750" s="23"/>
      <c r="HU750" s="23"/>
      <c r="HV750" s="23"/>
      <c r="HW750" s="23"/>
      <c r="HX750" s="23"/>
      <c r="HY750" s="23"/>
      <c r="HZ750" s="23"/>
      <c r="IA750" s="23"/>
      <c r="IB750" s="23"/>
      <c r="IC750" s="23"/>
      <c r="ID750" s="23"/>
      <c r="IE750" s="23"/>
      <c r="IF750" s="23"/>
      <c r="IG750" s="23"/>
      <c r="IH750" s="23"/>
      <c r="II750" s="23"/>
      <c r="IJ750" s="23"/>
      <c r="IK750" s="23"/>
      <c r="IL750" s="23"/>
      <c r="IM750" s="23"/>
      <c r="IN750" s="23"/>
      <c r="IO750" s="23"/>
      <c r="IP750" s="23"/>
      <c r="IQ750" s="23"/>
      <c r="IR750" s="23"/>
      <c r="IS750" s="23"/>
      <c r="IT750" s="23"/>
      <c r="IU750" s="23"/>
    </row>
    <row r="751" spans="1:255" x14ac:dyDescent="0.2">
      <c r="A751" s="87"/>
      <c r="B751" s="88"/>
      <c r="C751" s="88" t="s">
        <v>858</v>
      </c>
      <c r="D751" s="89"/>
      <c r="E751" s="90">
        <v>110</v>
      </c>
      <c r="F751" s="91" t="s">
        <v>859</v>
      </c>
      <c r="G751" s="92"/>
      <c r="H751" s="93">
        <f>ROUND((Source!AF405*Source!AV405+Source!AE405*Source!AV405)*(Source!FX405)/100,2)</f>
        <v>108.57</v>
      </c>
      <c r="I751" s="94" t="e">
        <f>T751</f>
        <v>#REF!</v>
      </c>
      <c r="J751" s="96">
        <v>1.05</v>
      </c>
      <c r="K751" s="95" t="e">
        <f>U751</f>
        <v>#REF!</v>
      </c>
      <c r="O751" s="23"/>
      <c r="P751" s="23"/>
      <c r="Q751" s="23"/>
      <c r="R751" s="23"/>
      <c r="S751" s="23"/>
      <c r="T751" s="23" t="e">
        <f>ROUND((ROUND(Source!AF405*Source!AV405*Source!I405,0)+ROUND(Source!AE405*Source!AV405*Source!I405,0))*(Source!DN405)/100,0)</f>
        <v>#REF!</v>
      </c>
      <c r="U751" s="23" t="e">
        <f>Source!X405</f>
        <v>#REF!</v>
      </c>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v>1</v>
      </c>
      <c r="CW751" s="23"/>
      <c r="CX751" s="23"/>
      <c r="CY751" s="23"/>
      <c r="CZ751" s="23"/>
      <c r="DA751" s="23"/>
      <c r="DB751" s="23"/>
      <c r="DC751" s="23"/>
      <c r="DD751" s="23"/>
      <c r="DE751" s="23"/>
      <c r="DF751" s="23"/>
      <c r="DG751" s="23"/>
      <c r="DH751" s="23"/>
      <c r="DI751" s="23"/>
      <c r="DJ751" s="23"/>
      <c r="DK751" s="23"/>
      <c r="DL751" s="23"/>
      <c r="DM751" s="23"/>
      <c r="DN751" s="23"/>
      <c r="DO751" s="23"/>
      <c r="DP751" s="23"/>
      <c r="DQ751" s="23" t="e">
        <f>T751</f>
        <v>#REF!</v>
      </c>
      <c r="DR751" s="23"/>
      <c r="DS751" s="23" t="e">
        <f>U751</f>
        <v>#REF!</v>
      </c>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t="e">
        <f>T751</f>
        <v>#REF!</v>
      </c>
      <c r="GZ751" s="23"/>
      <c r="HA751" s="23"/>
      <c r="HB751" s="23" t="e">
        <f>T751</f>
        <v>#REF!</v>
      </c>
      <c r="HC751" s="23"/>
      <c r="HD751" s="23"/>
      <c r="HE751" s="23"/>
      <c r="HF751" s="23" t="e">
        <f>T751</f>
        <v>#REF!</v>
      </c>
      <c r="HG751" s="23"/>
      <c r="HH751" s="23"/>
      <c r="HI751" s="23"/>
      <c r="HJ751" s="23"/>
      <c r="HK751" s="23"/>
      <c r="HL751" s="23" t="e">
        <f>T751</f>
        <v>#REF!</v>
      </c>
      <c r="HM751" s="23"/>
      <c r="HN751" s="23" t="e">
        <f>T751</f>
        <v>#REF!</v>
      </c>
      <c r="HO751" s="23"/>
      <c r="HP751" s="23"/>
      <c r="HQ751" s="23"/>
      <c r="HR751" s="23"/>
      <c r="HS751" s="23"/>
      <c r="HT751" s="23"/>
      <c r="HU751" s="23"/>
      <c r="HV751" s="23"/>
      <c r="HW751" s="23"/>
      <c r="HX751" s="23"/>
      <c r="HY751" s="23"/>
      <c r="HZ751" s="23"/>
      <c r="IA751" s="23"/>
      <c r="IB751" s="23"/>
      <c r="IC751" s="23"/>
      <c r="ID751" s="23"/>
      <c r="IE751" s="23"/>
      <c r="IF751" s="23"/>
      <c r="IG751" s="23"/>
      <c r="IH751" s="23"/>
      <c r="II751" s="23"/>
      <c r="IJ751" s="23"/>
      <c r="IK751" s="23"/>
      <c r="IL751" s="23"/>
      <c r="IM751" s="23"/>
      <c r="IN751" s="23"/>
      <c r="IO751" s="23"/>
      <c r="IP751" s="23"/>
      <c r="IQ751" s="23"/>
      <c r="IR751" s="23"/>
      <c r="IS751" s="23"/>
      <c r="IT751" s="23"/>
      <c r="IU751" s="23"/>
    </row>
    <row r="752" spans="1:255" x14ac:dyDescent="0.2">
      <c r="A752" s="87"/>
      <c r="B752" s="88"/>
      <c r="C752" s="88" t="s">
        <v>860</v>
      </c>
      <c r="D752" s="89"/>
      <c r="E752" s="90">
        <v>70</v>
      </c>
      <c r="F752" s="91" t="s">
        <v>859</v>
      </c>
      <c r="G752" s="92"/>
      <c r="H752" s="93">
        <f>ROUND((Source!AF405*Source!AV405+Source!AE405*Source!AV405)*(Source!FY405)/100,2)</f>
        <v>69.09</v>
      </c>
      <c r="I752" s="94" t="e">
        <f>T752</f>
        <v>#REF!</v>
      </c>
      <c r="J752" s="96">
        <v>0.6</v>
      </c>
      <c r="K752" s="95" t="e">
        <f>U752</f>
        <v>#REF!</v>
      </c>
      <c r="O752" s="23"/>
      <c r="P752" s="23"/>
      <c r="Q752" s="23"/>
      <c r="R752" s="23"/>
      <c r="S752" s="23"/>
      <c r="T752" s="23" t="e">
        <f>ROUND((ROUND(Source!AF405*Source!AV405*Source!I405,0)+ROUND(Source!AE405*Source!AV405*Source!I405,0))*(Source!DO405)/100,0)</f>
        <v>#REF!</v>
      </c>
      <c r="U752" s="23" t="e">
        <f>Source!Y405</f>
        <v>#REF!</v>
      </c>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v>1</v>
      </c>
      <c r="CW752" s="23"/>
      <c r="CX752" s="23"/>
      <c r="CY752" s="23"/>
      <c r="CZ752" s="23"/>
      <c r="DA752" s="23"/>
      <c r="DB752" s="23"/>
      <c r="DC752" s="23"/>
      <c r="DD752" s="23"/>
      <c r="DE752" s="23"/>
      <c r="DF752" s="23"/>
      <c r="DG752" s="23"/>
      <c r="DH752" s="23"/>
      <c r="DI752" s="23"/>
      <c r="DJ752" s="23"/>
      <c r="DK752" s="23"/>
      <c r="DL752" s="23"/>
      <c r="DM752" s="23"/>
      <c r="DN752" s="23"/>
      <c r="DO752" s="23"/>
      <c r="DP752" s="23"/>
      <c r="DQ752" s="23" t="e">
        <f>T752</f>
        <v>#REF!</v>
      </c>
      <c r="DR752" s="23"/>
      <c r="DS752" s="23" t="e">
        <f>U752</f>
        <v>#REF!</v>
      </c>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t="e">
        <f>T752</f>
        <v>#REF!</v>
      </c>
      <c r="HA752" s="23"/>
      <c r="HB752" s="23" t="e">
        <f>T752</f>
        <v>#REF!</v>
      </c>
      <c r="HC752" s="23"/>
      <c r="HD752" s="23"/>
      <c r="HE752" s="23"/>
      <c r="HF752" s="23" t="e">
        <f>T752</f>
        <v>#REF!</v>
      </c>
      <c r="HG752" s="23"/>
      <c r="HH752" s="23"/>
      <c r="HI752" s="23"/>
      <c r="HJ752" s="23"/>
      <c r="HK752" s="23"/>
      <c r="HL752" s="23" t="e">
        <f>T752</f>
        <v>#REF!</v>
      </c>
      <c r="HM752" s="23"/>
      <c r="HN752" s="23" t="e">
        <f>T752</f>
        <v>#REF!</v>
      </c>
      <c r="HO752" s="23"/>
      <c r="HP752" s="23"/>
      <c r="HQ752" s="23"/>
      <c r="HR752" s="23"/>
      <c r="HS752" s="23"/>
      <c r="HT752" s="23"/>
      <c r="HU752" s="23"/>
      <c r="HV752" s="23"/>
      <c r="HW752" s="23"/>
      <c r="HX752" s="23"/>
      <c r="HY752" s="23"/>
      <c r="HZ752" s="23"/>
      <c r="IA752" s="23"/>
      <c r="IB752" s="23"/>
      <c r="IC752" s="23"/>
      <c r="ID752" s="23"/>
      <c r="IE752" s="23"/>
      <c r="IF752" s="23"/>
      <c r="IG752" s="23"/>
      <c r="IH752" s="23"/>
      <c r="II752" s="23"/>
      <c r="IJ752" s="23"/>
      <c r="IK752" s="23"/>
      <c r="IL752" s="23"/>
      <c r="IM752" s="23"/>
      <c r="IN752" s="23"/>
      <c r="IO752" s="23"/>
      <c r="IP752" s="23"/>
      <c r="IQ752" s="23"/>
      <c r="IR752" s="23"/>
      <c r="IS752" s="23"/>
      <c r="IT752" s="23"/>
      <c r="IU752" s="23"/>
    </row>
    <row r="753" spans="1:255" ht="13.5" thickBot="1" x14ac:dyDescent="0.25">
      <c r="A753" s="181"/>
      <c r="B753" s="182"/>
      <c r="C753" s="182" t="s">
        <v>861</v>
      </c>
      <c r="D753" s="183" t="s">
        <v>862</v>
      </c>
      <c r="E753" s="184">
        <v>0.82</v>
      </c>
      <c r="F753" s="185"/>
      <c r="G753" s="186" t="s">
        <v>986</v>
      </c>
      <c r="H753" s="185" t="e">
        <f>ROUND(Source!AH405,2)</f>
        <v>#REF!</v>
      </c>
      <c r="I753" s="187" t="e">
        <f>Source!U405</f>
        <v>#REF!</v>
      </c>
      <c r="J753" s="188"/>
      <c r="K753" s="189"/>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c r="HS753" s="23"/>
      <c r="HT753" s="23"/>
      <c r="HU753" s="23"/>
      <c r="HV753" s="23"/>
      <c r="HW753" s="23"/>
      <c r="HX753" s="23"/>
      <c r="HY753" s="23"/>
      <c r="HZ753" s="23"/>
      <c r="IA753" s="23"/>
      <c r="IB753" s="23"/>
      <c r="IC753" s="23"/>
      <c r="ID753" s="23"/>
      <c r="IE753" s="23"/>
      <c r="IF753" s="23"/>
      <c r="IG753" s="23"/>
      <c r="IH753" s="23"/>
      <c r="II753" s="23"/>
      <c r="IJ753" s="23"/>
      <c r="IK753" s="23"/>
      <c r="IL753" s="23"/>
      <c r="IM753" s="23"/>
      <c r="IN753" s="23"/>
      <c r="IO753" s="23"/>
      <c r="IP753" s="23"/>
      <c r="IQ753" s="23"/>
      <c r="IR753" s="23"/>
      <c r="IS753" s="23"/>
      <c r="IT753" s="23"/>
      <c r="IU753" s="23"/>
    </row>
    <row r="754" spans="1:255" x14ac:dyDescent="0.2">
      <c r="A754" s="123"/>
      <c r="B754" s="122"/>
      <c r="C754" s="122" t="s">
        <v>868</v>
      </c>
      <c r="D754" s="122"/>
      <c r="E754" s="122"/>
      <c r="F754" s="122"/>
      <c r="G754" s="122"/>
      <c r="H754" s="383" t="e">
        <f>R754</f>
        <v>#REF!</v>
      </c>
      <c r="I754" s="384"/>
      <c r="J754" s="383" t="e">
        <f>S754</f>
        <v>#REF!</v>
      </c>
      <c r="K754" s="385"/>
      <c r="O754" s="23"/>
      <c r="P754" s="23"/>
      <c r="Q754" s="23"/>
      <c r="R754" s="23" t="e">
        <f>SUM(T748:T753)</f>
        <v>#REF!</v>
      </c>
      <c r="S754" s="23" t="e">
        <f>SUM(U748:U753)</f>
        <v>#REF!</v>
      </c>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t="e">
        <f>R754</f>
        <v>#REF!</v>
      </c>
      <c r="HB754" s="23"/>
      <c r="HC754" s="23"/>
      <c r="HD754" s="23"/>
      <c r="HE754" s="23"/>
      <c r="HF754" s="23"/>
      <c r="HG754" s="23"/>
      <c r="HH754" s="23"/>
      <c r="HI754" s="23"/>
      <c r="HJ754" s="23"/>
      <c r="HK754" s="23"/>
      <c r="HL754" s="23"/>
      <c r="HM754" s="23"/>
      <c r="HN754" s="23"/>
      <c r="HO754" s="23"/>
      <c r="HP754" s="23"/>
      <c r="HQ754" s="23"/>
      <c r="HR754" s="23"/>
      <c r="HS754" s="23"/>
      <c r="HT754" s="23"/>
      <c r="HU754" s="23"/>
      <c r="HV754" s="23"/>
      <c r="HW754" s="23"/>
      <c r="HX754" s="23"/>
      <c r="HY754" s="23"/>
      <c r="HZ754" s="23"/>
      <c r="IA754" s="23"/>
      <c r="IB754" s="23"/>
      <c r="IC754" s="23"/>
      <c r="ID754" s="23"/>
      <c r="IE754" s="23"/>
      <c r="IF754" s="23"/>
      <c r="IG754" s="23"/>
      <c r="IH754" s="23"/>
      <c r="II754" s="23"/>
      <c r="IJ754" s="23"/>
      <c r="IK754" s="23"/>
      <c r="IL754" s="23"/>
      <c r="IM754" s="23"/>
      <c r="IN754" s="23"/>
      <c r="IO754" s="23"/>
      <c r="IP754" s="23"/>
      <c r="IQ754" s="23"/>
      <c r="IR754" s="23"/>
      <c r="IS754" s="23"/>
      <c r="IT754" s="23"/>
      <c r="IU754" s="23"/>
    </row>
    <row r="755" spans="1:255" ht="13.5" thickBot="1" x14ac:dyDescent="0.25">
      <c r="A755" s="77"/>
      <c r="B755" s="76"/>
      <c r="C755" s="76"/>
      <c r="D755" s="76"/>
      <c r="E755" s="76"/>
      <c r="F755" s="76"/>
      <c r="G755" s="76"/>
      <c r="H755" s="386"/>
      <c r="I755" s="387"/>
      <c r="J755" s="386"/>
      <c r="K755" s="388"/>
    </row>
    <row r="756" spans="1:255" x14ac:dyDescent="0.2">
      <c r="A756" s="145"/>
      <c r="B756" s="145"/>
      <c r="C756" s="146" t="s">
        <v>883</v>
      </c>
      <c r="D756" s="146"/>
      <c r="E756" s="146"/>
      <c r="F756" s="146"/>
      <c r="G756" s="146"/>
      <c r="H756" s="146"/>
      <c r="I756" s="147" t="e">
        <f>SUM(HA572:HA755)</f>
        <v>#REF!</v>
      </c>
      <c r="J756" s="146"/>
      <c r="K756" s="147" t="e">
        <f>Source!EJ407</f>
        <v>#REF!</v>
      </c>
      <c r="P756" s="23" t="e">
        <f>SUM(R572:R755)</f>
        <v>#REF!</v>
      </c>
      <c r="Q756" s="23" t="e">
        <f>SUM(S572:S755)</f>
        <v>#REF!</v>
      </c>
      <c r="R756" s="23"/>
      <c r="S756" s="23"/>
      <c r="T756" s="23"/>
      <c r="U756" s="23"/>
      <c r="V756" s="23"/>
      <c r="W756" s="23"/>
    </row>
    <row r="758" spans="1:255" x14ac:dyDescent="0.2">
      <c r="C758" s="149" t="s">
        <v>885</v>
      </c>
      <c r="D758" s="149"/>
      <c r="E758" s="149"/>
      <c r="F758" s="149"/>
      <c r="G758" s="149"/>
      <c r="H758" s="149"/>
      <c r="I758" s="149"/>
      <c r="J758" s="149"/>
      <c r="K758" s="149"/>
    </row>
    <row r="759" spans="1:255" x14ac:dyDescent="0.2">
      <c r="C759" s="13" t="s">
        <v>143</v>
      </c>
      <c r="D759" s="13"/>
      <c r="E759" s="13"/>
      <c r="F759" s="13"/>
      <c r="G759" s="13"/>
      <c r="H759" s="13"/>
      <c r="I759" s="150" t="e">
        <f>SUM(GK572:GK755)+SUM(GL572:GL755)+SUM(GQ572:GQ755)+SUM(IA572:IA755)+SUM(HK572:HK755)</f>
        <v>#REF!</v>
      </c>
      <c r="J759" s="13"/>
      <c r="K759" s="150" t="e">
        <f>Source!DK407+Source!DI407+Source!EO407+SUM(DB572:DB755)+SUM(DD572:DD755)</f>
        <v>#REF!</v>
      </c>
    </row>
    <row r="760" spans="1:255" hidden="1" x14ac:dyDescent="0.2">
      <c r="C760" s="151" t="s">
        <v>885</v>
      </c>
      <c r="D760" s="149"/>
      <c r="E760" s="149"/>
      <c r="F760" s="149"/>
      <c r="G760" s="149"/>
      <c r="H760" s="149"/>
      <c r="I760" s="149"/>
      <c r="J760" s="149"/>
      <c r="K760" s="149"/>
    </row>
    <row r="761" spans="1:255" hidden="1" x14ac:dyDescent="0.2">
      <c r="C761" s="153" t="s">
        <v>886</v>
      </c>
      <c r="D761" s="152"/>
      <c r="E761" s="152"/>
      <c r="F761" s="152"/>
      <c r="G761" s="152"/>
      <c r="H761" s="152"/>
      <c r="I761" s="154" t="e">
        <f>SUM(GK572:GK755)</f>
        <v>#REF!</v>
      </c>
      <c r="J761" s="152"/>
      <c r="K761" s="154" t="e">
        <f>Source!DK407</f>
        <v>#REF!</v>
      </c>
    </row>
    <row r="762" spans="1:255" hidden="1" x14ac:dyDescent="0.2">
      <c r="C762" s="155" t="s">
        <v>887</v>
      </c>
      <c r="D762" s="149"/>
      <c r="E762" s="149"/>
      <c r="F762" s="149"/>
      <c r="G762" s="149"/>
      <c r="H762" s="149"/>
      <c r="I762" s="149"/>
      <c r="J762" s="149"/>
      <c r="K762" s="149"/>
    </row>
    <row r="763" spans="1:255" hidden="1" x14ac:dyDescent="0.2">
      <c r="C763" s="156" t="s">
        <v>888</v>
      </c>
      <c r="D763" s="152"/>
      <c r="E763" s="152"/>
      <c r="F763" s="152"/>
      <c r="G763" s="152"/>
      <c r="H763" s="152"/>
      <c r="I763" s="154">
        <f>SUMIF(DH572:DH755,1001,GK572:GK755)</f>
        <v>0</v>
      </c>
      <c r="J763" s="152"/>
      <c r="K763" s="154">
        <f>SUMIF(DH572:DH755,1001,DG572:DG755)</f>
        <v>0</v>
      </c>
    </row>
    <row r="764" spans="1:255" hidden="1" x14ac:dyDescent="0.2">
      <c r="C764" s="156" t="s">
        <v>889</v>
      </c>
      <c r="D764" s="152"/>
      <c r="E764" s="152"/>
      <c r="F764" s="152"/>
      <c r="G764" s="152"/>
      <c r="H764" s="152"/>
      <c r="I764" s="154">
        <f>SUMIF(DH572:DH755,1002,GK572:GK755)</f>
        <v>0</v>
      </c>
      <c r="J764" s="152"/>
      <c r="K764" s="154">
        <f>SUMIF(DH572:DH755,1002,DG572:DG755)</f>
        <v>0</v>
      </c>
    </row>
    <row r="765" spans="1:255" hidden="1" x14ac:dyDescent="0.2">
      <c r="C765" s="156" t="s">
        <v>890</v>
      </c>
      <c r="D765" s="152"/>
      <c r="E765" s="152"/>
      <c r="F765" s="152"/>
      <c r="G765" s="152"/>
      <c r="H765" s="152"/>
      <c r="I765" s="154">
        <f>SUMIF(DH572:DH755,1003,GK572:GK755)</f>
        <v>3993</v>
      </c>
      <c r="J765" s="152"/>
      <c r="K765" s="154">
        <f>SUMIF(DH572:DH755,1003,DG572:DG755)</f>
        <v>144020</v>
      </c>
    </row>
    <row r="766" spans="1:255" hidden="1" x14ac:dyDescent="0.2">
      <c r="C766" s="156" t="s">
        <v>891</v>
      </c>
      <c r="D766" s="152"/>
      <c r="E766" s="152"/>
      <c r="F766" s="152"/>
      <c r="G766" s="152"/>
      <c r="H766" s="152"/>
      <c r="I766" s="154">
        <f>SUMIF(DH572:DH755,1004,GK572:GK755)</f>
        <v>0</v>
      </c>
      <c r="J766" s="152"/>
      <c r="K766" s="154">
        <f>SUMIF(DH572:DH755,1004,DG572:DG755)</f>
        <v>0</v>
      </c>
    </row>
    <row r="767" spans="1:255" hidden="1" x14ac:dyDescent="0.2">
      <c r="C767" s="156" t="s">
        <v>892</v>
      </c>
      <c r="D767" s="152"/>
      <c r="E767" s="152"/>
      <c r="F767" s="152"/>
      <c r="G767" s="152"/>
      <c r="H767" s="152"/>
      <c r="I767" s="154">
        <f>SUMIF(DH572:DH755,1005,GK572:GK755)</f>
        <v>0</v>
      </c>
      <c r="J767" s="152"/>
      <c r="K767" s="154">
        <f>SUMIF(DH572:DH755,1005,DG572:DG755)</f>
        <v>0</v>
      </c>
    </row>
    <row r="768" spans="1:255" hidden="1" x14ac:dyDescent="0.2">
      <c r="C768" s="156" t="s">
        <v>893</v>
      </c>
      <c r="D768" s="152"/>
      <c r="E768" s="152"/>
      <c r="F768" s="152"/>
      <c r="G768" s="152"/>
      <c r="H768" s="152"/>
      <c r="I768" s="154">
        <f>SUMIF(DH572:DH755,1006,GK572:GK755)</f>
        <v>0</v>
      </c>
      <c r="J768" s="152"/>
      <c r="K768" s="154">
        <f>SUMIF(DH572:DH755,1006,DG572:DG755)</f>
        <v>0</v>
      </c>
    </row>
    <row r="769" spans="3:11" hidden="1" x14ac:dyDescent="0.2">
      <c r="C769" s="156" t="s">
        <v>894</v>
      </c>
      <c r="D769" s="152"/>
      <c r="E769" s="152"/>
      <c r="F769" s="152"/>
      <c r="G769" s="152"/>
      <c r="H769" s="152"/>
      <c r="I769" s="154">
        <f>SUMIF(DH572:DH755,1007,GK572:GK755)</f>
        <v>0</v>
      </c>
      <c r="J769" s="152"/>
      <c r="K769" s="154">
        <f>SUMIF(DH572:DH755,1007,DG572:DG755)</f>
        <v>0</v>
      </c>
    </row>
    <row r="770" spans="3:11" hidden="1" x14ac:dyDescent="0.2">
      <c r="C770" s="156" t="s">
        <v>895</v>
      </c>
      <c r="D770" s="152"/>
      <c r="E770" s="152"/>
      <c r="F770" s="152"/>
      <c r="G770" s="152"/>
      <c r="H770" s="152"/>
      <c r="I770" s="154" t="e">
        <f>SUMIF(DH572:DH755,1008,GK572:GK755)</f>
        <v>#REF!</v>
      </c>
      <c r="J770" s="152"/>
      <c r="K770" s="154" t="e">
        <f>SUMIF(DH572:DH755,1008,DG572:DG755)</f>
        <v>#REF!</v>
      </c>
    </row>
    <row r="771" spans="3:11" hidden="1" x14ac:dyDescent="0.2">
      <c r="C771" s="156" t="s">
        <v>896</v>
      </c>
      <c r="D771" s="152"/>
      <c r="E771" s="152"/>
      <c r="F771" s="152"/>
      <c r="G771" s="152"/>
      <c r="H771" s="152"/>
      <c r="I771" s="154" t="e">
        <f>SUMIF(DH572:DH755,1009,GK572:GK755)</f>
        <v>#REF!</v>
      </c>
      <c r="J771" s="152"/>
      <c r="K771" s="154" t="e">
        <f>SUMIF(DH572:DH755,1009,DG572:DG755)</f>
        <v>#REF!</v>
      </c>
    </row>
    <row r="772" spans="3:11" hidden="1" x14ac:dyDescent="0.2">
      <c r="C772" s="156" t="s">
        <v>897</v>
      </c>
      <c r="D772" s="152"/>
      <c r="E772" s="152"/>
      <c r="F772" s="152"/>
      <c r="G772" s="152"/>
      <c r="H772" s="152"/>
      <c r="I772" s="154">
        <f>SUMIF(DH572:DH755,1010,GK572:GK755)</f>
        <v>0</v>
      </c>
      <c r="J772" s="152"/>
      <c r="K772" s="154">
        <f>SUMIF(DH572:DH755,1010,DG572:DG755)</f>
        <v>0</v>
      </c>
    </row>
    <row r="773" spans="3:11" hidden="1" x14ac:dyDescent="0.2">
      <c r="C773" s="156" t="s">
        <v>898</v>
      </c>
      <c r="D773" s="152"/>
      <c r="E773" s="152"/>
      <c r="F773" s="152"/>
      <c r="G773" s="152"/>
      <c r="H773" s="152"/>
      <c r="I773" s="154">
        <f>SUMIF(DH572:DH755,1011,GK572:GK755)</f>
        <v>0</v>
      </c>
      <c r="J773" s="152"/>
      <c r="K773" s="154">
        <f>SUMIF(DH572:DH755,1011,DG572:DG755)</f>
        <v>0</v>
      </c>
    </row>
    <row r="774" spans="3:11" hidden="1" x14ac:dyDescent="0.2">
      <c r="C774" s="156" t="s">
        <v>899</v>
      </c>
      <c r="D774" s="152"/>
      <c r="E774" s="152"/>
      <c r="F774" s="152"/>
      <c r="G774" s="152"/>
      <c r="H774" s="152"/>
      <c r="I774" s="154">
        <f>SUMIF(DH572:DH755,1012,GK572:GK755)</f>
        <v>0</v>
      </c>
      <c r="J774" s="152"/>
      <c r="K774" s="154">
        <f>SUMIF(DH572:DH755,1012,DG572:DG755)</f>
        <v>0</v>
      </c>
    </row>
    <row r="775" spans="3:11" hidden="1" x14ac:dyDescent="0.2">
      <c r="C775" s="156" t="s">
        <v>900</v>
      </c>
      <c r="D775" s="152"/>
      <c r="E775" s="152"/>
      <c r="F775" s="152"/>
      <c r="G775" s="152"/>
      <c r="H775" s="152"/>
      <c r="I775" s="154">
        <f>SUMIF(DH572:DH755,1013,GK572:GK755)</f>
        <v>0</v>
      </c>
      <c r="J775" s="152"/>
      <c r="K775" s="154">
        <f>SUMIF(DH572:DH755,1013,DG572:DG755)</f>
        <v>0</v>
      </c>
    </row>
    <row r="776" spans="3:11" hidden="1" x14ac:dyDescent="0.2">
      <c r="C776" s="156" t="s">
        <v>901</v>
      </c>
      <c r="D776" s="152"/>
      <c r="E776" s="152"/>
      <c r="F776" s="152"/>
      <c r="G776" s="152"/>
      <c r="H776" s="152"/>
      <c r="I776" s="154">
        <f>SUMIF(DH572:DH755,1014,GK572:GK755)</f>
        <v>0</v>
      </c>
      <c r="J776" s="152"/>
      <c r="K776" s="154">
        <f>SUMIF(DH572:DH755,1014,DG572:DG755)</f>
        <v>0</v>
      </c>
    </row>
    <row r="777" spans="3:11" hidden="1" x14ac:dyDescent="0.2">
      <c r="C777" s="156" t="s">
        <v>902</v>
      </c>
      <c r="D777" s="152"/>
      <c r="E777" s="152"/>
      <c r="F777" s="152"/>
      <c r="G777" s="152"/>
      <c r="H777" s="152"/>
      <c r="I777" s="154" t="e">
        <f>SUMIF(DH572:DH755,1015,GK572:GK755)</f>
        <v>#REF!</v>
      </c>
      <c r="J777" s="152"/>
      <c r="K777" s="154" t="e">
        <f>SUMIF(DH572:DH755,1015,DG572:DG755)</f>
        <v>#REF!</v>
      </c>
    </row>
    <row r="778" spans="3:11" hidden="1" x14ac:dyDescent="0.2">
      <c r="C778" s="156" t="s">
        <v>903</v>
      </c>
      <c r="D778" s="152"/>
      <c r="E778" s="152"/>
      <c r="F778" s="152"/>
      <c r="G778" s="152"/>
      <c r="H778" s="152"/>
      <c r="I778" s="154">
        <f>SUMIF(DH572:DH755,1,GK572:GK755)</f>
        <v>0</v>
      </c>
      <c r="J778" s="152"/>
      <c r="K778" s="154">
        <f>SUMIF(DH572:DH755,1,DG572:DG755)</f>
        <v>0</v>
      </c>
    </row>
    <row r="779" spans="3:11" hidden="1" x14ac:dyDescent="0.2">
      <c r="C779" s="158" t="s">
        <v>904</v>
      </c>
      <c r="D779" s="157"/>
      <c r="E779" s="157"/>
      <c r="F779" s="157"/>
      <c r="G779" s="157"/>
      <c r="H779" s="157"/>
      <c r="I779" s="159" t="e">
        <f>SUM(GL572:GL755)</f>
        <v>#REF!</v>
      </c>
      <c r="J779" s="157"/>
      <c r="K779" s="159" t="e">
        <f>Source!DI407</f>
        <v>#REF!</v>
      </c>
    </row>
    <row r="780" spans="3:11" hidden="1" x14ac:dyDescent="0.2">
      <c r="C780" s="155" t="s">
        <v>885</v>
      </c>
      <c r="D780" s="149"/>
      <c r="E780" s="149"/>
      <c r="F780" s="149"/>
      <c r="G780" s="149"/>
      <c r="H780" s="149"/>
      <c r="I780" s="149"/>
      <c r="J780" s="149"/>
      <c r="K780" s="149"/>
    </row>
    <row r="781" spans="3:11" hidden="1" x14ac:dyDescent="0.2">
      <c r="C781" s="160" t="s">
        <v>905</v>
      </c>
      <c r="D781" s="157"/>
      <c r="E781" s="157"/>
      <c r="F781" s="157"/>
      <c r="G781" s="157"/>
      <c r="H781" s="157"/>
      <c r="I781" s="159" t="e">
        <f>SUM(GM572:GM755)</f>
        <v>#REF!</v>
      </c>
      <c r="J781" s="157"/>
      <c r="K781" s="159" t="e">
        <f>Source!DJ407</f>
        <v>#REF!</v>
      </c>
    </row>
    <row r="782" spans="3:11" hidden="1" x14ac:dyDescent="0.2">
      <c r="C782" s="161" t="s">
        <v>906</v>
      </c>
      <c r="D782" s="112"/>
      <c r="E782" s="112"/>
      <c r="F782" s="112"/>
      <c r="G782" s="112"/>
      <c r="H782" s="112"/>
      <c r="I782" s="162" t="e">
        <f>SUM(GQ572:GQ755)+SUM(IA572:IA755)</f>
        <v>#REF!</v>
      </c>
      <c r="J782" s="112"/>
      <c r="K782" s="162" t="e">
        <f>Source!EO407+SUM(DB572:DB755)</f>
        <v>#REF!</v>
      </c>
    </row>
    <row r="783" spans="3:11" hidden="1" x14ac:dyDescent="0.2">
      <c r="C783" s="163" t="s">
        <v>885</v>
      </c>
      <c r="D783" s="112"/>
      <c r="E783" s="112"/>
      <c r="F783" s="112"/>
      <c r="G783" s="112"/>
      <c r="H783" s="112"/>
      <c r="I783" s="162"/>
      <c r="J783" s="112"/>
      <c r="K783" s="162"/>
    </row>
    <row r="784" spans="3:11" hidden="1" x14ac:dyDescent="0.2">
      <c r="C784" s="164" t="s">
        <v>907</v>
      </c>
      <c r="D784" s="112"/>
      <c r="E784" s="112"/>
      <c r="F784" s="112"/>
      <c r="G784" s="112"/>
      <c r="H784" s="112"/>
      <c r="I784" s="162" t="e">
        <f>SUM(GQ572:GQ755)</f>
        <v>#REF!</v>
      </c>
      <c r="J784" s="112"/>
      <c r="K784" s="162" t="e">
        <f>Source!EO407</f>
        <v>#REF!</v>
      </c>
    </row>
    <row r="785" spans="1:11" hidden="1" x14ac:dyDescent="0.2">
      <c r="C785" s="165" t="s">
        <v>908</v>
      </c>
      <c r="D785" s="112"/>
      <c r="E785" s="112"/>
      <c r="F785" s="112"/>
      <c r="G785" s="112"/>
      <c r="H785" s="112"/>
      <c r="I785" s="162">
        <f>SUM(GR572:GR755)</f>
        <v>0</v>
      </c>
      <c r="J785" s="112"/>
      <c r="K785" s="162">
        <f>Source!EP407</f>
        <v>0</v>
      </c>
    </row>
    <row r="786" spans="1:11" hidden="1" x14ac:dyDescent="0.2">
      <c r="C786" s="165" t="s">
        <v>909</v>
      </c>
      <c r="D786" s="112"/>
      <c r="E786" s="112"/>
      <c r="F786" s="112"/>
      <c r="G786" s="112"/>
      <c r="H786" s="112"/>
      <c r="I786" s="162" t="e">
        <f>SUM(GS572:GS755)</f>
        <v>#REF!</v>
      </c>
      <c r="J786" s="112"/>
      <c r="K786" s="162" t="e">
        <f>Source!EQ407</f>
        <v>#REF!</v>
      </c>
    </row>
    <row r="787" spans="1:11" hidden="1" x14ac:dyDescent="0.2">
      <c r="C787" s="164" t="s">
        <v>910</v>
      </c>
      <c r="D787" s="112"/>
      <c r="E787" s="112"/>
      <c r="F787" s="112"/>
      <c r="G787" s="112"/>
      <c r="H787" s="112"/>
      <c r="I787" s="162">
        <f>SUM(IA572:IA755)</f>
        <v>0</v>
      </c>
      <c r="J787" s="112"/>
      <c r="K787" s="162">
        <f>SUM(DB572:DB755)</f>
        <v>0</v>
      </c>
    </row>
    <row r="788" spans="1:11" hidden="1" x14ac:dyDescent="0.2">
      <c r="C788" s="166" t="s">
        <v>911</v>
      </c>
      <c r="D788" s="148"/>
      <c r="E788" s="148"/>
      <c r="F788" s="148"/>
      <c r="G788" s="148"/>
      <c r="H788" s="148"/>
      <c r="I788" s="167">
        <f>SUM(HK572:HK755)</f>
        <v>0</v>
      </c>
      <c r="J788" s="148"/>
      <c r="K788" s="167">
        <f>SUM(DD572:DD755)</f>
        <v>0</v>
      </c>
    </row>
    <row r="790" spans="1:11" hidden="1" x14ac:dyDescent="0.2">
      <c r="C790" s="152" t="s">
        <v>912</v>
      </c>
      <c r="D790" s="152"/>
      <c r="E790" s="152"/>
      <c r="F790" s="152"/>
      <c r="G790" s="152"/>
      <c r="H790" s="152"/>
      <c r="I790" s="154" t="e">
        <f>SUM(GK572:GK755)+SUM(GM572:GM755)</f>
        <v>#REF!</v>
      </c>
      <c r="J790" s="152"/>
      <c r="K790" s="154" t="e">
        <f>Source!DK407+Source!DJ407</f>
        <v>#REF!</v>
      </c>
    </row>
    <row r="792" spans="1:11" x14ac:dyDescent="0.2">
      <c r="A792" s="168"/>
      <c r="B792" s="168"/>
      <c r="C792" s="168" t="s">
        <v>913</v>
      </c>
      <c r="D792" s="168"/>
      <c r="E792" s="168"/>
      <c r="F792" s="168"/>
      <c r="G792" s="168"/>
      <c r="H792" s="168"/>
      <c r="I792" s="169" t="e">
        <f>SUM(GY572:GY755)</f>
        <v>#REF!</v>
      </c>
      <c r="J792" s="168"/>
      <c r="K792" s="169" t="e">
        <f>Source!DP407</f>
        <v>#REF!</v>
      </c>
    </row>
    <row r="793" spans="1:11" x14ac:dyDescent="0.2">
      <c r="A793" s="168"/>
      <c r="B793" s="168"/>
      <c r="C793" s="168" t="s">
        <v>914</v>
      </c>
      <c r="D793" s="168"/>
      <c r="E793" s="168"/>
      <c r="F793" s="168"/>
      <c r="G793" s="168"/>
      <c r="H793" s="168"/>
      <c r="I793" s="169" t="e">
        <f>SUM(GZ572:GZ755)</f>
        <v>#REF!</v>
      </c>
      <c r="J793" s="168"/>
      <c r="K793" s="169" t="e">
        <f>Source!DQ407</f>
        <v>#REF!</v>
      </c>
    </row>
    <row r="795" spans="1:11" hidden="1" x14ac:dyDescent="0.2">
      <c r="C795" s="170" t="s">
        <v>915</v>
      </c>
      <c r="D795" s="170"/>
      <c r="E795" s="170"/>
      <c r="F795" s="170"/>
      <c r="G795" s="170"/>
      <c r="H795" s="170"/>
      <c r="I795" s="171">
        <f>SUM(GT572:GT755)+SUM(IB572:IB755)</f>
        <v>0</v>
      </c>
      <c r="J795" s="170"/>
      <c r="K795" s="171">
        <f>Source!EH407+SUM(DC572:DC755)</f>
        <v>0</v>
      </c>
    </row>
    <row r="796" spans="1:11" hidden="1" x14ac:dyDescent="0.2">
      <c r="C796" s="172" t="s">
        <v>885</v>
      </c>
      <c r="D796" s="173"/>
      <c r="E796" s="173"/>
      <c r="F796" s="173"/>
      <c r="G796" s="173"/>
      <c r="H796" s="173"/>
      <c r="I796" s="173"/>
      <c r="J796" s="173"/>
      <c r="K796" s="173"/>
    </row>
    <row r="797" spans="1:11" hidden="1" x14ac:dyDescent="0.2">
      <c r="C797" s="174" t="s">
        <v>916</v>
      </c>
      <c r="D797" s="170"/>
      <c r="E797" s="170"/>
      <c r="F797" s="170"/>
      <c r="G797" s="170"/>
      <c r="H797" s="170"/>
      <c r="I797" s="171">
        <f>SUM(GT572:GT755)</f>
        <v>0</v>
      </c>
      <c r="J797" s="170"/>
      <c r="K797" s="171">
        <f>Source!EH407</f>
        <v>0</v>
      </c>
    </row>
    <row r="798" spans="1:11" hidden="1" x14ac:dyDescent="0.2">
      <c r="C798" s="175" t="s">
        <v>917</v>
      </c>
      <c r="D798" s="170"/>
      <c r="E798" s="170"/>
      <c r="F798" s="170"/>
      <c r="G798" s="170"/>
      <c r="H798" s="170"/>
      <c r="I798" s="171">
        <f>SUM(GU572:GU755)</f>
        <v>0</v>
      </c>
      <c r="J798" s="170"/>
      <c r="K798" s="171">
        <f>Source!EI407</f>
        <v>0</v>
      </c>
    </row>
    <row r="799" spans="1:11" hidden="1" x14ac:dyDescent="0.2">
      <c r="C799" s="175" t="s">
        <v>918</v>
      </c>
      <c r="D799" s="170"/>
      <c r="E799" s="170"/>
      <c r="F799" s="170"/>
      <c r="G799" s="170"/>
      <c r="H799" s="170"/>
      <c r="I799" s="171">
        <f>SUM(GV572:GV755)</f>
        <v>0</v>
      </c>
      <c r="J799" s="170"/>
      <c r="K799" s="171">
        <f>Source!ER407</f>
        <v>0</v>
      </c>
    </row>
    <row r="800" spans="1:11" hidden="1" x14ac:dyDescent="0.2">
      <c r="C800" s="174" t="s">
        <v>919</v>
      </c>
      <c r="D800" s="170"/>
      <c r="E800" s="170"/>
      <c r="F800" s="170"/>
      <c r="G800" s="170"/>
      <c r="H800" s="170"/>
      <c r="I800" s="171">
        <f>SUM(IB572:IB755)</f>
        <v>0</v>
      </c>
      <c r="J800" s="170"/>
      <c r="K800" s="171">
        <f>SUM(DC572:DC755)</f>
        <v>0</v>
      </c>
    </row>
    <row r="802" spans="3:11" x14ac:dyDescent="0.2">
      <c r="C802" s="13" t="s">
        <v>920</v>
      </c>
      <c r="D802" s="13"/>
      <c r="E802" s="13"/>
      <c r="F802" s="13"/>
      <c r="G802" s="13"/>
      <c r="H802" s="13"/>
      <c r="I802" s="150" t="e">
        <f>SUM(HA572:HA755)</f>
        <v>#REF!</v>
      </c>
      <c r="J802" s="13"/>
      <c r="K802" s="150" t="e">
        <f>Source!EJ407</f>
        <v>#REF!</v>
      </c>
    </row>
    <row r="803" spans="3:11" hidden="1" x14ac:dyDescent="0.2">
      <c r="C803" s="151" t="s">
        <v>921</v>
      </c>
      <c r="D803" s="149"/>
      <c r="E803" s="149"/>
      <c r="F803" s="149"/>
      <c r="G803" s="149"/>
      <c r="H803" s="149"/>
      <c r="I803" s="149"/>
      <c r="J803" s="149"/>
      <c r="K803" s="149"/>
    </row>
    <row r="804" spans="3:11" hidden="1" x14ac:dyDescent="0.2">
      <c r="C804" s="176" t="s">
        <v>922</v>
      </c>
      <c r="D804" s="13"/>
      <c r="E804" s="13"/>
      <c r="F804" s="13"/>
      <c r="G804" s="13"/>
      <c r="H804" s="13"/>
      <c r="I804" s="150" t="e">
        <f>SUM(HB572:HB755)</f>
        <v>#REF!</v>
      </c>
      <c r="J804" s="13"/>
      <c r="K804" s="150" t="e">
        <f>Source!EK407</f>
        <v>#REF!</v>
      </c>
    </row>
    <row r="805" spans="3:11" hidden="1" x14ac:dyDescent="0.2">
      <c r="C805" s="176" t="s">
        <v>312</v>
      </c>
      <c r="D805" s="13"/>
      <c r="E805" s="13"/>
      <c r="F805" s="13"/>
      <c r="G805" s="13"/>
      <c r="H805" s="13"/>
      <c r="I805" s="150" t="e">
        <f>SUM(HC572:HC755)</f>
        <v>#REF!</v>
      </c>
      <c r="J805" s="13"/>
      <c r="K805" s="150" t="e">
        <f>Source!EL407</f>
        <v>#REF!</v>
      </c>
    </row>
    <row r="806" spans="3:11" hidden="1" x14ac:dyDescent="0.2">
      <c r="C806" s="174" t="s">
        <v>923</v>
      </c>
      <c r="D806" s="170"/>
      <c r="E806" s="170"/>
      <c r="F806" s="170"/>
      <c r="G806" s="170"/>
      <c r="H806" s="170"/>
      <c r="I806" s="171">
        <f>SUM(HD572:HD755)</f>
        <v>0</v>
      </c>
      <c r="J806" s="170"/>
      <c r="K806" s="171">
        <f>Source!EH407+SUM(DC572:DC755)</f>
        <v>0</v>
      </c>
    </row>
    <row r="807" spans="3:11" hidden="1" x14ac:dyDescent="0.2">
      <c r="C807" s="176" t="s">
        <v>176</v>
      </c>
      <c r="D807" s="13"/>
      <c r="E807" s="13"/>
      <c r="F807" s="13"/>
      <c r="G807" s="13"/>
      <c r="H807" s="13"/>
      <c r="I807" s="150">
        <f>SUM(HE572:HE755)</f>
        <v>0</v>
      </c>
      <c r="J807" s="13"/>
      <c r="K807" s="150">
        <f>Source!EM407</f>
        <v>0</v>
      </c>
    </row>
    <row r="808" spans="3:11" hidden="1" x14ac:dyDescent="0.2"/>
    <row r="809" spans="3:11" hidden="1" x14ac:dyDescent="0.2">
      <c r="C809" s="13" t="s">
        <v>924</v>
      </c>
      <c r="D809" s="13"/>
      <c r="E809" s="13"/>
      <c r="F809" s="13"/>
      <c r="G809" s="13"/>
      <c r="H809" s="13"/>
      <c r="I809" s="150" t="e">
        <f>SUM(HB572:HB755)+SUM(HC572:HC755)</f>
        <v>#REF!</v>
      </c>
      <c r="J809" s="13"/>
      <c r="K809" s="150" t="e">
        <f>Source!EK407+Source!EL407</f>
        <v>#REF!</v>
      </c>
    </row>
    <row r="811" spans="3:11" hidden="1" x14ac:dyDescent="0.2">
      <c r="C811" s="25" t="s">
        <v>194</v>
      </c>
      <c r="D811" s="25"/>
      <c r="E811" s="25"/>
      <c r="F811" s="25"/>
      <c r="G811" s="25"/>
      <c r="H811" s="25"/>
      <c r="I811" s="177" t="e">
        <f>I809+SUM(HD572:HD755)+SUM(HE572:HE755)</f>
        <v>#REF!</v>
      </c>
      <c r="J811" s="25"/>
      <c r="K811" s="177" t="e">
        <f>K809+Source!EH407+SUM(DC572:DC755)+Source!EM407</f>
        <v>#REF!</v>
      </c>
    </row>
    <row r="813" spans="3:11" hidden="1" x14ac:dyDescent="0.2">
      <c r="C813" s="149" t="s">
        <v>925</v>
      </c>
      <c r="D813" s="149"/>
      <c r="E813" s="149"/>
      <c r="F813" s="149"/>
      <c r="G813" s="149"/>
      <c r="H813" s="149"/>
      <c r="I813" s="149"/>
      <c r="J813" s="149"/>
      <c r="K813" s="149"/>
    </row>
    <row r="814" spans="3:11" hidden="1" x14ac:dyDescent="0.2">
      <c r="C814" s="178" t="s">
        <v>926</v>
      </c>
      <c r="D814" s="13"/>
      <c r="E814" s="13"/>
      <c r="F814" s="13"/>
      <c r="G814" s="13"/>
      <c r="H814" s="13"/>
      <c r="I814" s="150" t="e">
        <f>SUM(GN572:GN755)+SUM(IA572:IA755)+SUM(IB572:IB755)</f>
        <v>#REF!</v>
      </c>
      <c r="J814" s="13"/>
      <c r="K814" s="150" t="e">
        <f>Source!DH407+SUM(DB572:DB755)+SUM(DC572:DC755)</f>
        <v>#REF!</v>
      </c>
    </row>
    <row r="815" spans="3:11" hidden="1" x14ac:dyDescent="0.2">
      <c r="C815" s="151" t="s">
        <v>885</v>
      </c>
      <c r="D815" s="149"/>
      <c r="E815" s="149"/>
      <c r="F815" s="149"/>
      <c r="G815" s="149"/>
      <c r="H815" s="149"/>
      <c r="I815" s="149"/>
      <c r="J815" s="149"/>
      <c r="K815" s="149"/>
    </row>
    <row r="816" spans="3:11" hidden="1" x14ac:dyDescent="0.2">
      <c r="C816" s="176" t="s">
        <v>927</v>
      </c>
      <c r="D816" s="13"/>
      <c r="E816" s="13"/>
      <c r="F816" s="13"/>
      <c r="G816" s="13"/>
      <c r="H816" s="13"/>
      <c r="I816" s="150">
        <f>SUM(GO572:GO755)</f>
        <v>0</v>
      </c>
      <c r="J816" s="13"/>
      <c r="K816" s="150">
        <f>Source!EG407</f>
        <v>0</v>
      </c>
    </row>
    <row r="817" spans="1:23" hidden="1" x14ac:dyDescent="0.2">
      <c r="C817" s="176" t="s">
        <v>928</v>
      </c>
      <c r="D817" s="13"/>
      <c r="E817" s="13"/>
      <c r="F817" s="13"/>
      <c r="G817" s="13"/>
      <c r="H817" s="13"/>
      <c r="I817" s="150" t="e">
        <f>SUM(GP572:GP755)</f>
        <v>#REF!</v>
      </c>
      <c r="J817" s="13"/>
      <c r="K817" s="150" t="e">
        <f>Source!EN407</f>
        <v>#REF!</v>
      </c>
    </row>
    <row r="818" spans="1:23" hidden="1" x14ac:dyDescent="0.2">
      <c r="C818" s="178" t="s">
        <v>929</v>
      </c>
      <c r="D818" s="13"/>
      <c r="E818" s="13"/>
      <c r="F818" s="13"/>
      <c r="G818" s="13"/>
      <c r="H818" s="179" t="e">
        <f>Source!DM407</f>
        <v>#REF!</v>
      </c>
      <c r="I818" s="13"/>
      <c r="J818" s="13"/>
      <c r="K818" s="13"/>
    </row>
    <row r="819" spans="1:23" hidden="1" x14ac:dyDescent="0.2">
      <c r="C819" s="178" t="s">
        <v>185</v>
      </c>
      <c r="D819" s="13"/>
      <c r="E819" s="13"/>
      <c r="F819" s="13"/>
      <c r="G819" s="13"/>
      <c r="H819" s="179" t="e">
        <f>Source!DN407</f>
        <v>#REF!</v>
      </c>
      <c r="I819" s="13"/>
      <c r="J819" s="13"/>
      <c r="K819" s="13"/>
    </row>
    <row r="820" spans="1:23" ht="13.5" thickBot="1" x14ac:dyDescent="0.25"/>
    <row r="821" spans="1:23" x14ac:dyDescent="0.2">
      <c r="A821" s="145"/>
      <c r="B821" s="145"/>
      <c r="C821" s="146" t="s">
        <v>987</v>
      </c>
      <c r="D821" s="146"/>
      <c r="E821" s="146"/>
      <c r="F821" s="146"/>
      <c r="G821" s="146"/>
      <c r="H821" s="146"/>
      <c r="I821" s="147" t="e">
        <f>SUM(HA47:HA820)</f>
        <v>#REF!</v>
      </c>
      <c r="J821" s="146"/>
      <c r="K821" s="147" t="e">
        <f>Source!EJ437</f>
        <v>#REF!</v>
      </c>
      <c r="P821" s="23" t="e">
        <f>SUM(R47:R820)</f>
        <v>#REF!</v>
      </c>
      <c r="Q821" s="23" t="e">
        <f>SUM(S47:S820)</f>
        <v>#REF!</v>
      </c>
      <c r="R821" s="23"/>
      <c r="S821" s="23"/>
      <c r="T821" s="23"/>
      <c r="U821" s="23"/>
      <c r="V821" s="23"/>
      <c r="W821" s="23"/>
    </row>
    <row r="823" spans="1:23" x14ac:dyDescent="0.2">
      <c r="C823" s="149" t="s">
        <v>885</v>
      </c>
      <c r="D823" s="149"/>
      <c r="E823" s="149"/>
      <c r="F823" s="149"/>
      <c r="G823" s="149"/>
      <c r="H823" s="149"/>
      <c r="I823" s="149"/>
      <c r="J823" s="149"/>
      <c r="K823" s="149"/>
    </row>
    <row r="824" spans="1:23" x14ac:dyDescent="0.2">
      <c r="C824" s="13" t="s">
        <v>143</v>
      </c>
      <c r="D824" s="13"/>
      <c r="E824" s="13"/>
      <c r="F824" s="13"/>
      <c r="G824" s="13"/>
      <c r="H824" s="13"/>
      <c r="I824" s="150" t="e">
        <f>SUM(GK47:GK820)+SUM(GL47:GL820)+SUM(GQ47:GQ820)+SUM(IA47:IA820)+SUM(HK47:HK820)</f>
        <v>#REF!</v>
      </c>
      <c r="J824" s="13"/>
      <c r="K824" s="150" t="e">
        <f>Source!DK437+Source!DI437+Source!EO437+SUM(DB47:DB820)+SUM(DD47:DD820)</f>
        <v>#REF!</v>
      </c>
    </row>
    <row r="825" spans="1:23" x14ac:dyDescent="0.2">
      <c r="C825" s="151" t="s">
        <v>885</v>
      </c>
      <c r="D825" s="149"/>
      <c r="E825" s="149"/>
      <c r="F825" s="149"/>
      <c r="G825" s="149"/>
      <c r="H825" s="149"/>
      <c r="I825" s="149"/>
      <c r="J825" s="149"/>
      <c r="K825" s="149"/>
    </row>
    <row r="826" spans="1:23" x14ac:dyDescent="0.2">
      <c r="C826" s="153" t="s">
        <v>886</v>
      </c>
      <c r="D826" s="152"/>
      <c r="E826" s="152"/>
      <c r="F826" s="152"/>
      <c r="G826" s="152"/>
      <c r="H826" s="152"/>
      <c r="I826" s="154" t="e">
        <f>SUM(GK47:GK820)</f>
        <v>#REF!</v>
      </c>
      <c r="J826" s="152"/>
      <c r="K826" s="154" t="e">
        <f>Source!DK437</f>
        <v>#REF!</v>
      </c>
    </row>
    <row r="827" spans="1:23" x14ac:dyDescent="0.2">
      <c r="C827" s="155" t="s">
        <v>887</v>
      </c>
      <c r="D827" s="149"/>
      <c r="E827" s="149"/>
      <c r="F827" s="149"/>
      <c r="G827" s="149"/>
      <c r="H827" s="149"/>
      <c r="I827" s="149"/>
      <c r="J827" s="149"/>
      <c r="K827" s="149"/>
    </row>
    <row r="828" spans="1:23" hidden="1" x14ac:dyDescent="0.2">
      <c r="C828" s="156" t="s">
        <v>888</v>
      </c>
      <c r="D828" s="152"/>
      <c r="E828" s="152"/>
      <c r="F828" s="152"/>
      <c r="G828" s="152"/>
      <c r="H828" s="152"/>
      <c r="I828" s="154">
        <f>SUMIF(DH47:DH820,1001,GK47:GK820)</f>
        <v>0</v>
      </c>
      <c r="J828" s="152"/>
      <c r="K828" s="154">
        <f>SUMIF(DH47:DH820,1001,DG47:DG820)</f>
        <v>0</v>
      </c>
    </row>
    <row r="829" spans="1:23" hidden="1" x14ac:dyDescent="0.2">
      <c r="C829" s="156" t="s">
        <v>889</v>
      </c>
      <c r="D829" s="152"/>
      <c r="E829" s="152"/>
      <c r="F829" s="152"/>
      <c r="G829" s="152"/>
      <c r="H829" s="152"/>
      <c r="I829" s="154">
        <f>SUMIF(DH47:DH820,1002,GK47:GK820)</f>
        <v>0</v>
      </c>
      <c r="J829" s="152"/>
      <c r="K829" s="154">
        <f>SUMIF(DH47:DH820,1002,DG47:DG820)</f>
        <v>0</v>
      </c>
    </row>
    <row r="830" spans="1:23" x14ac:dyDescent="0.2">
      <c r="C830" s="156" t="s">
        <v>890</v>
      </c>
      <c r="D830" s="152"/>
      <c r="E830" s="152"/>
      <c r="F830" s="152"/>
      <c r="G830" s="152"/>
      <c r="H830" s="152"/>
      <c r="I830" s="154">
        <f>SUMIF(DH47:DH820,1003,GK47:GK820)</f>
        <v>12052</v>
      </c>
      <c r="J830" s="152"/>
      <c r="K830" s="154">
        <f>SUMIF(DH47:DH820,1003,DG47:DG820)</f>
        <v>434710</v>
      </c>
    </row>
    <row r="831" spans="1:23" hidden="1" x14ac:dyDescent="0.2">
      <c r="C831" s="156" t="s">
        <v>891</v>
      </c>
      <c r="D831" s="152"/>
      <c r="E831" s="152"/>
      <c r="F831" s="152"/>
      <c r="G831" s="152"/>
      <c r="H831" s="152"/>
      <c r="I831" s="154">
        <f>SUMIF(DH47:DH820,1004,GK47:GK820)</f>
        <v>0</v>
      </c>
      <c r="J831" s="152"/>
      <c r="K831" s="154">
        <f>SUMIF(DH47:DH820,1004,DG47:DG820)</f>
        <v>0</v>
      </c>
    </row>
    <row r="832" spans="1:23" hidden="1" x14ac:dyDescent="0.2">
      <c r="C832" s="156" t="s">
        <v>892</v>
      </c>
      <c r="D832" s="152"/>
      <c r="E832" s="152"/>
      <c r="F832" s="152"/>
      <c r="G832" s="152"/>
      <c r="H832" s="152"/>
      <c r="I832" s="154">
        <f>SUMIF(DH47:DH820,1005,GK47:GK820)</f>
        <v>0</v>
      </c>
      <c r="J832" s="152"/>
      <c r="K832" s="154">
        <f>SUMIF(DH47:DH820,1005,DG47:DG820)</f>
        <v>0</v>
      </c>
    </row>
    <row r="833" spans="3:11" hidden="1" x14ac:dyDescent="0.2">
      <c r="C833" s="156" t="s">
        <v>893</v>
      </c>
      <c r="D833" s="152"/>
      <c r="E833" s="152"/>
      <c r="F833" s="152"/>
      <c r="G833" s="152"/>
      <c r="H833" s="152"/>
      <c r="I833" s="154">
        <f>SUMIF(DH47:DH820,1006,GK47:GK820)</f>
        <v>0</v>
      </c>
      <c r="J833" s="152"/>
      <c r="K833" s="154">
        <f>SUMIF(DH47:DH820,1006,DG47:DG820)</f>
        <v>0</v>
      </c>
    </row>
    <row r="834" spans="3:11" hidden="1" x14ac:dyDescent="0.2">
      <c r="C834" s="156" t="s">
        <v>894</v>
      </c>
      <c r="D834" s="152"/>
      <c r="E834" s="152"/>
      <c r="F834" s="152"/>
      <c r="G834" s="152"/>
      <c r="H834" s="152"/>
      <c r="I834" s="154">
        <f>SUMIF(DH47:DH820,1007,GK47:GK820)</f>
        <v>0</v>
      </c>
      <c r="J834" s="152"/>
      <c r="K834" s="154">
        <f>SUMIF(DH47:DH820,1007,DG47:DG820)</f>
        <v>0</v>
      </c>
    </row>
    <row r="835" spans="3:11" x14ac:dyDescent="0.2">
      <c r="C835" s="156" t="s">
        <v>895</v>
      </c>
      <c r="D835" s="152"/>
      <c r="E835" s="152"/>
      <c r="F835" s="152"/>
      <c r="G835" s="152"/>
      <c r="H835" s="152"/>
      <c r="I835" s="154" t="e">
        <f>SUMIF(DH47:DH820,1008,GK47:GK820)</f>
        <v>#REF!</v>
      </c>
      <c r="J835" s="152"/>
      <c r="K835" s="154" t="e">
        <f>SUMIF(DH47:DH820,1008,DG47:DG820)</f>
        <v>#REF!</v>
      </c>
    </row>
    <row r="836" spans="3:11" x14ac:dyDescent="0.2">
      <c r="C836" s="156" t="s">
        <v>896</v>
      </c>
      <c r="D836" s="152"/>
      <c r="E836" s="152"/>
      <c r="F836" s="152"/>
      <c r="G836" s="152"/>
      <c r="H836" s="152"/>
      <c r="I836" s="154" t="e">
        <f>SUMIF(DH47:DH820,1009,GK47:GK820)</f>
        <v>#REF!</v>
      </c>
      <c r="J836" s="152"/>
      <c r="K836" s="154" t="e">
        <f>SUMIF(DH47:DH820,1009,DG47:DG820)</f>
        <v>#REF!</v>
      </c>
    </row>
    <row r="837" spans="3:11" hidden="1" x14ac:dyDescent="0.2">
      <c r="C837" s="156" t="s">
        <v>897</v>
      </c>
      <c r="D837" s="152"/>
      <c r="E837" s="152"/>
      <c r="F837" s="152"/>
      <c r="G837" s="152"/>
      <c r="H837" s="152"/>
      <c r="I837" s="154">
        <f>SUMIF(DH47:DH820,1010,GK47:GK820)</f>
        <v>0</v>
      </c>
      <c r="J837" s="152"/>
      <c r="K837" s="154">
        <f>SUMIF(DH47:DH820,1010,DG47:DG820)</f>
        <v>0</v>
      </c>
    </row>
    <row r="838" spans="3:11" hidden="1" x14ac:dyDescent="0.2">
      <c r="C838" s="156" t="s">
        <v>898</v>
      </c>
      <c r="D838" s="152"/>
      <c r="E838" s="152"/>
      <c r="F838" s="152"/>
      <c r="G838" s="152"/>
      <c r="H838" s="152"/>
      <c r="I838" s="154">
        <f>SUMIF(DH47:DH820,1011,GK47:GK820)</f>
        <v>0</v>
      </c>
      <c r="J838" s="152"/>
      <c r="K838" s="154">
        <f>SUMIF(DH47:DH820,1011,DG47:DG820)</f>
        <v>0</v>
      </c>
    </row>
    <row r="839" spans="3:11" hidden="1" x14ac:dyDescent="0.2">
      <c r="C839" s="156" t="s">
        <v>899</v>
      </c>
      <c r="D839" s="152"/>
      <c r="E839" s="152"/>
      <c r="F839" s="152"/>
      <c r="G839" s="152"/>
      <c r="H839" s="152"/>
      <c r="I839" s="154">
        <f>SUMIF(DH47:DH820,1012,GK47:GK820)</f>
        <v>0</v>
      </c>
      <c r="J839" s="152"/>
      <c r="K839" s="154">
        <f>SUMIF(DH47:DH820,1012,DG47:DG820)</f>
        <v>0</v>
      </c>
    </row>
    <row r="840" spans="3:11" hidden="1" x14ac:dyDescent="0.2">
      <c r="C840" s="156" t="s">
        <v>900</v>
      </c>
      <c r="D840" s="152"/>
      <c r="E840" s="152"/>
      <c r="F840" s="152"/>
      <c r="G840" s="152"/>
      <c r="H840" s="152"/>
      <c r="I840" s="154">
        <f>SUMIF(DH47:DH820,1013,GK47:GK820)</f>
        <v>0</v>
      </c>
      <c r="J840" s="152"/>
      <c r="K840" s="154">
        <f>SUMIF(DH47:DH820,1013,DG47:DG820)</f>
        <v>0</v>
      </c>
    </row>
    <row r="841" spans="3:11" hidden="1" x14ac:dyDescent="0.2">
      <c r="C841" s="156" t="s">
        <v>901</v>
      </c>
      <c r="D841" s="152"/>
      <c r="E841" s="152"/>
      <c r="F841" s="152"/>
      <c r="G841" s="152"/>
      <c r="H841" s="152"/>
      <c r="I841" s="154">
        <f>SUMIF(DH47:DH820,1014,GK47:GK820)</f>
        <v>0</v>
      </c>
      <c r="J841" s="152"/>
      <c r="K841" s="154">
        <f>SUMIF(DH47:DH820,1014,DG47:DG820)</f>
        <v>0</v>
      </c>
    </row>
    <row r="842" spans="3:11" x14ac:dyDescent="0.2">
      <c r="C842" s="156" t="s">
        <v>902</v>
      </c>
      <c r="D842" s="152"/>
      <c r="E842" s="152"/>
      <c r="F842" s="152"/>
      <c r="G842" s="152"/>
      <c r="H842" s="152"/>
      <c r="I842" s="154" t="e">
        <f>SUMIF(DH47:DH820,1015,GK47:GK820)</f>
        <v>#REF!</v>
      </c>
      <c r="J842" s="152"/>
      <c r="K842" s="154" t="e">
        <f>SUMIF(DH47:DH820,1015,DG47:DG820)</f>
        <v>#REF!</v>
      </c>
    </row>
    <row r="843" spans="3:11" hidden="1" x14ac:dyDescent="0.2">
      <c r="C843" s="156" t="s">
        <v>903</v>
      </c>
      <c r="D843" s="152"/>
      <c r="E843" s="152"/>
      <c r="F843" s="152"/>
      <c r="G843" s="152"/>
      <c r="H843" s="152"/>
      <c r="I843" s="154">
        <f>SUMIF(DH47:DH820,1,GK47:GK820)</f>
        <v>0</v>
      </c>
      <c r="J843" s="152"/>
      <c r="K843" s="154">
        <f>SUMIF(DH47:DH820,1,DG47:DG820)</f>
        <v>0</v>
      </c>
    </row>
    <row r="844" spans="3:11" x14ac:dyDescent="0.2">
      <c r="C844" s="158" t="s">
        <v>904</v>
      </c>
      <c r="D844" s="157"/>
      <c r="E844" s="157"/>
      <c r="F844" s="157"/>
      <c r="G844" s="157"/>
      <c r="H844" s="157"/>
      <c r="I844" s="159" t="e">
        <f>SUM(GL47:GL820)</f>
        <v>#REF!</v>
      </c>
      <c r="J844" s="157"/>
      <c r="K844" s="159" t="e">
        <f>Source!DI437</f>
        <v>#REF!</v>
      </c>
    </row>
    <row r="845" spans="3:11" x14ac:dyDescent="0.2">
      <c r="C845" s="155" t="s">
        <v>885</v>
      </c>
      <c r="D845" s="149"/>
      <c r="E845" s="149"/>
      <c r="F845" s="149"/>
      <c r="G845" s="149"/>
      <c r="H845" s="149"/>
      <c r="I845" s="149"/>
      <c r="J845" s="149"/>
      <c r="K845" s="149"/>
    </row>
    <row r="846" spans="3:11" x14ac:dyDescent="0.2">
      <c r="C846" s="160" t="s">
        <v>905</v>
      </c>
      <c r="D846" s="157"/>
      <c r="E846" s="157"/>
      <c r="F846" s="157"/>
      <c r="G846" s="157"/>
      <c r="H846" s="157"/>
      <c r="I846" s="159" t="e">
        <f>SUM(GM47:GM820)</f>
        <v>#REF!</v>
      </c>
      <c r="J846" s="157"/>
      <c r="K846" s="159" t="e">
        <f>Source!DJ437</f>
        <v>#REF!</v>
      </c>
    </row>
    <row r="847" spans="3:11" x14ac:dyDescent="0.2">
      <c r="C847" s="161" t="s">
        <v>906</v>
      </c>
      <c r="D847" s="112"/>
      <c r="E847" s="112"/>
      <c r="F847" s="112"/>
      <c r="G847" s="112"/>
      <c r="H847" s="112"/>
      <c r="I847" s="162" t="e">
        <f>SUM(GQ47:GQ820)+SUM(IA47:IA820)</f>
        <v>#REF!</v>
      </c>
      <c r="J847" s="112"/>
      <c r="K847" s="162" t="e">
        <f>Source!EO437+SUM(DB47:DB820)</f>
        <v>#REF!</v>
      </c>
    </row>
    <row r="848" spans="3:11" hidden="1" x14ac:dyDescent="0.2">
      <c r="C848" s="163" t="s">
        <v>885</v>
      </c>
      <c r="D848" s="112"/>
      <c r="E848" s="112"/>
      <c r="F848" s="112"/>
      <c r="G848" s="112"/>
      <c r="H848" s="112"/>
      <c r="I848" s="162"/>
      <c r="J848" s="112"/>
      <c r="K848" s="162"/>
    </row>
    <row r="849" spans="1:11" hidden="1" x14ac:dyDescent="0.2">
      <c r="C849" s="164" t="s">
        <v>907</v>
      </c>
      <c r="D849" s="112"/>
      <c r="E849" s="112"/>
      <c r="F849" s="112"/>
      <c r="G849" s="112"/>
      <c r="H849" s="112"/>
      <c r="I849" s="162" t="e">
        <f>SUM(GQ47:GQ820)</f>
        <v>#REF!</v>
      </c>
      <c r="J849" s="112"/>
      <c r="K849" s="162" t="e">
        <f>Source!EO437</f>
        <v>#REF!</v>
      </c>
    </row>
    <row r="850" spans="1:11" hidden="1" x14ac:dyDescent="0.2">
      <c r="C850" s="165" t="s">
        <v>908</v>
      </c>
      <c r="D850" s="112"/>
      <c r="E850" s="112"/>
      <c r="F850" s="112"/>
      <c r="G850" s="112"/>
      <c r="H850" s="112"/>
      <c r="I850" s="162">
        <f>SUM(GR47:GR820)</f>
        <v>0</v>
      </c>
      <c r="J850" s="112"/>
      <c r="K850" s="162">
        <f>Source!EP437</f>
        <v>0</v>
      </c>
    </row>
    <row r="851" spans="1:11" hidden="1" x14ac:dyDescent="0.2">
      <c r="C851" s="165" t="s">
        <v>909</v>
      </c>
      <c r="D851" s="112"/>
      <c r="E851" s="112"/>
      <c r="F851" s="112"/>
      <c r="G851" s="112"/>
      <c r="H851" s="112"/>
      <c r="I851" s="162" t="e">
        <f>SUM(GS47:GS820)</f>
        <v>#REF!</v>
      </c>
      <c r="J851" s="112"/>
      <c r="K851" s="162" t="e">
        <f>Source!EQ437</f>
        <v>#REF!</v>
      </c>
    </row>
    <row r="852" spans="1:11" hidden="1" x14ac:dyDescent="0.2">
      <c r="C852" s="164" t="s">
        <v>910</v>
      </c>
      <c r="D852" s="112"/>
      <c r="E852" s="112"/>
      <c r="F852" s="112"/>
      <c r="G852" s="112"/>
      <c r="H852" s="112"/>
      <c r="I852" s="162">
        <f>SUM(IA47:IA820)</f>
        <v>0</v>
      </c>
      <c r="J852" s="112"/>
      <c r="K852" s="162">
        <f>SUM(DB47:DB820)</f>
        <v>0</v>
      </c>
    </row>
    <row r="853" spans="1:11" hidden="1" x14ac:dyDescent="0.2">
      <c r="C853" s="166" t="s">
        <v>911</v>
      </c>
      <c r="D853" s="148"/>
      <c r="E853" s="148"/>
      <c r="F853" s="148"/>
      <c r="G853" s="148"/>
      <c r="H853" s="148"/>
      <c r="I853" s="167">
        <f>SUM(HK47:HK820)</f>
        <v>0</v>
      </c>
      <c r="J853" s="148"/>
      <c r="K853" s="167">
        <f>SUM(DD47:DD820)</f>
        <v>0</v>
      </c>
    </row>
    <row r="855" spans="1:11" hidden="1" x14ac:dyDescent="0.2">
      <c r="C855" s="152" t="s">
        <v>912</v>
      </c>
      <c r="D855" s="152"/>
      <c r="E855" s="152"/>
      <c r="F855" s="152"/>
      <c r="G855" s="152"/>
      <c r="H855" s="152"/>
      <c r="I855" s="154" t="e">
        <f>SUM(GK47:GK820)+SUM(GM47:GM820)</f>
        <v>#REF!</v>
      </c>
      <c r="J855" s="152"/>
      <c r="K855" s="154" t="e">
        <f>Source!DK437+Source!DJ437</f>
        <v>#REF!</v>
      </c>
    </row>
    <row r="857" spans="1:11" x14ac:dyDescent="0.2">
      <c r="A857" s="168"/>
      <c r="B857" s="168"/>
      <c r="C857" s="168" t="s">
        <v>913</v>
      </c>
      <c r="D857" s="168"/>
      <c r="E857" s="168"/>
      <c r="F857" s="168"/>
      <c r="G857" s="168"/>
      <c r="H857" s="168"/>
      <c r="I857" s="169" t="e">
        <f>SUM(GY47:GY820)</f>
        <v>#REF!</v>
      </c>
      <c r="J857" s="168"/>
      <c r="K857" s="169" t="e">
        <f>Source!DP437</f>
        <v>#REF!</v>
      </c>
    </row>
    <row r="858" spans="1:11" x14ac:dyDescent="0.2">
      <c r="A858" s="168"/>
      <c r="B858" s="168"/>
      <c r="C858" s="168" t="s">
        <v>914</v>
      </c>
      <c r="D858" s="168"/>
      <c r="E858" s="168"/>
      <c r="F858" s="168"/>
      <c r="G858" s="168"/>
      <c r="H858" s="168"/>
      <c r="I858" s="169" t="e">
        <f>SUM(GZ47:GZ820)</f>
        <v>#REF!</v>
      </c>
      <c r="J858" s="168"/>
      <c r="K858" s="169" t="e">
        <f>Source!DQ437</f>
        <v>#REF!</v>
      </c>
    </row>
    <row r="860" spans="1:11" hidden="1" x14ac:dyDescent="0.2">
      <c r="C860" s="170" t="s">
        <v>915</v>
      </c>
      <c r="D860" s="170"/>
      <c r="E860" s="170"/>
      <c r="F860" s="170"/>
      <c r="G860" s="170"/>
      <c r="H860" s="170"/>
      <c r="I860" s="171">
        <f>SUM(GT47:GT820)+SUM(IB47:IB820)</f>
        <v>0</v>
      </c>
      <c r="J860" s="170"/>
      <c r="K860" s="171">
        <f>Source!EH437+SUM(DC47:DC820)</f>
        <v>0</v>
      </c>
    </row>
    <row r="861" spans="1:11" hidden="1" x14ac:dyDescent="0.2">
      <c r="C861" s="172" t="s">
        <v>885</v>
      </c>
      <c r="D861" s="173"/>
      <c r="E861" s="173"/>
      <c r="F861" s="173"/>
      <c r="G861" s="173"/>
      <c r="H861" s="173"/>
      <c r="I861" s="173"/>
      <c r="J861" s="173"/>
      <c r="K861" s="173"/>
    </row>
    <row r="862" spans="1:11" hidden="1" x14ac:dyDescent="0.2">
      <c r="C862" s="174" t="s">
        <v>916</v>
      </c>
      <c r="D862" s="170"/>
      <c r="E862" s="170"/>
      <c r="F862" s="170"/>
      <c r="G862" s="170"/>
      <c r="H862" s="170"/>
      <c r="I862" s="171">
        <f>SUM(GT47:GT820)</f>
        <v>0</v>
      </c>
      <c r="J862" s="170"/>
      <c r="K862" s="171">
        <f>Source!EH437</f>
        <v>0</v>
      </c>
    </row>
    <row r="863" spans="1:11" hidden="1" x14ac:dyDescent="0.2">
      <c r="C863" s="175" t="s">
        <v>917</v>
      </c>
      <c r="D863" s="170"/>
      <c r="E863" s="170"/>
      <c r="F863" s="170"/>
      <c r="G863" s="170"/>
      <c r="H863" s="170"/>
      <c r="I863" s="171">
        <f>SUM(GU47:GU820)</f>
        <v>0</v>
      </c>
      <c r="J863" s="170"/>
      <c r="K863" s="171">
        <f>Source!EI437</f>
        <v>0</v>
      </c>
    </row>
    <row r="864" spans="1:11" hidden="1" x14ac:dyDescent="0.2">
      <c r="C864" s="175" t="s">
        <v>918</v>
      </c>
      <c r="D864" s="170"/>
      <c r="E864" s="170"/>
      <c r="F864" s="170"/>
      <c r="G864" s="170"/>
      <c r="H864" s="170"/>
      <c r="I864" s="171">
        <f>SUM(GV47:GV820)</f>
        <v>0</v>
      </c>
      <c r="J864" s="170"/>
      <c r="K864" s="171">
        <f>Source!ER437</f>
        <v>0</v>
      </c>
    </row>
    <row r="865" spans="3:11" hidden="1" x14ac:dyDescent="0.2">
      <c r="C865" s="174" t="s">
        <v>919</v>
      </c>
      <c r="D865" s="170"/>
      <c r="E865" s="170"/>
      <c r="F865" s="170"/>
      <c r="G865" s="170"/>
      <c r="H865" s="170"/>
      <c r="I865" s="171">
        <f>SUM(IB47:IB820)</f>
        <v>0</v>
      </c>
      <c r="J865" s="170"/>
      <c r="K865" s="171">
        <f>SUM(DC47:DC820)</f>
        <v>0</v>
      </c>
    </row>
    <row r="867" spans="3:11" x14ac:dyDescent="0.2">
      <c r="C867" s="13" t="s">
        <v>920</v>
      </c>
      <c r="D867" s="13"/>
      <c r="E867" s="13"/>
      <c r="F867" s="13"/>
      <c r="G867" s="13"/>
      <c r="H867" s="13"/>
      <c r="I867" s="150" t="e">
        <f>SUM(HA47:HA820)</f>
        <v>#REF!</v>
      </c>
      <c r="J867" s="13"/>
      <c r="K867" s="150" t="e">
        <f>Source!EJ437</f>
        <v>#REF!</v>
      </c>
    </row>
    <row r="868" spans="3:11" x14ac:dyDescent="0.2">
      <c r="C868" s="151" t="s">
        <v>921</v>
      </c>
      <c r="D868" s="149"/>
      <c r="E868" s="149"/>
      <c r="F868" s="149"/>
      <c r="G868" s="149"/>
      <c r="H868" s="149"/>
      <c r="I868" s="149"/>
      <c r="J868" s="149"/>
      <c r="K868" s="149"/>
    </row>
    <row r="869" spans="3:11" x14ac:dyDescent="0.2">
      <c r="C869" s="176" t="s">
        <v>922</v>
      </c>
      <c r="D869" s="13"/>
      <c r="E869" s="13"/>
      <c r="F869" s="13"/>
      <c r="G869" s="13"/>
      <c r="H869" s="13"/>
      <c r="I869" s="150" t="e">
        <f>SUM(HB47:HB820)</f>
        <v>#REF!</v>
      </c>
      <c r="J869" s="13"/>
      <c r="K869" s="150" t="e">
        <f>Source!EK437</f>
        <v>#REF!</v>
      </c>
    </row>
    <row r="870" spans="3:11" hidden="1" x14ac:dyDescent="0.2">
      <c r="C870" s="176" t="s">
        <v>312</v>
      </c>
      <c r="D870" s="13"/>
      <c r="E870" s="13"/>
      <c r="F870" s="13"/>
      <c r="G870" s="13"/>
      <c r="H870" s="13"/>
      <c r="I870" s="150" t="e">
        <f>SUM(HC47:HC820)</f>
        <v>#REF!</v>
      </c>
      <c r="J870" s="13"/>
      <c r="K870" s="150" t="e">
        <f>Source!EL437</f>
        <v>#REF!</v>
      </c>
    </row>
    <row r="871" spans="3:11" hidden="1" x14ac:dyDescent="0.2">
      <c r="C871" s="174" t="s">
        <v>923</v>
      </c>
      <c r="D871" s="170"/>
      <c r="E871" s="170"/>
      <c r="F871" s="170"/>
      <c r="G871" s="170"/>
      <c r="H871" s="170"/>
      <c r="I871" s="171">
        <f>SUM(HD47:HD820)</f>
        <v>0</v>
      </c>
      <c r="J871" s="170"/>
      <c r="K871" s="171">
        <f>Source!EH437+SUM(DC47:DC820)</f>
        <v>0</v>
      </c>
    </row>
    <row r="872" spans="3:11" hidden="1" x14ac:dyDescent="0.2">
      <c r="C872" s="176" t="s">
        <v>176</v>
      </c>
      <c r="D872" s="13"/>
      <c r="E872" s="13"/>
      <c r="F872" s="13"/>
      <c r="G872" s="13"/>
      <c r="H872" s="13"/>
      <c r="I872" s="150">
        <f>SUM(HE47:HE820)</f>
        <v>0</v>
      </c>
      <c r="J872" s="13"/>
      <c r="K872" s="150">
        <f>Source!EM437</f>
        <v>0</v>
      </c>
    </row>
    <row r="874" spans="3:11" x14ac:dyDescent="0.2">
      <c r="C874" s="13" t="s">
        <v>924</v>
      </c>
      <c r="D874" s="13"/>
      <c r="E874" s="13"/>
      <c r="F874" s="13"/>
      <c r="G874" s="13"/>
      <c r="H874" s="13"/>
      <c r="I874" s="150" t="e">
        <f>SUM(HB47:HB820)+SUM(HC47:HC820)</f>
        <v>#REF!</v>
      </c>
      <c r="J874" s="13"/>
      <c r="K874" s="150" t="e">
        <f>Source!EK437+Source!EL437</f>
        <v>#REF!</v>
      </c>
    </row>
    <row r="875" spans="3:11" x14ac:dyDescent="0.2">
      <c r="C875" s="13" t="s">
        <v>989</v>
      </c>
      <c r="D875" s="13"/>
      <c r="E875" s="13"/>
      <c r="F875" s="13"/>
      <c r="G875" s="13"/>
      <c r="H875" s="13"/>
      <c r="I875" s="13"/>
      <c r="J875" s="13"/>
      <c r="K875" s="13"/>
    </row>
    <row r="876" spans="3:11" x14ac:dyDescent="0.2">
      <c r="C876" s="13" t="s">
        <v>990</v>
      </c>
      <c r="D876" s="13"/>
      <c r="E876" s="24">
        <v>1.9550000000000001</v>
      </c>
      <c r="F876" s="190" t="s">
        <v>859</v>
      </c>
      <c r="G876" s="13"/>
      <c r="H876" s="13"/>
      <c r="I876" s="150" t="e">
        <f>ROUND(I874*E876/100,0)</f>
        <v>#REF!</v>
      </c>
      <c r="J876" s="13"/>
      <c r="K876" s="150" t="e">
        <f>ROUND(K874*E876/100,0)</f>
        <v>#REF!</v>
      </c>
    </row>
    <row r="877" spans="3:11" x14ac:dyDescent="0.2">
      <c r="C877" s="13" t="s">
        <v>546</v>
      </c>
      <c r="D877" s="13"/>
      <c r="E877" s="13"/>
      <c r="F877" s="13"/>
      <c r="G877" s="13"/>
      <c r="H877" s="13"/>
      <c r="I877" s="150" t="e">
        <f>I876+I874</f>
        <v>#REF!</v>
      </c>
      <c r="J877" s="13"/>
      <c r="K877" s="150" t="e">
        <f>K876+K874</f>
        <v>#REF!</v>
      </c>
    </row>
    <row r="879" spans="3:11" x14ac:dyDescent="0.2">
      <c r="C879" s="25" t="s">
        <v>194</v>
      </c>
      <c r="D879" s="25"/>
      <c r="E879" s="25"/>
      <c r="F879" s="25"/>
      <c r="G879" s="25"/>
      <c r="H879" s="25"/>
      <c r="I879" s="177" t="e">
        <f>I877+SUM(HD47:HD820)+SUM(HE47:HE820)</f>
        <v>#REF!</v>
      </c>
      <c r="J879" s="25"/>
      <c r="K879" s="177" t="e">
        <f>K877+Source!EH437+SUM(DC47:DC820)+Source!EM437</f>
        <v>#REF!</v>
      </c>
    </row>
    <row r="880" spans="3:11" x14ac:dyDescent="0.2">
      <c r="C880" s="13" t="s">
        <v>991</v>
      </c>
      <c r="D880" s="13"/>
      <c r="E880" s="24">
        <v>20</v>
      </c>
      <c r="F880" s="190" t="s">
        <v>859</v>
      </c>
      <c r="G880" s="13"/>
      <c r="H880" s="13"/>
      <c r="I880" s="13"/>
      <c r="J880" s="13"/>
      <c r="K880" s="179" t="e">
        <f>ROUND(K879*E880/100,2)</f>
        <v>#REF!</v>
      </c>
    </row>
    <row r="881" spans="1:255" x14ac:dyDescent="0.2">
      <c r="C881" s="25" t="s">
        <v>992</v>
      </c>
      <c r="D881" s="25"/>
      <c r="E881" s="25"/>
      <c r="F881" s="25"/>
      <c r="G881" s="25"/>
      <c r="H881" s="25"/>
      <c r="I881" s="25"/>
      <c r="J881" s="25"/>
      <c r="K881" s="191" t="e">
        <f>K880+K879</f>
        <v>#REF!</v>
      </c>
    </row>
    <row r="883" spans="1:255" x14ac:dyDescent="0.2">
      <c r="C883" s="149" t="s">
        <v>925</v>
      </c>
      <c r="D883" s="149"/>
      <c r="E883" s="149"/>
      <c r="F883" s="149"/>
      <c r="G883" s="149"/>
      <c r="H883" s="149"/>
      <c r="I883" s="149"/>
      <c r="J883" s="149"/>
      <c r="K883" s="149"/>
    </row>
    <row r="884" spans="1:255" hidden="1" x14ac:dyDescent="0.2">
      <c r="C884" s="178" t="s">
        <v>926</v>
      </c>
      <c r="D884" s="13"/>
      <c r="E884" s="13"/>
      <c r="F884" s="13"/>
      <c r="G884" s="13"/>
      <c r="H884" s="13"/>
      <c r="I884" s="150" t="e">
        <f>SUM(GN47:GN820)+SUM(IA47:IA820)+SUM(IB47:IB820)</f>
        <v>#REF!</v>
      </c>
      <c r="J884" s="13"/>
      <c r="K884" s="150" t="e">
        <f>Source!DH437+SUM(DB47:DB820)+SUM(DC47:DC820)</f>
        <v>#REF!</v>
      </c>
    </row>
    <row r="885" spans="1:255" hidden="1" x14ac:dyDescent="0.2">
      <c r="C885" s="151" t="s">
        <v>885</v>
      </c>
      <c r="D885" s="149"/>
      <c r="E885" s="149"/>
      <c r="F885" s="149"/>
      <c r="G885" s="149"/>
      <c r="H885" s="149"/>
      <c r="I885" s="149"/>
      <c r="J885" s="149"/>
      <c r="K885" s="149"/>
    </row>
    <row r="886" spans="1:255" hidden="1" x14ac:dyDescent="0.2">
      <c r="C886" s="176" t="s">
        <v>927</v>
      </c>
      <c r="D886" s="13"/>
      <c r="E886" s="13"/>
      <c r="F886" s="13"/>
      <c r="G886" s="13"/>
      <c r="H886" s="13"/>
      <c r="I886" s="150">
        <f>SUM(GO47:GO820)</f>
        <v>0</v>
      </c>
      <c r="J886" s="13"/>
      <c r="K886" s="150">
        <f>Source!EG437</f>
        <v>0</v>
      </c>
    </row>
    <row r="887" spans="1:255" hidden="1" x14ac:dyDescent="0.2">
      <c r="C887" s="176" t="s">
        <v>928</v>
      </c>
      <c r="D887" s="13"/>
      <c r="E887" s="13"/>
      <c r="F887" s="13"/>
      <c r="G887" s="13"/>
      <c r="H887" s="13"/>
      <c r="I887" s="150" t="e">
        <f>SUM(GP47:GP820)</f>
        <v>#REF!</v>
      </c>
      <c r="J887" s="13"/>
      <c r="K887" s="150" t="e">
        <f>Source!EN437</f>
        <v>#REF!</v>
      </c>
    </row>
    <row r="888" spans="1:255" x14ac:dyDescent="0.2">
      <c r="C888" s="178" t="s">
        <v>929</v>
      </c>
      <c r="D888" s="13"/>
      <c r="E888" s="13"/>
      <c r="F888" s="13"/>
      <c r="G888" s="13"/>
      <c r="H888" s="179" t="e">
        <f>Source!DM437</f>
        <v>#REF!</v>
      </c>
      <c r="I888" s="13"/>
      <c r="J888" s="13"/>
      <c r="K888" s="13"/>
    </row>
    <row r="889" spans="1:255" x14ac:dyDescent="0.2">
      <c r="C889" s="178" t="s">
        <v>185</v>
      </c>
      <c r="D889" s="13"/>
      <c r="E889" s="13"/>
      <c r="F889" s="13"/>
      <c r="G889" s="13"/>
      <c r="H889" s="179" t="e">
        <f>Source!DN437</f>
        <v>#REF!</v>
      </c>
      <c r="I889" s="13"/>
      <c r="J889" s="13"/>
      <c r="K889" s="13"/>
    </row>
    <row r="890" spans="1:255" hidden="1" outlineLevel="1" x14ac:dyDescent="0.2"/>
    <row r="891" spans="1:255" hidden="1" outlineLevel="1" x14ac:dyDescent="0.2"/>
    <row r="892" spans="1:255" hidden="1" outlineLevel="1" x14ac:dyDescent="0.2">
      <c r="A892" s="192" t="s">
        <v>993</v>
      </c>
      <c r="B892" s="192"/>
      <c r="C892" s="321"/>
      <c r="D892" s="321"/>
      <c r="E892" s="321"/>
      <c r="F892" s="321"/>
      <c r="G892" s="193"/>
      <c r="H892" s="193"/>
      <c r="I892" s="321"/>
      <c r="J892" s="321"/>
      <c r="BY892" s="194">
        <f>C892</f>
        <v>0</v>
      </c>
      <c r="BZ892" s="194">
        <f>I892</f>
        <v>0</v>
      </c>
      <c r="IU892" s="23"/>
    </row>
    <row r="893" spans="1:255" s="196" customFormat="1" ht="11.25" hidden="1" outlineLevel="1" x14ac:dyDescent="0.2">
      <c r="A893" s="195"/>
      <c r="B893" s="195"/>
      <c r="C893" s="389" t="s">
        <v>994</v>
      </c>
      <c r="D893" s="389"/>
      <c r="E893" s="389"/>
      <c r="F893" s="389"/>
      <c r="G893" s="389"/>
      <c r="H893" s="389"/>
      <c r="I893" s="389" t="s">
        <v>995</v>
      </c>
      <c r="J893" s="389"/>
    </row>
    <row r="894" spans="1:255" hidden="1" outlineLevel="1" x14ac:dyDescent="0.2">
      <c r="A894" s="18"/>
      <c r="B894" s="18"/>
      <c r="C894" s="18"/>
      <c r="D894" s="18"/>
      <c r="E894" s="18"/>
      <c r="F894" s="18"/>
      <c r="G894" s="11" t="s">
        <v>996</v>
      </c>
      <c r="H894" s="18"/>
      <c r="I894" s="18"/>
      <c r="J894" s="18"/>
    </row>
    <row r="895" spans="1:255" hidden="1" outlineLevel="1" x14ac:dyDescent="0.2">
      <c r="A895" s="192" t="s">
        <v>997</v>
      </c>
      <c r="B895" s="192"/>
      <c r="C895" s="321"/>
      <c r="D895" s="321"/>
      <c r="E895" s="321"/>
      <c r="F895" s="321"/>
      <c r="G895" s="193"/>
      <c r="H895" s="193"/>
      <c r="I895" s="321"/>
      <c r="J895" s="321"/>
      <c r="BY895" s="194">
        <f>C895</f>
        <v>0</v>
      </c>
      <c r="BZ895" s="194">
        <f>I895</f>
        <v>0</v>
      </c>
      <c r="IU895" s="23"/>
    </row>
    <row r="896" spans="1:255" s="196" customFormat="1" ht="11.25" hidden="1" outlineLevel="1" x14ac:dyDescent="0.2">
      <c r="A896" s="195"/>
      <c r="B896" s="195"/>
      <c r="C896" s="389" t="s">
        <v>994</v>
      </c>
      <c r="D896" s="389"/>
      <c r="E896" s="389"/>
      <c r="F896" s="389"/>
      <c r="G896" s="389"/>
      <c r="H896" s="389"/>
      <c r="I896" s="389" t="s">
        <v>995</v>
      </c>
      <c r="J896" s="389"/>
    </row>
    <row r="897" spans="1:255" hidden="1" outlineLevel="1" x14ac:dyDescent="0.2">
      <c r="A897" s="18"/>
      <c r="B897" s="18"/>
      <c r="C897" s="18"/>
      <c r="D897" s="18"/>
      <c r="E897" s="18"/>
      <c r="F897" s="18"/>
      <c r="G897" s="11" t="s">
        <v>996</v>
      </c>
      <c r="H897" s="18"/>
      <c r="I897" s="18"/>
      <c r="J897" s="18"/>
    </row>
    <row r="898" spans="1:255" collapsed="1" x14ac:dyDescent="0.2"/>
    <row r="899" spans="1:255" outlineLevel="1" x14ac:dyDescent="0.2"/>
    <row r="900" spans="1:255" outlineLevel="1" x14ac:dyDescent="0.2"/>
    <row r="901" spans="1:255" outlineLevel="1" x14ac:dyDescent="0.2">
      <c r="A901" s="192" t="s">
        <v>802</v>
      </c>
      <c r="B901" s="192"/>
      <c r="C901" s="321" t="s">
        <v>998</v>
      </c>
      <c r="D901" s="321"/>
      <c r="E901" s="321"/>
      <c r="F901" s="321"/>
      <c r="G901" s="193"/>
      <c r="H901" s="193"/>
      <c r="I901" s="321" t="s">
        <v>999</v>
      </c>
      <c r="J901" s="321"/>
      <c r="BY901" s="194" t="str">
        <f>C901</f>
        <v>Руководитель ПТС ООО "ОСУ-2"</v>
      </c>
      <c r="BZ901" s="194" t="str">
        <f>I901</f>
        <v>Когтев В.И.</v>
      </c>
      <c r="IU901" s="23"/>
    </row>
    <row r="902" spans="1:255" s="196" customFormat="1" ht="11.25" outlineLevel="1" x14ac:dyDescent="0.2">
      <c r="A902" s="195"/>
      <c r="B902" s="195"/>
      <c r="C902" s="389" t="s">
        <v>994</v>
      </c>
      <c r="D902" s="389"/>
      <c r="E902" s="389"/>
      <c r="F902" s="389"/>
      <c r="G902" s="389"/>
      <c r="H902" s="389"/>
      <c r="I902" s="389" t="s">
        <v>995</v>
      </c>
      <c r="J902" s="389"/>
    </row>
    <row r="903" spans="1:255" outlineLevel="1" x14ac:dyDescent="0.2">
      <c r="A903" s="18"/>
      <c r="B903" s="18"/>
      <c r="C903" s="18"/>
      <c r="D903" s="18"/>
      <c r="E903" s="18"/>
      <c r="F903" s="18"/>
      <c r="G903" s="11"/>
      <c r="H903" s="18"/>
      <c r="I903" s="18"/>
      <c r="J903" s="18"/>
    </row>
    <row r="904" spans="1:255" outlineLevel="1" x14ac:dyDescent="0.2">
      <c r="A904" s="192" t="s">
        <v>1000</v>
      </c>
      <c r="B904" s="192"/>
      <c r="C904" s="321" t="s">
        <v>1001</v>
      </c>
      <c r="D904" s="321"/>
      <c r="E904" s="321"/>
      <c r="F904" s="321"/>
      <c r="G904" s="193"/>
      <c r="H904" s="193"/>
      <c r="I904" s="321" t="s">
        <v>1002</v>
      </c>
      <c r="J904" s="321"/>
      <c r="K904" s="31">
        <v>45651</v>
      </c>
      <c r="BY904" s="194" t="str">
        <f>C904</f>
        <v>Ведущий инжененр-сметчик СРС ООО "ОДСК"</v>
      </c>
      <c r="BZ904" s="194" t="str">
        <f>I904</f>
        <v>Зимарина О.Ю.</v>
      </c>
      <c r="IU904" s="23"/>
    </row>
    <row r="905" spans="1:255" s="196" customFormat="1" ht="11.25" outlineLevel="1" x14ac:dyDescent="0.2">
      <c r="A905" s="195"/>
      <c r="B905" s="195"/>
      <c r="C905" s="389" t="s">
        <v>994</v>
      </c>
      <c r="D905" s="389"/>
      <c r="E905" s="389"/>
      <c r="F905" s="389"/>
      <c r="G905" s="389"/>
      <c r="H905" s="389"/>
      <c r="I905" s="389" t="s">
        <v>995</v>
      </c>
      <c r="J905" s="389"/>
    </row>
    <row r="906" spans="1:255" outlineLevel="1" x14ac:dyDescent="0.2">
      <c r="A906" s="18"/>
      <c r="B906" s="18"/>
      <c r="C906" s="18"/>
      <c r="D906" s="18"/>
      <c r="E906" s="18"/>
      <c r="F906" s="18"/>
      <c r="G906" s="11"/>
      <c r="H906" s="18"/>
      <c r="I906" s="18"/>
      <c r="J906" s="18"/>
    </row>
    <row r="907" spans="1:255" outlineLevel="1" x14ac:dyDescent="0.2">
      <c r="A907" s="192" t="s">
        <v>1003</v>
      </c>
      <c r="B907" s="192"/>
      <c r="C907" s="321" t="s">
        <v>1004</v>
      </c>
      <c r="D907" s="321"/>
      <c r="E907" s="321"/>
      <c r="F907" s="321"/>
      <c r="G907" s="193"/>
      <c r="H907" s="193"/>
      <c r="I907" s="321" t="s">
        <v>1005</v>
      </c>
      <c r="J907" s="321"/>
      <c r="BY907" s="194" t="str">
        <f>C907</f>
        <v>Главный инженер-сметчик СРС ООО "ОДСК"</v>
      </c>
      <c r="BZ907" s="194" t="str">
        <f>I907</f>
        <v>Полшведкина А.Н.</v>
      </c>
      <c r="IU907" s="23"/>
    </row>
    <row r="908" spans="1:255" s="196" customFormat="1" ht="11.25" outlineLevel="1" x14ac:dyDescent="0.2">
      <c r="A908" s="195"/>
      <c r="B908" s="195"/>
      <c r="C908" s="389" t="s">
        <v>994</v>
      </c>
      <c r="D908" s="389"/>
      <c r="E908" s="389"/>
      <c r="F908" s="389"/>
      <c r="G908" s="389"/>
      <c r="H908" s="389"/>
      <c r="I908" s="389" t="s">
        <v>995</v>
      </c>
      <c r="J908" s="389"/>
    </row>
    <row r="909" spans="1:255" outlineLevel="1" x14ac:dyDescent="0.2">
      <c r="A909" s="18"/>
      <c r="B909" s="18"/>
      <c r="C909" s="18"/>
      <c r="D909" s="18"/>
      <c r="E909" s="18"/>
      <c r="F909" s="18"/>
      <c r="G909" s="11"/>
      <c r="H909" s="18"/>
      <c r="I909" s="18"/>
      <c r="J909" s="18"/>
    </row>
    <row r="911" spans="1:255" x14ac:dyDescent="0.2">
      <c r="A911" s="31"/>
      <c r="B911" s="31"/>
    </row>
  </sheetData>
  <mergeCells count="280">
    <mergeCell ref="C907:F907"/>
    <mergeCell ref="I907:J907"/>
    <mergeCell ref="C908:H908"/>
    <mergeCell ref="I908:J908"/>
    <mergeCell ref="C902:H902"/>
    <mergeCell ref="I902:J902"/>
    <mergeCell ref="C904:F904"/>
    <mergeCell ref="I904:J904"/>
    <mergeCell ref="C905:H905"/>
    <mergeCell ref="I905:J905"/>
    <mergeCell ref="C895:F895"/>
    <mergeCell ref="I895:J895"/>
    <mergeCell ref="C896:H896"/>
    <mergeCell ref="I896:J896"/>
    <mergeCell ref="C901:F901"/>
    <mergeCell ref="I901:J901"/>
    <mergeCell ref="H755:I755"/>
    <mergeCell ref="J755:K755"/>
    <mergeCell ref="C892:F892"/>
    <mergeCell ref="I892:J892"/>
    <mergeCell ref="C893:H893"/>
    <mergeCell ref="I893:J893"/>
    <mergeCell ref="H746:I746"/>
    <mergeCell ref="J746:K746"/>
    <mergeCell ref="H747:I747"/>
    <mergeCell ref="J747:K747"/>
    <mergeCell ref="H754:I754"/>
    <mergeCell ref="J754:K754"/>
    <mergeCell ref="H733:I733"/>
    <mergeCell ref="J733:K733"/>
    <mergeCell ref="H734:I734"/>
    <mergeCell ref="J734:K734"/>
    <mergeCell ref="H745:I745"/>
    <mergeCell ref="J745:K745"/>
    <mergeCell ref="H711:I711"/>
    <mergeCell ref="J711:K711"/>
    <mergeCell ref="H712:I712"/>
    <mergeCell ref="J712:K712"/>
    <mergeCell ref="H732:I732"/>
    <mergeCell ref="J732:K732"/>
    <mergeCell ref="H700:I700"/>
    <mergeCell ref="J700:K700"/>
    <mergeCell ref="H701:I701"/>
    <mergeCell ref="J701:K701"/>
    <mergeCell ref="H710:I710"/>
    <mergeCell ref="J710:K710"/>
    <mergeCell ref="H685:I685"/>
    <mergeCell ref="J685:K685"/>
    <mergeCell ref="H686:I686"/>
    <mergeCell ref="J686:K686"/>
    <mergeCell ref="H699:I699"/>
    <mergeCell ref="J699:K699"/>
    <mergeCell ref="H672:I672"/>
    <mergeCell ref="J672:K672"/>
    <mergeCell ref="H673:I673"/>
    <mergeCell ref="J673:K673"/>
    <mergeCell ref="H684:I684"/>
    <mergeCell ref="J684:K684"/>
    <mergeCell ref="H656:I656"/>
    <mergeCell ref="J656:K656"/>
    <mergeCell ref="H657:I657"/>
    <mergeCell ref="J657:K657"/>
    <mergeCell ref="H671:I671"/>
    <mergeCell ref="J671:K671"/>
    <mergeCell ref="H642:I642"/>
    <mergeCell ref="J642:K642"/>
    <mergeCell ref="H643:I643"/>
    <mergeCell ref="J643:K643"/>
    <mergeCell ref="H655:I655"/>
    <mergeCell ref="J655:K655"/>
    <mergeCell ref="H638:I638"/>
    <mergeCell ref="J638:K638"/>
    <mergeCell ref="H639:I639"/>
    <mergeCell ref="J639:K639"/>
    <mergeCell ref="H640:I640"/>
    <mergeCell ref="J640:K640"/>
    <mergeCell ref="H618:I618"/>
    <mergeCell ref="J618:K618"/>
    <mergeCell ref="H619:I619"/>
    <mergeCell ref="J619:K619"/>
    <mergeCell ref="H620:I620"/>
    <mergeCell ref="J620:K620"/>
    <mergeCell ref="H600:I600"/>
    <mergeCell ref="J600:K600"/>
    <mergeCell ref="H601:I601"/>
    <mergeCell ref="J601:K601"/>
    <mergeCell ref="H602:I602"/>
    <mergeCell ref="J602:K602"/>
    <mergeCell ref="H586:I586"/>
    <mergeCell ref="J586:K586"/>
    <mergeCell ref="H587:I587"/>
    <mergeCell ref="J587:K587"/>
    <mergeCell ref="H588:I588"/>
    <mergeCell ref="J588:K588"/>
    <mergeCell ref="H503:I503"/>
    <mergeCell ref="J503:K503"/>
    <mergeCell ref="H504:I504"/>
    <mergeCell ref="J504:K504"/>
    <mergeCell ref="A571:B571"/>
    <mergeCell ref="C571:K571"/>
    <mergeCell ref="H494:I494"/>
    <mergeCell ref="J494:K494"/>
    <mergeCell ref="H495:I495"/>
    <mergeCell ref="J495:K495"/>
    <mergeCell ref="H496:I496"/>
    <mergeCell ref="J496:K496"/>
    <mergeCell ref="H480:I480"/>
    <mergeCell ref="J480:K480"/>
    <mergeCell ref="H482:I482"/>
    <mergeCell ref="J482:K482"/>
    <mergeCell ref="H483:I483"/>
    <mergeCell ref="J483:K483"/>
    <mergeCell ref="H465:I465"/>
    <mergeCell ref="J465:K465"/>
    <mergeCell ref="H478:I478"/>
    <mergeCell ref="J478:K478"/>
    <mergeCell ref="H479:I479"/>
    <mergeCell ref="J479:K479"/>
    <mergeCell ref="H451:I451"/>
    <mergeCell ref="J451:K451"/>
    <mergeCell ref="H463:I463"/>
    <mergeCell ref="J463:K463"/>
    <mergeCell ref="H464:I464"/>
    <mergeCell ref="J464:K464"/>
    <mergeCell ref="H435:I435"/>
    <mergeCell ref="J435:K435"/>
    <mergeCell ref="H449:I449"/>
    <mergeCell ref="J449:K449"/>
    <mergeCell ref="H450:I450"/>
    <mergeCell ref="J450:K450"/>
    <mergeCell ref="H415:I415"/>
    <mergeCell ref="J415:K415"/>
    <mergeCell ref="H433:I433"/>
    <mergeCell ref="J433:K433"/>
    <mergeCell ref="H434:I434"/>
    <mergeCell ref="J434:K434"/>
    <mergeCell ref="H395:I395"/>
    <mergeCell ref="J395:K395"/>
    <mergeCell ref="H413:I413"/>
    <mergeCell ref="J413:K413"/>
    <mergeCell ref="H414:I414"/>
    <mergeCell ref="J414:K414"/>
    <mergeCell ref="H383:I383"/>
    <mergeCell ref="J383:K383"/>
    <mergeCell ref="H393:I393"/>
    <mergeCell ref="J393:K393"/>
    <mergeCell ref="H394:I394"/>
    <mergeCell ref="J394:K394"/>
    <mergeCell ref="H355:I355"/>
    <mergeCell ref="J355:K355"/>
    <mergeCell ref="H381:I381"/>
    <mergeCell ref="J381:K381"/>
    <mergeCell ref="H382:I382"/>
    <mergeCell ref="J382:K382"/>
    <mergeCell ref="H327:I327"/>
    <mergeCell ref="J327:K327"/>
    <mergeCell ref="H353:I353"/>
    <mergeCell ref="J353:K353"/>
    <mergeCell ref="H354:I354"/>
    <mergeCell ref="J354:K354"/>
    <mergeCell ref="H299:I299"/>
    <mergeCell ref="J299:K299"/>
    <mergeCell ref="H325:I325"/>
    <mergeCell ref="J325:K325"/>
    <mergeCell ref="H326:I326"/>
    <mergeCell ref="J326:K326"/>
    <mergeCell ref="H271:I271"/>
    <mergeCell ref="J271:K271"/>
    <mergeCell ref="H297:I297"/>
    <mergeCell ref="J297:K297"/>
    <mergeCell ref="H298:I298"/>
    <mergeCell ref="J298:K298"/>
    <mergeCell ref="H257:I257"/>
    <mergeCell ref="J257:K257"/>
    <mergeCell ref="H269:I269"/>
    <mergeCell ref="J269:K269"/>
    <mergeCell ref="H270:I270"/>
    <mergeCell ref="J270:K270"/>
    <mergeCell ref="H245:I245"/>
    <mergeCell ref="J245:K245"/>
    <mergeCell ref="H255:I255"/>
    <mergeCell ref="J255:K255"/>
    <mergeCell ref="H256:I256"/>
    <mergeCell ref="J256:K256"/>
    <mergeCell ref="H229:I229"/>
    <mergeCell ref="J229:K229"/>
    <mergeCell ref="H243:I243"/>
    <mergeCell ref="J243:K243"/>
    <mergeCell ref="H244:I244"/>
    <mergeCell ref="J244:K244"/>
    <mergeCell ref="A213:B213"/>
    <mergeCell ref="C213:K213"/>
    <mergeCell ref="H227:I227"/>
    <mergeCell ref="J227:K227"/>
    <mergeCell ref="H228:I228"/>
    <mergeCell ref="J228:K228"/>
    <mergeCell ref="H143:I143"/>
    <mergeCell ref="J143:K143"/>
    <mergeCell ref="H145:I145"/>
    <mergeCell ref="J145:K145"/>
    <mergeCell ref="H146:I146"/>
    <mergeCell ref="J146:K146"/>
    <mergeCell ref="H115:I115"/>
    <mergeCell ref="J115:K115"/>
    <mergeCell ref="H141:I141"/>
    <mergeCell ref="J141:K141"/>
    <mergeCell ref="H142:I142"/>
    <mergeCell ref="J142:K142"/>
    <mergeCell ref="H87:I87"/>
    <mergeCell ref="J87:K87"/>
    <mergeCell ref="H113:I113"/>
    <mergeCell ref="J113:K113"/>
    <mergeCell ref="H114:I114"/>
    <mergeCell ref="J114:K114"/>
    <mergeCell ref="H75:I75"/>
    <mergeCell ref="J75:K75"/>
    <mergeCell ref="H85:I85"/>
    <mergeCell ref="J85:K85"/>
    <mergeCell ref="H86:I86"/>
    <mergeCell ref="J86:K86"/>
    <mergeCell ref="H63:I63"/>
    <mergeCell ref="J63:K63"/>
    <mergeCell ref="H73:I73"/>
    <mergeCell ref="J73:K73"/>
    <mergeCell ref="H74:I74"/>
    <mergeCell ref="J74:K74"/>
    <mergeCell ref="A48:B48"/>
    <mergeCell ref="C48:K48"/>
    <mergeCell ref="H61:I61"/>
    <mergeCell ref="J61:K61"/>
    <mergeCell ref="H62:I62"/>
    <mergeCell ref="J62:K62"/>
    <mergeCell ref="F42:F45"/>
    <mergeCell ref="G42:G45"/>
    <mergeCell ref="H42:H45"/>
    <mergeCell ref="I42:I45"/>
    <mergeCell ref="J42:J45"/>
    <mergeCell ref="K42:K45"/>
    <mergeCell ref="C30:K30"/>
    <mergeCell ref="C31:K31"/>
    <mergeCell ref="A33:K33"/>
    <mergeCell ref="A34:K34"/>
    <mergeCell ref="C35:K35"/>
    <mergeCell ref="A42:A45"/>
    <mergeCell ref="B42:B45"/>
    <mergeCell ref="C42:C45"/>
    <mergeCell ref="D42:D45"/>
    <mergeCell ref="E42:E45"/>
    <mergeCell ref="C20:F20"/>
    <mergeCell ref="C21:F21"/>
    <mergeCell ref="C22:F22"/>
    <mergeCell ref="C23:F23"/>
    <mergeCell ref="E26:F26"/>
    <mergeCell ref="C29:K29"/>
    <mergeCell ref="G14:H14"/>
    <mergeCell ref="J14:K14"/>
    <mergeCell ref="J15:K15"/>
    <mergeCell ref="J16:K16"/>
    <mergeCell ref="G18:G19"/>
    <mergeCell ref="H18:H19"/>
    <mergeCell ref="I18:J18"/>
    <mergeCell ref="C12:G12"/>
    <mergeCell ref="J12:K12"/>
    <mergeCell ref="C13:G13"/>
    <mergeCell ref="J13:K13"/>
    <mergeCell ref="C8:G8"/>
    <mergeCell ref="J8:K8"/>
    <mergeCell ref="C9:G9"/>
    <mergeCell ref="J9:K9"/>
    <mergeCell ref="C10:G10"/>
    <mergeCell ref="J10:K10"/>
    <mergeCell ref="H2:K2"/>
    <mergeCell ref="H3:K3"/>
    <mergeCell ref="H4:K4"/>
    <mergeCell ref="J5:K5"/>
    <mergeCell ref="J6:K6"/>
    <mergeCell ref="C7:G7"/>
    <mergeCell ref="J7:K7"/>
    <mergeCell ref="C11:G11"/>
    <mergeCell ref="J11:K11"/>
  </mergeCells>
  <printOptions horizontalCentered="1"/>
  <pageMargins left="0.39370078740157499" right="0.39370078740157499" top="0.78740157480314998" bottom="0.39370078740157499" header="0" footer="0"/>
  <pageSetup paperSize="9" orientation="landscape" r:id="rId1"/>
  <headerFooter>
    <oddHeader>&amp;CСтраница &amp;P из &amp;N</oddHeader>
    <oddFooter>&amp;R&amp;P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21"/>
  <sheetViews>
    <sheetView workbookViewId="0"/>
  </sheetViews>
  <sheetFormatPr defaultRowHeight="12.75" x14ac:dyDescent="0.2"/>
  <sheetData>
    <row r="1" spans="1:255" x14ac:dyDescent="0.2">
      <c r="B1" t="s">
        <v>782</v>
      </c>
    </row>
    <row r="3" spans="1:255" x14ac:dyDescent="0.2">
      <c r="A3">
        <v>3</v>
      </c>
      <c r="B3" t="s">
        <v>783</v>
      </c>
    </row>
    <row r="4" spans="1:255" x14ac:dyDescent="0.2">
      <c r="A4">
        <v>2</v>
      </c>
      <c r="B4" t="s">
        <v>784</v>
      </c>
    </row>
    <row r="5" spans="1:255" x14ac:dyDescent="0.2">
      <c r="A5">
        <v>0</v>
      </c>
      <c r="B5" t="s">
        <v>785</v>
      </c>
    </row>
    <row r="6" spans="1:255" x14ac:dyDescent="0.2">
      <c r="A6">
        <v>2</v>
      </c>
      <c r="B6" t="s">
        <v>786</v>
      </c>
    </row>
    <row r="7" spans="1:255" x14ac:dyDescent="0.2">
      <c r="A7">
        <v>0</v>
      </c>
      <c r="B7" t="s">
        <v>787</v>
      </c>
    </row>
    <row r="8" spans="1:255" x14ac:dyDescent="0.2">
      <c r="A8">
        <v>2</v>
      </c>
      <c r="B8" t="s">
        <v>788</v>
      </c>
    </row>
    <row r="9" spans="1:255" x14ac:dyDescent="0.2">
      <c r="A9">
        <v>0</v>
      </c>
      <c r="B9" t="s">
        <v>789</v>
      </c>
    </row>
    <row r="13" spans="1:255" x14ac:dyDescent="0.2">
      <c r="A13">
        <v>3</v>
      </c>
      <c r="B13" t="s">
        <v>846</v>
      </c>
      <c r="D13" t="s">
        <v>847</v>
      </c>
      <c r="F13" t="s">
        <v>848</v>
      </c>
    </row>
    <row r="14" spans="1:255" x14ac:dyDescent="0.2">
      <c r="A14">
        <v>4</v>
      </c>
      <c r="B14" t="s">
        <v>849</v>
      </c>
      <c r="D14" t="s">
        <v>850</v>
      </c>
      <c r="F14" t="s">
        <v>850</v>
      </c>
    </row>
    <row r="15" spans="1:255" x14ac:dyDescent="0.2">
      <c r="A15">
        <v>514</v>
      </c>
      <c r="B15" t="s">
        <v>849</v>
      </c>
      <c r="D15" t="s">
        <v>850</v>
      </c>
      <c r="F15" t="s">
        <v>850</v>
      </c>
      <c r="AY15">
        <f>SUM('1.Лок.смета.и.Акт'!AS49:'1.Лок.смета.и.Акт'!AS146)</f>
        <v>0</v>
      </c>
      <c r="AZ15">
        <f>SUM('1.Лок.смета.и.Акт'!AT49:'1.Лок.смета.и.Акт'!AT146)</f>
        <v>0</v>
      </c>
      <c r="BA15">
        <f>SUM('1.Лок.смета.и.Акт'!AU49:'1.Лок.смета.и.Акт'!AU146)</f>
        <v>0</v>
      </c>
      <c r="BB15">
        <f>SUM('1.Лок.смета.и.Акт'!AV49:'1.Лок.смета.и.Акт'!AV146)</f>
        <v>0</v>
      </c>
      <c r="BC15">
        <f>SUM('1.Лок.смета.и.Акт'!AW49:'1.Лок.смета.и.Акт'!AW146)</f>
        <v>0</v>
      </c>
      <c r="BD15">
        <f>SUM('1.Лок.смета.и.Акт'!AX49:'1.Лок.смета.и.Акт'!AX146)</f>
        <v>0</v>
      </c>
      <c r="CW15" t="e">
        <f>Source!DM85</f>
        <v>#REF!</v>
      </c>
      <c r="CX15" t="e">
        <f>Source!DN85</f>
        <v>#REF!</v>
      </c>
      <c r="CY15" t="e">
        <f>Source!DG85</f>
        <v>#REF!</v>
      </c>
      <c r="CZ15" t="e">
        <f>Source!DK85</f>
        <v>#REF!</v>
      </c>
      <c r="DA15" t="e">
        <f>Source!DI85</f>
        <v>#REF!</v>
      </c>
      <c r="DB15" t="e">
        <f>Source!DJ85</f>
        <v>#REF!</v>
      </c>
      <c r="DC15" t="e">
        <f>Source!DH85</f>
        <v>#REF!</v>
      </c>
      <c r="DD15">
        <f>Source!EG85</f>
        <v>0</v>
      </c>
      <c r="DE15" t="e">
        <f>Source!EN85</f>
        <v>#REF!</v>
      </c>
      <c r="DF15" t="e">
        <f>Source!EO85</f>
        <v>#REF!</v>
      </c>
      <c r="DG15">
        <f>Source!EP85</f>
        <v>0</v>
      </c>
      <c r="DH15" t="e">
        <f>Source!EQ85</f>
        <v>#REF!</v>
      </c>
      <c r="DI15">
        <f>Source!EH85</f>
        <v>0</v>
      </c>
      <c r="DJ15">
        <f>Source!EI85</f>
        <v>0</v>
      </c>
      <c r="DK15">
        <f>Source!ER85</f>
        <v>0</v>
      </c>
      <c r="DL15" t="e">
        <f>Source!DL85</f>
        <v>#REF!</v>
      </c>
      <c r="DM15" t="e">
        <f>Source!DO85</f>
        <v>#REF!</v>
      </c>
      <c r="DN15" t="e">
        <f>Source!DP85</f>
        <v>#REF!</v>
      </c>
      <c r="DO15" t="e">
        <f>Source!DQ85</f>
        <v>#REF!</v>
      </c>
      <c r="DP15" t="e">
        <f>Source!EJ85</f>
        <v>#REF!</v>
      </c>
      <c r="DQ15" t="e">
        <f>Source!EK85</f>
        <v>#REF!</v>
      </c>
      <c r="DR15">
        <f>Source!EL85</f>
        <v>1166</v>
      </c>
      <c r="DS15">
        <f>Source!EH85</f>
        <v>0</v>
      </c>
      <c r="DT15">
        <f>Source!EM85</f>
        <v>0</v>
      </c>
      <c r="DU15" t="e">
        <f>Source!EK85+Source!EL85</f>
        <v>#REF!</v>
      </c>
      <c r="DW15" t="e">
        <f>Source!ES85</f>
        <v>#REF!</v>
      </c>
      <c r="DX15">
        <f>Source!ET85</f>
        <v>0</v>
      </c>
      <c r="DY15">
        <f>Source!EU85</f>
        <v>0</v>
      </c>
      <c r="DZ15">
        <f>Source!EV85</f>
        <v>0</v>
      </c>
      <c r="ET15" t="e">
        <f>Source!DM85</f>
        <v>#REF!</v>
      </c>
      <c r="EU15" t="e">
        <f>Source!DN85</f>
        <v>#REF!</v>
      </c>
      <c r="EV15" t="e">
        <f>SUM('1.Лок.смета.и.Акт'!GJ49:'1.Лок.смета.и.Акт'!GJ146)</f>
        <v>#REF!</v>
      </c>
      <c r="EW15">
        <f>SUM('1.Лок.смета.и.Акт'!GK49:'1.Лок.смета.и.Акт'!GK146)</f>
        <v>3033</v>
      </c>
      <c r="EX15" t="e">
        <f>SUM('1.Лок.смета.и.Акт'!GL49:'1.Лок.смета.и.Акт'!GL146)</f>
        <v>#REF!</v>
      </c>
      <c r="EY15">
        <f>SUM('1.Лок.смета.и.Акт'!GM49:'1.Лок.смета.и.Акт'!GM146)</f>
        <v>722</v>
      </c>
      <c r="EZ15">
        <f>SUM('1.Лок.смета.и.Акт'!GN49:'1.Лок.смета.и.Акт'!GN146)</f>
        <v>32103</v>
      </c>
      <c r="FA15">
        <f>SUM('1.Лок.смета.и.Акт'!GO49:'1.Лок.смета.и.Акт'!GO146)</f>
        <v>0</v>
      </c>
      <c r="FB15">
        <f>SUM('1.Лок.смета.и.Акт'!GP49:'1.Лок.смета.и.Акт'!GP146)</f>
        <v>32103</v>
      </c>
      <c r="FC15">
        <f>SUM('1.Лок.смета.и.Акт'!GQ49:'1.Лок.смета.и.Акт'!GQ146)</f>
        <v>32103</v>
      </c>
      <c r="FD15">
        <f>SUM('1.Лок.смета.и.Акт'!GR49:'1.Лок.смета.и.Акт'!GR146)</f>
        <v>0</v>
      </c>
      <c r="FE15">
        <f>SUM('1.Лок.смета.и.Акт'!GS49:'1.Лок.смета.и.Акт'!GS146)</f>
        <v>32103</v>
      </c>
      <c r="FF15">
        <f>SUM('1.Лок.смета.и.Акт'!GT49:'1.Лок.смета.и.Акт'!GT146)</f>
        <v>0</v>
      </c>
      <c r="FG15">
        <f>SUM('1.Лок.смета.и.Акт'!GU49:'1.Лок.смета.и.Акт'!GU146)</f>
        <v>0</v>
      </c>
      <c r="FH15">
        <f>SUM('1.Лок.смета.и.Акт'!GV49:'1.Лок.смета.и.Акт'!GV146)</f>
        <v>0</v>
      </c>
      <c r="FI15">
        <f>SUM('1.Лок.смета.и.Акт'!GW49:'1.Лок.смета.и.Акт'!GW146)</f>
        <v>0</v>
      </c>
      <c r="FJ15">
        <f>SUM('1.Лок.смета.и.Акт'!GX49:'1.Лок.смета.и.Акт'!GX146)</f>
        <v>0</v>
      </c>
      <c r="FK15">
        <f>SUM('1.Лок.смета.и.Акт'!GY49:'1.Лок.смета.и.Акт'!GY146)</f>
        <v>3511</v>
      </c>
      <c r="FL15">
        <f>SUM('1.Лок.смета.и.Акт'!GZ49:'1.Лок.смета.и.Акт'!GZ146)</f>
        <v>2577</v>
      </c>
      <c r="FM15" t="e">
        <f>SUM('1.Лок.смета.и.Акт'!HA49:'1.Лок.смета.и.Акт'!HA146)</f>
        <v>#REF!</v>
      </c>
      <c r="FN15" t="e">
        <f>SUM('1.Лок.смета.и.Акт'!HB49:'1.Лок.смета.и.Акт'!HB146)</f>
        <v>#REF!</v>
      </c>
      <c r="FO15">
        <f>SUM('1.Лок.смета.и.Акт'!HC49:'1.Лок.смета.и.Акт'!HC146)</f>
        <v>170</v>
      </c>
      <c r="FP15">
        <f>SUM('1.Лок.смета.и.Акт'!HD49:'1.Лок.смета.и.Акт'!HD146)</f>
        <v>0</v>
      </c>
      <c r="FQ15">
        <f>SUM('1.Лок.смета.и.Акт'!HE49:'1.Лок.смета.и.Акт'!HE146)</f>
        <v>0</v>
      </c>
      <c r="FR15" t="e">
        <f>SUM('1.Лок.смета.и.Акт'!HB49:'1.Лок.смета.и.Акт'!HB146)+SUM('1.Лок.смета.и.Акт'!HC49:'1.Лок.смета.и.Акт'!HC146)</f>
        <v>#REF!</v>
      </c>
      <c r="FS15">
        <f>SUM('1.Лок.смета.и.Акт'!HG49:'1.Лок.смета.и.Акт'!HG146)</f>
        <v>0</v>
      </c>
      <c r="FT15">
        <f>SUM('1.Лок.смета.и.Акт'!HH49:'1.Лок.смета.и.Акт'!HH146)</f>
        <v>0</v>
      </c>
      <c r="FU15">
        <f>SUM('1.Лок.смета.и.Акт'!HI49:'1.Лок.смета.и.Акт'!HI146)</f>
        <v>0</v>
      </c>
      <c r="FV15">
        <f>SUM('1.Лок.смета.и.Акт'!HJ49:'1.Лок.смета.и.Акт'!HJ146)</f>
        <v>0</v>
      </c>
      <c r="FW15">
        <f>SUM('1.Лок.смета.и.Акт'!HK49:'1.Лок.смета.и.Акт'!HK146)</f>
        <v>0</v>
      </c>
      <c r="FX15">
        <f>SUMIF('1.Лок.смета.и.Акт'!CV49:'1.Лок.смета.и.Акт'!CV146,1,'1.Лок.смета.и.Акт'!GK49:'1.Лок.смета.и.Акт'!GK146)</f>
        <v>3033</v>
      </c>
      <c r="FY15">
        <f>SUMIF('1.Лок.смета.и.Акт'!CV49:'1.Лок.смета.и.Акт'!CV146,2,'1.Лок.смета.и.Акт'!GK49:'1.Лок.смета.и.Акт'!GK146)</f>
        <v>0</v>
      </c>
      <c r="FZ15">
        <f>SUMIF('1.Лок.смета.и.Акт'!CV49:'1.Лок.смета.и.Акт'!CV146,5,'1.Лок.смета.и.Акт'!GK49:'1.Лок.смета.и.Акт'!GK146)</f>
        <v>0</v>
      </c>
      <c r="GA15">
        <f>SUMIF('1.Лок.смета.и.Акт'!CV49:'1.Лок.смета.и.Акт'!CV146,4,'1.Лок.смета.и.Акт'!GK49:'1.Лок.смета.и.Акт'!GK146)</f>
        <v>0</v>
      </c>
      <c r="GB15" t="e">
        <f>SUMIF('1.Лок.смета.и.Акт'!CV49:'1.Лок.смета.и.Акт'!CV146,1,'1.Лок.смета.и.Акт'!GL49:'1.Лок.смета.и.Акт'!GL146)</f>
        <v>#REF!</v>
      </c>
      <c r="GC15">
        <f>SUMIF('1.Лок.смета.и.Акт'!CV49:'1.Лок.смета.и.Акт'!CV146,2,'1.Лок.смета.и.Акт'!GL49:'1.Лок.смета.и.Акт'!GL146)</f>
        <v>0</v>
      </c>
      <c r="GD15">
        <f>SUMIF('1.Лок.смета.и.Акт'!CV49:'1.Лок.смета.и.Акт'!CV146,4,'1.Лок.смета.и.Акт'!GL49:'1.Лок.смета.и.Акт'!GL146)</f>
        <v>0</v>
      </c>
      <c r="GE15">
        <f>SUMIF('1.Лок.смета.и.Акт'!CV49:'1.Лок.смета.и.Акт'!CV146,1,'1.Лок.смета.и.Акт'!GQ49:'1.Лок.смета.и.Акт'!GQ146)</f>
        <v>31933</v>
      </c>
      <c r="GF15">
        <f>SUMIF('1.Лок.смета.и.Акт'!CV49:'1.Лок.смета.и.Акт'!CV146,2,'1.Лок.смета.и.Акт'!GQ49:'1.Лок.смета.и.Акт'!GQ146)</f>
        <v>170</v>
      </c>
      <c r="GG15">
        <f>SUMIF('1.Лок.смета.и.Акт'!CV49:'1.Лок.смета.и.Акт'!CV146,4,'1.Лок.смета.и.Акт'!GQ49:'1.Лок.смета.и.Акт'!GQ146)</f>
        <v>0</v>
      </c>
      <c r="IB15">
        <f>SUM('1.Лок.смета.и.Акт'!HO49:'1.Лок.смета.и.Акт'!HO146)</f>
        <v>0</v>
      </c>
      <c r="IC15">
        <f>SUM('1.Лок.смета.и.Акт'!HQ49:'1.Лок.смета.и.Акт'!HQ146)</f>
        <v>0</v>
      </c>
      <c r="ID15">
        <f>SUM('1.Лок.смета.и.Акт'!HS49:'1.Лок.смета.и.Акт'!HS146)</f>
        <v>0</v>
      </c>
      <c r="IE15">
        <f>SUM('1.Лок.смета.и.Акт'!HU49:'1.Лок.смета.и.Акт'!HU146)</f>
        <v>0</v>
      </c>
      <c r="IF15">
        <f>SUM('1.Лок.смета.и.Акт'!HY49:'1.Лок.смета.и.Акт'!HY146)</f>
        <v>0</v>
      </c>
      <c r="IG15">
        <f>SUM('1.Лок.смета.и.Акт'!HZ49:'1.Лок.смета.и.Акт'!HZ146)</f>
        <v>0</v>
      </c>
      <c r="IH15" t="e">
        <f>SUM('1.Лок.смета.и.Акт'!HL49:'1.Лок.смета.и.Акт'!HL146)</f>
        <v>#REF!</v>
      </c>
      <c r="II15" t="e">
        <f>SUM('1.Лок.смета.и.Акт'!HN49:'1.Лок.смета.и.Акт'!HN146)</f>
        <v>#REF!</v>
      </c>
      <c r="IJ15">
        <f>SUM('1.Лок.смета.и.Акт'!HP49:'1.Лок.смета.и.Акт'!HP146)</f>
        <v>170</v>
      </c>
      <c r="IK15">
        <f>SUM('1.Лок.смета.и.Акт'!HR49:'1.Лок.смета.и.Акт'!HR146)</f>
        <v>0</v>
      </c>
      <c r="IL15">
        <f>SUM('1.Лок.смета.и.Акт'!HT49:'1.Лок.смета.и.Акт'!HT146)</f>
        <v>0</v>
      </c>
      <c r="IM15">
        <f>SUM('1.Лок.смета.и.Акт'!HW49:'1.Лок.смета.и.Акт'!HW146)</f>
        <v>0</v>
      </c>
      <c r="IN15">
        <f>SUMIF('1.Лок.смета.и.Акт'!CV49:'1.Лок.смета.и.Акт'!CV146,1,'1.Лок.смета.и.Акт'!GY49:'1.Лок.смета.и.Акт'!GY146)</f>
        <v>3511</v>
      </c>
      <c r="IO15">
        <f>SUMIF('1.Лок.смета.и.Акт'!CV49:'1.Лок.смета.и.Акт'!CV146,2,'1.Лок.смета.и.Акт'!GY49:'1.Лок.смета.и.Акт'!GY146)</f>
        <v>0</v>
      </c>
      <c r="IP15">
        <f>SUMIF('1.Лок.смета.и.Акт'!CV49:'1.Лок.смета.и.Акт'!CV146,5,'1.Лок.смета.и.Акт'!GY49:'1.Лок.смета.и.Акт'!GY146)</f>
        <v>0</v>
      </c>
      <c r="IQ15">
        <f>SUMIF('1.Лок.смета.и.Акт'!CV49:'1.Лок.смета.и.Акт'!CV146,4,'1.Лок.смета.и.Акт'!GY49:'1.Лок.смета.и.Акт'!GY146)</f>
        <v>0</v>
      </c>
      <c r="IR15">
        <f>SUMIF('1.Лок.смета.и.Акт'!CV49:'1.Лок.смета.и.Акт'!CV146,1,'1.Лок.смета.и.Акт'!GZ49:'1.Лок.смета.и.Акт'!GZ146)</f>
        <v>2577</v>
      </c>
      <c r="IS15">
        <f>SUMIF('1.Лок.смета.и.Акт'!CV49:'1.Лок.смета.и.Акт'!CV146,2,'1.Лок.смета.и.Акт'!GZ49:'1.Лок.смета.и.Акт'!GZ146)</f>
        <v>0</v>
      </c>
      <c r="IT15">
        <f>SUMIF('1.Лок.смета.и.Акт'!CV49:'1.Лок.смета.и.Акт'!CV146,5,'1.Лок.смета.и.Акт'!GZ49:'1.Лок.смета.и.Акт'!GZ146)</f>
        <v>0</v>
      </c>
      <c r="IU15">
        <f>SUMIF('1.Лок.смета.и.Акт'!CV49:'1.Лок.смета.и.Акт'!CV146,4,'1.Лок.смета.и.Акт'!GZ49:'1.Лок.смета.и.Акт'!GZ146)</f>
        <v>0</v>
      </c>
    </row>
    <row r="16" spans="1:255" x14ac:dyDescent="0.2">
      <c r="A16">
        <v>4</v>
      </c>
      <c r="B16" t="s">
        <v>849</v>
      </c>
      <c r="D16" t="s">
        <v>930</v>
      </c>
      <c r="F16" t="s">
        <v>930</v>
      </c>
    </row>
    <row r="17" spans="1:255" x14ac:dyDescent="0.2">
      <c r="A17">
        <v>514</v>
      </c>
      <c r="B17" t="s">
        <v>849</v>
      </c>
      <c r="D17" t="s">
        <v>930</v>
      </c>
      <c r="F17" t="s">
        <v>930</v>
      </c>
      <c r="AY17">
        <f>SUM('1.Лок.смета.и.Акт'!AS214:'1.Лок.смета.и.Акт'!AS504)</f>
        <v>0</v>
      </c>
      <c r="AZ17">
        <f>SUM('1.Лок.смета.и.Акт'!AT214:'1.Лок.смета.и.Акт'!AT504)</f>
        <v>0</v>
      </c>
      <c r="BA17">
        <f>SUM('1.Лок.смета.и.Акт'!AU214:'1.Лок.смета.и.Акт'!AU504)</f>
        <v>0</v>
      </c>
      <c r="BB17">
        <f>SUM('1.Лок.смета.и.Акт'!AV214:'1.Лок.смета.и.Акт'!AV504)</f>
        <v>0</v>
      </c>
      <c r="BC17">
        <f>SUM('1.Лок.смета.и.Акт'!AW214:'1.Лок.смета.и.Акт'!AW504)</f>
        <v>0</v>
      </c>
      <c r="BD17">
        <f>SUM('1.Лок.смета.и.Акт'!AX214:'1.Лок.смета.и.Акт'!AX504)</f>
        <v>0</v>
      </c>
      <c r="CW17" t="e">
        <f>Source!DM282</f>
        <v>#REF!</v>
      </c>
      <c r="CX17" t="e">
        <f>Source!DN282</f>
        <v>#REF!</v>
      </c>
      <c r="CY17" t="e">
        <f>Source!DG282</f>
        <v>#REF!</v>
      </c>
      <c r="CZ17" t="e">
        <f>Source!DK282</f>
        <v>#REF!</v>
      </c>
      <c r="DA17" t="e">
        <f>Source!DI282</f>
        <v>#REF!</v>
      </c>
      <c r="DB17" t="e">
        <f>Source!DJ282</f>
        <v>#REF!</v>
      </c>
      <c r="DC17" t="e">
        <f>Source!DH282</f>
        <v>#REF!</v>
      </c>
      <c r="DD17">
        <f>Source!EG282</f>
        <v>0</v>
      </c>
      <c r="DE17" t="e">
        <f>Source!EN282</f>
        <v>#REF!</v>
      </c>
      <c r="DF17" t="e">
        <f>Source!EO282</f>
        <v>#REF!</v>
      </c>
      <c r="DG17">
        <f>Source!EP282</f>
        <v>0</v>
      </c>
      <c r="DH17" t="e">
        <f>Source!EQ282</f>
        <v>#REF!</v>
      </c>
      <c r="DI17">
        <f>Source!EH282</f>
        <v>0</v>
      </c>
      <c r="DJ17">
        <f>Source!EI282</f>
        <v>0</v>
      </c>
      <c r="DK17">
        <f>Source!ER282</f>
        <v>0</v>
      </c>
      <c r="DL17" t="e">
        <f>Source!DL282</f>
        <v>#REF!</v>
      </c>
      <c r="DM17" t="e">
        <f>Source!DO282</f>
        <v>#REF!</v>
      </c>
      <c r="DN17" t="e">
        <f>Source!DP282</f>
        <v>#REF!</v>
      </c>
      <c r="DO17" t="e">
        <f>Source!DQ282</f>
        <v>#REF!</v>
      </c>
      <c r="DP17" t="e">
        <f>Source!EJ282</f>
        <v>#REF!</v>
      </c>
      <c r="DQ17" t="e">
        <f>Source!EK282</f>
        <v>#REF!</v>
      </c>
      <c r="DR17" t="e">
        <f>Source!EL282</f>
        <v>#REF!</v>
      </c>
      <c r="DS17">
        <f>Source!EH282</f>
        <v>0</v>
      </c>
      <c r="DT17">
        <f>Source!EM282</f>
        <v>0</v>
      </c>
      <c r="DU17" t="e">
        <f>Source!EK282+Source!EL282</f>
        <v>#REF!</v>
      </c>
      <c r="DW17" t="e">
        <f>Source!ES282</f>
        <v>#REF!</v>
      </c>
      <c r="DX17">
        <f>Source!ET282</f>
        <v>0</v>
      </c>
      <c r="DY17">
        <f>Source!EU282</f>
        <v>0</v>
      </c>
      <c r="DZ17">
        <f>Source!EV282</f>
        <v>0</v>
      </c>
      <c r="ET17" t="e">
        <f>Source!DM282</f>
        <v>#REF!</v>
      </c>
      <c r="EU17" t="e">
        <f>Source!DN282</f>
        <v>#REF!</v>
      </c>
      <c r="EV17" t="e">
        <f>SUM('1.Лок.смета.и.Акт'!GJ214:'1.Лок.смета.и.Акт'!GJ504)</f>
        <v>#REF!</v>
      </c>
      <c r="EW17" t="e">
        <f>SUM('1.Лок.смета.и.Акт'!GK214:'1.Лок.смета.и.Акт'!GK504)</f>
        <v>#REF!</v>
      </c>
      <c r="EX17" t="e">
        <f>SUM('1.Лок.смета.и.Акт'!GL214:'1.Лок.смета.и.Акт'!GL504)</f>
        <v>#REF!</v>
      </c>
      <c r="EY17" t="e">
        <f>SUM('1.Лок.смета.и.Акт'!GM214:'1.Лок.смета.и.Акт'!GM504)</f>
        <v>#REF!</v>
      </c>
      <c r="EZ17" t="e">
        <f>SUM('1.Лок.смета.и.Акт'!GN214:'1.Лок.смета.и.Акт'!GN504)</f>
        <v>#REF!</v>
      </c>
      <c r="FA17">
        <f>SUM('1.Лок.смета.и.Акт'!GO214:'1.Лок.смета.и.Акт'!GO504)</f>
        <v>0</v>
      </c>
      <c r="FB17" t="e">
        <f>SUM('1.Лок.смета.и.Акт'!GP214:'1.Лок.смета.и.Акт'!GP504)</f>
        <v>#REF!</v>
      </c>
      <c r="FC17" t="e">
        <f>SUM('1.Лок.смета.и.Акт'!GQ214:'1.Лок.смета.и.Акт'!GQ504)</f>
        <v>#REF!</v>
      </c>
      <c r="FD17">
        <f>SUM('1.Лок.смета.и.Акт'!GR214:'1.Лок.смета.и.Акт'!GR504)</f>
        <v>0</v>
      </c>
      <c r="FE17" t="e">
        <f>SUM('1.Лок.смета.и.Акт'!GS214:'1.Лок.смета.и.Акт'!GS504)</f>
        <v>#REF!</v>
      </c>
      <c r="FF17">
        <f>SUM('1.Лок.смета.и.Акт'!GT214:'1.Лок.смета.и.Акт'!GT504)</f>
        <v>0</v>
      </c>
      <c r="FG17">
        <f>SUM('1.Лок.смета.и.Акт'!GU214:'1.Лок.смета.и.Акт'!GU504)</f>
        <v>0</v>
      </c>
      <c r="FH17">
        <f>SUM('1.Лок.смета.и.Акт'!GV214:'1.Лок.смета.и.Акт'!GV504)</f>
        <v>0</v>
      </c>
      <c r="FI17" t="e">
        <f>SUM('1.Лок.смета.и.Акт'!GW214:'1.Лок.смета.и.Акт'!GW504)</f>
        <v>#REF!</v>
      </c>
      <c r="FJ17" t="e">
        <f>SUM('1.Лок.смета.и.Акт'!GX214:'1.Лок.смета.и.Акт'!GX504)</f>
        <v>#REF!</v>
      </c>
      <c r="FK17" t="e">
        <f>SUM('1.Лок.смета.и.Акт'!GY214:'1.Лок.смета.и.Акт'!GY504)</f>
        <v>#REF!</v>
      </c>
      <c r="FL17" t="e">
        <f>SUM('1.Лок.смета.и.Акт'!GZ214:'1.Лок.смета.и.Акт'!GZ504)</f>
        <v>#REF!</v>
      </c>
      <c r="FM17" t="e">
        <f>SUM('1.Лок.смета.и.Акт'!HA214:'1.Лок.смета.и.Акт'!HA504)</f>
        <v>#REF!</v>
      </c>
      <c r="FN17" t="e">
        <f>SUM('1.Лок.смета.и.Акт'!HB214:'1.Лок.смета.и.Акт'!HB504)</f>
        <v>#REF!</v>
      </c>
      <c r="FO17" t="e">
        <f>SUM('1.Лок.смета.и.Акт'!HC214:'1.Лок.смета.и.Акт'!HC504)</f>
        <v>#REF!</v>
      </c>
      <c r="FP17">
        <f>SUM('1.Лок.смета.и.Акт'!HD214:'1.Лок.смета.и.Акт'!HD504)</f>
        <v>0</v>
      </c>
      <c r="FQ17">
        <f>SUM('1.Лок.смета.и.Акт'!HE214:'1.Лок.смета.и.Акт'!HE504)</f>
        <v>0</v>
      </c>
      <c r="FR17" t="e">
        <f>SUM('1.Лок.смета.и.Акт'!HB214:'1.Лок.смета.и.Акт'!HB504)+SUM('1.Лок.смета.и.Акт'!HC214:'1.Лок.смета.и.Акт'!HC504)</f>
        <v>#REF!</v>
      </c>
      <c r="FS17">
        <f>SUM('1.Лок.смета.и.Акт'!HG214:'1.Лок.смета.и.Акт'!HG504)</f>
        <v>0</v>
      </c>
      <c r="FT17">
        <f>SUM('1.Лок.смета.и.Акт'!HH214:'1.Лок.смета.и.Акт'!HH504)</f>
        <v>0</v>
      </c>
      <c r="FU17">
        <f>SUM('1.Лок.смета.и.Акт'!HI214:'1.Лок.смета.и.Акт'!HI504)</f>
        <v>0</v>
      </c>
      <c r="FV17">
        <f>SUM('1.Лок.смета.и.Акт'!HJ214:'1.Лок.смета.и.Акт'!HJ504)</f>
        <v>0</v>
      </c>
      <c r="FW17">
        <f>SUM('1.Лок.смета.и.Акт'!HK214:'1.Лок.смета.и.Акт'!HK504)</f>
        <v>0</v>
      </c>
      <c r="FX17" t="e">
        <f>SUMIF('1.Лок.смета.и.Акт'!CV214:'1.Лок.смета.и.Акт'!CV504,1,'1.Лок.смета.и.Акт'!GK214:'1.Лок.смета.и.Акт'!GK504)</f>
        <v>#REF!</v>
      </c>
      <c r="FY17">
        <f>SUMIF('1.Лок.смета.и.Акт'!CV214:'1.Лок.смета.и.Акт'!CV504,2,'1.Лок.смета.и.Акт'!GK214:'1.Лок.смета.и.Акт'!GK504)</f>
        <v>135</v>
      </c>
      <c r="FZ17">
        <f>SUMIF('1.Лок.смета.и.Акт'!CV214:'1.Лок.смета.и.Акт'!CV504,5,'1.Лок.смета.и.Акт'!GK214:'1.Лок.смета.и.Акт'!GK504)</f>
        <v>0</v>
      </c>
      <c r="GA17">
        <f>SUMIF('1.Лок.смета.и.Акт'!CV214:'1.Лок.смета.и.Акт'!CV504,4,'1.Лок.смета.и.Акт'!GK214:'1.Лок.смета.и.Акт'!GK504)</f>
        <v>0</v>
      </c>
      <c r="GB17" t="e">
        <f>SUMIF('1.Лок.смета.и.Акт'!CV214:'1.Лок.смета.и.Акт'!CV504,1,'1.Лок.смета.и.Акт'!GL214:'1.Лок.смета.и.Акт'!GL504)</f>
        <v>#REF!</v>
      </c>
      <c r="GC17">
        <f>SUMIF('1.Лок.смета.и.Акт'!CV214:'1.Лок.смета.и.Акт'!CV504,2,'1.Лок.смета.и.Акт'!GL214:'1.Лок.смета.и.Акт'!GL504)</f>
        <v>28</v>
      </c>
      <c r="GD17">
        <f>SUMIF('1.Лок.смета.и.Акт'!CV214:'1.Лок.смета.и.Акт'!CV504,4,'1.Лок.смета.и.Акт'!GL214:'1.Лок.смета.и.Акт'!GL504)</f>
        <v>0</v>
      </c>
      <c r="GE17" t="e">
        <f>SUMIF('1.Лок.смета.и.Акт'!CV214:'1.Лок.смета.и.Акт'!CV504,1,'1.Лок.смета.и.Акт'!GQ214:'1.Лок.смета.и.Акт'!GQ504)</f>
        <v>#REF!</v>
      </c>
      <c r="GF17" t="e">
        <f>SUMIF('1.Лок.смета.и.Акт'!CV214:'1.Лок.смета.и.Акт'!CV504,2,'1.Лок.смета.и.Акт'!GQ214:'1.Лок.смета.и.Акт'!GQ504)</f>
        <v>#REF!</v>
      </c>
      <c r="GG17">
        <f>SUMIF('1.Лок.смета.и.Акт'!CV214:'1.Лок.смета.и.Акт'!CV504,4,'1.Лок.смета.и.Акт'!GQ214:'1.Лок.смета.и.Акт'!GQ504)</f>
        <v>0</v>
      </c>
      <c r="IB17">
        <f>SUM('1.Лок.смета.и.Акт'!HO214:'1.Лок.смета.и.Акт'!HO504)</f>
        <v>0</v>
      </c>
      <c r="IC17">
        <f>SUM('1.Лок.смета.и.Акт'!HQ214:'1.Лок.смета.и.Акт'!HQ504)</f>
        <v>0</v>
      </c>
      <c r="ID17">
        <f>SUM('1.Лок.смета.и.Акт'!HS214:'1.Лок.смета.и.Акт'!HS504)</f>
        <v>0</v>
      </c>
      <c r="IE17">
        <f>SUM('1.Лок.смета.и.Акт'!HU214:'1.Лок.смета.и.Акт'!HU504)</f>
        <v>0</v>
      </c>
      <c r="IF17">
        <f>SUM('1.Лок.смета.и.Акт'!HY214:'1.Лок.смета.и.Акт'!HY504)</f>
        <v>0</v>
      </c>
      <c r="IG17">
        <f>SUM('1.Лок.смета.и.Акт'!HZ214:'1.Лок.смета.и.Акт'!HZ504)</f>
        <v>0</v>
      </c>
      <c r="IH17" t="e">
        <f>SUM('1.Лок.смета.и.Акт'!HL214:'1.Лок.смета.и.Акт'!HL504)</f>
        <v>#REF!</v>
      </c>
      <c r="II17" t="e">
        <f>SUM('1.Лок.смета.и.Акт'!HN214:'1.Лок.смета.и.Акт'!HN504)</f>
        <v>#REF!</v>
      </c>
      <c r="IJ17" t="e">
        <f>SUM('1.Лок.смета.и.Акт'!HP214:'1.Лок.смета.и.Акт'!HP504)</f>
        <v>#REF!</v>
      </c>
      <c r="IK17">
        <f>SUM('1.Лок.смета.и.Акт'!HR214:'1.Лок.смета.и.Акт'!HR504)</f>
        <v>0</v>
      </c>
      <c r="IL17">
        <f>SUM('1.Лок.смета.и.Акт'!HT214:'1.Лок.смета.и.Акт'!HT504)</f>
        <v>0</v>
      </c>
      <c r="IM17">
        <f>SUM('1.Лок.смета.и.Акт'!HW214:'1.Лок.смета.и.Акт'!HW504)</f>
        <v>0</v>
      </c>
      <c r="IN17" t="e">
        <f>SUMIF('1.Лок.смета.и.Акт'!CV214:'1.Лок.смета.и.Акт'!CV504,1,'1.Лок.смета.и.Акт'!GY214:'1.Лок.смета.и.Акт'!GY504)</f>
        <v>#REF!</v>
      </c>
      <c r="IO17">
        <f>SUMIF('1.Лок.смета.и.Акт'!CV214:'1.Лок.смета.и.Акт'!CV504,2,'1.Лок.смета.и.Акт'!GY214:'1.Лок.смета.и.Акт'!GY504)</f>
        <v>130</v>
      </c>
      <c r="IP17">
        <f>SUMIF('1.Лок.смета.и.Акт'!CV214:'1.Лок.смета.и.Акт'!CV504,5,'1.Лок.смета.и.Акт'!GY214:'1.Лок.смета.и.Акт'!GY504)</f>
        <v>0</v>
      </c>
      <c r="IQ17">
        <f>SUMIF('1.Лок.смета.и.Акт'!CV214:'1.Лок.смета.и.Акт'!CV504,4,'1.Лок.смета.и.Акт'!GY214:'1.Лок.смета.и.Акт'!GY504)</f>
        <v>0</v>
      </c>
      <c r="IR17" t="e">
        <f>SUMIF('1.Лок.смета.и.Акт'!CV214:'1.Лок.смета.и.Акт'!CV504,1,'1.Лок.смета.и.Акт'!GZ214:'1.Лок.смета.и.Акт'!GZ504)</f>
        <v>#REF!</v>
      </c>
      <c r="IS17">
        <f>SUMIF('1.Лок.смета.и.Акт'!CV214:'1.Лок.смета.и.Акт'!CV504,2,'1.Лок.смета.и.Акт'!GZ214:'1.Лок.смета.и.Акт'!GZ504)</f>
        <v>89</v>
      </c>
      <c r="IT17">
        <f>SUMIF('1.Лок.смета.и.Акт'!CV214:'1.Лок.смета.и.Акт'!CV504,5,'1.Лок.смета.и.Акт'!GZ214:'1.Лок.смета.и.Акт'!GZ504)</f>
        <v>0</v>
      </c>
      <c r="IU17">
        <f>SUMIF('1.Лок.смета.и.Акт'!CV214:'1.Лок.смета.и.Акт'!CV504,4,'1.Лок.смета.и.Акт'!GZ214:'1.Лок.смета.и.Акт'!GZ504)</f>
        <v>0</v>
      </c>
    </row>
    <row r="18" spans="1:255" x14ac:dyDescent="0.2">
      <c r="A18">
        <v>4</v>
      </c>
      <c r="B18" t="s">
        <v>849</v>
      </c>
      <c r="D18" t="s">
        <v>966</v>
      </c>
      <c r="F18" t="s">
        <v>966</v>
      </c>
    </row>
    <row r="19" spans="1:255" x14ac:dyDescent="0.2">
      <c r="A19">
        <v>514</v>
      </c>
      <c r="B19" t="s">
        <v>849</v>
      </c>
      <c r="D19" t="s">
        <v>966</v>
      </c>
      <c r="F19" t="s">
        <v>966</v>
      </c>
      <c r="AY19">
        <f>SUM('1.Лок.смета.и.Акт'!AS572:'1.Лок.смета.и.Акт'!AS755)</f>
        <v>0</v>
      </c>
      <c r="AZ19">
        <f>SUM('1.Лок.смета.и.Акт'!AT572:'1.Лок.смета.и.Акт'!AT755)</f>
        <v>0</v>
      </c>
      <c r="BA19">
        <f>SUM('1.Лок.смета.и.Акт'!AU572:'1.Лок.смета.и.Акт'!AU755)</f>
        <v>0</v>
      </c>
      <c r="BB19">
        <f>SUM('1.Лок.смета.и.Акт'!AV572:'1.Лок.смета.и.Акт'!AV755)</f>
        <v>0</v>
      </c>
      <c r="BC19">
        <f>SUM('1.Лок.смета.и.Акт'!AW572:'1.Лок.смета.и.Акт'!AW755)</f>
        <v>0</v>
      </c>
      <c r="BD19">
        <f>SUM('1.Лок.смета.и.Акт'!AX572:'1.Лок.смета.и.Акт'!AX755)</f>
        <v>0</v>
      </c>
      <c r="CW19" t="e">
        <f>Source!DM407</f>
        <v>#REF!</v>
      </c>
      <c r="CX19" t="e">
        <f>Source!DN407</f>
        <v>#REF!</v>
      </c>
      <c r="CY19" t="e">
        <f>Source!DG407</f>
        <v>#REF!</v>
      </c>
      <c r="CZ19" t="e">
        <f>Source!DK407</f>
        <v>#REF!</v>
      </c>
      <c r="DA19" t="e">
        <f>Source!DI407</f>
        <v>#REF!</v>
      </c>
      <c r="DB19" t="e">
        <f>Source!DJ407</f>
        <v>#REF!</v>
      </c>
      <c r="DC19" t="e">
        <f>Source!DH407</f>
        <v>#REF!</v>
      </c>
      <c r="DD19">
        <f>Source!EG407</f>
        <v>0</v>
      </c>
      <c r="DE19" t="e">
        <f>Source!EN407</f>
        <v>#REF!</v>
      </c>
      <c r="DF19" t="e">
        <f>Source!EO407</f>
        <v>#REF!</v>
      </c>
      <c r="DG19">
        <f>Source!EP407</f>
        <v>0</v>
      </c>
      <c r="DH19" t="e">
        <f>Source!EQ407</f>
        <v>#REF!</v>
      </c>
      <c r="DI19">
        <f>Source!EH407</f>
        <v>0</v>
      </c>
      <c r="DJ19">
        <f>Source!EI407</f>
        <v>0</v>
      </c>
      <c r="DK19">
        <f>Source!ER407</f>
        <v>0</v>
      </c>
      <c r="DL19" t="e">
        <f>Source!DL407</f>
        <v>#REF!</v>
      </c>
      <c r="DM19" t="e">
        <f>Source!DO407</f>
        <v>#REF!</v>
      </c>
      <c r="DN19" t="e">
        <f>Source!DP407</f>
        <v>#REF!</v>
      </c>
      <c r="DO19" t="e">
        <f>Source!DQ407</f>
        <v>#REF!</v>
      </c>
      <c r="DP19" t="e">
        <f>Source!EJ407</f>
        <v>#REF!</v>
      </c>
      <c r="DQ19" t="e">
        <f>Source!EK407</f>
        <v>#REF!</v>
      </c>
      <c r="DR19" t="e">
        <f>Source!EL407</f>
        <v>#REF!</v>
      </c>
      <c r="DS19">
        <f>Source!EH407</f>
        <v>0</v>
      </c>
      <c r="DT19">
        <f>Source!EM407</f>
        <v>0</v>
      </c>
      <c r="DU19" t="e">
        <f>Source!EK407+Source!EL407</f>
        <v>#REF!</v>
      </c>
      <c r="DW19" t="e">
        <f>Source!ES407</f>
        <v>#REF!</v>
      </c>
      <c r="DX19">
        <f>Source!ET407</f>
        <v>0</v>
      </c>
      <c r="DY19">
        <f>Source!EU407</f>
        <v>0</v>
      </c>
      <c r="DZ19">
        <f>Source!EV407</f>
        <v>0</v>
      </c>
      <c r="ET19" t="e">
        <f>Source!DM407</f>
        <v>#REF!</v>
      </c>
      <c r="EU19" t="e">
        <f>Source!DN407</f>
        <v>#REF!</v>
      </c>
      <c r="EV19" t="e">
        <f>SUM('1.Лок.смета.и.Акт'!GJ572:'1.Лок.смета.и.Акт'!GJ755)</f>
        <v>#REF!</v>
      </c>
      <c r="EW19" t="e">
        <f>SUM('1.Лок.смета.и.Акт'!GK572:'1.Лок.смета.и.Акт'!GK755)</f>
        <v>#REF!</v>
      </c>
      <c r="EX19" t="e">
        <f>SUM('1.Лок.смета.и.Акт'!GL572:'1.Лок.смета.и.Акт'!GL755)</f>
        <v>#REF!</v>
      </c>
      <c r="EY19" t="e">
        <f>SUM('1.Лок.смета.и.Акт'!GM572:'1.Лок.смета.и.Акт'!GM755)</f>
        <v>#REF!</v>
      </c>
      <c r="EZ19" t="e">
        <f>SUM('1.Лок.смета.и.Акт'!GN572:'1.Лок.смета.и.Акт'!GN755)</f>
        <v>#REF!</v>
      </c>
      <c r="FA19">
        <f>SUM('1.Лок.смета.и.Акт'!GO572:'1.Лок.смета.и.Акт'!GO755)</f>
        <v>0</v>
      </c>
      <c r="FB19" t="e">
        <f>SUM('1.Лок.смета.и.Акт'!GP572:'1.Лок.смета.и.Акт'!GP755)</f>
        <v>#REF!</v>
      </c>
      <c r="FC19" t="e">
        <f>SUM('1.Лок.смета.и.Акт'!GQ572:'1.Лок.смета.и.Акт'!GQ755)</f>
        <v>#REF!</v>
      </c>
      <c r="FD19">
        <f>SUM('1.Лок.смета.и.Акт'!GR572:'1.Лок.смета.и.Акт'!GR755)</f>
        <v>0</v>
      </c>
      <c r="FE19" t="e">
        <f>SUM('1.Лок.смета.и.Акт'!GS572:'1.Лок.смета.и.Акт'!GS755)</f>
        <v>#REF!</v>
      </c>
      <c r="FF19">
        <f>SUM('1.Лок.смета.и.Акт'!GT572:'1.Лок.смета.и.Акт'!GT755)</f>
        <v>0</v>
      </c>
      <c r="FG19">
        <f>SUM('1.Лок.смета.и.Акт'!GU572:'1.Лок.смета.и.Акт'!GU755)</f>
        <v>0</v>
      </c>
      <c r="FH19">
        <f>SUM('1.Лок.смета.и.Акт'!GV572:'1.Лок.смета.и.Акт'!GV755)</f>
        <v>0</v>
      </c>
      <c r="FI19" t="e">
        <f>SUM('1.Лок.смета.и.Акт'!GW572:'1.Лок.смета.и.Акт'!GW755)</f>
        <v>#REF!</v>
      </c>
      <c r="FJ19" t="e">
        <f>SUM('1.Лок.смета.и.Акт'!GX572:'1.Лок.смета.и.Акт'!GX755)</f>
        <v>#REF!</v>
      </c>
      <c r="FK19" t="e">
        <f>SUM('1.Лок.смета.и.Акт'!GY572:'1.Лок.смета.и.Акт'!GY755)</f>
        <v>#REF!</v>
      </c>
      <c r="FL19" t="e">
        <f>SUM('1.Лок.смета.и.Акт'!GZ572:'1.Лок.смета.и.Акт'!GZ755)</f>
        <v>#REF!</v>
      </c>
      <c r="FM19" t="e">
        <f>SUM('1.Лок.смета.и.Акт'!HA572:'1.Лок.смета.и.Акт'!HA755)</f>
        <v>#REF!</v>
      </c>
      <c r="FN19" t="e">
        <f>SUM('1.Лок.смета.и.Акт'!HB572:'1.Лок.смета.и.Акт'!HB755)</f>
        <v>#REF!</v>
      </c>
      <c r="FO19" t="e">
        <f>SUM('1.Лок.смета.и.Акт'!HC572:'1.Лок.смета.и.Акт'!HC755)</f>
        <v>#REF!</v>
      </c>
      <c r="FP19">
        <f>SUM('1.Лок.смета.и.Акт'!HD572:'1.Лок.смета.и.Акт'!HD755)</f>
        <v>0</v>
      </c>
      <c r="FQ19">
        <f>SUM('1.Лок.смета.и.Акт'!HE572:'1.Лок.смета.и.Акт'!HE755)</f>
        <v>0</v>
      </c>
      <c r="FR19" t="e">
        <f>SUM('1.Лок.смета.и.Акт'!HB572:'1.Лок.смета.и.Акт'!HB755)+SUM('1.Лок.смета.и.Акт'!HC572:'1.Лок.смета.и.Акт'!HC755)</f>
        <v>#REF!</v>
      </c>
      <c r="FS19">
        <f>SUM('1.Лок.смета.и.Акт'!HG572:'1.Лок.смета.и.Акт'!HG755)</f>
        <v>0</v>
      </c>
      <c r="FT19">
        <f>SUM('1.Лок.смета.и.Акт'!HH572:'1.Лок.смета.и.Акт'!HH755)</f>
        <v>0</v>
      </c>
      <c r="FU19">
        <f>SUM('1.Лок.смета.и.Акт'!HI572:'1.Лок.смета.и.Акт'!HI755)</f>
        <v>0</v>
      </c>
      <c r="FV19">
        <f>SUM('1.Лок.смета.и.Акт'!HJ572:'1.Лок.смета.и.Акт'!HJ755)</f>
        <v>0</v>
      </c>
      <c r="FW19">
        <f>SUM('1.Лок.смета.и.Акт'!HK572:'1.Лок.смета.и.Акт'!HK755)</f>
        <v>0</v>
      </c>
      <c r="FX19" t="e">
        <f>SUMIF('1.Лок.смета.и.Акт'!CV572:'1.Лок.смета.и.Акт'!CV755,1,'1.Лок.смета.и.Акт'!GK572:'1.Лок.смета.и.Акт'!GK755)</f>
        <v>#REF!</v>
      </c>
      <c r="FY19">
        <f>SUMIF('1.Лок.смета.и.Акт'!CV572:'1.Лок.смета.и.Акт'!CV755,2,'1.Лок.смета.и.Акт'!GK572:'1.Лок.смета.и.Акт'!GK755)</f>
        <v>98</v>
      </c>
      <c r="FZ19">
        <f>SUMIF('1.Лок.смета.и.Акт'!CV572:'1.Лок.смета.и.Акт'!CV755,5,'1.Лок.смета.и.Акт'!GK572:'1.Лок.смета.и.Акт'!GK755)</f>
        <v>0</v>
      </c>
      <c r="GA19">
        <f>SUMIF('1.Лок.смета.и.Акт'!CV572:'1.Лок.смета.и.Акт'!CV755,4,'1.Лок.смета.и.Акт'!GK572:'1.Лок.смета.и.Акт'!GK755)</f>
        <v>0</v>
      </c>
      <c r="GB19" t="e">
        <f>SUMIF('1.Лок.смета.и.Акт'!CV572:'1.Лок.смета.и.Акт'!CV755,1,'1.Лок.смета.и.Акт'!GL572:'1.Лок.смета.и.Акт'!GL755)</f>
        <v>#REF!</v>
      </c>
      <c r="GC19">
        <f>SUMIF('1.Лок.смета.и.Акт'!CV572:'1.Лок.смета.и.Акт'!CV755,2,'1.Лок.смета.и.Акт'!GL572:'1.Лок.смета.и.Акт'!GL755)</f>
        <v>16</v>
      </c>
      <c r="GD19">
        <f>SUMIF('1.Лок.смета.и.Акт'!CV572:'1.Лок.смета.и.Акт'!CV755,4,'1.Лок.смета.и.Акт'!GL572:'1.Лок.смета.и.Акт'!GL755)</f>
        <v>0</v>
      </c>
      <c r="GE19" t="e">
        <f>SUMIF('1.Лок.смета.и.Акт'!CV572:'1.Лок.смета.и.Акт'!CV755,1,'1.Лок.смета.и.Акт'!GQ572:'1.Лок.смета.и.Акт'!GQ755)</f>
        <v>#REF!</v>
      </c>
      <c r="GF19" t="e">
        <f>SUMIF('1.Лок.смета.и.Акт'!CV572:'1.Лок.смета.и.Акт'!CV755,2,'1.Лок.смета.и.Акт'!GQ572:'1.Лок.смета.и.Акт'!GQ755)</f>
        <v>#REF!</v>
      </c>
      <c r="GG19">
        <f>SUMIF('1.Лок.смета.и.Акт'!CV572:'1.Лок.смета.и.Акт'!CV755,4,'1.Лок.смета.и.Акт'!GQ572:'1.Лок.смета.и.Акт'!GQ755)</f>
        <v>0</v>
      </c>
      <c r="IB19">
        <f>SUM('1.Лок.смета.и.Акт'!HO572:'1.Лок.смета.и.Акт'!HO755)</f>
        <v>0</v>
      </c>
      <c r="IC19">
        <f>SUM('1.Лок.смета.и.Акт'!HQ572:'1.Лок.смета.и.Акт'!HQ755)</f>
        <v>0</v>
      </c>
      <c r="ID19">
        <f>SUM('1.Лок.смета.и.Акт'!HS572:'1.Лок.смета.и.Акт'!HS755)</f>
        <v>0</v>
      </c>
      <c r="IE19">
        <f>SUM('1.Лок.смета.и.Акт'!HU572:'1.Лок.смета.и.Акт'!HU755)</f>
        <v>0</v>
      </c>
      <c r="IF19">
        <f>SUM('1.Лок.смета.и.Акт'!HY572:'1.Лок.смета.и.Акт'!HY755)</f>
        <v>0</v>
      </c>
      <c r="IG19">
        <f>SUM('1.Лок.смета.и.Акт'!HZ572:'1.Лок.смета.и.Акт'!HZ755)</f>
        <v>0</v>
      </c>
      <c r="IH19" t="e">
        <f>SUM('1.Лок.смета.и.Акт'!HL572:'1.Лок.смета.и.Акт'!HL755)</f>
        <v>#REF!</v>
      </c>
      <c r="II19" t="e">
        <f>SUM('1.Лок.смета.и.Акт'!HN572:'1.Лок.смета.и.Акт'!HN755)</f>
        <v>#REF!</v>
      </c>
      <c r="IJ19" t="e">
        <f>SUM('1.Лок.смета.и.Акт'!HP572:'1.Лок.смета.и.Акт'!HP755)</f>
        <v>#REF!</v>
      </c>
      <c r="IK19">
        <f>SUM('1.Лок.смета.и.Акт'!HR572:'1.Лок.смета.и.Акт'!HR755)</f>
        <v>0</v>
      </c>
      <c r="IL19">
        <f>SUM('1.Лок.смета.и.Акт'!HT572:'1.Лок.смета.и.Акт'!HT755)</f>
        <v>0</v>
      </c>
      <c r="IM19">
        <f>SUM('1.Лок.смета.и.Акт'!HW572:'1.Лок.смета.и.Акт'!HW755)</f>
        <v>0</v>
      </c>
      <c r="IN19" t="e">
        <f>SUMIF('1.Лок.смета.и.Акт'!CV572:'1.Лок.смета.и.Акт'!CV755,1,'1.Лок.смета.и.Акт'!GY572:'1.Лок.смета.и.Акт'!GY755)</f>
        <v>#REF!</v>
      </c>
      <c r="IO19">
        <f>SUMIF('1.Лок.смета.и.Акт'!CV572:'1.Лок.смета.и.Акт'!CV755,2,'1.Лок.смета.и.Акт'!GY572:'1.Лок.смета.и.Акт'!GY755)</f>
        <v>94</v>
      </c>
      <c r="IP19">
        <f>SUMIF('1.Лок.смета.и.Акт'!CV572:'1.Лок.смета.и.Акт'!CV755,5,'1.Лок.смета.и.Акт'!GY572:'1.Лок.смета.и.Акт'!GY755)</f>
        <v>0</v>
      </c>
      <c r="IQ19">
        <f>SUMIF('1.Лок.смета.и.Акт'!CV572:'1.Лок.смета.и.Акт'!CV755,4,'1.Лок.смета.и.Акт'!GY572:'1.Лок.смета.и.Акт'!GY755)</f>
        <v>0</v>
      </c>
      <c r="IR19" t="e">
        <f>SUMIF('1.Лок.смета.и.Акт'!CV572:'1.Лок.смета.и.Акт'!CV755,1,'1.Лок.смета.и.Акт'!GZ572:'1.Лок.смета.и.Акт'!GZ755)</f>
        <v>#REF!</v>
      </c>
      <c r="IS19">
        <f>SUMIF('1.Лок.смета.и.Акт'!CV572:'1.Лок.смета.и.Акт'!CV755,2,'1.Лок.смета.и.Акт'!GZ572:'1.Лок.смета.и.Акт'!GZ755)</f>
        <v>64</v>
      </c>
      <c r="IT19">
        <f>SUMIF('1.Лок.смета.и.Акт'!CV572:'1.Лок.смета.и.Акт'!CV755,5,'1.Лок.смета.и.Акт'!GZ572:'1.Лок.смета.и.Акт'!GZ755)</f>
        <v>0</v>
      </c>
      <c r="IU19">
        <f>SUMIF('1.Лок.смета.и.Акт'!CV572:'1.Лок.смета.и.Акт'!CV755,4,'1.Лок.смета.и.Акт'!GZ572:'1.Лок.смета.и.Акт'!GZ755)</f>
        <v>0</v>
      </c>
    </row>
    <row r="20" spans="1:255" x14ac:dyDescent="0.2">
      <c r="A20">
        <v>513</v>
      </c>
      <c r="B20" t="s">
        <v>988</v>
      </c>
      <c r="D20" t="s">
        <v>847</v>
      </c>
      <c r="F20" t="s">
        <v>848</v>
      </c>
      <c r="AY20">
        <f>SUM('1.Лок.смета.и.Акт'!AS47:'1.Лок.смета.и.Акт'!AS820)</f>
        <v>0</v>
      </c>
      <c r="AZ20">
        <f>SUM('1.Лок.смета.и.Акт'!AT47:'1.Лок.смета.и.Акт'!AT820)</f>
        <v>0</v>
      </c>
      <c r="BA20">
        <f>SUM('1.Лок.смета.и.Акт'!AU47:'1.Лок.смета.и.Акт'!AU820)</f>
        <v>0</v>
      </c>
      <c r="BB20">
        <f>SUM('1.Лок.смета.и.Акт'!AV47:'1.Лок.смета.и.Акт'!AV820)</f>
        <v>0</v>
      </c>
      <c r="BC20">
        <f>SUM('1.Лок.смета.и.Акт'!AW47:'1.Лок.смета.и.Акт'!AW820)</f>
        <v>0</v>
      </c>
      <c r="BD20">
        <f>SUM('1.Лок.смета.и.Акт'!AX47:'1.Лок.смета.и.Акт'!AX820)</f>
        <v>0</v>
      </c>
      <c r="CW20" t="e">
        <f>Source!DM437</f>
        <v>#REF!</v>
      </c>
      <c r="CX20" t="e">
        <f>Source!DN437</f>
        <v>#REF!</v>
      </c>
      <c r="CY20" t="e">
        <f>Source!DG437</f>
        <v>#REF!</v>
      </c>
      <c r="CZ20" t="e">
        <f>Source!DK437</f>
        <v>#REF!</v>
      </c>
      <c r="DA20" t="e">
        <f>Source!DI437</f>
        <v>#REF!</v>
      </c>
      <c r="DB20" t="e">
        <f>Source!DJ437</f>
        <v>#REF!</v>
      </c>
      <c r="DC20" t="e">
        <f>Source!DH437</f>
        <v>#REF!</v>
      </c>
      <c r="DD20">
        <f>Source!EG437</f>
        <v>0</v>
      </c>
      <c r="DE20" t="e">
        <f>Source!EN437</f>
        <v>#REF!</v>
      </c>
      <c r="DF20" t="e">
        <f>Source!EO437</f>
        <v>#REF!</v>
      </c>
      <c r="DG20">
        <f>Source!EP437</f>
        <v>0</v>
      </c>
      <c r="DH20" t="e">
        <f>Source!EQ437</f>
        <v>#REF!</v>
      </c>
      <c r="DI20">
        <f>Source!EH437</f>
        <v>0</v>
      </c>
      <c r="DJ20">
        <f>Source!EI437</f>
        <v>0</v>
      </c>
      <c r="DK20">
        <f>Source!ER437</f>
        <v>0</v>
      </c>
      <c r="DL20" t="e">
        <f>Source!DL437</f>
        <v>#REF!</v>
      </c>
      <c r="DM20" t="e">
        <f>Source!DO437</f>
        <v>#REF!</v>
      </c>
      <c r="DN20" t="e">
        <f>Source!DP437</f>
        <v>#REF!</v>
      </c>
      <c r="DO20" t="e">
        <f>Source!DQ437</f>
        <v>#REF!</v>
      </c>
      <c r="DP20" t="e">
        <f>Source!EJ437</f>
        <v>#REF!</v>
      </c>
      <c r="DQ20" t="e">
        <f>Source!EK437</f>
        <v>#REF!</v>
      </c>
      <c r="DR20" t="e">
        <f>Source!EL437</f>
        <v>#REF!</v>
      </c>
      <c r="DS20">
        <f>Source!EH437</f>
        <v>0</v>
      </c>
      <c r="DT20">
        <f>Source!EM437</f>
        <v>0</v>
      </c>
      <c r="DU20" t="e">
        <f>Source!EK437+Source!EL437</f>
        <v>#REF!</v>
      </c>
      <c r="DW20" t="e">
        <f>Source!ES437</f>
        <v>#REF!</v>
      </c>
      <c r="DX20">
        <f>Source!ET437</f>
        <v>0</v>
      </c>
      <c r="DY20">
        <f>Source!EU437</f>
        <v>0</v>
      </c>
      <c r="DZ20">
        <f>Source!EV437</f>
        <v>0</v>
      </c>
      <c r="ET20" t="e">
        <f>Source!DM437</f>
        <v>#REF!</v>
      </c>
      <c r="EU20" t="e">
        <f>Source!DN437</f>
        <v>#REF!</v>
      </c>
      <c r="EV20" t="e">
        <f>SUM('1.Лок.смета.и.Акт'!GJ47:'1.Лок.смета.и.Акт'!GJ820)</f>
        <v>#REF!</v>
      </c>
      <c r="EW20" t="e">
        <f>SUM('1.Лок.смета.и.Акт'!GK47:'1.Лок.смета.и.Акт'!GK820)</f>
        <v>#REF!</v>
      </c>
      <c r="EX20" t="e">
        <f>SUM('1.Лок.смета.и.Акт'!GL47:'1.Лок.смета.и.Акт'!GL820)</f>
        <v>#REF!</v>
      </c>
      <c r="EY20" t="e">
        <f>SUM('1.Лок.смета.и.Акт'!GM47:'1.Лок.смета.и.Акт'!GM820)</f>
        <v>#REF!</v>
      </c>
      <c r="EZ20" t="e">
        <f>SUM('1.Лок.смета.и.Акт'!GN47:'1.Лок.смета.и.Акт'!GN820)</f>
        <v>#REF!</v>
      </c>
      <c r="FA20">
        <f>SUM('1.Лок.смета.и.Акт'!GO47:'1.Лок.смета.и.Акт'!GO820)</f>
        <v>0</v>
      </c>
      <c r="FB20" t="e">
        <f>SUM('1.Лок.смета.и.Акт'!GP47:'1.Лок.смета.и.Акт'!GP820)</f>
        <v>#REF!</v>
      </c>
      <c r="FC20" t="e">
        <f>SUM('1.Лок.смета.и.Акт'!GQ47:'1.Лок.смета.и.Акт'!GQ820)</f>
        <v>#REF!</v>
      </c>
      <c r="FD20">
        <f>SUM('1.Лок.смета.и.Акт'!GR47:'1.Лок.смета.и.Акт'!GR820)</f>
        <v>0</v>
      </c>
      <c r="FE20" t="e">
        <f>SUM('1.Лок.смета.и.Акт'!GS47:'1.Лок.смета.и.Акт'!GS820)</f>
        <v>#REF!</v>
      </c>
      <c r="FF20">
        <f>SUM('1.Лок.смета.и.Акт'!GT47:'1.Лок.смета.и.Акт'!GT820)</f>
        <v>0</v>
      </c>
      <c r="FG20">
        <f>SUM('1.Лок.смета.и.Акт'!GU47:'1.Лок.смета.и.Акт'!GU820)</f>
        <v>0</v>
      </c>
      <c r="FH20">
        <f>SUM('1.Лок.смета.и.Акт'!GV47:'1.Лок.смета.и.Акт'!GV820)</f>
        <v>0</v>
      </c>
      <c r="FI20" t="e">
        <f>SUM('1.Лок.смета.и.Акт'!GW47:'1.Лок.смета.и.Акт'!GW820)</f>
        <v>#REF!</v>
      </c>
      <c r="FJ20" t="e">
        <f>SUM('1.Лок.смета.и.Акт'!GX47:'1.Лок.смета.и.Акт'!GX820)</f>
        <v>#REF!</v>
      </c>
      <c r="FK20" t="e">
        <f>SUM('1.Лок.смета.и.Акт'!GY47:'1.Лок.смета.и.Акт'!GY820)</f>
        <v>#REF!</v>
      </c>
      <c r="FL20" t="e">
        <f>SUM('1.Лок.смета.и.Акт'!GZ47:'1.Лок.смета.и.Акт'!GZ820)</f>
        <v>#REF!</v>
      </c>
      <c r="FM20" t="e">
        <f>SUM('1.Лок.смета.и.Акт'!HA47:'1.Лок.смета.и.Акт'!HA820)</f>
        <v>#REF!</v>
      </c>
      <c r="FN20" t="e">
        <f>SUM('1.Лок.смета.и.Акт'!HB47:'1.Лок.смета.и.Акт'!HB820)</f>
        <v>#REF!</v>
      </c>
      <c r="FO20" t="e">
        <f>SUM('1.Лок.смета.и.Акт'!HC47:'1.Лок.смета.и.Акт'!HC820)</f>
        <v>#REF!</v>
      </c>
      <c r="FP20">
        <f>SUM('1.Лок.смета.и.Акт'!HD47:'1.Лок.смета.и.Акт'!HD820)</f>
        <v>0</v>
      </c>
      <c r="FQ20">
        <f>SUM('1.Лок.смета.и.Акт'!HE47:'1.Лок.смета.и.Акт'!HE820)</f>
        <v>0</v>
      </c>
      <c r="FR20" t="e">
        <f>SUM('1.Лок.смета.и.Акт'!HB47:'1.Лок.смета.и.Акт'!HB820)+SUM('1.Лок.смета.и.Акт'!HC47:'1.Лок.смета.и.Акт'!HC820)</f>
        <v>#REF!</v>
      </c>
      <c r="FS20">
        <f>SUM('1.Лок.смета.и.Акт'!HG47:'1.Лок.смета.и.Акт'!HG820)</f>
        <v>0</v>
      </c>
      <c r="FT20">
        <f>SUM('1.Лок.смета.и.Акт'!HH47:'1.Лок.смета.и.Акт'!HH820)</f>
        <v>0</v>
      </c>
      <c r="FU20">
        <f>SUM('1.Лок.смета.и.Акт'!HI47:'1.Лок.смета.и.Акт'!HI820)</f>
        <v>0</v>
      </c>
      <c r="FV20">
        <f>SUM('1.Лок.смета.и.Акт'!HJ47:'1.Лок.смета.и.Акт'!HJ820)</f>
        <v>0</v>
      </c>
      <c r="FW20">
        <f>SUM('1.Лок.смета.и.Акт'!HK47:'1.Лок.смета.и.Акт'!HK820)</f>
        <v>0</v>
      </c>
      <c r="FX20" t="e">
        <f>SUMIF('1.Лок.смета.и.Акт'!CV47:'1.Лок.смета.и.Акт'!CV820,1,'1.Лок.смета.и.Акт'!GK47:'1.Лок.смета.и.Акт'!GK820)</f>
        <v>#REF!</v>
      </c>
      <c r="FY20">
        <f>SUMIF('1.Лок.смета.и.Акт'!CV47:'1.Лок.смета.и.Акт'!CV820,2,'1.Лок.смета.и.Акт'!GK47:'1.Лок.смета.и.Акт'!GK820)</f>
        <v>233</v>
      </c>
      <c r="FZ20">
        <f>SUMIF('1.Лок.смета.и.Акт'!CV47:'1.Лок.смета.и.Акт'!CV820,5,'1.Лок.смета.и.Акт'!GK47:'1.Лок.смета.и.Акт'!GK820)</f>
        <v>0</v>
      </c>
      <c r="GA20">
        <f>SUMIF('1.Лок.смета.и.Акт'!CV47:'1.Лок.смета.и.Акт'!CV820,4,'1.Лок.смета.и.Акт'!GK47:'1.Лок.смета.и.Акт'!GK820)</f>
        <v>0</v>
      </c>
      <c r="GB20" t="e">
        <f>SUMIF('1.Лок.смета.и.Акт'!CV47:'1.Лок.смета.и.Акт'!CV820,1,'1.Лок.смета.и.Акт'!GL47:'1.Лок.смета.и.Акт'!GL820)</f>
        <v>#REF!</v>
      </c>
      <c r="GC20">
        <f>SUMIF('1.Лок.смета.и.Акт'!CV47:'1.Лок.смета.и.Акт'!CV820,2,'1.Лок.смета.и.Акт'!GL47:'1.Лок.смета.и.Акт'!GL820)</f>
        <v>44</v>
      </c>
      <c r="GD20">
        <f>SUMIF('1.Лок.смета.и.Акт'!CV47:'1.Лок.смета.и.Акт'!CV820,4,'1.Лок.смета.и.Акт'!GL47:'1.Лок.смета.и.Акт'!GL820)</f>
        <v>0</v>
      </c>
      <c r="GE20" t="e">
        <f>SUMIF('1.Лок.смета.и.Акт'!CV47:'1.Лок.смета.и.Акт'!CV820,1,'1.Лок.смета.и.Акт'!GQ47:'1.Лок.смета.и.Акт'!GQ820)</f>
        <v>#REF!</v>
      </c>
      <c r="GF20" t="e">
        <f>SUMIF('1.Лок.смета.и.Акт'!CV47:'1.Лок.смета.и.Акт'!CV820,2,'1.Лок.смета.и.Акт'!GQ47:'1.Лок.смета.и.Акт'!GQ820)</f>
        <v>#REF!</v>
      </c>
      <c r="GG20">
        <f>SUMIF('1.Лок.смета.и.Акт'!CV47:'1.Лок.смета.и.Акт'!CV820,4,'1.Лок.смета.и.Акт'!GQ47:'1.Лок.смета.и.Акт'!GQ820)</f>
        <v>0</v>
      </c>
      <c r="IB20">
        <f>SUM('1.Лок.смета.и.Акт'!HO47:'1.Лок.смета.и.Акт'!HO820)</f>
        <v>0</v>
      </c>
      <c r="IC20">
        <f>SUM('1.Лок.смета.и.Акт'!HQ47:'1.Лок.смета.и.Акт'!HQ820)</f>
        <v>0</v>
      </c>
      <c r="ID20">
        <f>SUM('1.Лок.смета.и.Акт'!HS47:'1.Лок.смета.и.Акт'!HS820)</f>
        <v>0</v>
      </c>
      <c r="IE20">
        <f>SUM('1.Лок.смета.и.Акт'!HU47:'1.Лок.смета.и.Акт'!HU820)</f>
        <v>0</v>
      </c>
      <c r="IF20">
        <f>SUM('1.Лок.смета.и.Акт'!HY47:'1.Лок.смета.и.Акт'!HY820)</f>
        <v>0</v>
      </c>
      <c r="IG20">
        <f>SUM('1.Лок.смета.и.Акт'!HZ47:'1.Лок.смета.и.Акт'!HZ820)</f>
        <v>0</v>
      </c>
      <c r="IH20" t="e">
        <f>SUM('1.Лок.смета.и.Акт'!HL47:'1.Лок.смета.и.Акт'!HL820)</f>
        <v>#REF!</v>
      </c>
      <c r="II20" t="e">
        <f>SUM('1.Лок.смета.и.Акт'!HN47:'1.Лок.смета.и.Акт'!HN820)</f>
        <v>#REF!</v>
      </c>
      <c r="IJ20" t="e">
        <f>SUM('1.Лок.смета.и.Акт'!HP47:'1.Лок.смета.и.Акт'!HP820)</f>
        <v>#REF!</v>
      </c>
      <c r="IK20">
        <f>SUM('1.Лок.смета.и.Акт'!HR47:'1.Лок.смета.и.Акт'!HR820)</f>
        <v>0</v>
      </c>
      <c r="IL20">
        <f>SUM('1.Лок.смета.и.Акт'!HT47:'1.Лок.смета.и.Акт'!HT820)</f>
        <v>0</v>
      </c>
      <c r="IM20">
        <f>SUM('1.Лок.смета.и.Акт'!HW47:'1.Лок.смета.и.Акт'!HW820)</f>
        <v>0</v>
      </c>
      <c r="IN20" t="e">
        <f>SUMIF('1.Лок.смета.и.Акт'!CV47:'1.Лок.смета.и.Акт'!CV820,1,'1.Лок.смета.и.Акт'!GY47:'1.Лок.смета.и.Акт'!GY820)</f>
        <v>#REF!</v>
      </c>
      <c r="IO20">
        <f>SUMIF('1.Лок.смета.и.Акт'!CV47:'1.Лок.смета.и.Акт'!CV820,2,'1.Лок.смета.и.Акт'!GY47:'1.Лок.смета.и.Акт'!GY820)</f>
        <v>224</v>
      </c>
      <c r="IP20">
        <f>SUMIF('1.Лок.смета.и.Акт'!CV47:'1.Лок.смета.и.Акт'!CV820,5,'1.Лок.смета.и.Акт'!GY47:'1.Лок.смета.и.Акт'!GY820)</f>
        <v>0</v>
      </c>
      <c r="IQ20">
        <f>SUMIF('1.Лок.смета.и.Акт'!CV47:'1.Лок.смета.и.Акт'!CV820,4,'1.Лок.смета.и.Акт'!GY47:'1.Лок.смета.и.Акт'!GY820)</f>
        <v>0</v>
      </c>
      <c r="IR20" t="e">
        <f>SUMIF('1.Лок.смета.и.Акт'!CV47:'1.Лок.смета.и.Акт'!CV820,1,'1.Лок.смета.и.Акт'!GZ47:'1.Лок.смета.и.Акт'!GZ820)</f>
        <v>#REF!</v>
      </c>
      <c r="IS20">
        <f>SUMIF('1.Лок.смета.и.Акт'!CV47:'1.Лок.смета.и.Акт'!CV820,2,'1.Лок.смета.и.Акт'!GZ47:'1.Лок.смета.и.Акт'!GZ820)</f>
        <v>153</v>
      </c>
      <c r="IT20">
        <f>SUMIF('1.Лок.смета.и.Акт'!CV47:'1.Лок.смета.и.Акт'!CV820,5,'1.Лок.смета.и.Акт'!GZ47:'1.Лок.смета.и.Акт'!GZ820)</f>
        <v>0</v>
      </c>
      <c r="IU20">
        <f>SUMIF('1.Лок.смета.и.Акт'!CV47:'1.Лок.смета.и.Акт'!CV820,4,'1.Лок.смета.и.Акт'!GZ47:'1.Лок.смета.и.Акт'!GZ820)</f>
        <v>0</v>
      </c>
    </row>
    <row r="21" spans="1:255" x14ac:dyDescent="0.2">
      <c r="A21">
        <v>999</v>
      </c>
      <c r="B21" t="s">
        <v>1006</v>
      </c>
    </row>
    <row r="147" spans="57:68" x14ac:dyDescent="0.2">
      <c r="BE147">
        <f>SUMIF('1.Лок.смета.и.Акт'!CV49:'1.Лок.смета.и.Акт'!CV146,1,'1.Лок.смета.и.Акт'!AV49:'1.Лок.смета.и.Акт'!AV146)</f>
        <v>0</v>
      </c>
      <c r="BF147">
        <f>SUMIF('1.Лок.смета.и.Акт'!CV49:'1.Лок.смета.и.Акт'!CV146,2,'1.Лок.смета.и.Акт'!AV49:'1.Лок.смета.и.Акт'!AV146)</f>
        <v>0</v>
      </c>
      <c r="BG147">
        <f>SUMIF('1.Лок.смета.и.Акт'!CV49:'1.Лок.смета.и.Акт'!CV146,5,'1.Лок.смета.и.Акт'!AV49:'1.Лок.смета.и.Акт'!AV146)</f>
        <v>0</v>
      </c>
      <c r="BH147">
        <f>SUMIF('1.Лок.смета.и.Акт'!CV49:'1.Лок.смета.и.Акт'!CV146,4,'1.Лок.смета.и.Акт'!AV49:'1.Лок.смета.и.Акт'!AV146)</f>
        <v>0</v>
      </c>
      <c r="BI147">
        <f>SUMIF('1.Лок.смета.и.Акт'!CV49:'1.Лок.смета.и.Акт'!CV146,1,'1.Лок.смета.и.Акт'!AW49:'1.Лок.смета.и.Акт'!AW146)</f>
        <v>0</v>
      </c>
      <c r="BJ147">
        <f>SUMIF('1.Лок.смета.и.Акт'!CV49:'1.Лок.смета.и.Акт'!CV146,2,'1.Лок.смета.и.Акт'!AW49:'1.Лок.смета.и.Акт'!AW146)</f>
        <v>0</v>
      </c>
      <c r="BK147">
        <f>SUMIF('1.Лок.смета.и.Акт'!CV49:'1.Лок.смета.и.Акт'!CV146,5,'1.Лок.смета.и.Акт'!AW49:'1.Лок.смета.и.Акт'!AW146)</f>
        <v>0</v>
      </c>
      <c r="BL147">
        <f>SUMIF('1.Лок.смета.и.Акт'!CV49:'1.Лок.смета.и.Акт'!CV146,4,'1.Лок.смета.и.Акт'!AW49:'1.Лок.смета.и.Акт'!AW146)</f>
        <v>0</v>
      </c>
      <c r="BM147">
        <f>SUMIF('1.Лок.смета.и.Акт'!CV49:'1.Лок.смета.и.Акт'!CV146,1,'1.Лок.смета.и.Акт'!AX49:'1.Лок.смета.и.Акт'!AX146)</f>
        <v>0</v>
      </c>
      <c r="BN147">
        <f>SUMIF('1.Лок.смета.и.Акт'!CV49:'1.Лок.смета.и.Акт'!CV146,2,'1.Лок.смета.и.Акт'!AX49:'1.Лок.смета.и.Акт'!AX146)</f>
        <v>0</v>
      </c>
      <c r="BO147">
        <f>SUMIF('1.Лок.смета.и.Акт'!CV49:'1.Лок.смета.и.Акт'!CV146,5,'1.Лок.смета.и.Акт'!AX49:'1.Лок.смета.и.Акт'!AX146)</f>
        <v>0</v>
      </c>
      <c r="BP147">
        <f>SUMIF('1.Лок.смета.и.Акт'!CV49:'1.Лок.смета.и.Акт'!CV146,4,'1.Лок.смета.и.Акт'!AX49:'1.Лок.смета.и.Акт'!AX146)</f>
        <v>0</v>
      </c>
    </row>
    <row r="505" spans="57:68" x14ac:dyDescent="0.2">
      <c r="BE505">
        <f>SUMIF('1.Лок.смета.и.Акт'!CV214:'1.Лок.смета.и.Акт'!CV504,1,'1.Лок.смета.и.Акт'!AV214:'1.Лок.смета.и.Акт'!AV504)</f>
        <v>0</v>
      </c>
      <c r="BF505">
        <f>SUMIF('1.Лок.смета.и.Акт'!CV214:'1.Лок.смета.и.Акт'!CV504,2,'1.Лок.смета.и.Акт'!AV214:'1.Лок.смета.и.Акт'!AV504)</f>
        <v>0</v>
      </c>
      <c r="BG505">
        <f>SUMIF('1.Лок.смета.и.Акт'!CV214:'1.Лок.смета.и.Акт'!CV504,5,'1.Лок.смета.и.Акт'!AV214:'1.Лок.смета.и.Акт'!AV504)</f>
        <v>0</v>
      </c>
      <c r="BH505">
        <f>SUMIF('1.Лок.смета.и.Акт'!CV214:'1.Лок.смета.и.Акт'!CV504,4,'1.Лок.смета.и.Акт'!AV214:'1.Лок.смета.и.Акт'!AV504)</f>
        <v>0</v>
      </c>
      <c r="BI505">
        <f>SUMIF('1.Лок.смета.и.Акт'!CV214:'1.Лок.смета.и.Акт'!CV504,1,'1.Лок.смета.и.Акт'!AW214:'1.Лок.смета.и.Акт'!AW504)</f>
        <v>0</v>
      </c>
      <c r="BJ505">
        <f>SUMIF('1.Лок.смета.и.Акт'!CV214:'1.Лок.смета.и.Акт'!CV504,2,'1.Лок.смета.и.Акт'!AW214:'1.Лок.смета.и.Акт'!AW504)</f>
        <v>0</v>
      </c>
      <c r="BK505">
        <f>SUMIF('1.Лок.смета.и.Акт'!CV214:'1.Лок.смета.и.Акт'!CV504,5,'1.Лок.смета.и.Акт'!AW214:'1.Лок.смета.и.Акт'!AW504)</f>
        <v>0</v>
      </c>
      <c r="BL505">
        <f>SUMIF('1.Лок.смета.и.Акт'!CV214:'1.Лок.смета.и.Акт'!CV504,4,'1.Лок.смета.и.Акт'!AW214:'1.Лок.смета.и.Акт'!AW504)</f>
        <v>0</v>
      </c>
      <c r="BM505">
        <f>SUMIF('1.Лок.смета.и.Акт'!CV214:'1.Лок.смета.и.Акт'!CV504,1,'1.Лок.смета.и.Акт'!AX214:'1.Лок.смета.и.Акт'!AX504)</f>
        <v>0</v>
      </c>
      <c r="BN505">
        <f>SUMIF('1.Лок.смета.и.Акт'!CV214:'1.Лок.смета.и.Акт'!CV504,2,'1.Лок.смета.и.Акт'!AX214:'1.Лок.смета.и.Акт'!AX504)</f>
        <v>0</v>
      </c>
      <c r="BO505">
        <f>SUMIF('1.Лок.смета.и.Акт'!CV214:'1.Лок.смета.и.Акт'!CV504,5,'1.Лок.смета.и.Акт'!AX214:'1.Лок.смета.и.Акт'!AX504)</f>
        <v>0</v>
      </c>
      <c r="BP505">
        <f>SUMIF('1.Лок.смета.и.Акт'!CV214:'1.Лок.смета.и.Акт'!CV504,4,'1.Лок.смета.и.Акт'!AX214:'1.Лок.смета.и.Акт'!AX504)</f>
        <v>0</v>
      </c>
    </row>
    <row r="756" spans="57:68" x14ac:dyDescent="0.2">
      <c r="BE756">
        <f>SUMIF('1.Лок.смета.и.Акт'!CV572:'1.Лок.смета.и.Акт'!CV755,1,'1.Лок.смета.и.Акт'!AV572:'1.Лок.смета.и.Акт'!AV755)</f>
        <v>0</v>
      </c>
      <c r="BF756">
        <f>SUMIF('1.Лок.смета.и.Акт'!CV572:'1.Лок.смета.и.Акт'!CV755,2,'1.Лок.смета.и.Акт'!AV572:'1.Лок.смета.и.Акт'!AV755)</f>
        <v>0</v>
      </c>
      <c r="BG756">
        <f>SUMIF('1.Лок.смета.и.Акт'!CV572:'1.Лок.смета.и.Акт'!CV755,5,'1.Лок.смета.и.Акт'!AV572:'1.Лок.смета.и.Акт'!AV755)</f>
        <v>0</v>
      </c>
      <c r="BH756">
        <f>SUMIF('1.Лок.смета.и.Акт'!CV572:'1.Лок.смета.и.Акт'!CV755,4,'1.Лок.смета.и.Акт'!AV572:'1.Лок.смета.и.Акт'!AV755)</f>
        <v>0</v>
      </c>
      <c r="BI756">
        <f>SUMIF('1.Лок.смета.и.Акт'!CV572:'1.Лок.смета.и.Акт'!CV755,1,'1.Лок.смета.и.Акт'!AW572:'1.Лок.смета.и.Акт'!AW755)</f>
        <v>0</v>
      </c>
      <c r="BJ756">
        <f>SUMIF('1.Лок.смета.и.Акт'!CV572:'1.Лок.смета.и.Акт'!CV755,2,'1.Лок.смета.и.Акт'!AW572:'1.Лок.смета.и.Акт'!AW755)</f>
        <v>0</v>
      </c>
      <c r="BK756">
        <f>SUMIF('1.Лок.смета.и.Акт'!CV572:'1.Лок.смета.и.Акт'!CV755,5,'1.Лок.смета.и.Акт'!AW572:'1.Лок.смета.и.Акт'!AW755)</f>
        <v>0</v>
      </c>
      <c r="BL756">
        <f>SUMIF('1.Лок.смета.и.Акт'!CV572:'1.Лок.смета.и.Акт'!CV755,4,'1.Лок.смета.и.Акт'!AW572:'1.Лок.смета.и.Акт'!AW755)</f>
        <v>0</v>
      </c>
      <c r="BM756">
        <f>SUMIF('1.Лок.смета.и.Акт'!CV572:'1.Лок.смета.и.Акт'!CV755,1,'1.Лок.смета.и.Акт'!AX572:'1.Лок.смета.и.Акт'!AX755)</f>
        <v>0</v>
      </c>
      <c r="BN756">
        <f>SUMIF('1.Лок.смета.и.Акт'!CV572:'1.Лок.смета.и.Акт'!CV755,2,'1.Лок.смета.и.Акт'!AX572:'1.Лок.смета.и.Акт'!AX755)</f>
        <v>0</v>
      </c>
      <c r="BO756">
        <f>SUMIF('1.Лок.смета.и.Акт'!CV572:'1.Лок.смета.и.Акт'!CV755,5,'1.Лок.смета.и.Акт'!AX572:'1.Лок.смета.и.Акт'!AX755)</f>
        <v>0</v>
      </c>
      <c r="BP756">
        <f>SUMIF('1.Лок.смета.и.Акт'!CV572:'1.Лок.смета.и.Акт'!CV755,4,'1.Лок.смета.и.Акт'!AX572:'1.Лок.смета.и.Акт'!AX755)</f>
        <v>0</v>
      </c>
    </row>
    <row r="821" spans="57:68" x14ac:dyDescent="0.2">
      <c r="BE821">
        <f>SUMIF('1.Лок.смета.и.Акт'!CV47:'1.Лок.смета.и.Акт'!CV820,1,'1.Лок.смета.и.Акт'!AV47:'1.Лок.смета.и.Акт'!AV820)</f>
        <v>0</v>
      </c>
      <c r="BF821">
        <f>SUMIF('1.Лок.смета.и.Акт'!CV47:'1.Лок.смета.и.Акт'!CV820,2,'1.Лок.смета.и.Акт'!AV47:'1.Лок.смета.и.Акт'!AV820)</f>
        <v>0</v>
      </c>
      <c r="BG821">
        <f>SUMIF('1.Лок.смета.и.Акт'!CV47:'1.Лок.смета.и.Акт'!CV820,5,'1.Лок.смета.и.Акт'!AV47:'1.Лок.смета.и.Акт'!AV820)</f>
        <v>0</v>
      </c>
      <c r="BH821">
        <f>SUMIF('1.Лок.смета.и.Акт'!CV47:'1.Лок.смета.и.Акт'!CV820,4,'1.Лок.смета.и.Акт'!AV47:'1.Лок.смета.и.Акт'!AV820)</f>
        <v>0</v>
      </c>
      <c r="BI821">
        <f>SUMIF('1.Лок.смета.и.Акт'!CV47:'1.Лок.смета.и.Акт'!CV820,1,'1.Лок.смета.и.Акт'!AW47:'1.Лок.смета.и.Акт'!AW820)</f>
        <v>0</v>
      </c>
      <c r="BJ821">
        <f>SUMIF('1.Лок.смета.и.Акт'!CV47:'1.Лок.смета.и.Акт'!CV820,2,'1.Лок.смета.и.Акт'!AW47:'1.Лок.смета.и.Акт'!AW820)</f>
        <v>0</v>
      </c>
      <c r="BK821">
        <f>SUMIF('1.Лок.смета.и.Акт'!CV47:'1.Лок.смета.и.Акт'!CV820,5,'1.Лок.смета.и.Акт'!AW47:'1.Лок.смета.и.Акт'!AW820)</f>
        <v>0</v>
      </c>
      <c r="BL821">
        <f>SUMIF('1.Лок.смета.и.Акт'!CV47:'1.Лок.смета.и.Акт'!CV820,4,'1.Лок.смета.и.Акт'!AW47:'1.Лок.смета.и.Акт'!AW820)</f>
        <v>0</v>
      </c>
      <c r="BM821">
        <f>SUMIF('1.Лок.смета.и.Акт'!CV47:'1.Лок.смета.и.Акт'!CV820,1,'1.Лок.смета.и.Акт'!AX47:'1.Лок.смета.и.Акт'!AX820)</f>
        <v>0</v>
      </c>
      <c r="BN821">
        <f>SUMIF('1.Лок.смета.и.Акт'!CV47:'1.Лок.смета.и.Акт'!CV820,2,'1.Лок.смета.и.Акт'!AX47:'1.Лок.смета.и.Акт'!AX820)</f>
        <v>0</v>
      </c>
      <c r="BO821">
        <f>SUMIF('1.Лок.смета.и.Акт'!CV47:'1.Лок.смета.и.Акт'!CV820,5,'1.Лок.смета.и.Акт'!AX47:'1.Лок.смета.и.Акт'!AX820)</f>
        <v>0</v>
      </c>
      <c r="BP821">
        <f>SUMIF('1.Лок.смета.и.Акт'!CV47:'1.Лок.смета.и.Акт'!CV820,4,'1.Лок.смета.и.Акт'!AX47:'1.Лок.смета.и.Акт'!AX820)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43"/>
  <sheetViews>
    <sheetView workbookViewId="0">
      <selection activeCell="A539" sqref="A539:AX539"/>
    </sheetView>
  </sheetViews>
  <sheetFormatPr defaultColWidth="9.140625" defaultRowHeight="12.75" x14ac:dyDescent="0.2"/>
  <cols>
    <col min="1" max="256" width="9.140625" customWidth="1"/>
  </cols>
  <sheetData>
    <row r="1" spans="1:246" x14ac:dyDescent="0.2">
      <c r="A1">
        <v>0</v>
      </c>
      <c r="B1" t="s">
        <v>0</v>
      </c>
      <c r="D1" t="s">
        <v>1</v>
      </c>
      <c r="F1">
        <v>0</v>
      </c>
      <c r="G1">
        <v>0</v>
      </c>
      <c r="H1">
        <v>0</v>
      </c>
      <c r="I1" t="s">
        <v>2</v>
      </c>
      <c r="J1" t="s">
        <v>3</v>
      </c>
      <c r="K1">
        <v>1</v>
      </c>
      <c r="L1">
        <v>10853</v>
      </c>
      <c r="M1">
        <v>52984312</v>
      </c>
      <c r="N1">
        <v>11</v>
      </c>
      <c r="O1">
        <v>9</v>
      </c>
      <c r="P1">
        <v>0</v>
      </c>
      <c r="Q1">
        <v>1</v>
      </c>
      <c r="IF1">
        <v>-1</v>
      </c>
    </row>
    <row r="2" spans="1:246" x14ac:dyDescent="0.2">
      <c r="IF2">
        <v>-1</v>
      </c>
      <c r="IK2" s="75" t="e">
        <f>'3.Материалы'!G73</f>
        <v>#REF!</v>
      </c>
      <c r="IL2" t="s">
        <v>1076</v>
      </c>
    </row>
    <row r="3" spans="1:246" x14ac:dyDescent="0.2">
      <c r="IF3">
        <v>-1</v>
      </c>
    </row>
    <row r="4" spans="1:246"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c r="IF4">
        <v>-1</v>
      </c>
    </row>
    <row r="5" spans="1:246" x14ac:dyDescent="0.2">
      <c r="IF5">
        <v>-1</v>
      </c>
      <c r="IK5">
        <v>5</v>
      </c>
      <c r="IL5" t="s">
        <v>791</v>
      </c>
    </row>
    <row r="6" spans="1:246" x14ac:dyDescent="0.2">
      <c r="IF6">
        <v>-1</v>
      </c>
      <c r="IK6">
        <v>50</v>
      </c>
      <c r="IL6" t="s">
        <v>780</v>
      </c>
    </row>
    <row r="7" spans="1:246" x14ac:dyDescent="0.2">
      <c r="IF7">
        <v>-1</v>
      </c>
      <c r="IK7">
        <v>1</v>
      </c>
      <c r="IL7" t="s">
        <v>1010</v>
      </c>
    </row>
    <row r="8" spans="1:246" x14ac:dyDescent="0.2">
      <c r="IF8">
        <v>-1</v>
      </c>
      <c r="IK8" t="e">
        <f>IF((Source!AR437&lt;&gt;'2.Лок.смета.и.Акт'!#REF!),0,1)</f>
        <v>#REF!</v>
      </c>
      <c r="IL8" t="s">
        <v>884</v>
      </c>
    </row>
    <row r="9" spans="1:246" x14ac:dyDescent="0.2">
      <c r="IF9">
        <v>-1</v>
      </c>
      <c r="IK9" s="12" t="s">
        <v>1008</v>
      </c>
      <c r="IL9" t="s">
        <v>781</v>
      </c>
    </row>
    <row r="10" spans="1:246" x14ac:dyDescent="0.2">
      <c r="IF10">
        <v>-1</v>
      </c>
      <c r="IK10">
        <v>2</v>
      </c>
      <c r="IL10" t="s">
        <v>778</v>
      </c>
    </row>
    <row r="11" spans="1:246" x14ac:dyDescent="0.2">
      <c r="IF11">
        <v>-1</v>
      </c>
      <c r="IK11" t="s">
        <v>1007</v>
      </c>
      <c r="IL11" t="s">
        <v>779</v>
      </c>
    </row>
    <row r="12" spans="1:246" x14ac:dyDescent="0.2">
      <c r="A12" s="1">
        <v>1</v>
      </c>
      <c r="B12" s="1">
        <v>537</v>
      </c>
      <c r="C12" s="1">
        <v>1</v>
      </c>
      <c r="D12" s="1">
        <f>ROW(A473)</f>
        <v>473</v>
      </c>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84451849</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c r="IF12">
        <v>-1</v>
      </c>
    </row>
    <row r="13" spans="1:246" x14ac:dyDescent="0.2">
      <c r="IF13">
        <v>-1</v>
      </c>
    </row>
    <row r="14" spans="1:246" x14ac:dyDescent="0.2">
      <c r="IF14">
        <v>-1</v>
      </c>
    </row>
    <row r="15" spans="1:246" x14ac:dyDescent="0.2">
      <c r="A15" s="1">
        <v>15</v>
      </c>
      <c r="B15" s="1">
        <v>1</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IF15">
        <v>-1</v>
      </c>
    </row>
    <row r="16" spans="1:246" x14ac:dyDescent="0.2">
      <c r="IF16">
        <v>-1</v>
      </c>
    </row>
    <row r="17" spans="1:255" x14ac:dyDescent="0.2">
      <c r="IF17">
        <v>-1</v>
      </c>
    </row>
    <row r="18" spans="1:255" x14ac:dyDescent="0.2">
      <c r="A18" s="3">
        <v>52</v>
      </c>
      <c r="B18" s="3">
        <f t="shared" ref="B18:G18" si="0">B473</f>
        <v>537</v>
      </c>
      <c r="C18" s="3">
        <f t="shared" si="0"/>
        <v>1</v>
      </c>
      <c r="D18" s="3">
        <f t="shared" si="0"/>
        <v>12</v>
      </c>
      <c r="E18" s="3">
        <f t="shared" si="0"/>
        <v>0</v>
      </c>
      <c r="F18" s="3" t="str">
        <f t="shared" si="0"/>
        <v>5.3.1.24.3  Монтаж конструкций здания выше 0.000. Монолитный каркас 17-20 этажи 2 сек,с 1.11.24</v>
      </c>
      <c r="G18" s="3" t="str">
        <f t="shared" si="0"/>
        <v>Комплекс из 2-х многоквартирных домов, расположенных по адресу г.Орел, б-р Молодежи, участок 2а. 1-й этап строительства - многоквартирный дом корпус 2 (поз.1)</v>
      </c>
      <c r="H18" s="3"/>
      <c r="I18" s="3"/>
      <c r="J18" s="3"/>
      <c r="K18" s="3"/>
      <c r="L18" s="3"/>
      <c r="M18" s="3"/>
      <c r="N18" s="3"/>
      <c r="O18" s="3" t="e">
        <f t="shared" ref="O18:AT18" si="1">O473</f>
        <v>#REF!</v>
      </c>
      <c r="P18" s="3" t="e">
        <f t="shared" si="1"/>
        <v>#REF!</v>
      </c>
      <c r="Q18" s="3" t="e">
        <f t="shared" si="1"/>
        <v>#REF!</v>
      </c>
      <c r="R18" s="3" t="e">
        <f t="shared" si="1"/>
        <v>#REF!</v>
      </c>
      <c r="S18" s="3" t="e">
        <f t="shared" si="1"/>
        <v>#REF!</v>
      </c>
      <c r="T18" s="3" t="e">
        <f t="shared" si="1"/>
        <v>#REF!</v>
      </c>
      <c r="U18" s="3" t="e">
        <f t="shared" si="1"/>
        <v>#REF!</v>
      </c>
      <c r="V18" s="3" t="e">
        <f t="shared" si="1"/>
        <v>#REF!</v>
      </c>
      <c r="W18" s="3" t="e">
        <f t="shared" si="1"/>
        <v>#REF!</v>
      </c>
      <c r="X18" s="3" t="e">
        <f t="shared" si="1"/>
        <v>#REF!</v>
      </c>
      <c r="Y18" s="3" t="e">
        <f t="shared" si="1"/>
        <v>#REF!</v>
      </c>
      <c r="Z18" s="3">
        <f t="shared" si="1"/>
        <v>0</v>
      </c>
      <c r="AA18" s="3">
        <f t="shared" si="1"/>
        <v>0</v>
      </c>
      <c r="AB18" s="3">
        <f t="shared" si="1"/>
        <v>0</v>
      </c>
      <c r="AC18" s="3">
        <f t="shared" si="1"/>
        <v>0</v>
      </c>
      <c r="AD18" s="3">
        <f t="shared" si="1"/>
        <v>0</v>
      </c>
      <c r="AE18" s="3">
        <f t="shared" si="1"/>
        <v>0</v>
      </c>
      <c r="AF18" s="3">
        <f t="shared" si="1"/>
        <v>0</v>
      </c>
      <c r="AG18" s="3">
        <f t="shared" si="1"/>
        <v>0</v>
      </c>
      <c r="AH18" s="3">
        <f t="shared" si="1"/>
        <v>0</v>
      </c>
      <c r="AI18" s="3">
        <f t="shared" si="1"/>
        <v>0</v>
      </c>
      <c r="AJ18" s="3">
        <f t="shared" si="1"/>
        <v>0</v>
      </c>
      <c r="AK18" s="3">
        <f t="shared" si="1"/>
        <v>0</v>
      </c>
      <c r="AL18" s="3">
        <f t="shared" si="1"/>
        <v>0</v>
      </c>
      <c r="AM18" s="3">
        <f t="shared" si="1"/>
        <v>0</v>
      </c>
      <c r="AN18" s="3">
        <f t="shared" si="1"/>
        <v>0</v>
      </c>
      <c r="AO18" s="3">
        <f t="shared" si="1"/>
        <v>0</v>
      </c>
      <c r="AP18" s="3">
        <f t="shared" si="1"/>
        <v>0</v>
      </c>
      <c r="AQ18" s="3">
        <f t="shared" si="1"/>
        <v>0</v>
      </c>
      <c r="AR18" s="3" t="e">
        <f t="shared" si="1"/>
        <v>#REF!</v>
      </c>
      <c r="AS18" s="3" t="e">
        <f t="shared" si="1"/>
        <v>#REF!</v>
      </c>
      <c r="AT18" s="3" t="e">
        <f t="shared" si="1"/>
        <v>#REF!</v>
      </c>
      <c r="AU18" s="3">
        <f t="shared" ref="AU18:BZ18" si="2">AU473</f>
        <v>0</v>
      </c>
      <c r="AV18" s="3" t="e">
        <f t="shared" si="2"/>
        <v>#REF!</v>
      </c>
      <c r="AW18" s="3" t="e">
        <f t="shared" si="2"/>
        <v>#REF!</v>
      </c>
      <c r="AX18" s="3">
        <f t="shared" si="2"/>
        <v>0</v>
      </c>
      <c r="AY18" s="3" t="e">
        <f t="shared" si="2"/>
        <v>#REF!</v>
      </c>
      <c r="AZ18" s="3">
        <f t="shared" si="2"/>
        <v>0</v>
      </c>
      <c r="BA18" s="3" t="e">
        <f t="shared" si="2"/>
        <v>#REF!</v>
      </c>
      <c r="BB18" s="3">
        <f t="shared" si="2"/>
        <v>0</v>
      </c>
      <c r="BC18" s="3">
        <f t="shared" si="2"/>
        <v>0</v>
      </c>
      <c r="BD18" s="3">
        <f t="shared" si="2"/>
        <v>0</v>
      </c>
      <c r="BE18" s="3">
        <f t="shared" si="2"/>
        <v>0</v>
      </c>
      <c r="BF18" s="3">
        <f t="shared" si="2"/>
        <v>0</v>
      </c>
      <c r="BG18" s="3">
        <f t="shared" si="2"/>
        <v>0</v>
      </c>
      <c r="BH18" s="3">
        <f t="shared" si="2"/>
        <v>0</v>
      </c>
      <c r="BI18" s="3">
        <f t="shared" si="2"/>
        <v>0</v>
      </c>
      <c r="BJ18" s="3">
        <f t="shared" si="2"/>
        <v>0</v>
      </c>
      <c r="BK18" s="3">
        <f t="shared" si="2"/>
        <v>0</v>
      </c>
      <c r="BL18" s="3">
        <f t="shared" si="2"/>
        <v>0</v>
      </c>
      <c r="BM18" s="3">
        <f t="shared" si="2"/>
        <v>0</v>
      </c>
      <c r="BN18" s="3">
        <f t="shared" si="2"/>
        <v>0</v>
      </c>
      <c r="BO18" s="3">
        <f t="shared" si="2"/>
        <v>0</v>
      </c>
      <c r="BP18" s="3">
        <f t="shared" si="2"/>
        <v>0</v>
      </c>
      <c r="BQ18" s="3">
        <f t="shared" si="2"/>
        <v>0</v>
      </c>
      <c r="BR18" s="3">
        <f t="shared" si="2"/>
        <v>0</v>
      </c>
      <c r="BS18" s="3">
        <f t="shared" si="2"/>
        <v>0</v>
      </c>
      <c r="BT18" s="3">
        <f t="shared" si="2"/>
        <v>0</v>
      </c>
      <c r="BU18" s="3">
        <f t="shared" si="2"/>
        <v>0</v>
      </c>
      <c r="BV18" s="3">
        <f t="shared" si="2"/>
        <v>0</v>
      </c>
      <c r="BW18" s="3">
        <f t="shared" si="2"/>
        <v>0</v>
      </c>
      <c r="BX18" s="3">
        <f t="shared" si="2"/>
        <v>0</v>
      </c>
      <c r="BY18" s="3">
        <f t="shared" si="2"/>
        <v>0</v>
      </c>
      <c r="BZ18" s="3">
        <f t="shared" si="2"/>
        <v>0</v>
      </c>
      <c r="CA18" s="3">
        <f t="shared" ref="CA18:DF18" si="3">CA473</f>
        <v>0</v>
      </c>
      <c r="CB18" s="3">
        <f t="shared" si="3"/>
        <v>0</v>
      </c>
      <c r="CC18" s="3">
        <f t="shared" si="3"/>
        <v>0</v>
      </c>
      <c r="CD18" s="3">
        <f t="shared" si="3"/>
        <v>0</v>
      </c>
      <c r="CE18" s="3">
        <f t="shared" si="3"/>
        <v>0</v>
      </c>
      <c r="CF18" s="3">
        <f t="shared" si="3"/>
        <v>0</v>
      </c>
      <c r="CG18" s="3">
        <f t="shared" si="3"/>
        <v>0</v>
      </c>
      <c r="CH18" s="3">
        <f t="shared" si="3"/>
        <v>0</v>
      </c>
      <c r="CI18" s="3">
        <f t="shared" si="3"/>
        <v>0</v>
      </c>
      <c r="CJ18" s="3">
        <f t="shared" si="3"/>
        <v>0</v>
      </c>
      <c r="CK18" s="3">
        <f t="shared" si="3"/>
        <v>0</v>
      </c>
      <c r="CL18" s="3">
        <f t="shared" si="3"/>
        <v>0</v>
      </c>
      <c r="CM18" s="3">
        <f t="shared" si="3"/>
        <v>0</v>
      </c>
      <c r="CN18" s="3">
        <f t="shared" si="3"/>
        <v>0</v>
      </c>
      <c r="CO18" s="3">
        <f t="shared" si="3"/>
        <v>0</v>
      </c>
      <c r="CP18" s="3">
        <f t="shared" si="3"/>
        <v>0</v>
      </c>
      <c r="CQ18" s="3">
        <f t="shared" si="3"/>
        <v>0</v>
      </c>
      <c r="CR18" s="3">
        <f t="shared" si="3"/>
        <v>0</v>
      </c>
      <c r="CS18" s="3">
        <f t="shared" si="3"/>
        <v>0</v>
      </c>
      <c r="CT18" s="3">
        <f t="shared" si="3"/>
        <v>0</v>
      </c>
      <c r="CU18" s="3">
        <f t="shared" si="3"/>
        <v>0</v>
      </c>
      <c r="CV18" s="3">
        <f t="shared" si="3"/>
        <v>0</v>
      </c>
      <c r="CW18" s="3">
        <f t="shared" si="3"/>
        <v>0</v>
      </c>
      <c r="CX18" s="3">
        <f t="shared" si="3"/>
        <v>0</v>
      </c>
      <c r="CY18" s="3">
        <f t="shared" si="3"/>
        <v>0</v>
      </c>
      <c r="CZ18" s="3">
        <f t="shared" si="3"/>
        <v>0</v>
      </c>
      <c r="DA18" s="3">
        <f t="shared" si="3"/>
        <v>0</v>
      </c>
      <c r="DB18" s="3">
        <f t="shared" si="3"/>
        <v>0</v>
      </c>
      <c r="DC18" s="3">
        <f t="shared" si="3"/>
        <v>0</v>
      </c>
      <c r="DD18" s="3">
        <f t="shared" si="3"/>
        <v>0</v>
      </c>
      <c r="DE18" s="3">
        <f t="shared" si="3"/>
        <v>0</v>
      </c>
      <c r="DF18" s="3">
        <f t="shared" si="3"/>
        <v>0</v>
      </c>
      <c r="DG18" s="4" t="e">
        <f t="shared" ref="DG18:EL18" si="4">DG473</f>
        <v>#REF!</v>
      </c>
      <c r="DH18" s="4" t="e">
        <f t="shared" si="4"/>
        <v>#REF!</v>
      </c>
      <c r="DI18" s="4" t="e">
        <f t="shared" si="4"/>
        <v>#REF!</v>
      </c>
      <c r="DJ18" s="4" t="e">
        <f t="shared" si="4"/>
        <v>#REF!</v>
      </c>
      <c r="DK18" s="4" t="e">
        <f t="shared" si="4"/>
        <v>#REF!</v>
      </c>
      <c r="DL18" s="4" t="e">
        <f t="shared" si="4"/>
        <v>#REF!</v>
      </c>
      <c r="DM18" s="4" t="e">
        <f t="shared" si="4"/>
        <v>#REF!</v>
      </c>
      <c r="DN18" s="4" t="e">
        <f t="shared" si="4"/>
        <v>#REF!</v>
      </c>
      <c r="DO18" s="4" t="e">
        <f t="shared" si="4"/>
        <v>#REF!</v>
      </c>
      <c r="DP18" s="4" t="e">
        <f t="shared" si="4"/>
        <v>#REF!</v>
      </c>
      <c r="DQ18" s="4" t="e">
        <f t="shared" si="4"/>
        <v>#REF!</v>
      </c>
      <c r="DR18" s="4">
        <f t="shared" si="4"/>
        <v>0</v>
      </c>
      <c r="DS18" s="4">
        <f t="shared" si="4"/>
        <v>0</v>
      </c>
      <c r="DT18" s="4">
        <f t="shared" si="4"/>
        <v>0</v>
      </c>
      <c r="DU18" s="4">
        <f t="shared" si="4"/>
        <v>0</v>
      </c>
      <c r="DV18" s="4">
        <f t="shared" si="4"/>
        <v>0</v>
      </c>
      <c r="DW18" s="4">
        <f t="shared" si="4"/>
        <v>0</v>
      </c>
      <c r="DX18" s="4">
        <f t="shared" si="4"/>
        <v>0</v>
      </c>
      <c r="DY18" s="4">
        <f t="shared" si="4"/>
        <v>0</v>
      </c>
      <c r="DZ18" s="4">
        <f t="shared" si="4"/>
        <v>0</v>
      </c>
      <c r="EA18" s="4">
        <f t="shared" si="4"/>
        <v>0</v>
      </c>
      <c r="EB18" s="4">
        <f t="shared" si="4"/>
        <v>0</v>
      </c>
      <c r="EC18" s="4">
        <f t="shared" si="4"/>
        <v>0</v>
      </c>
      <c r="ED18" s="4">
        <f t="shared" si="4"/>
        <v>0</v>
      </c>
      <c r="EE18" s="4">
        <f t="shared" si="4"/>
        <v>0</v>
      </c>
      <c r="EF18" s="4">
        <f t="shared" si="4"/>
        <v>0</v>
      </c>
      <c r="EG18" s="4">
        <f t="shared" si="4"/>
        <v>0</v>
      </c>
      <c r="EH18" s="4">
        <f t="shared" si="4"/>
        <v>0</v>
      </c>
      <c r="EI18" s="4">
        <f t="shared" si="4"/>
        <v>0</v>
      </c>
      <c r="EJ18" s="4" t="e">
        <f t="shared" si="4"/>
        <v>#REF!</v>
      </c>
      <c r="EK18" s="4" t="e">
        <f t="shared" si="4"/>
        <v>#REF!</v>
      </c>
      <c r="EL18" s="4" t="e">
        <f t="shared" si="4"/>
        <v>#REF!</v>
      </c>
      <c r="EM18" s="4">
        <f t="shared" ref="EM18:FR18" si="5">EM473</f>
        <v>0</v>
      </c>
      <c r="EN18" s="4" t="e">
        <f t="shared" si="5"/>
        <v>#REF!</v>
      </c>
      <c r="EO18" s="4" t="e">
        <f t="shared" si="5"/>
        <v>#REF!</v>
      </c>
      <c r="EP18" s="4">
        <f t="shared" si="5"/>
        <v>0</v>
      </c>
      <c r="EQ18" s="4" t="e">
        <f t="shared" si="5"/>
        <v>#REF!</v>
      </c>
      <c r="ER18" s="4">
        <f t="shared" si="5"/>
        <v>0</v>
      </c>
      <c r="ES18" s="4" t="e">
        <f t="shared" si="5"/>
        <v>#REF!</v>
      </c>
      <c r="ET18" s="4">
        <f t="shared" si="5"/>
        <v>0</v>
      </c>
      <c r="EU18" s="4">
        <f t="shared" si="5"/>
        <v>0</v>
      </c>
      <c r="EV18" s="4">
        <f t="shared" si="5"/>
        <v>0</v>
      </c>
      <c r="EW18" s="4">
        <f t="shared" si="5"/>
        <v>0</v>
      </c>
      <c r="EX18" s="4">
        <f t="shared" si="5"/>
        <v>0</v>
      </c>
      <c r="EY18" s="4">
        <f t="shared" si="5"/>
        <v>0</v>
      </c>
      <c r="EZ18" s="4">
        <f t="shared" si="5"/>
        <v>0</v>
      </c>
      <c r="FA18" s="4">
        <f t="shared" si="5"/>
        <v>0</v>
      </c>
      <c r="FB18" s="4">
        <f t="shared" si="5"/>
        <v>0</v>
      </c>
      <c r="FC18" s="4">
        <f t="shared" si="5"/>
        <v>0</v>
      </c>
      <c r="FD18" s="4">
        <f t="shared" si="5"/>
        <v>0</v>
      </c>
      <c r="FE18" s="4">
        <f t="shared" si="5"/>
        <v>0</v>
      </c>
      <c r="FF18" s="4">
        <f t="shared" si="5"/>
        <v>0</v>
      </c>
      <c r="FG18" s="4">
        <f t="shared" si="5"/>
        <v>0</v>
      </c>
      <c r="FH18" s="4">
        <f t="shared" si="5"/>
        <v>0</v>
      </c>
      <c r="FI18" s="4">
        <f t="shared" si="5"/>
        <v>0</v>
      </c>
      <c r="FJ18" s="4">
        <f t="shared" si="5"/>
        <v>0</v>
      </c>
      <c r="FK18" s="4">
        <f t="shared" si="5"/>
        <v>0</v>
      </c>
      <c r="FL18" s="4">
        <f t="shared" si="5"/>
        <v>0</v>
      </c>
      <c r="FM18" s="4">
        <f t="shared" si="5"/>
        <v>0</v>
      </c>
      <c r="FN18" s="4">
        <f t="shared" si="5"/>
        <v>0</v>
      </c>
      <c r="FO18" s="4">
        <f t="shared" si="5"/>
        <v>0</v>
      </c>
      <c r="FP18" s="4">
        <f t="shared" si="5"/>
        <v>0</v>
      </c>
      <c r="FQ18" s="4">
        <f t="shared" si="5"/>
        <v>0</v>
      </c>
      <c r="FR18" s="4">
        <f t="shared" si="5"/>
        <v>0</v>
      </c>
      <c r="FS18" s="4">
        <f t="shared" ref="FS18:GX18" si="6">FS473</f>
        <v>0</v>
      </c>
      <c r="FT18" s="4">
        <f t="shared" si="6"/>
        <v>0</v>
      </c>
      <c r="FU18" s="4">
        <f t="shared" si="6"/>
        <v>0</v>
      </c>
      <c r="FV18" s="4">
        <f t="shared" si="6"/>
        <v>0</v>
      </c>
      <c r="FW18" s="4">
        <f t="shared" si="6"/>
        <v>0</v>
      </c>
      <c r="FX18" s="4">
        <f t="shared" si="6"/>
        <v>0</v>
      </c>
      <c r="FY18" s="4">
        <f t="shared" si="6"/>
        <v>0</v>
      </c>
      <c r="FZ18" s="4">
        <f t="shared" si="6"/>
        <v>0</v>
      </c>
      <c r="GA18" s="4">
        <f t="shared" si="6"/>
        <v>0</v>
      </c>
      <c r="GB18" s="4">
        <f t="shared" si="6"/>
        <v>0</v>
      </c>
      <c r="GC18" s="4">
        <f t="shared" si="6"/>
        <v>0</v>
      </c>
      <c r="GD18" s="4">
        <f t="shared" si="6"/>
        <v>0</v>
      </c>
      <c r="GE18" s="4">
        <f t="shared" si="6"/>
        <v>0</v>
      </c>
      <c r="GF18" s="4">
        <f t="shared" si="6"/>
        <v>0</v>
      </c>
      <c r="GG18" s="4">
        <f t="shared" si="6"/>
        <v>0</v>
      </c>
      <c r="GH18" s="4">
        <f t="shared" si="6"/>
        <v>0</v>
      </c>
      <c r="GI18" s="4">
        <f t="shared" si="6"/>
        <v>0</v>
      </c>
      <c r="GJ18" s="4">
        <f t="shared" si="6"/>
        <v>0</v>
      </c>
      <c r="GK18" s="4">
        <f t="shared" si="6"/>
        <v>0</v>
      </c>
      <c r="GL18" s="4">
        <f t="shared" si="6"/>
        <v>0</v>
      </c>
      <c r="GM18" s="4">
        <f t="shared" si="6"/>
        <v>0</v>
      </c>
      <c r="GN18" s="4">
        <f t="shared" si="6"/>
        <v>0</v>
      </c>
      <c r="GO18" s="4">
        <f t="shared" si="6"/>
        <v>0</v>
      </c>
      <c r="GP18" s="4">
        <f t="shared" si="6"/>
        <v>0</v>
      </c>
      <c r="GQ18" s="4">
        <f t="shared" si="6"/>
        <v>0</v>
      </c>
      <c r="GR18" s="4">
        <f t="shared" si="6"/>
        <v>0</v>
      </c>
      <c r="GS18" s="4">
        <f t="shared" si="6"/>
        <v>0</v>
      </c>
      <c r="GT18" s="4">
        <f t="shared" si="6"/>
        <v>0</v>
      </c>
      <c r="GU18" s="4">
        <f t="shared" si="6"/>
        <v>0</v>
      </c>
      <c r="GV18" s="4">
        <f t="shared" si="6"/>
        <v>0</v>
      </c>
      <c r="GW18" s="4">
        <f t="shared" si="6"/>
        <v>0</v>
      </c>
      <c r="GX18" s="4">
        <f t="shared" si="6"/>
        <v>0</v>
      </c>
      <c r="IF18">
        <v>-1</v>
      </c>
    </row>
    <row r="19" spans="1:255" x14ac:dyDescent="0.2">
      <c r="IF19">
        <v>-1</v>
      </c>
    </row>
    <row r="20" spans="1:255" x14ac:dyDescent="0.2">
      <c r="A20" s="1">
        <v>3</v>
      </c>
      <c r="B20" s="1">
        <v>1</v>
      </c>
      <c r="C20" s="1"/>
      <c r="D20" s="1">
        <f>ROW(A437)</f>
        <v>437</v>
      </c>
      <c r="E20" s="1"/>
      <c r="F20" s="1" t="s">
        <v>15</v>
      </c>
      <c r="G20" s="1" t="s">
        <v>16</v>
      </c>
      <c r="H20" s="1" t="s">
        <v>6</v>
      </c>
      <c r="I20" s="1">
        <v>0</v>
      </c>
      <c r="J20" s="1" t="s">
        <v>6</v>
      </c>
      <c r="K20" s="1">
        <v>-1</v>
      </c>
      <c r="L20" s="1" t="s">
        <v>15</v>
      </c>
      <c r="M20" s="1" t="s">
        <v>6</v>
      </c>
      <c r="N20" s="1"/>
      <c r="O20" s="1"/>
      <c r="P20" s="1"/>
      <c r="Q20" s="1"/>
      <c r="R20" s="1"/>
      <c r="S20" s="1">
        <v>0</v>
      </c>
      <c r="T20" s="1">
        <v>0</v>
      </c>
      <c r="U20" s="1" t="s">
        <v>6</v>
      </c>
      <c r="V20" s="1">
        <v>0</v>
      </c>
      <c r="W20" s="1"/>
      <c r="X20" s="1"/>
      <c r="Y20" s="1"/>
      <c r="Z20" s="1"/>
      <c r="AA20" s="1"/>
      <c r="AB20" s="1" t="s">
        <v>6</v>
      </c>
      <c r="AC20" s="1" t="s">
        <v>6</v>
      </c>
      <c r="AD20" s="1" t="s">
        <v>6</v>
      </c>
      <c r="AE20" s="1" t="s">
        <v>6</v>
      </c>
      <c r="AF20" s="1" t="s">
        <v>6</v>
      </c>
      <c r="AG20" s="1" t="s">
        <v>6</v>
      </c>
      <c r="AH20" s="1"/>
      <c r="AI20" s="1"/>
      <c r="AJ20" s="1"/>
      <c r="AK20" s="1"/>
      <c r="AL20" s="1"/>
      <c r="AM20" s="1"/>
      <c r="AN20" s="1"/>
      <c r="AO20" s="1"/>
      <c r="AP20" s="1" t="s">
        <v>6</v>
      </c>
      <c r="AQ20" s="1" t="s">
        <v>6</v>
      </c>
      <c r="AR20" s="1" t="s">
        <v>6</v>
      </c>
      <c r="AS20" s="1"/>
      <c r="AT20" s="1"/>
      <c r="AU20" s="1"/>
      <c r="AV20" s="1"/>
      <c r="AW20" s="1"/>
      <c r="AX20" s="1"/>
      <c r="AY20" s="1"/>
      <c r="AZ20" s="1" t="s">
        <v>6</v>
      </c>
      <c r="BA20" s="1"/>
      <c r="BB20" s="1" t="s">
        <v>6</v>
      </c>
      <c r="BC20" s="1" t="s">
        <v>6</v>
      </c>
      <c r="BD20" s="1" t="s">
        <v>6</v>
      </c>
      <c r="BE20" s="1" t="s">
        <v>6</v>
      </c>
      <c r="BF20" s="1" t="s">
        <v>6</v>
      </c>
      <c r="BG20" s="1" t="s">
        <v>6</v>
      </c>
      <c r="BH20" s="1" t="s">
        <v>6</v>
      </c>
      <c r="BI20" s="1" t="s">
        <v>6</v>
      </c>
      <c r="BJ20" s="1" t="s">
        <v>6</v>
      </c>
      <c r="BK20" s="1" t="s">
        <v>6</v>
      </c>
      <c r="BL20" s="1" t="s">
        <v>6</v>
      </c>
      <c r="BM20" s="1" t="s">
        <v>6</v>
      </c>
      <c r="BN20" s="1" t="s">
        <v>6</v>
      </c>
      <c r="BO20" s="1" t="s">
        <v>6</v>
      </c>
      <c r="BP20" s="1" t="s">
        <v>6</v>
      </c>
      <c r="BQ20" s="1"/>
      <c r="BR20" s="1"/>
      <c r="BS20" s="1"/>
      <c r="BT20" s="1"/>
      <c r="BU20" s="1"/>
      <c r="BV20" s="1"/>
      <c r="BW20" s="1"/>
      <c r="BX20" s="1">
        <v>0</v>
      </c>
      <c r="BY20" s="1"/>
      <c r="BZ20" s="1"/>
      <c r="CA20" s="1"/>
      <c r="CB20" s="1"/>
      <c r="CC20" s="1"/>
      <c r="CD20" s="1"/>
      <c r="CE20" s="1"/>
      <c r="CF20" s="1">
        <v>0</v>
      </c>
      <c r="CG20" s="1">
        <v>0</v>
      </c>
      <c r="CH20" s="1"/>
      <c r="CI20" s="1" t="s">
        <v>6</v>
      </c>
      <c r="CJ20" s="1" t="s">
        <v>6</v>
      </c>
      <c r="CK20" t="s">
        <v>6</v>
      </c>
      <c r="CL20" t="s">
        <v>6</v>
      </c>
      <c r="CM20" t="s">
        <v>6</v>
      </c>
      <c r="CN20" t="s">
        <v>6</v>
      </c>
      <c r="CO20" t="s">
        <v>6</v>
      </c>
      <c r="CP20" t="s">
        <v>6</v>
      </c>
      <c r="CQ20" t="s">
        <v>6</v>
      </c>
      <c r="IF20">
        <v>-1</v>
      </c>
    </row>
    <row r="21" spans="1:255" x14ac:dyDescent="0.2">
      <c r="IF21">
        <v>-1</v>
      </c>
    </row>
    <row r="22" spans="1:255" x14ac:dyDescent="0.2">
      <c r="A22" s="3">
        <v>52</v>
      </c>
      <c r="B22" s="3">
        <f t="shared" ref="B22:G22" si="7">B437</f>
        <v>1</v>
      </c>
      <c r="C22" s="3">
        <f t="shared" si="7"/>
        <v>3</v>
      </c>
      <c r="D22" s="3">
        <f t="shared" si="7"/>
        <v>20</v>
      </c>
      <c r="E22" s="3">
        <f t="shared" si="7"/>
        <v>0</v>
      </c>
      <c r="F22" s="3" t="str">
        <f t="shared" si="7"/>
        <v>5.3.1.24</v>
      </c>
      <c r="G22" s="3" t="str">
        <f t="shared" si="7"/>
        <v>Монтаж конструкций здания выше 0.000. Монолитный каркас 17-20 этажей 2 сек</v>
      </c>
      <c r="H22" s="3"/>
      <c r="I22" s="3"/>
      <c r="J22" s="3"/>
      <c r="K22" s="3"/>
      <c r="L22" s="3"/>
      <c r="M22" s="3"/>
      <c r="N22" s="3"/>
      <c r="O22" s="3" t="e">
        <f t="shared" ref="O22:AT22" si="8">O437</f>
        <v>#REF!</v>
      </c>
      <c r="P22" s="3" t="e">
        <f t="shared" si="8"/>
        <v>#REF!</v>
      </c>
      <c r="Q22" s="3" t="e">
        <f t="shared" si="8"/>
        <v>#REF!</v>
      </c>
      <c r="R22" s="3" t="e">
        <f t="shared" si="8"/>
        <v>#REF!</v>
      </c>
      <c r="S22" s="3" t="e">
        <f t="shared" si="8"/>
        <v>#REF!</v>
      </c>
      <c r="T22" s="3" t="e">
        <f t="shared" si="8"/>
        <v>#REF!</v>
      </c>
      <c r="U22" s="3" t="e">
        <f t="shared" si="8"/>
        <v>#REF!</v>
      </c>
      <c r="V22" s="3" t="e">
        <f t="shared" si="8"/>
        <v>#REF!</v>
      </c>
      <c r="W22" s="3" t="e">
        <f t="shared" si="8"/>
        <v>#REF!</v>
      </c>
      <c r="X22" s="3" t="e">
        <f t="shared" si="8"/>
        <v>#REF!</v>
      </c>
      <c r="Y22" s="3" t="e">
        <f t="shared" si="8"/>
        <v>#REF!</v>
      </c>
      <c r="Z22" s="3">
        <f t="shared" si="8"/>
        <v>0</v>
      </c>
      <c r="AA22" s="3">
        <f t="shared" si="8"/>
        <v>0</v>
      </c>
      <c r="AB22" s="3">
        <f t="shared" si="8"/>
        <v>0</v>
      </c>
      <c r="AC22" s="3">
        <f t="shared" si="8"/>
        <v>0</v>
      </c>
      <c r="AD22" s="3">
        <f t="shared" si="8"/>
        <v>0</v>
      </c>
      <c r="AE22" s="3">
        <f t="shared" si="8"/>
        <v>0</v>
      </c>
      <c r="AF22" s="3">
        <f t="shared" si="8"/>
        <v>0</v>
      </c>
      <c r="AG22" s="3">
        <f t="shared" si="8"/>
        <v>0</v>
      </c>
      <c r="AH22" s="3">
        <f t="shared" si="8"/>
        <v>0</v>
      </c>
      <c r="AI22" s="3">
        <f t="shared" si="8"/>
        <v>0</v>
      </c>
      <c r="AJ22" s="3">
        <f t="shared" si="8"/>
        <v>0</v>
      </c>
      <c r="AK22" s="3">
        <f t="shared" si="8"/>
        <v>0</v>
      </c>
      <c r="AL22" s="3">
        <f t="shared" si="8"/>
        <v>0</v>
      </c>
      <c r="AM22" s="3">
        <f t="shared" si="8"/>
        <v>0</v>
      </c>
      <c r="AN22" s="3">
        <f t="shared" si="8"/>
        <v>0</v>
      </c>
      <c r="AO22" s="3">
        <f t="shared" si="8"/>
        <v>0</v>
      </c>
      <c r="AP22" s="3">
        <f t="shared" si="8"/>
        <v>0</v>
      </c>
      <c r="AQ22" s="3">
        <f t="shared" si="8"/>
        <v>0</v>
      </c>
      <c r="AR22" s="3" t="e">
        <f t="shared" si="8"/>
        <v>#REF!</v>
      </c>
      <c r="AS22" s="3" t="e">
        <f t="shared" si="8"/>
        <v>#REF!</v>
      </c>
      <c r="AT22" s="3" t="e">
        <f t="shared" si="8"/>
        <v>#REF!</v>
      </c>
      <c r="AU22" s="3">
        <f t="shared" ref="AU22:BZ22" si="9">AU437</f>
        <v>0</v>
      </c>
      <c r="AV22" s="3" t="e">
        <f t="shared" si="9"/>
        <v>#REF!</v>
      </c>
      <c r="AW22" s="3" t="e">
        <f t="shared" si="9"/>
        <v>#REF!</v>
      </c>
      <c r="AX22" s="3">
        <f t="shared" si="9"/>
        <v>0</v>
      </c>
      <c r="AY22" s="3" t="e">
        <f t="shared" si="9"/>
        <v>#REF!</v>
      </c>
      <c r="AZ22" s="3">
        <f t="shared" si="9"/>
        <v>0</v>
      </c>
      <c r="BA22" s="3" t="e">
        <f t="shared" si="9"/>
        <v>#REF!</v>
      </c>
      <c r="BB22" s="3">
        <f t="shared" si="9"/>
        <v>0</v>
      </c>
      <c r="BC22" s="3">
        <f t="shared" si="9"/>
        <v>0</v>
      </c>
      <c r="BD22" s="3">
        <f t="shared" si="9"/>
        <v>0</v>
      </c>
      <c r="BE22" s="3">
        <f t="shared" si="9"/>
        <v>0</v>
      </c>
      <c r="BF22" s="3">
        <f t="shared" si="9"/>
        <v>0</v>
      </c>
      <c r="BG22" s="3">
        <f t="shared" si="9"/>
        <v>0</v>
      </c>
      <c r="BH22" s="3">
        <f t="shared" si="9"/>
        <v>0</v>
      </c>
      <c r="BI22" s="3">
        <f t="shared" si="9"/>
        <v>0</v>
      </c>
      <c r="BJ22" s="3">
        <f t="shared" si="9"/>
        <v>0</v>
      </c>
      <c r="BK22" s="3">
        <f t="shared" si="9"/>
        <v>0</v>
      </c>
      <c r="BL22" s="3">
        <f t="shared" si="9"/>
        <v>0</v>
      </c>
      <c r="BM22" s="3">
        <f t="shared" si="9"/>
        <v>0</v>
      </c>
      <c r="BN22" s="3">
        <f t="shared" si="9"/>
        <v>0</v>
      </c>
      <c r="BO22" s="3">
        <f t="shared" si="9"/>
        <v>0</v>
      </c>
      <c r="BP22" s="3">
        <f t="shared" si="9"/>
        <v>0</v>
      </c>
      <c r="BQ22" s="3">
        <f t="shared" si="9"/>
        <v>0</v>
      </c>
      <c r="BR22" s="3">
        <f t="shared" si="9"/>
        <v>0</v>
      </c>
      <c r="BS22" s="3">
        <f t="shared" si="9"/>
        <v>0</v>
      </c>
      <c r="BT22" s="3">
        <f t="shared" si="9"/>
        <v>0</v>
      </c>
      <c r="BU22" s="3">
        <f t="shared" si="9"/>
        <v>0</v>
      </c>
      <c r="BV22" s="3">
        <f t="shared" si="9"/>
        <v>0</v>
      </c>
      <c r="BW22" s="3">
        <f t="shared" si="9"/>
        <v>0</v>
      </c>
      <c r="BX22" s="3">
        <f t="shared" si="9"/>
        <v>0</v>
      </c>
      <c r="BY22" s="3">
        <f t="shared" si="9"/>
        <v>0</v>
      </c>
      <c r="BZ22" s="3">
        <f t="shared" si="9"/>
        <v>0</v>
      </c>
      <c r="CA22" s="3">
        <f t="shared" ref="CA22:DF22" si="10">CA437</f>
        <v>0</v>
      </c>
      <c r="CB22" s="3">
        <f t="shared" si="10"/>
        <v>0</v>
      </c>
      <c r="CC22" s="3">
        <f t="shared" si="10"/>
        <v>0</v>
      </c>
      <c r="CD22" s="3">
        <f t="shared" si="10"/>
        <v>0</v>
      </c>
      <c r="CE22" s="3">
        <f t="shared" si="10"/>
        <v>0</v>
      </c>
      <c r="CF22" s="3">
        <f t="shared" si="10"/>
        <v>0</v>
      </c>
      <c r="CG22" s="3">
        <f t="shared" si="10"/>
        <v>0</v>
      </c>
      <c r="CH22" s="3">
        <f t="shared" si="10"/>
        <v>0</v>
      </c>
      <c r="CI22" s="3">
        <f t="shared" si="10"/>
        <v>0</v>
      </c>
      <c r="CJ22" s="3">
        <f t="shared" si="10"/>
        <v>0</v>
      </c>
      <c r="CK22" s="3">
        <f t="shared" si="10"/>
        <v>0</v>
      </c>
      <c r="CL22" s="3">
        <f t="shared" si="10"/>
        <v>0</v>
      </c>
      <c r="CM22" s="3">
        <f t="shared" si="10"/>
        <v>0</v>
      </c>
      <c r="CN22" s="3">
        <f t="shared" si="10"/>
        <v>0</v>
      </c>
      <c r="CO22" s="3">
        <f t="shared" si="10"/>
        <v>0</v>
      </c>
      <c r="CP22" s="3">
        <f t="shared" si="10"/>
        <v>0</v>
      </c>
      <c r="CQ22" s="3">
        <f t="shared" si="10"/>
        <v>0</v>
      </c>
      <c r="CR22" s="3">
        <f t="shared" si="10"/>
        <v>0</v>
      </c>
      <c r="CS22" s="3">
        <f t="shared" si="10"/>
        <v>0</v>
      </c>
      <c r="CT22" s="3">
        <f t="shared" si="10"/>
        <v>0</v>
      </c>
      <c r="CU22" s="3">
        <f t="shared" si="10"/>
        <v>0</v>
      </c>
      <c r="CV22" s="3">
        <f t="shared" si="10"/>
        <v>0</v>
      </c>
      <c r="CW22" s="3">
        <f t="shared" si="10"/>
        <v>0</v>
      </c>
      <c r="CX22" s="3">
        <f t="shared" si="10"/>
        <v>0</v>
      </c>
      <c r="CY22" s="3">
        <f t="shared" si="10"/>
        <v>0</v>
      </c>
      <c r="CZ22" s="3">
        <f t="shared" si="10"/>
        <v>0</v>
      </c>
      <c r="DA22" s="3">
        <f t="shared" si="10"/>
        <v>0</v>
      </c>
      <c r="DB22" s="3">
        <f t="shared" si="10"/>
        <v>0</v>
      </c>
      <c r="DC22" s="3">
        <f t="shared" si="10"/>
        <v>0</v>
      </c>
      <c r="DD22" s="3">
        <f t="shared" si="10"/>
        <v>0</v>
      </c>
      <c r="DE22" s="3">
        <f t="shared" si="10"/>
        <v>0</v>
      </c>
      <c r="DF22" s="3">
        <f t="shared" si="10"/>
        <v>0</v>
      </c>
      <c r="DG22" s="4" t="e">
        <f t="shared" ref="DG22:EL22" si="11">DG437</f>
        <v>#REF!</v>
      </c>
      <c r="DH22" s="4" t="e">
        <f t="shared" si="11"/>
        <v>#REF!</v>
      </c>
      <c r="DI22" s="4" t="e">
        <f t="shared" si="11"/>
        <v>#REF!</v>
      </c>
      <c r="DJ22" s="4" t="e">
        <f t="shared" si="11"/>
        <v>#REF!</v>
      </c>
      <c r="DK22" s="4" t="e">
        <f t="shared" si="11"/>
        <v>#REF!</v>
      </c>
      <c r="DL22" s="4" t="e">
        <f t="shared" si="11"/>
        <v>#REF!</v>
      </c>
      <c r="DM22" s="4" t="e">
        <f t="shared" si="11"/>
        <v>#REF!</v>
      </c>
      <c r="DN22" s="4" t="e">
        <f t="shared" si="11"/>
        <v>#REF!</v>
      </c>
      <c r="DO22" s="4" t="e">
        <f t="shared" si="11"/>
        <v>#REF!</v>
      </c>
      <c r="DP22" s="4" t="e">
        <f t="shared" si="11"/>
        <v>#REF!</v>
      </c>
      <c r="DQ22" s="4" t="e">
        <f t="shared" si="11"/>
        <v>#REF!</v>
      </c>
      <c r="DR22" s="4">
        <f t="shared" si="11"/>
        <v>0</v>
      </c>
      <c r="DS22" s="4">
        <f t="shared" si="11"/>
        <v>0</v>
      </c>
      <c r="DT22" s="4">
        <f t="shared" si="11"/>
        <v>0</v>
      </c>
      <c r="DU22" s="4">
        <f t="shared" si="11"/>
        <v>0</v>
      </c>
      <c r="DV22" s="4">
        <f t="shared" si="11"/>
        <v>0</v>
      </c>
      <c r="DW22" s="4">
        <f t="shared" si="11"/>
        <v>0</v>
      </c>
      <c r="DX22" s="4">
        <f t="shared" si="11"/>
        <v>0</v>
      </c>
      <c r="DY22" s="4">
        <f t="shared" si="11"/>
        <v>0</v>
      </c>
      <c r="DZ22" s="4">
        <f t="shared" si="11"/>
        <v>0</v>
      </c>
      <c r="EA22" s="4">
        <f t="shared" si="11"/>
        <v>0</v>
      </c>
      <c r="EB22" s="4">
        <f t="shared" si="11"/>
        <v>0</v>
      </c>
      <c r="EC22" s="4">
        <f t="shared" si="11"/>
        <v>0</v>
      </c>
      <c r="ED22" s="4">
        <f t="shared" si="11"/>
        <v>0</v>
      </c>
      <c r="EE22" s="4">
        <f t="shared" si="11"/>
        <v>0</v>
      </c>
      <c r="EF22" s="4">
        <f t="shared" si="11"/>
        <v>0</v>
      </c>
      <c r="EG22" s="4">
        <f t="shared" si="11"/>
        <v>0</v>
      </c>
      <c r="EH22" s="4">
        <f t="shared" si="11"/>
        <v>0</v>
      </c>
      <c r="EI22" s="4">
        <f t="shared" si="11"/>
        <v>0</v>
      </c>
      <c r="EJ22" s="4" t="e">
        <f t="shared" si="11"/>
        <v>#REF!</v>
      </c>
      <c r="EK22" s="4" t="e">
        <f t="shared" si="11"/>
        <v>#REF!</v>
      </c>
      <c r="EL22" s="4" t="e">
        <f t="shared" si="11"/>
        <v>#REF!</v>
      </c>
      <c r="EM22" s="4">
        <f t="shared" ref="EM22:FR22" si="12">EM437</f>
        <v>0</v>
      </c>
      <c r="EN22" s="4" t="e">
        <f t="shared" si="12"/>
        <v>#REF!</v>
      </c>
      <c r="EO22" s="4" t="e">
        <f t="shared" si="12"/>
        <v>#REF!</v>
      </c>
      <c r="EP22" s="4">
        <f t="shared" si="12"/>
        <v>0</v>
      </c>
      <c r="EQ22" s="4" t="e">
        <f t="shared" si="12"/>
        <v>#REF!</v>
      </c>
      <c r="ER22" s="4">
        <f t="shared" si="12"/>
        <v>0</v>
      </c>
      <c r="ES22" s="4" t="e">
        <f t="shared" si="12"/>
        <v>#REF!</v>
      </c>
      <c r="ET22" s="4">
        <f t="shared" si="12"/>
        <v>0</v>
      </c>
      <c r="EU22" s="4">
        <f t="shared" si="12"/>
        <v>0</v>
      </c>
      <c r="EV22" s="4">
        <f t="shared" si="12"/>
        <v>0</v>
      </c>
      <c r="EW22" s="4">
        <f t="shared" si="12"/>
        <v>0</v>
      </c>
      <c r="EX22" s="4">
        <f t="shared" si="12"/>
        <v>0</v>
      </c>
      <c r="EY22" s="4">
        <f t="shared" si="12"/>
        <v>0</v>
      </c>
      <c r="EZ22" s="4">
        <f t="shared" si="12"/>
        <v>0</v>
      </c>
      <c r="FA22" s="4">
        <f t="shared" si="12"/>
        <v>0</v>
      </c>
      <c r="FB22" s="4">
        <f t="shared" si="12"/>
        <v>0</v>
      </c>
      <c r="FC22" s="4">
        <f t="shared" si="12"/>
        <v>0</v>
      </c>
      <c r="FD22" s="4">
        <f t="shared" si="12"/>
        <v>0</v>
      </c>
      <c r="FE22" s="4">
        <f t="shared" si="12"/>
        <v>0</v>
      </c>
      <c r="FF22" s="4">
        <f t="shared" si="12"/>
        <v>0</v>
      </c>
      <c r="FG22" s="4">
        <f t="shared" si="12"/>
        <v>0</v>
      </c>
      <c r="FH22" s="4">
        <f t="shared" si="12"/>
        <v>0</v>
      </c>
      <c r="FI22" s="4">
        <f t="shared" si="12"/>
        <v>0</v>
      </c>
      <c r="FJ22" s="4">
        <f t="shared" si="12"/>
        <v>0</v>
      </c>
      <c r="FK22" s="4">
        <f t="shared" si="12"/>
        <v>0</v>
      </c>
      <c r="FL22" s="4">
        <f t="shared" si="12"/>
        <v>0</v>
      </c>
      <c r="FM22" s="4">
        <f t="shared" si="12"/>
        <v>0</v>
      </c>
      <c r="FN22" s="4">
        <f t="shared" si="12"/>
        <v>0</v>
      </c>
      <c r="FO22" s="4">
        <f t="shared" si="12"/>
        <v>0</v>
      </c>
      <c r="FP22" s="4">
        <f t="shared" si="12"/>
        <v>0</v>
      </c>
      <c r="FQ22" s="4">
        <f t="shared" si="12"/>
        <v>0</v>
      </c>
      <c r="FR22" s="4">
        <f t="shared" si="12"/>
        <v>0</v>
      </c>
      <c r="FS22" s="4">
        <f t="shared" ref="FS22:GX22" si="13">FS437</f>
        <v>0</v>
      </c>
      <c r="FT22" s="4">
        <f t="shared" si="13"/>
        <v>0</v>
      </c>
      <c r="FU22" s="4">
        <f t="shared" si="13"/>
        <v>0</v>
      </c>
      <c r="FV22" s="4">
        <f t="shared" si="13"/>
        <v>0</v>
      </c>
      <c r="FW22" s="4">
        <f t="shared" si="13"/>
        <v>0</v>
      </c>
      <c r="FX22" s="4">
        <f t="shared" si="13"/>
        <v>0</v>
      </c>
      <c r="FY22" s="4">
        <f t="shared" si="13"/>
        <v>0</v>
      </c>
      <c r="FZ22" s="4">
        <f t="shared" si="13"/>
        <v>0</v>
      </c>
      <c r="GA22" s="4">
        <f t="shared" si="13"/>
        <v>0</v>
      </c>
      <c r="GB22" s="4">
        <f t="shared" si="13"/>
        <v>0</v>
      </c>
      <c r="GC22" s="4">
        <f t="shared" si="13"/>
        <v>0</v>
      </c>
      <c r="GD22" s="4">
        <f t="shared" si="13"/>
        <v>0</v>
      </c>
      <c r="GE22" s="4">
        <f t="shared" si="13"/>
        <v>0</v>
      </c>
      <c r="GF22" s="4">
        <f t="shared" si="13"/>
        <v>0</v>
      </c>
      <c r="GG22" s="4">
        <f t="shared" si="13"/>
        <v>0</v>
      </c>
      <c r="GH22" s="4">
        <f t="shared" si="13"/>
        <v>0</v>
      </c>
      <c r="GI22" s="4">
        <f t="shared" si="13"/>
        <v>0</v>
      </c>
      <c r="GJ22" s="4">
        <f t="shared" si="13"/>
        <v>0</v>
      </c>
      <c r="GK22" s="4">
        <f t="shared" si="13"/>
        <v>0</v>
      </c>
      <c r="GL22" s="4">
        <f t="shared" si="13"/>
        <v>0</v>
      </c>
      <c r="GM22" s="4">
        <f t="shared" si="13"/>
        <v>0</v>
      </c>
      <c r="GN22" s="4">
        <f t="shared" si="13"/>
        <v>0</v>
      </c>
      <c r="GO22" s="4">
        <f t="shared" si="13"/>
        <v>0</v>
      </c>
      <c r="GP22" s="4">
        <f t="shared" si="13"/>
        <v>0</v>
      </c>
      <c r="GQ22" s="4">
        <f t="shared" si="13"/>
        <v>0</v>
      </c>
      <c r="GR22" s="4">
        <f t="shared" si="13"/>
        <v>0</v>
      </c>
      <c r="GS22" s="4">
        <f t="shared" si="13"/>
        <v>0</v>
      </c>
      <c r="GT22" s="4">
        <f t="shared" si="13"/>
        <v>0</v>
      </c>
      <c r="GU22" s="4">
        <f t="shared" si="13"/>
        <v>0</v>
      </c>
      <c r="GV22" s="4">
        <f t="shared" si="13"/>
        <v>0</v>
      </c>
      <c r="GW22" s="4">
        <f t="shared" si="13"/>
        <v>0</v>
      </c>
      <c r="GX22" s="4">
        <f t="shared" si="13"/>
        <v>0</v>
      </c>
      <c r="IF22">
        <v>-1</v>
      </c>
    </row>
    <row r="23" spans="1:255" x14ac:dyDescent="0.2">
      <c r="IF23">
        <v>-1</v>
      </c>
    </row>
    <row r="24" spans="1:255" x14ac:dyDescent="0.2">
      <c r="A24" s="1">
        <v>4</v>
      </c>
      <c r="B24" s="1">
        <v>1</v>
      </c>
      <c r="C24" s="1"/>
      <c r="D24" s="1">
        <f>ROW(A85)</f>
        <v>85</v>
      </c>
      <c r="E24" s="1"/>
      <c r="F24" s="1" t="s">
        <v>17</v>
      </c>
      <c r="G24" s="1" t="s">
        <v>17</v>
      </c>
      <c r="H24" s="1" t="s">
        <v>6</v>
      </c>
      <c r="I24" s="1">
        <v>0</v>
      </c>
      <c r="J24" s="1"/>
      <c r="K24" s="1">
        <v>-1</v>
      </c>
      <c r="L24" s="1"/>
      <c r="M24" s="1" t="s">
        <v>6</v>
      </c>
      <c r="N24" s="1"/>
      <c r="O24" s="1"/>
      <c r="P24" s="1"/>
      <c r="Q24" s="1"/>
      <c r="R24" s="1"/>
      <c r="S24" s="1">
        <v>0</v>
      </c>
      <c r="T24" s="1">
        <v>0</v>
      </c>
      <c r="U24" s="1" t="s">
        <v>6</v>
      </c>
      <c r="V24" s="1">
        <v>0</v>
      </c>
      <c r="W24" s="1"/>
      <c r="X24" s="1"/>
      <c r="Y24" s="1"/>
      <c r="Z24" s="1"/>
      <c r="AA24" s="1"/>
      <c r="AB24" s="1" t="s">
        <v>6</v>
      </c>
      <c r="AC24" s="1" t="s">
        <v>6</v>
      </c>
      <c r="AD24" s="1" t="s">
        <v>6</v>
      </c>
      <c r="AE24" s="1" t="s">
        <v>6</v>
      </c>
      <c r="AF24" s="1" t="s">
        <v>6</v>
      </c>
      <c r="AG24" s="1" t="s">
        <v>6</v>
      </c>
      <c r="AH24" s="1"/>
      <c r="AI24" s="1"/>
      <c r="AJ24" s="1"/>
      <c r="AK24" s="1"/>
      <c r="AL24" s="1"/>
      <c r="AM24" s="1"/>
      <c r="AN24" s="1"/>
      <c r="AO24" s="1"/>
      <c r="AP24" s="1" t="s">
        <v>6</v>
      </c>
      <c r="AQ24" s="1" t="s">
        <v>6</v>
      </c>
      <c r="AR24" s="1" t="s">
        <v>6</v>
      </c>
      <c r="AS24" s="1"/>
      <c r="AT24" s="1"/>
      <c r="AU24" s="1"/>
      <c r="AV24" s="1"/>
      <c r="AW24" s="1"/>
      <c r="AX24" s="1"/>
      <c r="AY24" s="1"/>
      <c r="AZ24" s="1" t="s">
        <v>6</v>
      </c>
      <c r="BA24" s="1"/>
      <c r="BB24" s="1" t="s">
        <v>6</v>
      </c>
      <c r="BC24" s="1" t="s">
        <v>6</v>
      </c>
      <c r="BD24" s="1" t="s">
        <v>6</v>
      </c>
      <c r="BE24" s="1" t="s">
        <v>6</v>
      </c>
      <c r="BF24" s="1" t="s">
        <v>6</v>
      </c>
      <c r="BG24" s="1" t="s">
        <v>6</v>
      </c>
      <c r="BH24" s="1" t="s">
        <v>6</v>
      </c>
      <c r="BI24" s="1" t="s">
        <v>6</v>
      </c>
      <c r="BJ24" s="1" t="s">
        <v>6</v>
      </c>
      <c r="BK24" s="1" t="s">
        <v>6</v>
      </c>
      <c r="BL24" s="1" t="s">
        <v>6</v>
      </c>
      <c r="BM24" s="1" t="s">
        <v>6</v>
      </c>
      <c r="BN24" s="1" t="s">
        <v>6</v>
      </c>
      <c r="BO24" s="1" t="s">
        <v>6</v>
      </c>
      <c r="BP24" s="1" t="s">
        <v>6</v>
      </c>
      <c r="BQ24" s="1"/>
      <c r="BR24" s="1"/>
      <c r="BS24" s="1"/>
      <c r="BT24" s="1"/>
      <c r="BU24" s="1"/>
      <c r="BV24" s="1"/>
      <c r="BW24" s="1"/>
      <c r="BX24" s="1">
        <v>0</v>
      </c>
      <c r="BY24" s="1"/>
      <c r="BZ24" s="1"/>
      <c r="CA24" s="1"/>
      <c r="CB24" s="1"/>
      <c r="CC24" s="1"/>
      <c r="CD24" s="1"/>
      <c r="CE24" s="1"/>
      <c r="CF24" s="1"/>
      <c r="CG24" s="1"/>
      <c r="CH24" s="1"/>
      <c r="CI24" s="1"/>
      <c r="CJ24" s="1">
        <v>0</v>
      </c>
      <c r="IF24">
        <v>-1</v>
      </c>
    </row>
    <row r="25" spans="1:255" x14ac:dyDescent="0.2">
      <c r="IF25">
        <v>-1</v>
      </c>
    </row>
    <row r="26" spans="1:255" x14ac:dyDescent="0.2">
      <c r="A26" s="3">
        <v>52</v>
      </c>
      <c r="B26" s="3">
        <f t="shared" ref="B26:G26" si="14">B85</f>
        <v>1</v>
      </c>
      <c r="C26" s="3">
        <f t="shared" si="14"/>
        <v>4</v>
      </c>
      <c r="D26" s="3">
        <f t="shared" si="14"/>
        <v>24</v>
      </c>
      <c r="E26" s="3">
        <f t="shared" si="14"/>
        <v>0</v>
      </c>
      <c r="F26" s="3" t="str">
        <f t="shared" si="14"/>
        <v>Пилоны 17-20 этажи</v>
      </c>
      <c r="G26" s="3" t="str">
        <f t="shared" si="14"/>
        <v>Пилоны 17-20 этажи</v>
      </c>
      <c r="H26" s="3"/>
      <c r="I26" s="3"/>
      <c r="J26" s="3"/>
      <c r="K26" s="3"/>
      <c r="L26" s="3"/>
      <c r="M26" s="3"/>
      <c r="N26" s="3"/>
      <c r="O26" s="3" t="e">
        <f t="shared" ref="O26:AT26" si="15">O85</f>
        <v>#REF!</v>
      </c>
      <c r="P26" s="3" t="e">
        <f t="shared" si="15"/>
        <v>#REF!</v>
      </c>
      <c r="Q26" s="3" t="e">
        <f t="shared" si="15"/>
        <v>#REF!</v>
      </c>
      <c r="R26" s="3" t="e">
        <f t="shared" si="15"/>
        <v>#REF!</v>
      </c>
      <c r="S26" s="3" t="e">
        <f t="shared" si="15"/>
        <v>#REF!</v>
      </c>
      <c r="T26" s="3" t="e">
        <f t="shared" si="15"/>
        <v>#REF!</v>
      </c>
      <c r="U26" s="3" t="e">
        <f t="shared" si="15"/>
        <v>#REF!</v>
      </c>
      <c r="V26" s="3" t="e">
        <f t="shared" si="15"/>
        <v>#REF!</v>
      </c>
      <c r="W26" s="3" t="e">
        <f t="shared" si="15"/>
        <v>#REF!</v>
      </c>
      <c r="X26" s="3" t="e">
        <f t="shared" si="15"/>
        <v>#REF!</v>
      </c>
      <c r="Y26" s="3" t="e">
        <f t="shared" si="15"/>
        <v>#REF!</v>
      </c>
      <c r="Z26" s="3">
        <f t="shared" si="15"/>
        <v>0</v>
      </c>
      <c r="AA26" s="3">
        <f t="shared" si="15"/>
        <v>0</v>
      </c>
      <c r="AB26" s="3" t="e">
        <f t="shared" si="15"/>
        <v>#REF!</v>
      </c>
      <c r="AC26" s="3" t="e">
        <f t="shared" si="15"/>
        <v>#REF!</v>
      </c>
      <c r="AD26" s="3" t="e">
        <f t="shared" si="15"/>
        <v>#REF!</v>
      </c>
      <c r="AE26" s="3" t="e">
        <f t="shared" si="15"/>
        <v>#REF!</v>
      </c>
      <c r="AF26" s="3" t="e">
        <f t="shared" si="15"/>
        <v>#REF!</v>
      </c>
      <c r="AG26" s="3" t="e">
        <f t="shared" si="15"/>
        <v>#REF!</v>
      </c>
      <c r="AH26" s="3" t="e">
        <f t="shared" si="15"/>
        <v>#REF!</v>
      </c>
      <c r="AI26" s="3" t="e">
        <f t="shared" si="15"/>
        <v>#REF!</v>
      </c>
      <c r="AJ26" s="3" t="e">
        <f t="shared" si="15"/>
        <v>#REF!</v>
      </c>
      <c r="AK26" s="3" t="e">
        <f t="shared" si="15"/>
        <v>#REF!</v>
      </c>
      <c r="AL26" s="3" t="e">
        <f t="shared" si="15"/>
        <v>#REF!</v>
      </c>
      <c r="AM26" s="3">
        <f t="shared" si="15"/>
        <v>0</v>
      </c>
      <c r="AN26" s="3">
        <f t="shared" si="15"/>
        <v>0</v>
      </c>
      <c r="AO26" s="3">
        <f t="shared" si="15"/>
        <v>0</v>
      </c>
      <c r="AP26" s="3">
        <f t="shared" si="15"/>
        <v>0</v>
      </c>
      <c r="AQ26" s="3">
        <f t="shared" si="15"/>
        <v>0</v>
      </c>
      <c r="AR26" s="3" t="e">
        <f t="shared" si="15"/>
        <v>#REF!</v>
      </c>
      <c r="AS26" s="3" t="e">
        <f t="shared" si="15"/>
        <v>#REF!</v>
      </c>
      <c r="AT26" s="3">
        <f t="shared" si="15"/>
        <v>170</v>
      </c>
      <c r="AU26" s="3">
        <f t="shared" ref="AU26:BZ26" si="16">AU85</f>
        <v>0</v>
      </c>
      <c r="AV26" s="3" t="e">
        <f t="shared" si="16"/>
        <v>#REF!</v>
      </c>
      <c r="AW26" s="3" t="e">
        <f t="shared" si="16"/>
        <v>#REF!</v>
      </c>
      <c r="AX26" s="3">
        <f t="shared" si="16"/>
        <v>0</v>
      </c>
      <c r="AY26" s="3" t="e">
        <f t="shared" si="16"/>
        <v>#REF!</v>
      </c>
      <c r="AZ26" s="3">
        <f t="shared" si="16"/>
        <v>0</v>
      </c>
      <c r="BA26" s="3" t="e">
        <f t="shared" si="16"/>
        <v>#REF!</v>
      </c>
      <c r="BB26" s="3">
        <f t="shared" si="16"/>
        <v>0</v>
      </c>
      <c r="BC26" s="3">
        <f t="shared" si="16"/>
        <v>0</v>
      </c>
      <c r="BD26" s="3">
        <f t="shared" si="16"/>
        <v>0</v>
      </c>
      <c r="BE26" s="3">
        <f t="shared" si="16"/>
        <v>0</v>
      </c>
      <c r="BF26" s="3">
        <f t="shared" si="16"/>
        <v>0</v>
      </c>
      <c r="BG26" s="3">
        <f t="shared" si="16"/>
        <v>0</v>
      </c>
      <c r="BH26" s="3">
        <f t="shared" si="16"/>
        <v>0</v>
      </c>
      <c r="BI26" s="3">
        <f t="shared" si="16"/>
        <v>0</v>
      </c>
      <c r="BJ26" s="3">
        <f t="shared" si="16"/>
        <v>0</v>
      </c>
      <c r="BK26" s="3">
        <f t="shared" si="16"/>
        <v>0</v>
      </c>
      <c r="BL26" s="3">
        <f t="shared" si="16"/>
        <v>0</v>
      </c>
      <c r="BM26" s="3">
        <f t="shared" si="16"/>
        <v>0</v>
      </c>
      <c r="BN26" s="3">
        <f t="shared" si="16"/>
        <v>0</v>
      </c>
      <c r="BO26" s="3">
        <f t="shared" si="16"/>
        <v>0</v>
      </c>
      <c r="BP26" s="3">
        <f t="shared" si="16"/>
        <v>0</v>
      </c>
      <c r="BQ26" s="3">
        <f t="shared" si="16"/>
        <v>0</v>
      </c>
      <c r="BR26" s="3">
        <f t="shared" si="16"/>
        <v>0</v>
      </c>
      <c r="BS26" s="3">
        <f t="shared" si="16"/>
        <v>0</v>
      </c>
      <c r="BT26" s="3">
        <f t="shared" si="16"/>
        <v>0</v>
      </c>
      <c r="BU26" s="3">
        <f t="shared" si="16"/>
        <v>0</v>
      </c>
      <c r="BV26" s="3">
        <f t="shared" si="16"/>
        <v>0</v>
      </c>
      <c r="BW26" s="3">
        <f t="shared" si="16"/>
        <v>0</v>
      </c>
      <c r="BX26" s="3">
        <f t="shared" si="16"/>
        <v>0</v>
      </c>
      <c r="BY26" s="3">
        <f t="shared" si="16"/>
        <v>0</v>
      </c>
      <c r="BZ26" s="3">
        <f t="shared" si="16"/>
        <v>0</v>
      </c>
      <c r="CA26" s="3" t="e">
        <f t="shared" ref="CA26:DF26" si="17">CA85</f>
        <v>#REF!</v>
      </c>
      <c r="CB26" s="3" t="e">
        <f t="shared" si="17"/>
        <v>#REF!</v>
      </c>
      <c r="CC26" s="3">
        <f t="shared" si="17"/>
        <v>170</v>
      </c>
      <c r="CD26" s="3">
        <f t="shared" si="17"/>
        <v>0</v>
      </c>
      <c r="CE26" s="3" t="e">
        <f t="shared" si="17"/>
        <v>#REF!</v>
      </c>
      <c r="CF26" s="3" t="e">
        <f t="shared" si="17"/>
        <v>#REF!</v>
      </c>
      <c r="CG26" s="3">
        <f t="shared" si="17"/>
        <v>0</v>
      </c>
      <c r="CH26" s="3" t="e">
        <f t="shared" si="17"/>
        <v>#REF!</v>
      </c>
      <c r="CI26" s="3">
        <f t="shared" si="17"/>
        <v>0</v>
      </c>
      <c r="CJ26" s="3" t="e">
        <f t="shared" si="17"/>
        <v>#REF!</v>
      </c>
      <c r="CK26" s="3">
        <f t="shared" si="17"/>
        <v>0</v>
      </c>
      <c r="CL26" s="3">
        <f t="shared" si="17"/>
        <v>0</v>
      </c>
      <c r="CM26" s="3">
        <f t="shared" si="17"/>
        <v>0</v>
      </c>
      <c r="CN26" s="3">
        <f t="shared" si="17"/>
        <v>0</v>
      </c>
      <c r="CO26" s="3">
        <f t="shared" si="17"/>
        <v>0</v>
      </c>
      <c r="CP26" s="3">
        <f t="shared" si="17"/>
        <v>0</v>
      </c>
      <c r="CQ26" s="3">
        <f t="shared" si="17"/>
        <v>0</v>
      </c>
      <c r="CR26" s="3">
        <f t="shared" si="17"/>
        <v>0</v>
      </c>
      <c r="CS26" s="3">
        <f t="shared" si="17"/>
        <v>0</v>
      </c>
      <c r="CT26" s="3">
        <f t="shared" si="17"/>
        <v>0</v>
      </c>
      <c r="CU26" s="3">
        <f t="shared" si="17"/>
        <v>0</v>
      </c>
      <c r="CV26" s="3">
        <f t="shared" si="17"/>
        <v>0</v>
      </c>
      <c r="CW26" s="3">
        <f t="shared" si="17"/>
        <v>0</v>
      </c>
      <c r="CX26" s="3">
        <f t="shared" si="17"/>
        <v>0</v>
      </c>
      <c r="CY26" s="3">
        <f t="shared" si="17"/>
        <v>0</v>
      </c>
      <c r="CZ26" s="3">
        <f t="shared" si="17"/>
        <v>0</v>
      </c>
      <c r="DA26" s="3">
        <f t="shared" si="17"/>
        <v>0</v>
      </c>
      <c r="DB26" s="3">
        <f t="shared" si="17"/>
        <v>0</v>
      </c>
      <c r="DC26" s="3">
        <f t="shared" si="17"/>
        <v>0</v>
      </c>
      <c r="DD26" s="3">
        <f t="shared" si="17"/>
        <v>0</v>
      </c>
      <c r="DE26" s="3">
        <f t="shared" si="17"/>
        <v>0</v>
      </c>
      <c r="DF26" s="3">
        <f t="shared" si="17"/>
        <v>0</v>
      </c>
      <c r="DG26" s="4" t="e">
        <f t="shared" ref="DG26:EL26" si="18">DG85</f>
        <v>#REF!</v>
      </c>
      <c r="DH26" s="4" t="e">
        <f t="shared" si="18"/>
        <v>#REF!</v>
      </c>
      <c r="DI26" s="4" t="e">
        <f t="shared" si="18"/>
        <v>#REF!</v>
      </c>
      <c r="DJ26" s="4" t="e">
        <f t="shared" si="18"/>
        <v>#REF!</v>
      </c>
      <c r="DK26" s="4" t="e">
        <f t="shared" si="18"/>
        <v>#REF!</v>
      </c>
      <c r="DL26" s="4" t="e">
        <f t="shared" si="18"/>
        <v>#REF!</v>
      </c>
      <c r="DM26" s="4" t="e">
        <f t="shared" si="18"/>
        <v>#REF!</v>
      </c>
      <c r="DN26" s="4" t="e">
        <f t="shared" si="18"/>
        <v>#REF!</v>
      </c>
      <c r="DO26" s="4" t="e">
        <f t="shared" si="18"/>
        <v>#REF!</v>
      </c>
      <c r="DP26" s="4" t="e">
        <f t="shared" si="18"/>
        <v>#REF!</v>
      </c>
      <c r="DQ26" s="4" t="e">
        <f t="shared" si="18"/>
        <v>#REF!</v>
      </c>
      <c r="DR26" s="4">
        <f t="shared" si="18"/>
        <v>0</v>
      </c>
      <c r="DS26" s="4">
        <f t="shared" si="18"/>
        <v>0</v>
      </c>
      <c r="DT26" s="4" t="e">
        <f t="shared" si="18"/>
        <v>#REF!</v>
      </c>
      <c r="DU26" s="4" t="e">
        <f t="shared" si="18"/>
        <v>#REF!</v>
      </c>
      <c r="DV26" s="4" t="e">
        <f t="shared" si="18"/>
        <v>#REF!</v>
      </c>
      <c r="DW26" s="4" t="e">
        <f t="shared" si="18"/>
        <v>#REF!</v>
      </c>
      <c r="DX26" s="4" t="e">
        <f t="shared" si="18"/>
        <v>#REF!</v>
      </c>
      <c r="DY26" s="4" t="e">
        <f t="shared" si="18"/>
        <v>#REF!</v>
      </c>
      <c r="DZ26" s="4" t="e">
        <f t="shared" si="18"/>
        <v>#REF!</v>
      </c>
      <c r="EA26" s="4" t="e">
        <f t="shared" si="18"/>
        <v>#REF!</v>
      </c>
      <c r="EB26" s="4" t="e">
        <f t="shared" si="18"/>
        <v>#REF!</v>
      </c>
      <c r="EC26" s="4" t="e">
        <f t="shared" si="18"/>
        <v>#REF!</v>
      </c>
      <c r="ED26" s="4" t="e">
        <f t="shared" si="18"/>
        <v>#REF!</v>
      </c>
      <c r="EE26" s="4">
        <f t="shared" si="18"/>
        <v>0</v>
      </c>
      <c r="EF26" s="4">
        <f t="shared" si="18"/>
        <v>0</v>
      </c>
      <c r="EG26" s="4">
        <f t="shared" si="18"/>
        <v>0</v>
      </c>
      <c r="EH26" s="4">
        <f t="shared" si="18"/>
        <v>0</v>
      </c>
      <c r="EI26" s="4">
        <f t="shared" si="18"/>
        <v>0</v>
      </c>
      <c r="EJ26" s="4" t="e">
        <f t="shared" si="18"/>
        <v>#REF!</v>
      </c>
      <c r="EK26" s="4" t="e">
        <f t="shared" si="18"/>
        <v>#REF!</v>
      </c>
      <c r="EL26" s="4">
        <f t="shared" si="18"/>
        <v>1166</v>
      </c>
      <c r="EM26" s="4">
        <f t="shared" ref="EM26:FR26" si="19">EM85</f>
        <v>0</v>
      </c>
      <c r="EN26" s="4" t="e">
        <f t="shared" si="19"/>
        <v>#REF!</v>
      </c>
      <c r="EO26" s="4" t="e">
        <f t="shared" si="19"/>
        <v>#REF!</v>
      </c>
      <c r="EP26" s="4">
        <f t="shared" si="19"/>
        <v>0</v>
      </c>
      <c r="EQ26" s="4" t="e">
        <f t="shared" si="19"/>
        <v>#REF!</v>
      </c>
      <c r="ER26" s="4">
        <f t="shared" si="19"/>
        <v>0</v>
      </c>
      <c r="ES26" s="4" t="e">
        <f t="shared" si="19"/>
        <v>#REF!</v>
      </c>
      <c r="ET26" s="4">
        <f t="shared" si="19"/>
        <v>0</v>
      </c>
      <c r="EU26" s="4">
        <f t="shared" si="19"/>
        <v>0</v>
      </c>
      <c r="EV26" s="4">
        <f t="shared" si="19"/>
        <v>0</v>
      </c>
      <c r="EW26" s="4">
        <f t="shared" si="19"/>
        <v>0</v>
      </c>
      <c r="EX26" s="4">
        <f t="shared" si="19"/>
        <v>0</v>
      </c>
      <c r="EY26" s="4">
        <f t="shared" si="19"/>
        <v>0</v>
      </c>
      <c r="EZ26" s="4">
        <f t="shared" si="19"/>
        <v>0</v>
      </c>
      <c r="FA26" s="4">
        <f t="shared" si="19"/>
        <v>0</v>
      </c>
      <c r="FB26" s="4">
        <f t="shared" si="19"/>
        <v>0</v>
      </c>
      <c r="FC26" s="4">
        <f t="shared" si="19"/>
        <v>0</v>
      </c>
      <c r="FD26" s="4">
        <f t="shared" si="19"/>
        <v>0</v>
      </c>
      <c r="FE26" s="4">
        <f t="shared" si="19"/>
        <v>0</v>
      </c>
      <c r="FF26" s="4">
        <f t="shared" si="19"/>
        <v>0</v>
      </c>
      <c r="FG26" s="4">
        <f t="shared" si="19"/>
        <v>0</v>
      </c>
      <c r="FH26" s="4">
        <f t="shared" si="19"/>
        <v>0</v>
      </c>
      <c r="FI26" s="4">
        <f t="shared" si="19"/>
        <v>0</v>
      </c>
      <c r="FJ26" s="4">
        <f t="shared" si="19"/>
        <v>0</v>
      </c>
      <c r="FK26" s="4">
        <f t="shared" si="19"/>
        <v>0</v>
      </c>
      <c r="FL26" s="4">
        <f t="shared" si="19"/>
        <v>0</v>
      </c>
      <c r="FM26" s="4">
        <f t="shared" si="19"/>
        <v>0</v>
      </c>
      <c r="FN26" s="4">
        <f t="shared" si="19"/>
        <v>0</v>
      </c>
      <c r="FO26" s="4">
        <f t="shared" si="19"/>
        <v>0</v>
      </c>
      <c r="FP26" s="4">
        <f t="shared" si="19"/>
        <v>0</v>
      </c>
      <c r="FQ26" s="4">
        <f t="shared" si="19"/>
        <v>0</v>
      </c>
      <c r="FR26" s="4">
        <f t="shared" si="19"/>
        <v>0</v>
      </c>
      <c r="FS26" s="4" t="e">
        <f t="shared" ref="FS26:GX26" si="20">FS85</f>
        <v>#REF!</v>
      </c>
      <c r="FT26" s="4" t="e">
        <f t="shared" si="20"/>
        <v>#REF!</v>
      </c>
      <c r="FU26" s="4">
        <f t="shared" si="20"/>
        <v>1166</v>
      </c>
      <c r="FV26" s="4">
        <f t="shared" si="20"/>
        <v>0</v>
      </c>
      <c r="FW26" s="4" t="e">
        <f t="shared" si="20"/>
        <v>#REF!</v>
      </c>
      <c r="FX26" s="4" t="e">
        <f t="shared" si="20"/>
        <v>#REF!</v>
      </c>
      <c r="FY26" s="4">
        <f t="shared" si="20"/>
        <v>0</v>
      </c>
      <c r="FZ26" s="4" t="e">
        <f t="shared" si="20"/>
        <v>#REF!</v>
      </c>
      <c r="GA26" s="4">
        <f t="shared" si="20"/>
        <v>0</v>
      </c>
      <c r="GB26" s="4" t="e">
        <f t="shared" si="20"/>
        <v>#REF!</v>
      </c>
      <c r="GC26" s="4">
        <f t="shared" si="20"/>
        <v>0</v>
      </c>
      <c r="GD26" s="4">
        <f t="shared" si="20"/>
        <v>0</v>
      </c>
      <c r="GE26" s="4">
        <f t="shared" si="20"/>
        <v>0</v>
      </c>
      <c r="GF26" s="4">
        <f t="shared" si="20"/>
        <v>0</v>
      </c>
      <c r="GG26" s="4">
        <f t="shared" si="20"/>
        <v>0</v>
      </c>
      <c r="GH26" s="4">
        <f t="shared" si="20"/>
        <v>0</v>
      </c>
      <c r="GI26" s="4">
        <f t="shared" si="20"/>
        <v>0</v>
      </c>
      <c r="GJ26" s="4">
        <f t="shared" si="20"/>
        <v>0</v>
      </c>
      <c r="GK26" s="4">
        <f t="shared" si="20"/>
        <v>0</v>
      </c>
      <c r="GL26" s="4">
        <f t="shared" si="20"/>
        <v>0</v>
      </c>
      <c r="GM26" s="4">
        <f t="shared" si="20"/>
        <v>0</v>
      </c>
      <c r="GN26" s="4">
        <f t="shared" si="20"/>
        <v>0</v>
      </c>
      <c r="GO26" s="4">
        <f t="shared" si="20"/>
        <v>0</v>
      </c>
      <c r="GP26" s="4">
        <f t="shared" si="20"/>
        <v>0</v>
      </c>
      <c r="GQ26" s="4">
        <f t="shared" si="20"/>
        <v>0</v>
      </c>
      <c r="GR26" s="4">
        <f t="shared" si="20"/>
        <v>0</v>
      </c>
      <c r="GS26" s="4">
        <f t="shared" si="20"/>
        <v>0</v>
      </c>
      <c r="GT26" s="4">
        <f t="shared" si="20"/>
        <v>0</v>
      </c>
      <c r="GU26" s="4">
        <f t="shared" si="20"/>
        <v>0</v>
      </c>
      <c r="GV26" s="4">
        <f t="shared" si="20"/>
        <v>0</v>
      </c>
      <c r="GW26" s="4">
        <f t="shared" si="20"/>
        <v>0</v>
      </c>
      <c r="GX26" s="4">
        <f t="shared" si="20"/>
        <v>0</v>
      </c>
      <c r="IF26">
        <v>-1</v>
      </c>
    </row>
    <row r="27" spans="1:255" x14ac:dyDescent="0.2">
      <c r="IF27">
        <v>-1</v>
      </c>
    </row>
    <row r="28" spans="1:255" x14ac:dyDescent="0.2">
      <c r="A28" s="2">
        <v>17</v>
      </c>
      <c r="B28" s="2">
        <v>1</v>
      </c>
      <c r="C28" s="2">
        <f>ROW(SmtRes!A8)</f>
        <v>8</v>
      </c>
      <c r="D28" s="2">
        <f>ROW(EtalonRes!A8)</f>
        <v>8</v>
      </c>
      <c r="E28" s="2" t="s">
        <v>18</v>
      </c>
      <c r="F28" s="2" t="s">
        <v>19</v>
      </c>
      <c r="G28" s="2" t="s">
        <v>20</v>
      </c>
      <c r="H28" s="2" t="s">
        <v>21</v>
      </c>
      <c r="I28" s="2">
        <f>'2.Лок.смета.и.Акт'!E24</f>
        <v>6.6924999999999999</v>
      </c>
      <c r="J28" s="2">
        <v>0</v>
      </c>
      <c r="K28" s="2">
        <v>26.77</v>
      </c>
      <c r="L28" s="2"/>
      <c r="M28" s="2"/>
      <c r="N28" s="2"/>
      <c r="O28" s="2">
        <f t="shared" ref="O28:O59" si="21">ROUND(CP28,0)</f>
        <v>4949</v>
      </c>
      <c r="P28" s="2">
        <f t="shared" ref="P28:P59" si="22">ROUND(CQ28*I28,0)</f>
        <v>0</v>
      </c>
      <c r="Q28" s="2">
        <f t="shared" ref="Q28:Q59" si="23">ROUND(CR28*I28,0)</f>
        <v>4030</v>
      </c>
      <c r="R28" s="2">
        <f t="shared" ref="R28:R59" si="24">ROUND(CS28*I28,0)</f>
        <v>514</v>
      </c>
      <c r="S28" s="2">
        <f t="shared" ref="S28:S59" si="25">ROUND(CT28*I28,0)</f>
        <v>919</v>
      </c>
      <c r="T28" s="2">
        <f t="shared" ref="T28:T59" si="26">ROUND(CU28*I28,0)</f>
        <v>0</v>
      </c>
      <c r="U28" s="2">
        <f t="shared" ref="U28:U59" si="27">CV28*I28</f>
        <v>116.72054625</v>
      </c>
      <c r="V28" s="2">
        <f t="shared" ref="V28:V59" si="28">CW28*I28</f>
        <v>37.777824000000003</v>
      </c>
      <c r="W28" s="2">
        <f t="shared" ref="W28:W59" si="29">ROUND(CX28*I28,0)</f>
        <v>0</v>
      </c>
      <c r="X28" s="2">
        <f t="shared" ref="X28:X59" si="30">ROUND(CY28,0)</f>
        <v>1720</v>
      </c>
      <c r="Y28" s="2">
        <f t="shared" ref="Y28:Y59" si="31">ROUND(CZ28,0)</f>
        <v>1103</v>
      </c>
      <c r="Z28" s="2"/>
      <c r="AA28" s="2">
        <v>86326987</v>
      </c>
      <c r="AB28" s="2">
        <f t="shared" ref="AB28:AB59" si="32">ROUND((AC28+AD28+AF28),2)</f>
        <v>739.38</v>
      </c>
      <c r="AC28" s="2">
        <f>ROUND((ES28+(SUM(SmtRes!BC1:'SmtRes'!BC8)+SUM(EtalonRes!AL1:'EtalonRes'!AL8))),2)</f>
        <v>0</v>
      </c>
      <c r="AD28" s="2">
        <f>ROUND(((((ET28*1.12)+(SUM(SmtRes!BD1:'SmtRes'!BD8)+SUM(EtalonRes!AM1:'EtalonRes'!AM8)))-((EU28*1.12)+(SUM(SmtRes!BE1:'SmtRes'!BE8)+SUM(EtalonRes!AN1:'EtalonRes'!AN8))))+AE28),2)</f>
        <v>602.12</v>
      </c>
      <c r="AE28" s="2">
        <f>ROUND(((EU28*1.12)+(SUM(SmtRes!BE1:'SmtRes'!BE8)+SUM(EtalonRes!AN1:'EtalonRes'!AN8))),2)</f>
        <v>76.819999999999993</v>
      </c>
      <c r="AF28" s="2">
        <f>ROUND(((EV28*1.05)),2)</f>
        <v>137.26</v>
      </c>
      <c r="AG28" s="2">
        <f t="shared" ref="AG28:AG59" si="33">ROUND((AP28),2)</f>
        <v>0</v>
      </c>
      <c r="AH28" s="2">
        <f>((EW28*1.05))</f>
        <v>17.4405</v>
      </c>
      <c r="AI28" s="2">
        <f>((EX28*1.12))</f>
        <v>5.6448000000000009</v>
      </c>
      <c r="AJ28" s="2">
        <f t="shared" ref="AJ28:AJ59" si="34">(AS28)</f>
        <v>0</v>
      </c>
      <c r="AK28" s="2">
        <v>710.58</v>
      </c>
      <c r="AL28" s="2">
        <v>114.1</v>
      </c>
      <c r="AM28" s="2">
        <v>465.76</v>
      </c>
      <c r="AN28" s="2">
        <v>68.59</v>
      </c>
      <c r="AO28" s="2">
        <v>130.72</v>
      </c>
      <c r="AP28" s="2">
        <v>0</v>
      </c>
      <c r="AQ28" s="2">
        <v>16.61</v>
      </c>
      <c r="AR28" s="2">
        <v>5.04</v>
      </c>
      <c r="AS28" s="2">
        <v>0</v>
      </c>
      <c r="AT28" s="2">
        <v>120</v>
      </c>
      <c r="AU28" s="2">
        <v>77</v>
      </c>
      <c r="AV28" s="2">
        <v>1</v>
      </c>
      <c r="AW28" s="2">
        <v>1</v>
      </c>
      <c r="AX28" s="2"/>
      <c r="AY28" s="2"/>
      <c r="AZ28" s="2">
        <v>1</v>
      </c>
      <c r="BA28" s="2">
        <v>1</v>
      </c>
      <c r="BB28" s="2">
        <v>1</v>
      </c>
      <c r="BC28" s="2">
        <v>1</v>
      </c>
      <c r="BD28" s="2" t="s">
        <v>6</v>
      </c>
      <c r="BE28" s="2" t="s">
        <v>6</v>
      </c>
      <c r="BF28" s="2" t="s">
        <v>6</v>
      </c>
      <c r="BG28" s="2" t="s">
        <v>6</v>
      </c>
      <c r="BH28" s="2">
        <v>0</v>
      </c>
      <c r="BI28" s="2">
        <v>1</v>
      </c>
      <c r="BJ28" s="2" t="s">
        <v>22</v>
      </c>
      <c r="BK28" s="2"/>
      <c r="BL28" s="2"/>
      <c r="BM28" s="2">
        <v>6002</v>
      </c>
      <c r="BN28" s="2">
        <v>0</v>
      </c>
      <c r="BO28" s="2" t="s">
        <v>6</v>
      </c>
      <c r="BP28" s="2">
        <v>0</v>
      </c>
      <c r="BQ28" s="2">
        <v>1</v>
      </c>
      <c r="BR28" s="2">
        <v>0</v>
      </c>
      <c r="BS28" s="2">
        <v>1</v>
      </c>
      <c r="BT28" s="2">
        <v>1</v>
      </c>
      <c r="BU28" s="2">
        <v>1</v>
      </c>
      <c r="BV28" s="2">
        <v>1</v>
      </c>
      <c r="BW28" s="2">
        <v>1</v>
      </c>
      <c r="BX28" s="2">
        <v>1</v>
      </c>
      <c r="BY28" s="2" t="s">
        <v>6</v>
      </c>
      <c r="BZ28" s="2">
        <v>120</v>
      </c>
      <c r="CA28" s="2">
        <v>77</v>
      </c>
      <c r="CB28" s="2" t="s">
        <v>6</v>
      </c>
      <c r="CC28" s="2"/>
      <c r="CD28" s="2"/>
      <c r="CE28" s="2">
        <v>0</v>
      </c>
      <c r="CF28" s="2">
        <v>0</v>
      </c>
      <c r="CG28" s="2">
        <v>0</v>
      </c>
      <c r="CH28" s="2"/>
      <c r="CI28" s="2"/>
      <c r="CJ28" s="2"/>
      <c r="CK28" s="2"/>
      <c r="CL28" s="2"/>
      <c r="CM28" s="2">
        <v>0</v>
      </c>
      <c r="CN28" s="2" t="s">
        <v>23</v>
      </c>
      <c r="CO28" s="2">
        <v>0</v>
      </c>
      <c r="CP28" s="2">
        <f t="shared" ref="CP28:CP59" si="35">(P28+Q28+S28)</f>
        <v>4949</v>
      </c>
      <c r="CQ28" s="2">
        <f t="shared" ref="CQ28:CQ59" si="36">AC28*BC28</f>
        <v>0</v>
      </c>
      <c r="CR28" s="2">
        <f t="shared" ref="CR28:CR59" si="37">AD28*BB28</f>
        <v>602.12</v>
      </c>
      <c r="CS28" s="2">
        <f t="shared" ref="CS28:CS59" si="38">AE28*BS28</f>
        <v>76.819999999999993</v>
      </c>
      <c r="CT28" s="2">
        <f t="shared" ref="CT28:CT59" si="39">AF28*BA28</f>
        <v>137.26</v>
      </c>
      <c r="CU28" s="2">
        <f t="shared" ref="CU28:CU59" si="40">AG28</f>
        <v>0</v>
      </c>
      <c r="CV28" s="2">
        <f t="shared" ref="CV28:CV59" si="41">AH28</f>
        <v>17.4405</v>
      </c>
      <c r="CW28" s="2">
        <f t="shared" ref="CW28:CW59" si="42">AI28</f>
        <v>5.6448000000000009</v>
      </c>
      <c r="CX28" s="2">
        <f t="shared" ref="CX28:CX59" si="43">AJ28</f>
        <v>0</v>
      </c>
      <c r="CY28" s="2">
        <f>(((S28+(R28*IF(0,0,1)))*AT28)/100)</f>
        <v>1719.6</v>
      </c>
      <c r="CZ28" s="2">
        <f>(((S28+(R28*IF(0,0,1)))*AU28)/100)</f>
        <v>1103.4100000000001</v>
      </c>
      <c r="DA28" s="2"/>
      <c r="DB28" s="2"/>
      <c r="DC28" s="2" t="s">
        <v>6</v>
      </c>
      <c r="DD28" s="2" t="s">
        <v>6</v>
      </c>
      <c r="DE28" s="2" t="s">
        <v>24</v>
      </c>
      <c r="DF28" s="2" t="s">
        <v>24</v>
      </c>
      <c r="DG28" s="2" t="s">
        <v>25</v>
      </c>
      <c r="DH28" s="2" t="s">
        <v>6</v>
      </c>
      <c r="DI28" s="2" t="s">
        <v>25</v>
      </c>
      <c r="DJ28" s="2" t="s">
        <v>24</v>
      </c>
      <c r="DK28" s="2" t="s">
        <v>6</v>
      </c>
      <c r="DL28" s="2" t="s">
        <v>6</v>
      </c>
      <c r="DM28" s="2" t="s">
        <v>6</v>
      </c>
      <c r="DN28" s="2">
        <v>0</v>
      </c>
      <c r="DO28" s="2">
        <v>0</v>
      </c>
      <c r="DP28" s="2">
        <v>1</v>
      </c>
      <c r="DQ28" s="2">
        <v>1</v>
      </c>
      <c r="DR28" s="2"/>
      <c r="DS28" s="2"/>
      <c r="DT28" s="2"/>
      <c r="DU28" s="2">
        <v>1013</v>
      </c>
      <c r="DV28" s="2" t="s">
        <v>21</v>
      </c>
      <c r="DW28" s="2" t="s">
        <v>21</v>
      </c>
      <c r="DX28" s="2">
        <v>1</v>
      </c>
      <c r="DY28" s="2"/>
      <c r="DZ28" s="2" t="s">
        <v>6</v>
      </c>
      <c r="EA28" s="2" t="s">
        <v>6</v>
      </c>
      <c r="EB28" s="2" t="s">
        <v>6</v>
      </c>
      <c r="EC28" s="2" t="s">
        <v>6</v>
      </c>
      <c r="ED28" s="2"/>
      <c r="EE28" s="2">
        <v>54938592</v>
      </c>
      <c r="EF28" s="2">
        <v>1</v>
      </c>
      <c r="EG28" s="2" t="s">
        <v>26</v>
      </c>
      <c r="EH28" s="2">
        <v>0</v>
      </c>
      <c r="EI28" s="2" t="s">
        <v>6</v>
      </c>
      <c r="EJ28" s="2">
        <v>1</v>
      </c>
      <c r="EK28" s="2">
        <v>6002</v>
      </c>
      <c r="EL28" s="2" t="s">
        <v>27</v>
      </c>
      <c r="EM28" s="2" t="s">
        <v>28</v>
      </c>
      <c r="EN28" s="2"/>
      <c r="EO28" s="2" t="s">
        <v>29</v>
      </c>
      <c r="EP28" s="2"/>
      <c r="EQ28" s="2">
        <v>2228224</v>
      </c>
      <c r="ER28" s="2">
        <v>710.58</v>
      </c>
      <c r="ES28" s="2">
        <v>114.1</v>
      </c>
      <c r="ET28" s="2">
        <v>465.76</v>
      </c>
      <c r="EU28" s="2">
        <v>68.59</v>
      </c>
      <c r="EV28" s="2">
        <v>130.72</v>
      </c>
      <c r="EW28" s="2">
        <v>16.61</v>
      </c>
      <c r="EX28" s="2">
        <v>5.04</v>
      </c>
      <c r="EY28" s="2">
        <v>1</v>
      </c>
      <c r="EZ28" s="2"/>
      <c r="FA28" s="2"/>
      <c r="FB28" s="2"/>
      <c r="FC28" s="2"/>
      <c r="FD28" s="2"/>
      <c r="FE28" s="2"/>
      <c r="FF28" s="2"/>
      <c r="FG28" s="2"/>
      <c r="FH28" s="2"/>
      <c r="FI28" s="2"/>
      <c r="FJ28" s="2"/>
      <c r="FK28" s="2"/>
      <c r="FL28" s="2"/>
      <c r="FM28" s="2"/>
      <c r="FN28" s="2"/>
      <c r="FO28" s="2"/>
      <c r="FP28" s="2"/>
      <c r="FQ28" s="2">
        <v>0</v>
      </c>
      <c r="FR28" s="2">
        <f t="shared" ref="FR28:FR59" si="44">ROUND(IF(BI28=3,GM28,0),0)</f>
        <v>0</v>
      </c>
      <c r="FS28" s="2">
        <v>0</v>
      </c>
      <c r="FT28" s="2"/>
      <c r="FU28" s="2"/>
      <c r="FV28" s="2"/>
      <c r="FW28" s="2"/>
      <c r="FX28" s="2">
        <v>120</v>
      </c>
      <c r="FY28" s="2">
        <v>77</v>
      </c>
      <c r="FZ28" s="2"/>
      <c r="GA28" s="2" t="s">
        <v>6</v>
      </c>
      <c r="GB28" s="2"/>
      <c r="GC28" s="2"/>
      <c r="GD28" s="2">
        <v>1</v>
      </c>
      <c r="GE28" s="2"/>
      <c r="GF28" s="2">
        <v>-273042389</v>
      </c>
      <c r="GG28" s="2">
        <v>2</v>
      </c>
      <c r="GH28" s="2">
        <v>1</v>
      </c>
      <c r="GI28" s="2">
        <v>-2</v>
      </c>
      <c r="GJ28" s="2">
        <v>0</v>
      </c>
      <c r="GK28" s="2">
        <v>0</v>
      </c>
      <c r="GL28" s="2">
        <f t="shared" ref="GL28:GL59" si="45">ROUND(IF(AND(BH28=3,BI28=3,FS28&lt;&gt;0),P28,0),0)</f>
        <v>0</v>
      </c>
      <c r="GM28" s="2">
        <f t="shared" ref="GM28:GM59" si="46">ROUND(O28+X28+Y28,0)+GX28</f>
        <v>7772</v>
      </c>
      <c r="GN28" s="2">
        <f t="shared" ref="GN28:GN59" si="47">IF(OR(BI28=0,BI28=1),GM28-GX28,0)</f>
        <v>7772</v>
      </c>
      <c r="GO28" s="2">
        <f t="shared" ref="GO28:GO59" si="48">IF(BI28=2,GM28-GX28,0)</f>
        <v>0</v>
      </c>
      <c r="GP28" s="2">
        <f t="shared" ref="GP28:GP59" si="49">IF(BI28=4,GM28-GX28,0)</f>
        <v>0</v>
      </c>
      <c r="GQ28" s="2"/>
      <c r="GR28" s="2">
        <v>0</v>
      </c>
      <c r="GS28" s="2">
        <v>3</v>
      </c>
      <c r="GT28" s="2">
        <v>0</v>
      </c>
      <c r="GU28" s="2" t="s">
        <v>6</v>
      </c>
      <c r="GV28" s="2">
        <f t="shared" ref="GV28:GV59" si="50">ROUND((GT28),2)</f>
        <v>0</v>
      </c>
      <c r="GW28" s="2">
        <v>1</v>
      </c>
      <c r="GX28" s="2">
        <f t="shared" ref="GX28:GX59" si="51">ROUND(HC28*I28,0)</f>
        <v>0</v>
      </c>
      <c r="GY28" s="2"/>
      <c r="GZ28" s="2"/>
      <c r="HA28" s="2">
        <v>0</v>
      </c>
      <c r="HB28" s="2">
        <v>0</v>
      </c>
      <c r="HC28" s="2">
        <f t="shared" ref="HC28:HC59" si="52">GV28*GW28</f>
        <v>0</v>
      </c>
      <c r="HD28" s="2"/>
      <c r="HE28" s="2" t="s">
        <v>6</v>
      </c>
      <c r="HF28" s="2" t="s">
        <v>6</v>
      </c>
      <c r="HG28" s="2"/>
      <c r="HH28" s="2"/>
      <c r="HI28" s="2"/>
      <c r="HJ28" s="2"/>
      <c r="HK28" s="2"/>
      <c r="HL28" s="2"/>
      <c r="HM28" s="2" t="s">
        <v>6</v>
      </c>
      <c r="HN28" s="2" t="s">
        <v>6</v>
      </c>
      <c r="HO28" s="2" t="s">
        <v>6</v>
      </c>
      <c r="HP28" s="2" t="s">
        <v>6</v>
      </c>
      <c r="HQ28" s="2" t="s">
        <v>6</v>
      </c>
      <c r="HR28" s="2"/>
      <c r="HS28" s="2"/>
      <c r="HT28" s="2"/>
      <c r="HU28" s="2"/>
      <c r="HV28" s="2"/>
      <c r="HW28" s="2"/>
      <c r="HX28" s="2"/>
      <c r="HY28" s="2"/>
      <c r="HZ28" s="2"/>
      <c r="IA28" s="2"/>
      <c r="IB28" s="2"/>
      <c r="IC28" s="2"/>
      <c r="ID28" s="2"/>
      <c r="IE28" s="2"/>
      <c r="IF28" s="2">
        <v>-1</v>
      </c>
      <c r="IG28" s="2"/>
      <c r="IH28" s="2"/>
      <c r="II28" s="2"/>
      <c r="IJ28" s="2"/>
      <c r="IK28" s="2">
        <v>0</v>
      </c>
      <c r="IL28" s="2"/>
      <c r="IM28" s="2"/>
      <c r="IN28" s="2"/>
      <c r="IO28" s="2"/>
      <c r="IP28" s="2"/>
      <c r="IQ28" s="2"/>
      <c r="IR28" s="2"/>
      <c r="IS28" s="2"/>
      <c r="IT28" s="2"/>
      <c r="IU28" s="2"/>
    </row>
    <row r="29" spans="1:255" x14ac:dyDescent="0.2">
      <c r="A29">
        <v>17</v>
      </c>
      <c r="B29">
        <v>1</v>
      </c>
      <c r="C29">
        <f>ROW(SmtRes!A16)</f>
        <v>16</v>
      </c>
      <c r="D29">
        <f>ROW(EtalonRes!A16)</f>
        <v>16</v>
      </c>
      <c r="E29" t="s">
        <v>18</v>
      </c>
      <c r="F29" t="s">
        <v>19</v>
      </c>
      <c r="G29" t="s">
        <v>20</v>
      </c>
      <c r="H29" t="s">
        <v>21</v>
      </c>
      <c r="I29">
        <f>'2.Лок.смета.и.Акт'!E24</f>
        <v>6.6924999999999999</v>
      </c>
      <c r="J29">
        <v>0</v>
      </c>
      <c r="K29">
        <v>26.77</v>
      </c>
      <c r="O29">
        <f t="shared" si="21"/>
        <v>70610</v>
      </c>
      <c r="P29">
        <f t="shared" si="22"/>
        <v>0</v>
      </c>
      <c r="Q29">
        <f t="shared" si="23"/>
        <v>37476</v>
      </c>
      <c r="R29">
        <f t="shared" si="24"/>
        <v>10180</v>
      </c>
      <c r="S29">
        <f t="shared" si="25"/>
        <v>33134</v>
      </c>
      <c r="T29">
        <f t="shared" si="26"/>
        <v>0</v>
      </c>
      <c r="U29" t="e">
        <f t="shared" si="27"/>
        <v>#REF!</v>
      </c>
      <c r="V29">
        <f t="shared" si="28"/>
        <v>37.777824000000003</v>
      </c>
      <c r="W29">
        <f t="shared" si="29"/>
        <v>0</v>
      </c>
      <c r="X29" t="e">
        <f t="shared" si="30"/>
        <v>#REF!</v>
      </c>
      <c r="Y29" t="e">
        <f t="shared" si="31"/>
        <v>#REF!</v>
      </c>
      <c r="AA29">
        <v>86326988</v>
      </c>
      <c r="AB29">
        <f t="shared" si="32"/>
        <v>739.38</v>
      </c>
      <c r="AC29">
        <f>ROUND((ES29+(SUM(SmtRes!BC9:'SmtRes'!BC16)+SUM(EtalonRes!AL9:'EtalonRes'!AL16))),2)</f>
        <v>0</v>
      </c>
      <c r="AD29">
        <f>ROUND(((((ET29*1.12)+(SUM(SmtRes!BD9:'SmtRes'!BD16)+SUM(EtalonRes!AM9:'EtalonRes'!AM16)))-((EU29*1.12)+(SUM(SmtRes!BE9:'SmtRes'!BE16)+SUM(EtalonRes!AN9:'EtalonRes'!AN16))))+AE29),2)</f>
        <v>602.12</v>
      </c>
      <c r="AE29">
        <f>ROUND(((EU29*1.12)+(SUM(SmtRes!BE9:'SmtRes'!BE16)+SUM(EtalonRes!AN9:'EtalonRes'!AN16))),2)</f>
        <v>76.819999999999993</v>
      </c>
      <c r="AF29">
        <f>ROUND(((EV29*1.05)),2)</f>
        <v>137.26</v>
      </c>
      <c r="AG29">
        <f t="shared" si="33"/>
        <v>0</v>
      </c>
      <c r="AH29" t="e">
        <f>((EW29*1.05))</f>
        <v>#REF!</v>
      </c>
      <c r="AI29">
        <f>((EX29*1.12))</f>
        <v>5.6448000000000009</v>
      </c>
      <c r="AJ29">
        <f t="shared" si="34"/>
        <v>0</v>
      </c>
      <c r="AK29">
        <f>AL29+AM29+AO29</f>
        <v>710.58</v>
      </c>
      <c r="AL29">
        <v>114.1</v>
      </c>
      <c r="AM29" s="75">
        <f>'1.Лок.смета.и.Акт'!F52</f>
        <v>465.76</v>
      </c>
      <c r="AN29" s="75">
        <f>'1.Лок.смета.и.Акт'!F53</f>
        <v>68.59</v>
      </c>
      <c r="AO29" s="75">
        <f>'1.Лок.смета.и.Акт'!F51</f>
        <v>130.72</v>
      </c>
      <c r="AP29">
        <v>0</v>
      </c>
      <c r="AQ29" t="e">
        <f>'2.Лок.смета.и.Акт'!#REF!</f>
        <v>#REF!</v>
      </c>
      <c r="AR29">
        <v>5.04</v>
      </c>
      <c r="AS29">
        <v>0</v>
      </c>
      <c r="AT29">
        <v>114</v>
      </c>
      <c r="AU29">
        <v>65</v>
      </c>
      <c r="AV29">
        <v>1</v>
      </c>
      <c r="AW29">
        <v>1</v>
      </c>
      <c r="AZ29">
        <v>1</v>
      </c>
      <c r="BA29">
        <f>'1.Лок.смета.и.Акт'!J51</f>
        <v>36.07</v>
      </c>
      <c r="BB29">
        <f>'1.Лок.смета.и.Акт'!J52</f>
        <v>9.3000000000000007</v>
      </c>
      <c r="BC29">
        <v>7.56</v>
      </c>
      <c r="BD29" t="s">
        <v>6</v>
      </c>
      <c r="BE29" t="s">
        <v>6</v>
      </c>
      <c r="BF29" t="s">
        <v>6</v>
      </c>
      <c r="BG29" t="s">
        <v>6</v>
      </c>
      <c r="BH29">
        <v>0</v>
      </c>
      <c r="BI29">
        <v>1</v>
      </c>
      <c r="BJ29" t="s">
        <v>22</v>
      </c>
      <c r="BM29">
        <v>6002</v>
      </c>
      <c r="BN29">
        <v>0</v>
      </c>
      <c r="BO29" t="s">
        <v>19</v>
      </c>
      <c r="BP29">
        <v>1</v>
      </c>
      <c r="BQ29">
        <v>1</v>
      </c>
      <c r="BR29">
        <v>0</v>
      </c>
      <c r="BS29">
        <f>'1.Лок.смета.и.Акт'!J53</f>
        <v>19.8</v>
      </c>
      <c r="BT29">
        <v>1</v>
      </c>
      <c r="BU29">
        <v>1</v>
      </c>
      <c r="BV29">
        <v>1</v>
      </c>
      <c r="BW29">
        <v>1</v>
      </c>
      <c r="BX29">
        <v>1</v>
      </c>
      <c r="BY29" t="s">
        <v>6</v>
      </c>
      <c r="BZ29" t="e">
        <f>'2.Лок.смета.и.Акт'!#REF!</f>
        <v>#REF!</v>
      </c>
      <c r="CA29" t="e">
        <f>'2.Лок.смета.и.Акт'!#REF!</f>
        <v>#REF!</v>
      </c>
      <c r="CB29" t="s">
        <v>6</v>
      </c>
      <c r="CE29">
        <v>0</v>
      </c>
      <c r="CF29">
        <v>0</v>
      </c>
      <c r="CG29">
        <v>0</v>
      </c>
      <c r="CM29">
        <v>0</v>
      </c>
      <c r="CN29" t="s">
        <v>23</v>
      </c>
      <c r="CO29">
        <v>0</v>
      </c>
      <c r="CP29">
        <f t="shared" si="35"/>
        <v>70610</v>
      </c>
      <c r="CQ29">
        <f t="shared" si="36"/>
        <v>0</v>
      </c>
      <c r="CR29">
        <f t="shared" si="37"/>
        <v>5599.7160000000003</v>
      </c>
      <c r="CS29">
        <f t="shared" si="38"/>
        <v>1521.0359999999998</v>
      </c>
      <c r="CT29">
        <f t="shared" si="39"/>
        <v>4950.9681999999993</v>
      </c>
      <c r="CU29">
        <f t="shared" si="40"/>
        <v>0</v>
      </c>
      <c r="CV29" t="e">
        <f t="shared" si="41"/>
        <v>#REF!</v>
      </c>
      <c r="CW29">
        <f t="shared" si="42"/>
        <v>5.6448000000000009</v>
      </c>
      <c r="CX29">
        <f t="shared" si="43"/>
        <v>0</v>
      </c>
      <c r="CY29" t="e">
        <f>(S29+R29)*(BZ29/100)</f>
        <v>#REF!</v>
      </c>
      <c r="CZ29" t="e">
        <f>(S29+R29)*(CA29/100)</f>
        <v>#REF!</v>
      </c>
      <c r="DC29" t="s">
        <v>6</v>
      </c>
      <c r="DD29" t="s">
        <v>6</v>
      </c>
      <c r="DE29" t="s">
        <v>24</v>
      </c>
      <c r="DF29" t="s">
        <v>24</v>
      </c>
      <c r="DG29" t="s">
        <v>25</v>
      </c>
      <c r="DH29" t="s">
        <v>6</v>
      </c>
      <c r="DI29" t="s">
        <v>25</v>
      </c>
      <c r="DJ29" t="s">
        <v>24</v>
      </c>
      <c r="DK29" t="s">
        <v>6</v>
      </c>
      <c r="DL29" t="s">
        <v>6</v>
      </c>
      <c r="DM29" t="s">
        <v>6</v>
      </c>
      <c r="DN29">
        <f>'1.Лок.смета.и.Акт'!E54</f>
        <v>120</v>
      </c>
      <c r="DO29">
        <f>'1.Лок.смета.и.Акт'!E55</f>
        <v>77</v>
      </c>
      <c r="DP29">
        <v>1</v>
      </c>
      <c r="DQ29">
        <v>1</v>
      </c>
      <c r="DU29">
        <v>1013</v>
      </c>
      <c r="DV29" t="s">
        <v>21</v>
      </c>
      <c r="DW29" t="str">
        <f>'2.Лок.смета.и.Акт'!D24</f>
        <v>10 м2 конструкций</v>
      </c>
      <c r="DX29">
        <v>1</v>
      </c>
      <c r="DZ29" t="s">
        <v>6</v>
      </c>
      <c r="EA29" t="s">
        <v>6</v>
      </c>
      <c r="EB29" t="s">
        <v>6</v>
      </c>
      <c r="EC29" t="s">
        <v>6</v>
      </c>
      <c r="EE29">
        <v>54938592</v>
      </c>
      <c r="EF29">
        <v>1</v>
      </c>
      <c r="EG29" t="s">
        <v>26</v>
      </c>
      <c r="EH29">
        <v>0</v>
      </c>
      <c r="EI29" t="s">
        <v>6</v>
      </c>
      <c r="EJ29">
        <v>1</v>
      </c>
      <c r="EK29">
        <v>6002</v>
      </c>
      <c r="EL29" t="s">
        <v>27</v>
      </c>
      <c r="EM29" t="s">
        <v>28</v>
      </c>
      <c r="EO29" t="s">
        <v>29</v>
      </c>
      <c r="EQ29">
        <v>2228224</v>
      </c>
      <c r="ER29">
        <f>ES29+ET29+EV29</f>
        <v>710.58</v>
      </c>
      <c r="ES29">
        <v>114.1</v>
      </c>
      <c r="ET29" s="75">
        <f>'1.Лок.смета.и.Акт'!F52</f>
        <v>465.76</v>
      </c>
      <c r="EU29" s="75">
        <f>'1.Лок.смета.и.Акт'!F53</f>
        <v>68.59</v>
      </c>
      <c r="EV29" s="75">
        <f>'1.Лок.смета.и.Акт'!F51</f>
        <v>130.72</v>
      </c>
      <c r="EW29" t="e">
        <f>'2.Лок.смета.и.Акт'!#REF!</f>
        <v>#REF!</v>
      </c>
      <c r="EX29">
        <v>5.04</v>
      </c>
      <c r="EY29">
        <v>1</v>
      </c>
      <c r="FQ29">
        <v>0</v>
      </c>
      <c r="FR29">
        <f t="shared" si="44"/>
        <v>0</v>
      </c>
      <c r="FS29">
        <v>0</v>
      </c>
      <c r="FX29">
        <v>120</v>
      </c>
      <c r="FY29">
        <v>77</v>
      </c>
      <c r="GA29" t="s">
        <v>6</v>
      </c>
      <c r="GD29">
        <v>1</v>
      </c>
      <c r="GF29">
        <v>-273042389</v>
      </c>
      <c r="GG29">
        <v>2</v>
      </c>
      <c r="GH29">
        <v>1</v>
      </c>
      <c r="GI29">
        <v>2</v>
      </c>
      <c r="GJ29">
        <v>0</v>
      </c>
      <c r="GK29">
        <v>0</v>
      </c>
      <c r="GL29">
        <f t="shared" si="45"/>
        <v>0</v>
      </c>
      <c r="GM29" t="e">
        <f t="shared" si="46"/>
        <v>#REF!</v>
      </c>
      <c r="GN29" t="e">
        <f t="shared" si="47"/>
        <v>#REF!</v>
      </c>
      <c r="GO29">
        <f t="shared" si="48"/>
        <v>0</v>
      </c>
      <c r="GP29">
        <f t="shared" si="49"/>
        <v>0</v>
      </c>
      <c r="GR29">
        <v>0</v>
      </c>
      <c r="GS29">
        <v>3</v>
      </c>
      <c r="GT29">
        <v>0</v>
      </c>
      <c r="GU29" t="s">
        <v>6</v>
      </c>
      <c r="GV29">
        <f t="shared" si="50"/>
        <v>0</v>
      </c>
      <c r="GW29">
        <v>1003.4</v>
      </c>
      <c r="GX29">
        <f t="shared" si="51"/>
        <v>0</v>
      </c>
      <c r="HA29">
        <v>0</v>
      </c>
      <c r="HB29">
        <v>0</v>
      </c>
      <c r="HC29">
        <f t="shared" si="52"/>
        <v>0</v>
      </c>
      <c r="HE29" t="s">
        <v>6</v>
      </c>
      <c r="HF29" t="s">
        <v>6</v>
      </c>
      <c r="HM29" t="s">
        <v>6</v>
      </c>
      <c r="HN29" t="s">
        <v>6</v>
      </c>
      <c r="HO29" t="s">
        <v>6</v>
      </c>
      <c r="HP29" t="s">
        <v>6</v>
      </c>
      <c r="HQ29" t="s">
        <v>6</v>
      </c>
      <c r="IF29">
        <v>-1</v>
      </c>
      <c r="IK29">
        <v>0</v>
      </c>
    </row>
    <row r="30" spans="1:255" x14ac:dyDescent="0.2">
      <c r="A30" s="2">
        <v>18</v>
      </c>
      <c r="B30" s="2">
        <v>1</v>
      </c>
      <c r="C30" s="2">
        <v>7</v>
      </c>
      <c r="D30" s="2"/>
      <c r="E30" s="2" t="s">
        <v>30</v>
      </c>
      <c r="F30" s="2" t="s">
        <v>31</v>
      </c>
      <c r="G30" s="2" t="s">
        <v>32</v>
      </c>
      <c r="H30" s="2" t="s">
        <v>33</v>
      </c>
      <c r="I30" s="2">
        <f>I28*J30</f>
        <v>1.7734999999999997E-3</v>
      </c>
      <c r="J30" s="226">
        <f>'5.Ведомость_списания'!F27</f>
        <v>2.6499813223757935E-4</v>
      </c>
      <c r="K30" s="2">
        <v>2.6499999999999999E-4</v>
      </c>
      <c r="L30" s="2"/>
      <c r="M30" s="2"/>
      <c r="N30" s="2"/>
      <c r="O30" s="2">
        <f t="shared" si="21"/>
        <v>15</v>
      </c>
      <c r="P30" s="2">
        <f t="shared" si="22"/>
        <v>15</v>
      </c>
      <c r="Q30" s="2">
        <f t="shared" si="23"/>
        <v>0</v>
      </c>
      <c r="R30" s="2">
        <f t="shared" si="24"/>
        <v>0</v>
      </c>
      <c r="S30" s="2">
        <f t="shared" si="25"/>
        <v>0</v>
      </c>
      <c r="T30" s="2">
        <f t="shared" si="26"/>
        <v>0</v>
      </c>
      <c r="U30" s="2">
        <f t="shared" si="27"/>
        <v>0</v>
      </c>
      <c r="V30" s="2">
        <f t="shared" si="28"/>
        <v>0</v>
      </c>
      <c r="W30" s="2">
        <f t="shared" si="29"/>
        <v>0</v>
      </c>
      <c r="X30" s="2">
        <f t="shared" si="30"/>
        <v>0</v>
      </c>
      <c r="Y30" s="2">
        <f t="shared" si="31"/>
        <v>0</v>
      </c>
      <c r="Z30" s="2"/>
      <c r="AA30" s="2">
        <v>86326987</v>
      </c>
      <c r="AB30" s="2">
        <f t="shared" si="32"/>
        <v>8475</v>
      </c>
      <c r="AC30" s="2">
        <f>ROUND((ES30),2)</f>
        <v>8475</v>
      </c>
      <c r="AD30" s="2">
        <f>ROUND((((ET30)-(EU30))+AE30),2)</f>
        <v>0</v>
      </c>
      <c r="AE30" s="2">
        <f t="shared" ref="AE30:AF33" si="53">ROUND((EU30),2)</f>
        <v>0</v>
      </c>
      <c r="AF30" s="2">
        <f t="shared" si="53"/>
        <v>0</v>
      </c>
      <c r="AG30" s="2">
        <f t="shared" si="33"/>
        <v>0</v>
      </c>
      <c r="AH30" s="2">
        <f t="shared" ref="AH30:AI33" si="54">(EW30)</f>
        <v>0</v>
      </c>
      <c r="AI30" s="2">
        <f t="shared" si="54"/>
        <v>0</v>
      </c>
      <c r="AJ30" s="2">
        <f t="shared" si="34"/>
        <v>28.41</v>
      </c>
      <c r="AK30" s="2">
        <v>8475</v>
      </c>
      <c r="AL30" s="110">
        <f>'1.Лок.смета.и.Акт'!F57</f>
        <v>8475</v>
      </c>
      <c r="AM30" s="2">
        <v>0</v>
      </c>
      <c r="AN30" s="2">
        <v>0</v>
      </c>
      <c r="AO30" s="2">
        <v>0</v>
      </c>
      <c r="AP30" s="2">
        <v>0</v>
      </c>
      <c r="AQ30" s="2">
        <v>0</v>
      </c>
      <c r="AR30" s="2">
        <v>0</v>
      </c>
      <c r="AS30" s="2">
        <v>28.41</v>
      </c>
      <c r="AT30" s="2">
        <v>0</v>
      </c>
      <c r="AU30" s="2">
        <v>0</v>
      </c>
      <c r="AV30" s="2">
        <v>1</v>
      </c>
      <c r="AW30" s="2">
        <v>1</v>
      </c>
      <c r="AX30" s="2"/>
      <c r="AY30" s="2"/>
      <c r="AZ30" s="2">
        <v>1</v>
      </c>
      <c r="BA30" s="2">
        <v>1</v>
      </c>
      <c r="BB30" s="2">
        <v>1</v>
      </c>
      <c r="BC30" s="2">
        <v>1</v>
      </c>
      <c r="BD30" s="2" t="s">
        <v>6</v>
      </c>
      <c r="BE30" s="2" t="s">
        <v>6</v>
      </c>
      <c r="BF30" s="2" t="s">
        <v>6</v>
      </c>
      <c r="BG30" s="2" t="s">
        <v>6</v>
      </c>
      <c r="BH30" s="2">
        <v>3</v>
      </c>
      <c r="BI30" s="2">
        <v>1</v>
      </c>
      <c r="BJ30" s="2" t="s">
        <v>34</v>
      </c>
      <c r="BK30" s="2"/>
      <c r="BL30" s="2"/>
      <c r="BM30" s="2">
        <v>500001</v>
      </c>
      <c r="BN30" s="2">
        <v>0</v>
      </c>
      <c r="BO30" s="2" t="s">
        <v>6</v>
      </c>
      <c r="BP30" s="2">
        <v>0</v>
      </c>
      <c r="BQ30" s="2">
        <v>20</v>
      </c>
      <c r="BR30" s="2">
        <v>0</v>
      </c>
      <c r="BS30" s="2">
        <v>1</v>
      </c>
      <c r="BT30" s="2">
        <v>1</v>
      </c>
      <c r="BU30" s="2">
        <v>1</v>
      </c>
      <c r="BV30" s="2">
        <v>1</v>
      </c>
      <c r="BW30" s="2">
        <v>1</v>
      </c>
      <c r="BX30" s="2">
        <v>1</v>
      </c>
      <c r="BY30" s="2" t="s">
        <v>6</v>
      </c>
      <c r="BZ30" s="2">
        <v>0</v>
      </c>
      <c r="CA30" s="2">
        <v>0</v>
      </c>
      <c r="CB30" s="2" t="s">
        <v>6</v>
      </c>
      <c r="CC30" s="2"/>
      <c r="CD30" s="2"/>
      <c r="CE30" s="2">
        <v>0</v>
      </c>
      <c r="CF30" s="2">
        <v>0</v>
      </c>
      <c r="CG30" s="2">
        <v>0</v>
      </c>
      <c r="CH30" s="2"/>
      <c r="CI30" s="2"/>
      <c r="CJ30" s="2"/>
      <c r="CK30" s="2"/>
      <c r="CL30" s="2"/>
      <c r="CM30" s="2">
        <v>0</v>
      </c>
      <c r="CN30" s="2" t="s">
        <v>6</v>
      </c>
      <c r="CO30" s="2">
        <v>0</v>
      </c>
      <c r="CP30" s="2">
        <f t="shared" si="35"/>
        <v>15</v>
      </c>
      <c r="CQ30" s="2">
        <f t="shared" si="36"/>
        <v>8475</v>
      </c>
      <c r="CR30" s="2">
        <f t="shared" si="37"/>
        <v>0</v>
      </c>
      <c r="CS30" s="2">
        <f t="shared" si="38"/>
        <v>0</v>
      </c>
      <c r="CT30" s="2">
        <f t="shared" si="39"/>
        <v>0</v>
      </c>
      <c r="CU30" s="2">
        <f t="shared" si="40"/>
        <v>0</v>
      </c>
      <c r="CV30" s="2">
        <f t="shared" si="41"/>
        <v>0</v>
      </c>
      <c r="CW30" s="2">
        <f t="shared" si="42"/>
        <v>0</v>
      </c>
      <c r="CX30" s="2">
        <f t="shared" si="43"/>
        <v>28.41</v>
      </c>
      <c r="CY30" s="2">
        <f>(((S30+(R30*IF(0,0,1)))*AT30)/100)</f>
        <v>0</v>
      </c>
      <c r="CZ30" s="2">
        <f>(((S30+(R30*IF(0,0,1)))*AU30)/100)</f>
        <v>0</v>
      </c>
      <c r="DA30" s="2"/>
      <c r="DB30" s="2"/>
      <c r="DC30" s="2" t="s">
        <v>6</v>
      </c>
      <c r="DD30" s="2" t="s">
        <v>6</v>
      </c>
      <c r="DE30" s="2" t="s">
        <v>6</v>
      </c>
      <c r="DF30" s="2" t="s">
        <v>6</v>
      </c>
      <c r="DG30" s="2" t="s">
        <v>6</v>
      </c>
      <c r="DH30" s="2" t="s">
        <v>6</v>
      </c>
      <c r="DI30" s="2" t="s">
        <v>6</v>
      </c>
      <c r="DJ30" s="2" t="s">
        <v>6</v>
      </c>
      <c r="DK30" s="2" t="s">
        <v>6</v>
      </c>
      <c r="DL30" s="2" t="s">
        <v>6</v>
      </c>
      <c r="DM30" s="2" t="s">
        <v>6</v>
      </c>
      <c r="DN30" s="2">
        <v>0</v>
      </c>
      <c r="DO30" s="2">
        <v>0</v>
      </c>
      <c r="DP30" s="2">
        <v>1</v>
      </c>
      <c r="DQ30" s="2">
        <v>1</v>
      </c>
      <c r="DR30" s="2"/>
      <c r="DS30" s="2"/>
      <c r="DT30" s="2"/>
      <c r="DU30" s="2">
        <v>1009</v>
      </c>
      <c r="DV30" s="2" t="s">
        <v>33</v>
      </c>
      <c r="DW30" s="2" t="s">
        <v>33</v>
      </c>
      <c r="DX30" s="2">
        <v>1000</v>
      </c>
      <c r="DY30" s="2"/>
      <c r="DZ30" s="2" t="s">
        <v>6</v>
      </c>
      <c r="EA30" s="2" t="s">
        <v>6</v>
      </c>
      <c r="EB30" s="2" t="s">
        <v>6</v>
      </c>
      <c r="EC30" s="2" t="s">
        <v>6</v>
      </c>
      <c r="ED30" s="2"/>
      <c r="EE30" s="2">
        <v>54938781</v>
      </c>
      <c r="EF30" s="2">
        <v>20</v>
      </c>
      <c r="EG30" s="2" t="s">
        <v>35</v>
      </c>
      <c r="EH30" s="2">
        <v>0</v>
      </c>
      <c r="EI30" s="2" t="s">
        <v>6</v>
      </c>
      <c r="EJ30" s="2">
        <v>1</v>
      </c>
      <c r="EK30" s="2">
        <v>500001</v>
      </c>
      <c r="EL30" s="2" t="s">
        <v>36</v>
      </c>
      <c r="EM30" s="2" t="s">
        <v>37</v>
      </c>
      <c r="EN30" s="2"/>
      <c r="EO30" s="2" t="s">
        <v>6</v>
      </c>
      <c r="EP30" s="2"/>
      <c r="EQ30" s="2">
        <v>0</v>
      </c>
      <c r="ER30" s="2">
        <v>8475</v>
      </c>
      <c r="ES30" s="110">
        <f>'1.Лок.смета.и.Акт'!F57</f>
        <v>8475</v>
      </c>
      <c r="ET30" s="2">
        <v>0</v>
      </c>
      <c r="EU30" s="2">
        <v>0</v>
      </c>
      <c r="EV30" s="2">
        <v>0</v>
      </c>
      <c r="EW30" s="2">
        <v>0</v>
      </c>
      <c r="EX30" s="2">
        <v>0</v>
      </c>
      <c r="EY30" s="2"/>
      <c r="EZ30" s="2"/>
      <c r="FA30" s="2"/>
      <c r="FB30" s="2"/>
      <c r="FC30" s="2"/>
      <c r="FD30" s="2"/>
      <c r="FE30" s="2"/>
      <c r="FF30" s="2"/>
      <c r="FG30" s="2"/>
      <c r="FH30" s="2"/>
      <c r="FI30" s="2"/>
      <c r="FJ30" s="2"/>
      <c r="FK30" s="2"/>
      <c r="FL30" s="2"/>
      <c r="FM30" s="2"/>
      <c r="FN30" s="2"/>
      <c r="FO30" s="2"/>
      <c r="FP30" s="2"/>
      <c r="FQ30" s="2">
        <v>0</v>
      </c>
      <c r="FR30" s="2">
        <f t="shared" si="44"/>
        <v>0</v>
      </c>
      <c r="FS30" s="2">
        <v>0</v>
      </c>
      <c r="FT30" s="2"/>
      <c r="FU30" s="2"/>
      <c r="FV30" s="2"/>
      <c r="FW30" s="2"/>
      <c r="FX30" s="2">
        <v>0</v>
      </c>
      <c r="FY30" s="2">
        <v>0</v>
      </c>
      <c r="FZ30" s="2"/>
      <c r="GA30" s="2" t="s">
        <v>6</v>
      </c>
      <c r="GB30" s="2"/>
      <c r="GC30" s="2"/>
      <c r="GD30" s="2">
        <v>1</v>
      </c>
      <c r="GE30" s="2"/>
      <c r="GF30" s="2">
        <v>2105756975</v>
      </c>
      <c r="GG30" s="2">
        <v>2</v>
      </c>
      <c r="GH30" s="2">
        <v>1</v>
      </c>
      <c r="GI30" s="2">
        <v>-2</v>
      </c>
      <c r="GJ30" s="2">
        <v>0</v>
      </c>
      <c r="GK30" s="2">
        <v>0</v>
      </c>
      <c r="GL30" s="2">
        <f t="shared" si="45"/>
        <v>0</v>
      </c>
      <c r="GM30" s="2">
        <f t="shared" si="46"/>
        <v>15</v>
      </c>
      <c r="GN30" s="2">
        <f t="shared" si="47"/>
        <v>15</v>
      </c>
      <c r="GO30" s="2">
        <f t="shared" si="48"/>
        <v>0</v>
      </c>
      <c r="GP30" s="2">
        <f t="shared" si="49"/>
        <v>0</v>
      </c>
      <c r="GQ30" s="2"/>
      <c r="GR30" s="2">
        <v>0</v>
      </c>
      <c r="GS30" s="2">
        <v>3</v>
      </c>
      <c r="GT30" s="2">
        <v>0</v>
      </c>
      <c r="GU30" s="2" t="s">
        <v>6</v>
      </c>
      <c r="GV30" s="2">
        <f t="shared" si="50"/>
        <v>0</v>
      </c>
      <c r="GW30" s="2">
        <v>1</v>
      </c>
      <c r="GX30" s="2">
        <f t="shared" si="51"/>
        <v>0</v>
      </c>
      <c r="GY30" s="2"/>
      <c r="GZ30" s="2"/>
      <c r="HA30" s="2">
        <v>0</v>
      </c>
      <c r="HB30" s="2">
        <v>0</v>
      </c>
      <c r="HC30" s="2">
        <f t="shared" si="52"/>
        <v>0</v>
      </c>
      <c r="HD30" s="2"/>
      <c r="HE30" s="2" t="s">
        <v>6</v>
      </c>
      <c r="HF30" s="2" t="s">
        <v>6</v>
      </c>
      <c r="HG30" s="2"/>
      <c r="HH30" s="2"/>
      <c r="HI30" s="2"/>
      <c r="HJ30" s="2"/>
      <c r="HK30" s="2"/>
      <c r="HL30" s="2"/>
      <c r="HM30" s="2" t="s">
        <v>6</v>
      </c>
      <c r="HN30" s="2" t="s">
        <v>6</v>
      </c>
      <c r="HO30" s="2" t="s">
        <v>6</v>
      </c>
      <c r="HP30" s="2" t="s">
        <v>6</v>
      </c>
      <c r="HQ30" s="2" t="s">
        <v>6</v>
      </c>
      <c r="HR30" s="2"/>
      <c r="HS30" s="2"/>
      <c r="HT30" s="2"/>
      <c r="HU30" s="2"/>
      <c r="HV30" s="2"/>
      <c r="HW30" s="2"/>
      <c r="HX30" s="2"/>
      <c r="HY30" s="2"/>
      <c r="HZ30" s="2"/>
      <c r="IA30" s="2"/>
      <c r="IB30" s="2"/>
      <c r="IC30" s="2"/>
      <c r="ID30" s="2"/>
      <c r="IE30" s="2"/>
      <c r="IF30" s="2">
        <v>-1</v>
      </c>
      <c r="IG30" s="2"/>
      <c r="IH30" s="2"/>
      <c r="II30" s="2"/>
      <c r="IJ30" s="2"/>
      <c r="IK30" s="2">
        <v>0</v>
      </c>
      <c r="IL30" s="2"/>
      <c r="IM30" s="2"/>
      <c r="IN30" s="2"/>
      <c r="IO30" s="2"/>
      <c r="IP30" s="2"/>
      <c r="IQ30" s="2"/>
      <c r="IR30" s="2"/>
      <c r="IS30" s="2"/>
      <c r="IT30" s="2"/>
      <c r="IU30" s="2"/>
    </row>
    <row r="31" spans="1:255" x14ac:dyDescent="0.2">
      <c r="A31">
        <v>18</v>
      </c>
      <c r="B31">
        <v>1</v>
      </c>
      <c r="C31">
        <v>15</v>
      </c>
      <c r="E31" t="s">
        <v>30</v>
      </c>
      <c r="F31" t="e">
        <f>'2.Лок.смета.и.Акт'!#REF!</f>
        <v>#REF!</v>
      </c>
      <c r="G31" t="s">
        <v>32</v>
      </c>
      <c r="H31" t="s">
        <v>33</v>
      </c>
      <c r="I31">
        <f>I29*J31</f>
        <v>1.7734999999999997E-3</v>
      </c>
      <c r="J31">
        <v>2.6499813223757935E-4</v>
      </c>
      <c r="K31">
        <v>2.6499999999999999E-4</v>
      </c>
      <c r="O31">
        <f t="shared" si="21"/>
        <v>134</v>
      </c>
      <c r="P31">
        <f t="shared" si="22"/>
        <v>134</v>
      </c>
      <c r="Q31">
        <f t="shared" si="23"/>
        <v>0</v>
      </c>
      <c r="R31">
        <f t="shared" si="24"/>
        <v>0</v>
      </c>
      <c r="S31">
        <f t="shared" si="25"/>
        <v>0</v>
      </c>
      <c r="T31">
        <f t="shared" si="26"/>
        <v>0</v>
      </c>
      <c r="U31">
        <f t="shared" si="27"/>
        <v>0</v>
      </c>
      <c r="V31">
        <f t="shared" si="28"/>
        <v>0</v>
      </c>
      <c r="W31">
        <f t="shared" si="29"/>
        <v>0</v>
      </c>
      <c r="X31">
        <f t="shared" si="30"/>
        <v>0</v>
      </c>
      <c r="Y31">
        <f t="shared" si="31"/>
        <v>0</v>
      </c>
      <c r="AA31">
        <v>86326988</v>
      </c>
      <c r="AB31">
        <f t="shared" si="32"/>
        <v>9962.5300000000007</v>
      </c>
      <c r="AC31">
        <f>ROUND((ES31),2)</f>
        <v>9962.5300000000007</v>
      </c>
      <c r="AD31">
        <f>ROUND((((ET31)-(EU31))+AE31),2)</f>
        <v>0</v>
      </c>
      <c r="AE31">
        <f t="shared" si="53"/>
        <v>0</v>
      </c>
      <c r="AF31">
        <f t="shared" si="53"/>
        <v>0</v>
      </c>
      <c r="AG31">
        <f t="shared" si="33"/>
        <v>0</v>
      </c>
      <c r="AH31">
        <f t="shared" si="54"/>
        <v>0</v>
      </c>
      <c r="AI31">
        <f t="shared" si="54"/>
        <v>0</v>
      </c>
      <c r="AJ31">
        <f t="shared" si="34"/>
        <v>28.41</v>
      </c>
      <c r="AK31">
        <v>9962.5300000000007</v>
      </c>
      <c r="AL31">
        <v>9962.5300000000007</v>
      </c>
      <c r="AM31">
        <v>0</v>
      </c>
      <c r="AN31">
        <v>0</v>
      </c>
      <c r="AO31">
        <v>0</v>
      </c>
      <c r="AP31">
        <v>0</v>
      </c>
      <c r="AQ31">
        <v>0</v>
      </c>
      <c r="AR31">
        <v>0</v>
      </c>
      <c r="AS31">
        <v>28.41</v>
      </c>
      <c r="AT31">
        <v>0</v>
      </c>
      <c r="AU31">
        <v>0</v>
      </c>
      <c r="AV31">
        <v>1</v>
      </c>
      <c r="AW31">
        <v>1</v>
      </c>
      <c r="AZ31">
        <v>1</v>
      </c>
      <c r="BA31">
        <v>1</v>
      </c>
      <c r="BB31">
        <v>1</v>
      </c>
      <c r="BC31">
        <v>7.56</v>
      </c>
      <c r="BD31" t="s">
        <v>6</v>
      </c>
      <c r="BE31" t="s">
        <v>6</v>
      </c>
      <c r="BF31" t="s">
        <v>6</v>
      </c>
      <c r="BG31" t="s">
        <v>6</v>
      </c>
      <c r="BH31">
        <v>3</v>
      </c>
      <c r="BI31">
        <v>1</v>
      </c>
      <c r="BJ31" t="s">
        <v>34</v>
      </c>
      <c r="BM31">
        <v>500001</v>
      </c>
      <c r="BN31">
        <v>0</v>
      </c>
      <c r="BO31" t="s">
        <v>6</v>
      </c>
      <c r="BP31">
        <v>0</v>
      </c>
      <c r="BQ31">
        <v>20</v>
      </c>
      <c r="BR31">
        <v>0</v>
      </c>
      <c r="BS31">
        <v>1</v>
      </c>
      <c r="BT31">
        <v>1</v>
      </c>
      <c r="BU31">
        <v>1</v>
      </c>
      <c r="BV31">
        <v>1</v>
      </c>
      <c r="BW31">
        <v>1</v>
      </c>
      <c r="BX31">
        <v>1</v>
      </c>
      <c r="BY31" t="s">
        <v>6</v>
      </c>
      <c r="BZ31">
        <v>0</v>
      </c>
      <c r="CA31">
        <v>0</v>
      </c>
      <c r="CB31" t="s">
        <v>6</v>
      </c>
      <c r="CE31">
        <v>0</v>
      </c>
      <c r="CF31">
        <v>0</v>
      </c>
      <c r="CG31">
        <v>0</v>
      </c>
      <c r="CM31">
        <v>0</v>
      </c>
      <c r="CN31" t="s">
        <v>6</v>
      </c>
      <c r="CO31">
        <v>0</v>
      </c>
      <c r="CP31">
        <f t="shared" si="35"/>
        <v>134</v>
      </c>
      <c r="CQ31">
        <f t="shared" si="36"/>
        <v>75316.726800000004</v>
      </c>
      <c r="CR31">
        <f t="shared" si="37"/>
        <v>0</v>
      </c>
      <c r="CS31">
        <f t="shared" si="38"/>
        <v>0</v>
      </c>
      <c r="CT31">
        <f t="shared" si="39"/>
        <v>0</v>
      </c>
      <c r="CU31">
        <f t="shared" si="40"/>
        <v>0</v>
      </c>
      <c r="CV31">
        <f t="shared" si="41"/>
        <v>0</v>
      </c>
      <c r="CW31">
        <f t="shared" si="42"/>
        <v>0</v>
      </c>
      <c r="CX31">
        <f t="shared" si="43"/>
        <v>28.41</v>
      </c>
      <c r="CY31">
        <f>(S31+R31)*(BZ31/100)</f>
        <v>0</v>
      </c>
      <c r="CZ31">
        <f>(S31+R31)*(CA31/100)</f>
        <v>0</v>
      </c>
      <c r="DC31" t="s">
        <v>6</v>
      </c>
      <c r="DD31" t="s">
        <v>6</v>
      </c>
      <c r="DE31" t="s">
        <v>6</v>
      </c>
      <c r="DF31" t="s">
        <v>6</v>
      </c>
      <c r="DG31" t="s">
        <v>6</v>
      </c>
      <c r="DH31" t="s">
        <v>6</v>
      </c>
      <c r="DI31" t="s">
        <v>6</v>
      </c>
      <c r="DJ31" t="s">
        <v>6</v>
      </c>
      <c r="DK31" t="s">
        <v>6</v>
      </c>
      <c r="DL31" t="s">
        <v>6</v>
      </c>
      <c r="DM31" t="s">
        <v>6</v>
      </c>
      <c r="DN31">
        <v>0</v>
      </c>
      <c r="DO31">
        <v>0</v>
      </c>
      <c r="DP31">
        <v>1</v>
      </c>
      <c r="DQ31">
        <v>1</v>
      </c>
      <c r="DU31">
        <v>1009</v>
      </c>
      <c r="DV31" t="s">
        <v>33</v>
      </c>
      <c r="DW31" t="e">
        <f>'2.Лок.смета.и.Акт'!#REF!</f>
        <v>#REF!</v>
      </c>
      <c r="DX31">
        <v>1000</v>
      </c>
      <c r="DZ31" t="s">
        <v>6</v>
      </c>
      <c r="EA31" t="s">
        <v>6</v>
      </c>
      <c r="EB31" t="s">
        <v>6</v>
      </c>
      <c r="EC31" t="s">
        <v>6</v>
      </c>
      <c r="EE31">
        <v>54938781</v>
      </c>
      <c r="EF31">
        <v>20</v>
      </c>
      <c r="EG31" t="s">
        <v>35</v>
      </c>
      <c r="EH31">
        <v>0</v>
      </c>
      <c r="EI31" t="s">
        <v>6</v>
      </c>
      <c r="EJ31">
        <v>1</v>
      </c>
      <c r="EK31">
        <v>500001</v>
      </c>
      <c r="EL31" t="s">
        <v>36</v>
      </c>
      <c r="EM31" t="s">
        <v>37</v>
      </c>
      <c r="EO31" t="s">
        <v>6</v>
      </c>
      <c r="EQ31">
        <v>0</v>
      </c>
      <c r="ER31">
        <v>71000</v>
      </c>
      <c r="ES31">
        <v>9962.5300000000007</v>
      </c>
      <c r="ET31">
        <v>0</v>
      </c>
      <c r="EU31">
        <v>0</v>
      </c>
      <c r="EV31">
        <v>0</v>
      </c>
      <c r="EW31">
        <v>0</v>
      </c>
      <c r="EX31">
        <v>0</v>
      </c>
      <c r="EZ31">
        <v>5</v>
      </c>
      <c r="FC31">
        <v>0</v>
      </c>
      <c r="FD31">
        <v>18</v>
      </c>
      <c r="FF31">
        <v>71000</v>
      </c>
      <c r="FQ31">
        <v>0</v>
      </c>
      <c r="FR31">
        <f t="shared" si="44"/>
        <v>0</v>
      </c>
      <c r="FS31">
        <v>0</v>
      </c>
      <c r="FX31">
        <v>0</v>
      </c>
      <c r="FY31">
        <v>0</v>
      </c>
      <c r="GA31" t="s">
        <v>38</v>
      </c>
      <c r="GD31">
        <v>1</v>
      </c>
      <c r="GF31">
        <v>2105756975</v>
      </c>
      <c r="GG31">
        <v>2</v>
      </c>
      <c r="GH31">
        <v>3</v>
      </c>
      <c r="GI31">
        <v>5</v>
      </c>
      <c r="GJ31">
        <v>0</v>
      </c>
      <c r="GK31">
        <v>0</v>
      </c>
      <c r="GL31">
        <f t="shared" si="45"/>
        <v>0</v>
      </c>
      <c r="GM31">
        <f t="shared" si="46"/>
        <v>134</v>
      </c>
      <c r="GN31">
        <f t="shared" si="47"/>
        <v>134</v>
      </c>
      <c r="GO31">
        <f t="shared" si="48"/>
        <v>0</v>
      </c>
      <c r="GP31">
        <f t="shared" si="49"/>
        <v>0</v>
      </c>
      <c r="GR31">
        <v>1</v>
      </c>
      <c r="GS31">
        <v>1</v>
      </c>
      <c r="GT31">
        <v>0</v>
      </c>
      <c r="GU31" t="s">
        <v>6</v>
      </c>
      <c r="GV31">
        <f t="shared" si="50"/>
        <v>0</v>
      </c>
      <c r="GW31">
        <v>1</v>
      </c>
      <c r="GX31">
        <f t="shared" si="51"/>
        <v>0</v>
      </c>
      <c r="HA31">
        <v>0</v>
      </c>
      <c r="HB31">
        <v>0</v>
      </c>
      <c r="HC31">
        <f t="shared" si="52"/>
        <v>0</v>
      </c>
      <c r="HE31" t="s">
        <v>39</v>
      </c>
      <c r="HF31" t="s">
        <v>40</v>
      </c>
      <c r="HM31" t="s">
        <v>6</v>
      </c>
      <c r="HN31" t="s">
        <v>6</v>
      </c>
      <c r="HO31" t="s">
        <v>6</v>
      </c>
      <c r="HP31" t="s">
        <v>6</v>
      </c>
      <c r="HQ31" t="s">
        <v>6</v>
      </c>
      <c r="IF31">
        <v>-1</v>
      </c>
      <c r="IK31">
        <v>0</v>
      </c>
    </row>
    <row r="32" spans="1:255" x14ac:dyDescent="0.2">
      <c r="A32" s="2">
        <v>18</v>
      </c>
      <c r="B32" s="2">
        <v>1</v>
      </c>
      <c r="C32" s="2">
        <v>8</v>
      </c>
      <c r="D32" s="2"/>
      <c r="E32" s="2" t="s">
        <v>41</v>
      </c>
      <c r="F32" s="2" t="s">
        <v>42</v>
      </c>
      <c r="G32" s="2" t="s">
        <v>43</v>
      </c>
      <c r="H32" s="2" t="s">
        <v>44</v>
      </c>
      <c r="I32" s="2">
        <f>I28*J32</f>
        <v>6.0145499999999998E-2</v>
      </c>
      <c r="J32" s="226">
        <f>'5.Ведомость_списания'!F28</f>
        <v>8.9870003735524843E-3</v>
      </c>
      <c r="K32" s="2">
        <v>8.9870000000000002E-3</v>
      </c>
      <c r="L32" s="2"/>
      <c r="M32" s="2"/>
      <c r="N32" s="2"/>
      <c r="O32" s="2">
        <f t="shared" si="21"/>
        <v>66</v>
      </c>
      <c r="P32" s="2">
        <f t="shared" si="22"/>
        <v>66</v>
      </c>
      <c r="Q32" s="2">
        <f t="shared" si="23"/>
        <v>0</v>
      </c>
      <c r="R32" s="2">
        <f t="shared" si="24"/>
        <v>0</v>
      </c>
      <c r="S32" s="2">
        <f t="shared" si="25"/>
        <v>0</v>
      </c>
      <c r="T32" s="2">
        <f t="shared" si="26"/>
        <v>0</v>
      </c>
      <c r="U32" s="2">
        <f t="shared" si="27"/>
        <v>0</v>
      </c>
      <c r="V32" s="2">
        <f t="shared" si="28"/>
        <v>0</v>
      </c>
      <c r="W32" s="2">
        <f t="shared" si="29"/>
        <v>0</v>
      </c>
      <c r="X32" s="2">
        <f t="shared" si="30"/>
        <v>0</v>
      </c>
      <c r="Y32" s="2">
        <f t="shared" si="31"/>
        <v>0</v>
      </c>
      <c r="Z32" s="2"/>
      <c r="AA32" s="2">
        <v>86326987</v>
      </c>
      <c r="AB32" s="2">
        <f t="shared" si="32"/>
        <v>1100</v>
      </c>
      <c r="AC32" s="2">
        <f>ROUND((ES32),2)</f>
        <v>1100</v>
      </c>
      <c r="AD32" s="2">
        <f>ROUND((((ET32)-(EU32))+AE32),2)</f>
        <v>0</v>
      </c>
      <c r="AE32" s="2">
        <f t="shared" si="53"/>
        <v>0</v>
      </c>
      <c r="AF32" s="2">
        <f t="shared" si="53"/>
        <v>0</v>
      </c>
      <c r="AG32" s="2">
        <f t="shared" si="33"/>
        <v>0</v>
      </c>
      <c r="AH32" s="2">
        <f t="shared" si="54"/>
        <v>0</v>
      </c>
      <c r="AI32" s="2">
        <f t="shared" si="54"/>
        <v>0</v>
      </c>
      <c r="AJ32" s="2">
        <f t="shared" si="34"/>
        <v>7.14</v>
      </c>
      <c r="AK32" s="2">
        <v>1100</v>
      </c>
      <c r="AL32" s="110">
        <f>'1.Лок.смета.и.Акт'!F59</f>
        <v>1100</v>
      </c>
      <c r="AM32" s="2">
        <v>0</v>
      </c>
      <c r="AN32" s="2">
        <v>0</v>
      </c>
      <c r="AO32" s="2">
        <v>0</v>
      </c>
      <c r="AP32" s="2">
        <v>0</v>
      </c>
      <c r="AQ32" s="2">
        <v>0</v>
      </c>
      <c r="AR32" s="2">
        <v>0</v>
      </c>
      <c r="AS32" s="2">
        <v>7.14</v>
      </c>
      <c r="AT32" s="2">
        <v>0</v>
      </c>
      <c r="AU32" s="2">
        <v>0</v>
      </c>
      <c r="AV32" s="2">
        <v>1</v>
      </c>
      <c r="AW32" s="2">
        <v>1</v>
      </c>
      <c r="AX32" s="2"/>
      <c r="AY32" s="2"/>
      <c r="AZ32" s="2">
        <v>1</v>
      </c>
      <c r="BA32" s="2">
        <v>1</v>
      </c>
      <c r="BB32" s="2">
        <v>1</v>
      </c>
      <c r="BC32" s="2">
        <v>1</v>
      </c>
      <c r="BD32" s="2" t="s">
        <v>6</v>
      </c>
      <c r="BE32" s="2" t="s">
        <v>6</v>
      </c>
      <c r="BF32" s="2" t="s">
        <v>6</v>
      </c>
      <c r="BG32" s="2" t="s">
        <v>6</v>
      </c>
      <c r="BH32" s="2">
        <v>3</v>
      </c>
      <c r="BI32" s="2">
        <v>1</v>
      </c>
      <c r="BJ32" s="2" t="s">
        <v>45</v>
      </c>
      <c r="BK32" s="2"/>
      <c r="BL32" s="2"/>
      <c r="BM32" s="2">
        <v>500001</v>
      </c>
      <c r="BN32" s="2">
        <v>0</v>
      </c>
      <c r="BO32" s="2" t="s">
        <v>6</v>
      </c>
      <c r="BP32" s="2">
        <v>0</v>
      </c>
      <c r="BQ32" s="2">
        <v>20</v>
      </c>
      <c r="BR32" s="2">
        <v>0</v>
      </c>
      <c r="BS32" s="2">
        <v>1</v>
      </c>
      <c r="BT32" s="2">
        <v>1</v>
      </c>
      <c r="BU32" s="2">
        <v>1</v>
      </c>
      <c r="BV32" s="2">
        <v>1</v>
      </c>
      <c r="BW32" s="2">
        <v>1</v>
      </c>
      <c r="BX32" s="2">
        <v>1</v>
      </c>
      <c r="BY32" s="2" t="s">
        <v>6</v>
      </c>
      <c r="BZ32" s="2">
        <v>0</v>
      </c>
      <c r="CA32" s="2">
        <v>0</v>
      </c>
      <c r="CB32" s="2" t="s">
        <v>6</v>
      </c>
      <c r="CC32" s="2"/>
      <c r="CD32" s="2"/>
      <c r="CE32" s="2">
        <v>0</v>
      </c>
      <c r="CF32" s="2">
        <v>0</v>
      </c>
      <c r="CG32" s="2">
        <v>0</v>
      </c>
      <c r="CH32" s="2"/>
      <c r="CI32" s="2"/>
      <c r="CJ32" s="2"/>
      <c r="CK32" s="2"/>
      <c r="CL32" s="2"/>
      <c r="CM32" s="2">
        <v>0</v>
      </c>
      <c r="CN32" s="2" t="s">
        <v>6</v>
      </c>
      <c r="CO32" s="2">
        <v>0</v>
      </c>
      <c r="CP32" s="2">
        <f t="shared" si="35"/>
        <v>66</v>
      </c>
      <c r="CQ32" s="2">
        <f t="shared" si="36"/>
        <v>1100</v>
      </c>
      <c r="CR32" s="2">
        <f t="shared" si="37"/>
        <v>0</v>
      </c>
      <c r="CS32" s="2">
        <f t="shared" si="38"/>
        <v>0</v>
      </c>
      <c r="CT32" s="2">
        <f t="shared" si="39"/>
        <v>0</v>
      </c>
      <c r="CU32" s="2">
        <f t="shared" si="40"/>
        <v>0</v>
      </c>
      <c r="CV32" s="2">
        <f t="shared" si="41"/>
        <v>0</v>
      </c>
      <c r="CW32" s="2">
        <f t="shared" si="42"/>
        <v>0</v>
      </c>
      <c r="CX32" s="2">
        <f t="shared" si="43"/>
        <v>7.14</v>
      </c>
      <c r="CY32" s="2">
        <f>(((S32+(R32*IF(0,0,1)))*AT32)/100)</f>
        <v>0</v>
      </c>
      <c r="CZ32" s="2">
        <f>(((S32+(R32*IF(0,0,1)))*AU32)/100)</f>
        <v>0</v>
      </c>
      <c r="DA32" s="2"/>
      <c r="DB32" s="2"/>
      <c r="DC32" s="2" t="s">
        <v>6</v>
      </c>
      <c r="DD32" s="2" t="s">
        <v>6</v>
      </c>
      <c r="DE32" s="2" t="s">
        <v>6</v>
      </c>
      <c r="DF32" s="2" t="s">
        <v>6</v>
      </c>
      <c r="DG32" s="2" t="s">
        <v>6</v>
      </c>
      <c r="DH32" s="2" t="s">
        <v>6</v>
      </c>
      <c r="DI32" s="2" t="s">
        <v>6</v>
      </c>
      <c r="DJ32" s="2" t="s">
        <v>6</v>
      </c>
      <c r="DK32" s="2" t="s">
        <v>6</v>
      </c>
      <c r="DL32" s="2" t="s">
        <v>6</v>
      </c>
      <c r="DM32" s="2" t="s">
        <v>6</v>
      </c>
      <c r="DN32" s="2">
        <v>0</v>
      </c>
      <c r="DO32" s="2">
        <v>0</v>
      </c>
      <c r="DP32" s="2">
        <v>1</v>
      </c>
      <c r="DQ32" s="2">
        <v>1</v>
      </c>
      <c r="DR32" s="2"/>
      <c r="DS32" s="2"/>
      <c r="DT32" s="2"/>
      <c r="DU32" s="2">
        <v>1007</v>
      </c>
      <c r="DV32" s="2" t="s">
        <v>44</v>
      </c>
      <c r="DW32" s="2" t="s">
        <v>44</v>
      </c>
      <c r="DX32" s="2">
        <v>1</v>
      </c>
      <c r="DY32" s="2"/>
      <c r="DZ32" s="2" t="s">
        <v>6</v>
      </c>
      <c r="EA32" s="2" t="s">
        <v>6</v>
      </c>
      <c r="EB32" s="2" t="s">
        <v>6</v>
      </c>
      <c r="EC32" s="2" t="s">
        <v>6</v>
      </c>
      <c r="ED32" s="2"/>
      <c r="EE32" s="2">
        <v>54938781</v>
      </c>
      <c r="EF32" s="2">
        <v>20</v>
      </c>
      <c r="EG32" s="2" t="s">
        <v>35</v>
      </c>
      <c r="EH32" s="2">
        <v>0</v>
      </c>
      <c r="EI32" s="2" t="s">
        <v>6</v>
      </c>
      <c r="EJ32" s="2">
        <v>1</v>
      </c>
      <c r="EK32" s="2">
        <v>500001</v>
      </c>
      <c r="EL32" s="2" t="s">
        <v>36</v>
      </c>
      <c r="EM32" s="2" t="s">
        <v>37</v>
      </c>
      <c r="EN32" s="2"/>
      <c r="EO32" s="2" t="s">
        <v>6</v>
      </c>
      <c r="EP32" s="2"/>
      <c r="EQ32" s="2">
        <v>0</v>
      </c>
      <c r="ER32" s="2">
        <v>1100</v>
      </c>
      <c r="ES32" s="110">
        <f>'1.Лок.смета.и.Акт'!F59</f>
        <v>1100</v>
      </c>
      <c r="ET32" s="2">
        <v>0</v>
      </c>
      <c r="EU32" s="2">
        <v>0</v>
      </c>
      <c r="EV32" s="2">
        <v>0</v>
      </c>
      <c r="EW32" s="2">
        <v>0</v>
      </c>
      <c r="EX32" s="2">
        <v>0</v>
      </c>
      <c r="EY32" s="2"/>
      <c r="EZ32" s="2"/>
      <c r="FA32" s="2"/>
      <c r="FB32" s="2"/>
      <c r="FC32" s="2"/>
      <c r="FD32" s="2"/>
      <c r="FE32" s="2"/>
      <c r="FF32" s="2"/>
      <c r="FG32" s="2"/>
      <c r="FH32" s="2"/>
      <c r="FI32" s="2"/>
      <c r="FJ32" s="2"/>
      <c r="FK32" s="2"/>
      <c r="FL32" s="2"/>
      <c r="FM32" s="2"/>
      <c r="FN32" s="2"/>
      <c r="FO32" s="2"/>
      <c r="FP32" s="2"/>
      <c r="FQ32" s="2">
        <v>0</v>
      </c>
      <c r="FR32" s="2">
        <f t="shared" si="44"/>
        <v>0</v>
      </c>
      <c r="FS32" s="2">
        <v>0</v>
      </c>
      <c r="FT32" s="2"/>
      <c r="FU32" s="2"/>
      <c r="FV32" s="2"/>
      <c r="FW32" s="2"/>
      <c r="FX32" s="2">
        <v>0</v>
      </c>
      <c r="FY32" s="2">
        <v>0</v>
      </c>
      <c r="FZ32" s="2"/>
      <c r="GA32" s="2" t="s">
        <v>6</v>
      </c>
      <c r="GB32" s="2"/>
      <c r="GC32" s="2"/>
      <c r="GD32" s="2">
        <v>1</v>
      </c>
      <c r="GE32" s="2"/>
      <c r="GF32" s="2">
        <v>703937141</v>
      </c>
      <c r="GG32" s="2">
        <v>2</v>
      </c>
      <c r="GH32" s="2">
        <v>1</v>
      </c>
      <c r="GI32" s="2">
        <v>-2</v>
      </c>
      <c r="GJ32" s="2">
        <v>0</v>
      </c>
      <c r="GK32" s="2">
        <v>0</v>
      </c>
      <c r="GL32" s="2">
        <f t="shared" si="45"/>
        <v>0</v>
      </c>
      <c r="GM32" s="2">
        <f t="shared" si="46"/>
        <v>66</v>
      </c>
      <c r="GN32" s="2">
        <f t="shared" si="47"/>
        <v>66</v>
      </c>
      <c r="GO32" s="2">
        <f t="shared" si="48"/>
        <v>0</v>
      </c>
      <c r="GP32" s="2">
        <f t="shared" si="49"/>
        <v>0</v>
      </c>
      <c r="GQ32" s="2"/>
      <c r="GR32" s="2">
        <v>0</v>
      </c>
      <c r="GS32" s="2">
        <v>3</v>
      </c>
      <c r="GT32" s="2">
        <v>0</v>
      </c>
      <c r="GU32" s="2" t="s">
        <v>6</v>
      </c>
      <c r="GV32" s="2">
        <f t="shared" si="50"/>
        <v>0</v>
      </c>
      <c r="GW32" s="2">
        <v>1</v>
      </c>
      <c r="GX32" s="2">
        <f t="shared" si="51"/>
        <v>0</v>
      </c>
      <c r="GY32" s="2"/>
      <c r="GZ32" s="2"/>
      <c r="HA32" s="2">
        <v>0</v>
      </c>
      <c r="HB32" s="2">
        <v>0</v>
      </c>
      <c r="HC32" s="2">
        <f t="shared" si="52"/>
        <v>0</v>
      </c>
      <c r="HD32" s="2"/>
      <c r="HE32" s="2" t="s">
        <v>6</v>
      </c>
      <c r="HF32" s="2" t="s">
        <v>6</v>
      </c>
      <c r="HG32" s="2"/>
      <c r="HH32" s="2"/>
      <c r="HI32" s="2"/>
      <c r="HJ32" s="2"/>
      <c r="HK32" s="2"/>
      <c r="HL32" s="2"/>
      <c r="HM32" s="2" t="s">
        <v>6</v>
      </c>
      <c r="HN32" s="2" t="s">
        <v>6</v>
      </c>
      <c r="HO32" s="2" t="s">
        <v>6</v>
      </c>
      <c r="HP32" s="2" t="s">
        <v>6</v>
      </c>
      <c r="HQ32" s="2" t="s">
        <v>6</v>
      </c>
      <c r="HR32" s="2"/>
      <c r="HS32" s="2"/>
      <c r="HT32" s="2"/>
      <c r="HU32" s="2"/>
      <c r="HV32" s="2"/>
      <c r="HW32" s="2"/>
      <c r="HX32" s="2"/>
      <c r="HY32" s="2"/>
      <c r="HZ32" s="2"/>
      <c r="IA32" s="2"/>
      <c r="IB32" s="2"/>
      <c r="IC32" s="2"/>
      <c r="ID32" s="2"/>
      <c r="IE32" s="2"/>
      <c r="IF32" s="2">
        <v>-1</v>
      </c>
      <c r="IG32" s="2"/>
      <c r="IH32" s="2"/>
      <c r="II32" s="2"/>
      <c r="IJ32" s="2"/>
      <c r="IK32" s="2">
        <v>0</v>
      </c>
      <c r="IL32" s="2"/>
      <c r="IM32" s="2"/>
      <c r="IN32" s="2"/>
      <c r="IO32" s="2"/>
      <c r="IP32" s="2"/>
      <c r="IQ32" s="2"/>
      <c r="IR32" s="2"/>
      <c r="IS32" s="2"/>
      <c r="IT32" s="2"/>
      <c r="IU32" s="2"/>
    </row>
    <row r="33" spans="1:255" x14ac:dyDescent="0.2">
      <c r="A33">
        <v>18</v>
      </c>
      <c r="B33">
        <v>1</v>
      </c>
      <c r="C33">
        <v>16</v>
      </c>
      <c r="E33" t="s">
        <v>41</v>
      </c>
      <c r="F33" t="e">
        <f>'2.Лок.смета.и.Акт'!#REF!</f>
        <v>#REF!</v>
      </c>
      <c r="G33" t="s">
        <v>43</v>
      </c>
      <c r="H33" t="s">
        <v>44</v>
      </c>
      <c r="I33">
        <f>I29*J33</f>
        <v>6.0145499999999998E-2</v>
      </c>
      <c r="J33">
        <v>8.9870003735524843E-3</v>
      </c>
      <c r="K33">
        <v>8.9870000000000002E-3</v>
      </c>
      <c r="O33">
        <f t="shared" si="21"/>
        <v>1063</v>
      </c>
      <c r="P33">
        <f t="shared" si="22"/>
        <v>1063</v>
      </c>
      <c r="Q33">
        <f t="shared" si="23"/>
        <v>0</v>
      </c>
      <c r="R33">
        <f t="shared" si="24"/>
        <v>0</v>
      </c>
      <c r="S33">
        <f t="shared" si="25"/>
        <v>0</v>
      </c>
      <c r="T33">
        <f t="shared" si="26"/>
        <v>0</v>
      </c>
      <c r="U33">
        <f t="shared" si="27"/>
        <v>0</v>
      </c>
      <c r="V33">
        <f t="shared" si="28"/>
        <v>0</v>
      </c>
      <c r="W33">
        <f t="shared" si="29"/>
        <v>0</v>
      </c>
      <c r="X33">
        <f t="shared" si="30"/>
        <v>0</v>
      </c>
      <c r="Y33">
        <f t="shared" si="31"/>
        <v>0</v>
      </c>
      <c r="AA33">
        <v>86326988</v>
      </c>
      <c r="AB33">
        <f t="shared" si="32"/>
        <v>2338.63</v>
      </c>
      <c r="AC33">
        <f>ROUND((ES33),2)</f>
        <v>2338.63</v>
      </c>
      <c r="AD33">
        <f>ROUND((((ET33)-(EU33))+AE33),2)</f>
        <v>0</v>
      </c>
      <c r="AE33">
        <f t="shared" si="53"/>
        <v>0</v>
      </c>
      <c r="AF33">
        <f t="shared" si="53"/>
        <v>0</v>
      </c>
      <c r="AG33">
        <f t="shared" si="33"/>
        <v>0</v>
      </c>
      <c r="AH33">
        <f t="shared" si="54"/>
        <v>0</v>
      </c>
      <c r="AI33">
        <f t="shared" si="54"/>
        <v>0</v>
      </c>
      <c r="AJ33">
        <f t="shared" si="34"/>
        <v>7.14</v>
      </c>
      <c r="AK33">
        <v>2338.63</v>
      </c>
      <c r="AL33">
        <v>2338.63</v>
      </c>
      <c r="AM33">
        <v>0</v>
      </c>
      <c r="AN33">
        <v>0</v>
      </c>
      <c r="AO33">
        <v>0</v>
      </c>
      <c r="AP33">
        <v>0</v>
      </c>
      <c r="AQ33">
        <v>0</v>
      </c>
      <c r="AR33">
        <v>0</v>
      </c>
      <c r="AS33">
        <v>7.14</v>
      </c>
      <c r="AT33">
        <v>0</v>
      </c>
      <c r="AU33">
        <v>0</v>
      </c>
      <c r="AV33">
        <v>1</v>
      </c>
      <c r="AW33">
        <v>1</v>
      </c>
      <c r="AZ33">
        <v>1</v>
      </c>
      <c r="BA33">
        <v>1</v>
      </c>
      <c r="BB33">
        <v>1</v>
      </c>
      <c r="BC33">
        <v>7.56</v>
      </c>
      <c r="BD33" t="s">
        <v>6</v>
      </c>
      <c r="BE33" t="s">
        <v>6</v>
      </c>
      <c r="BF33" t="s">
        <v>6</v>
      </c>
      <c r="BG33" t="s">
        <v>6</v>
      </c>
      <c r="BH33">
        <v>3</v>
      </c>
      <c r="BI33">
        <v>1</v>
      </c>
      <c r="BJ33" t="s">
        <v>45</v>
      </c>
      <c r="BM33">
        <v>500001</v>
      </c>
      <c r="BN33">
        <v>0</v>
      </c>
      <c r="BO33" t="s">
        <v>6</v>
      </c>
      <c r="BP33">
        <v>0</v>
      </c>
      <c r="BQ33">
        <v>20</v>
      </c>
      <c r="BR33">
        <v>0</v>
      </c>
      <c r="BS33">
        <v>1</v>
      </c>
      <c r="BT33">
        <v>1</v>
      </c>
      <c r="BU33">
        <v>1</v>
      </c>
      <c r="BV33">
        <v>1</v>
      </c>
      <c r="BW33">
        <v>1</v>
      </c>
      <c r="BX33">
        <v>1</v>
      </c>
      <c r="BY33" t="s">
        <v>6</v>
      </c>
      <c r="BZ33">
        <v>0</v>
      </c>
      <c r="CA33">
        <v>0</v>
      </c>
      <c r="CB33" t="s">
        <v>6</v>
      </c>
      <c r="CE33">
        <v>0</v>
      </c>
      <c r="CF33">
        <v>0</v>
      </c>
      <c r="CG33">
        <v>0</v>
      </c>
      <c r="CM33">
        <v>0</v>
      </c>
      <c r="CN33" t="s">
        <v>6</v>
      </c>
      <c r="CO33">
        <v>0</v>
      </c>
      <c r="CP33">
        <f t="shared" si="35"/>
        <v>1063</v>
      </c>
      <c r="CQ33">
        <f t="shared" si="36"/>
        <v>17680.042799999999</v>
      </c>
      <c r="CR33">
        <f t="shared" si="37"/>
        <v>0</v>
      </c>
      <c r="CS33">
        <f t="shared" si="38"/>
        <v>0</v>
      </c>
      <c r="CT33">
        <f t="shared" si="39"/>
        <v>0</v>
      </c>
      <c r="CU33">
        <f t="shared" si="40"/>
        <v>0</v>
      </c>
      <c r="CV33">
        <f t="shared" si="41"/>
        <v>0</v>
      </c>
      <c r="CW33">
        <f t="shared" si="42"/>
        <v>0</v>
      </c>
      <c r="CX33">
        <f t="shared" si="43"/>
        <v>7.14</v>
      </c>
      <c r="CY33">
        <f>(S33+R33)*(BZ33/100)</f>
        <v>0</v>
      </c>
      <c r="CZ33">
        <f>(S33+R33)*(CA33/100)</f>
        <v>0</v>
      </c>
      <c r="DC33" t="s">
        <v>6</v>
      </c>
      <c r="DD33" t="s">
        <v>6</v>
      </c>
      <c r="DE33" t="s">
        <v>6</v>
      </c>
      <c r="DF33" t="s">
        <v>6</v>
      </c>
      <c r="DG33" t="s">
        <v>6</v>
      </c>
      <c r="DH33" t="s">
        <v>6</v>
      </c>
      <c r="DI33" t="s">
        <v>6</v>
      </c>
      <c r="DJ33" t="s">
        <v>6</v>
      </c>
      <c r="DK33" t="s">
        <v>6</v>
      </c>
      <c r="DL33" t="s">
        <v>6</v>
      </c>
      <c r="DM33" t="s">
        <v>6</v>
      </c>
      <c r="DN33">
        <v>0</v>
      </c>
      <c r="DO33">
        <v>0</v>
      </c>
      <c r="DP33">
        <v>1</v>
      </c>
      <c r="DQ33">
        <v>1</v>
      </c>
      <c r="DU33">
        <v>1007</v>
      </c>
      <c r="DV33" t="s">
        <v>44</v>
      </c>
      <c r="DW33" t="e">
        <f>'2.Лок.смета.и.Акт'!#REF!</f>
        <v>#REF!</v>
      </c>
      <c r="DX33">
        <v>1</v>
      </c>
      <c r="DZ33" t="s">
        <v>6</v>
      </c>
      <c r="EA33" t="s">
        <v>6</v>
      </c>
      <c r="EB33" t="s">
        <v>6</v>
      </c>
      <c r="EC33" t="s">
        <v>6</v>
      </c>
      <c r="EE33">
        <v>54938781</v>
      </c>
      <c r="EF33">
        <v>20</v>
      </c>
      <c r="EG33" t="s">
        <v>35</v>
      </c>
      <c r="EH33">
        <v>0</v>
      </c>
      <c r="EI33" t="s">
        <v>6</v>
      </c>
      <c r="EJ33">
        <v>1</v>
      </c>
      <c r="EK33">
        <v>500001</v>
      </c>
      <c r="EL33" t="s">
        <v>36</v>
      </c>
      <c r="EM33" t="s">
        <v>37</v>
      </c>
      <c r="EO33" t="s">
        <v>6</v>
      </c>
      <c r="EQ33">
        <v>0</v>
      </c>
      <c r="ER33">
        <v>16666.669999999998</v>
      </c>
      <c r="ES33">
        <v>2338.63</v>
      </c>
      <c r="ET33">
        <v>0</v>
      </c>
      <c r="EU33">
        <v>0</v>
      </c>
      <c r="EV33">
        <v>0</v>
      </c>
      <c r="EW33">
        <v>0</v>
      </c>
      <c r="EX33">
        <v>0</v>
      </c>
      <c r="EZ33">
        <v>5</v>
      </c>
      <c r="FC33">
        <v>0</v>
      </c>
      <c r="FD33">
        <v>18</v>
      </c>
      <c r="FF33">
        <v>16666.669999999998</v>
      </c>
      <c r="FQ33">
        <v>0</v>
      </c>
      <c r="FR33">
        <f t="shared" si="44"/>
        <v>0</v>
      </c>
      <c r="FS33">
        <v>0</v>
      </c>
      <c r="FX33">
        <v>0</v>
      </c>
      <c r="FY33">
        <v>0</v>
      </c>
      <c r="GA33" t="s">
        <v>46</v>
      </c>
      <c r="GD33">
        <v>1</v>
      </c>
      <c r="GF33">
        <v>703937141</v>
      </c>
      <c r="GG33">
        <v>2</v>
      </c>
      <c r="GH33">
        <v>3</v>
      </c>
      <c r="GI33">
        <v>5</v>
      </c>
      <c r="GJ33">
        <v>0</v>
      </c>
      <c r="GK33">
        <v>0</v>
      </c>
      <c r="GL33">
        <f t="shared" si="45"/>
        <v>0</v>
      </c>
      <c r="GM33">
        <f t="shared" si="46"/>
        <v>1063</v>
      </c>
      <c r="GN33">
        <f t="shared" si="47"/>
        <v>1063</v>
      </c>
      <c r="GO33">
        <f t="shared" si="48"/>
        <v>0</v>
      </c>
      <c r="GP33">
        <f t="shared" si="49"/>
        <v>0</v>
      </c>
      <c r="GR33">
        <v>1</v>
      </c>
      <c r="GS33">
        <v>1</v>
      </c>
      <c r="GT33">
        <v>0</v>
      </c>
      <c r="GU33" t="s">
        <v>6</v>
      </c>
      <c r="GV33">
        <f t="shared" si="50"/>
        <v>0</v>
      </c>
      <c r="GW33">
        <v>1</v>
      </c>
      <c r="GX33">
        <f t="shared" si="51"/>
        <v>0</v>
      </c>
      <c r="HA33">
        <v>0</v>
      </c>
      <c r="HB33">
        <v>0</v>
      </c>
      <c r="HC33">
        <f t="shared" si="52"/>
        <v>0</v>
      </c>
      <c r="HE33" t="s">
        <v>39</v>
      </c>
      <c r="HF33" t="s">
        <v>40</v>
      </c>
      <c r="HM33" t="s">
        <v>6</v>
      </c>
      <c r="HN33" t="s">
        <v>6</v>
      </c>
      <c r="HO33" t="s">
        <v>6</v>
      </c>
      <c r="HP33" t="s">
        <v>6</v>
      </c>
      <c r="HQ33" t="s">
        <v>6</v>
      </c>
      <c r="IF33">
        <v>-1</v>
      </c>
      <c r="IK33">
        <v>0</v>
      </c>
    </row>
    <row r="34" spans="1:255" x14ac:dyDescent="0.2">
      <c r="A34" s="2">
        <v>17</v>
      </c>
      <c r="B34" s="2">
        <v>1</v>
      </c>
      <c r="C34" s="2">
        <f>ROW(SmtRes!A22)</f>
        <v>22</v>
      </c>
      <c r="D34" s="2">
        <f>ROW(EtalonRes!A23)</f>
        <v>23</v>
      </c>
      <c r="E34" s="2" t="s">
        <v>40</v>
      </c>
      <c r="F34" s="2" t="s">
        <v>47</v>
      </c>
      <c r="G34" s="2" t="s">
        <v>48</v>
      </c>
      <c r="H34" s="2" t="s">
        <v>49</v>
      </c>
      <c r="I34" s="2">
        <f>'2.Лок.смета.и.Акт'!E25</f>
        <v>0.3725</v>
      </c>
      <c r="J34" s="2">
        <v>0</v>
      </c>
      <c r="K34" s="2">
        <v>1.49</v>
      </c>
      <c r="L34" s="2"/>
      <c r="M34" s="2"/>
      <c r="N34" s="2"/>
      <c r="O34" s="2">
        <f t="shared" si="21"/>
        <v>307</v>
      </c>
      <c r="P34" s="2">
        <f t="shared" si="22"/>
        <v>0</v>
      </c>
      <c r="Q34" s="2">
        <f t="shared" si="23"/>
        <v>28</v>
      </c>
      <c r="R34" s="2">
        <f t="shared" si="24"/>
        <v>3</v>
      </c>
      <c r="S34" s="2">
        <f t="shared" si="25"/>
        <v>279</v>
      </c>
      <c r="T34" s="2">
        <f t="shared" si="26"/>
        <v>0</v>
      </c>
      <c r="U34" s="2">
        <f t="shared" si="27"/>
        <v>23.415480374999998</v>
      </c>
      <c r="V34" s="2">
        <f t="shared" si="28"/>
        <v>0.19191200000000003</v>
      </c>
      <c r="W34" s="2">
        <f t="shared" si="29"/>
        <v>0</v>
      </c>
      <c r="X34" s="2">
        <f t="shared" si="30"/>
        <v>186</v>
      </c>
      <c r="Y34" s="2">
        <f t="shared" si="31"/>
        <v>169</v>
      </c>
      <c r="Z34" s="2"/>
      <c r="AA34" s="2">
        <v>86326987</v>
      </c>
      <c r="AB34" s="2">
        <f t="shared" si="32"/>
        <v>823.19</v>
      </c>
      <c r="AC34" s="2">
        <f>ROUND((ES34+(SUM(SmtRes!BC17:'SmtRes'!BC22)+SUM(EtalonRes!AL17:'EtalonRes'!AL23))),2)</f>
        <v>0</v>
      </c>
      <c r="AD34" s="2">
        <f>ROUND(((ET34*1.12)),2)</f>
        <v>73.89</v>
      </c>
      <c r="AE34" s="2">
        <f>ROUND(((EU34*1.12)),2)</f>
        <v>7.01</v>
      </c>
      <c r="AF34" s="2">
        <f>ROUND(((EV34*1.05)),2)</f>
        <v>749.3</v>
      </c>
      <c r="AG34" s="2">
        <f t="shared" si="33"/>
        <v>0</v>
      </c>
      <c r="AH34" s="2">
        <f>((EW34*1.05))</f>
        <v>62.860349999999997</v>
      </c>
      <c r="AI34" s="2">
        <f>((EX34*1.12))</f>
        <v>0.5152000000000001</v>
      </c>
      <c r="AJ34" s="2">
        <f t="shared" si="34"/>
        <v>0</v>
      </c>
      <c r="AK34" s="2">
        <v>5543.2</v>
      </c>
      <c r="AL34" s="2">
        <v>4763.6099999999997</v>
      </c>
      <c r="AM34" s="2">
        <v>65.97</v>
      </c>
      <c r="AN34" s="2">
        <v>6.26</v>
      </c>
      <c r="AO34" s="2">
        <v>713.62</v>
      </c>
      <c r="AP34" s="2">
        <v>0</v>
      </c>
      <c r="AQ34" s="2">
        <v>59.866999999999997</v>
      </c>
      <c r="AR34" s="2">
        <v>0.46</v>
      </c>
      <c r="AS34" s="2">
        <v>0</v>
      </c>
      <c r="AT34" s="2">
        <v>66</v>
      </c>
      <c r="AU34" s="2">
        <v>60</v>
      </c>
      <c r="AV34" s="2">
        <v>1</v>
      </c>
      <c r="AW34" s="2">
        <v>1</v>
      </c>
      <c r="AX34" s="2"/>
      <c r="AY34" s="2"/>
      <c r="AZ34" s="2">
        <v>1</v>
      </c>
      <c r="BA34" s="2">
        <v>1</v>
      </c>
      <c r="BB34" s="2">
        <v>1</v>
      </c>
      <c r="BC34" s="2">
        <v>1</v>
      </c>
      <c r="BD34" s="2" t="s">
        <v>6</v>
      </c>
      <c r="BE34" s="2" t="s">
        <v>6</v>
      </c>
      <c r="BF34" s="2" t="s">
        <v>6</v>
      </c>
      <c r="BG34" s="2" t="s">
        <v>6</v>
      </c>
      <c r="BH34" s="2">
        <v>0</v>
      </c>
      <c r="BI34" s="2">
        <v>1</v>
      </c>
      <c r="BJ34" s="2" t="s">
        <v>50</v>
      </c>
      <c r="BK34" s="2"/>
      <c r="BL34" s="2"/>
      <c r="BM34" s="2">
        <v>501</v>
      </c>
      <c r="BN34" s="2">
        <v>0</v>
      </c>
      <c r="BO34" s="2" t="s">
        <v>6</v>
      </c>
      <c r="BP34" s="2">
        <v>0</v>
      </c>
      <c r="BQ34" s="2">
        <v>1</v>
      </c>
      <c r="BR34" s="2">
        <v>0</v>
      </c>
      <c r="BS34" s="2">
        <v>1</v>
      </c>
      <c r="BT34" s="2">
        <v>1</v>
      </c>
      <c r="BU34" s="2">
        <v>1</v>
      </c>
      <c r="BV34" s="2">
        <v>1</v>
      </c>
      <c r="BW34" s="2">
        <v>1</v>
      </c>
      <c r="BX34" s="2">
        <v>1</v>
      </c>
      <c r="BY34" s="2" t="s">
        <v>6</v>
      </c>
      <c r="BZ34" s="2">
        <v>66</v>
      </c>
      <c r="CA34" s="2">
        <v>60</v>
      </c>
      <c r="CB34" s="2" t="s">
        <v>6</v>
      </c>
      <c r="CC34" s="2"/>
      <c r="CD34" s="2"/>
      <c r="CE34" s="2">
        <v>0</v>
      </c>
      <c r="CF34" s="2">
        <v>0</v>
      </c>
      <c r="CG34" s="2">
        <v>0</v>
      </c>
      <c r="CH34" s="2"/>
      <c r="CI34" s="2"/>
      <c r="CJ34" s="2"/>
      <c r="CK34" s="2"/>
      <c r="CL34" s="2"/>
      <c r="CM34" s="2">
        <v>0</v>
      </c>
      <c r="CN34" s="2" t="s">
        <v>23</v>
      </c>
      <c r="CO34" s="2">
        <v>0</v>
      </c>
      <c r="CP34" s="2">
        <f t="shared" si="35"/>
        <v>307</v>
      </c>
      <c r="CQ34" s="2">
        <f t="shared" si="36"/>
        <v>0</v>
      </c>
      <c r="CR34" s="2">
        <f t="shared" si="37"/>
        <v>73.89</v>
      </c>
      <c r="CS34" s="2">
        <f t="shared" si="38"/>
        <v>7.01</v>
      </c>
      <c r="CT34" s="2">
        <f t="shared" si="39"/>
        <v>749.3</v>
      </c>
      <c r="CU34" s="2">
        <f t="shared" si="40"/>
        <v>0</v>
      </c>
      <c r="CV34" s="2">
        <f t="shared" si="41"/>
        <v>62.860349999999997</v>
      </c>
      <c r="CW34" s="2">
        <f t="shared" si="42"/>
        <v>0.5152000000000001</v>
      </c>
      <c r="CX34" s="2">
        <f t="shared" si="43"/>
        <v>0</v>
      </c>
      <c r="CY34" s="2">
        <f>(((S34+(R34*IF(0,0,1)))*AT34)/100)</f>
        <v>186.12</v>
      </c>
      <c r="CZ34" s="2">
        <f>(((S34+(R34*IF(0,0,1)))*AU34)/100)</f>
        <v>169.2</v>
      </c>
      <c r="DA34" s="2"/>
      <c r="DB34" s="2"/>
      <c r="DC34" s="2" t="s">
        <v>6</v>
      </c>
      <c r="DD34" s="2" t="s">
        <v>6</v>
      </c>
      <c r="DE34" s="2" t="s">
        <v>24</v>
      </c>
      <c r="DF34" s="2" t="s">
        <v>24</v>
      </c>
      <c r="DG34" s="2" t="s">
        <v>25</v>
      </c>
      <c r="DH34" s="2" t="s">
        <v>6</v>
      </c>
      <c r="DI34" s="2" t="s">
        <v>25</v>
      </c>
      <c r="DJ34" s="2" t="s">
        <v>24</v>
      </c>
      <c r="DK34" s="2" t="s">
        <v>6</v>
      </c>
      <c r="DL34" s="2" t="s">
        <v>6</v>
      </c>
      <c r="DM34" s="2" t="s">
        <v>6</v>
      </c>
      <c r="DN34" s="2">
        <v>0</v>
      </c>
      <c r="DO34" s="2">
        <v>0</v>
      </c>
      <c r="DP34" s="2">
        <v>1</v>
      </c>
      <c r="DQ34" s="2">
        <v>1</v>
      </c>
      <c r="DR34" s="2"/>
      <c r="DS34" s="2"/>
      <c r="DT34" s="2"/>
      <c r="DU34" s="2">
        <v>1013</v>
      </c>
      <c r="DV34" s="2" t="s">
        <v>49</v>
      </c>
      <c r="DW34" s="2" t="s">
        <v>49</v>
      </c>
      <c r="DX34" s="2">
        <v>1</v>
      </c>
      <c r="DY34" s="2"/>
      <c r="DZ34" s="2" t="s">
        <v>6</v>
      </c>
      <c r="EA34" s="2" t="s">
        <v>6</v>
      </c>
      <c r="EB34" s="2" t="s">
        <v>6</v>
      </c>
      <c r="EC34" s="2" t="s">
        <v>6</v>
      </c>
      <c r="ED34" s="2"/>
      <c r="EE34" s="2">
        <v>54938567</v>
      </c>
      <c r="EF34" s="2">
        <v>1</v>
      </c>
      <c r="EG34" s="2" t="s">
        <v>26</v>
      </c>
      <c r="EH34" s="2">
        <v>0</v>
      </c>
      <c r="EI34" s="2" t="s">
        <v>6</v>
      </c>
      <c r="EJ34" s="2">
        <v>1</v>
      </c>
      <c r="EK34" s="2">
        <v>501</v>
      </c>
      <c r="EL34" s="2" t="s">
        <v>51</v>
      </c>
      <c r="EM34" s="2" t="s">
        <v>52</v>
      </c>
      <c r="EN34" s="2"/>
      <c r="EO34" s="2" t="s">
        <v>29</v>
      </c>
      <c r="EP34" s="2"/>
      <c r="EQ34" s="2">
        <v>2228224</v>
      </c>
      <c r="ER34" s="2">
        <v>5543.2</v>
      </c>
      <c r="ES34" s="2">
        <v>4763.6099999999997</v>
      </c>
      <c r="ET34" s="2">
        <v>65.97</v>
      </c>
      <c r="EU34" s="2">
        <v>6.26</v>
      </c>
      <c r="EV34" s="2">
        <v>713.62</v>
      </c>
      <c r="EW34" s="2">
        <v>59.866999999999997</v>
      </c>
      <c r="EX34" s="2">
        <v>0.46</v>
      </c>
      <c r="EY34" s="2">
        <v>1</v>
      </c>
      <c r="EZ34" s="2"/>
      <c r="FA34" s="2"/>
      <c r="FB34" s="2"/>
      <c r="FC34" s="2"/>
      <c r="FD34" s="2"/>
      <c r="FE34" s="2"/>
      <c r="FF34" s="2"/>
      <c r="FG34" s="2"/>
      <c r="FH34" s="2"/>
      <c r="FI34" s="2"/>
      <c r="FJ34" s="2"/>
      <c r="FK34" s="2"/>
      <c r="FL34" s="2"/>
      <c r="FM34" s="2"/>
      <c r="FN34" s="2"/>
      <c r="FO34" s="2"/>
      <c r="FP34" s="2"/>
      <c r="FQ34" s="2">
        <v>0</v>
      </c>
      <c r="FR34" s="2">
        <f t="shared" si="44"/>
        <v>0</v>
      </c>
      <c r="FS34" s="2">
        <v>0</v>
      </c>
      <c r="FT34" s="2"/>
      <c r="FU34" s="2"/>
      <c r="FV34" s="2"/>
      <c r="FW34" s="2"/>
      <c r="FX34" s="2">
        <v>66</v>
      </c>
      <c r="FY34" s="2">
        <v>60</v>
      </c>
      <c r="FZ34" s="2"/>
      <c r="GA34" s="2" t="s">
        <v>6</v>
      </c>
      <c r="GB34" s="2"/>
      <c r="GC34" s="2"/>
      <c r="GD34" s="2">
        <v>1</v>
      </c>
      <c r="GE34" s="2"/>
      <c r="GF34" s="2">
        <v>-1557847688</v>
      </c>
      <c r="GG34" s="2">
        <v>2</v>
      </c>
      <c r="GH34" s="2">
        <v>1</v>
      </c>
      <c r="GI34" s="2">
        <v>-2</v>
      </c>
      <c r="GJ34" s="2">
        <v>0</v>
      </c>
      <c r="GK34" s="2">
        <v>0</v>
      </c>
      <c r="GL34" s="2">
        <f t="shared" si="45"/>
        <v>0</v>
      </c>
      <c r="GM34" s="2">
        <f t="shared" si="46"/>
        <v>662</v>
      </c>
      <c r="GN34" s="2">
        <f t="shared" si="47"/>
        <v>662</v>
      </c>
      <c r="GO34" s="2">
        <f t="shared" si="48"/>
        <v>0</v>
      </c>
      <c r="GP34" s="2">
        <f t="shared" si="49"/>
        <v>0</v>
      </c>
      <c r="GQ34" s="2"/>
      <c r="GR34" s="2">
        <v>0</v>
      </c>
      <c r="GS34" s="2">
        <v>3</v>
      </c>
      <c r="GT34" s="2">
        <v>0</v>
      </c>
      <c r="GU34" s="2" t="s">
        <v>6</v>
      </c>
      <c r="GV34" s="2">
        <f t="shared" si="50"/>
        <v>0</v>
      </c>
      <c r="GW34" s="2">
        <v>1</v>
      </c>
      <c r="GX34" s="2">
        <f t="shared" si="51"/>
        <v>0</v>
      </c>
      <c r="GY34" s="2"/>
      <c r="GZ34" s="2"/>
      <c r="HA34" s="2">
        <v>0</v>
      </c>
      <c r="HB34" s="2">
        <v>0</v>
      </c>
      <c r="HC34" s="2">
        <f t="shared" si="52"/>
        <v>0</v>
      </c>
      <c r="HD34" s="2"/>
      <c r="HE34" s="2" t="s">
        <v>6</v>
      </c>
      <c r="HF34" s="2" t="s">
        <v>6</v>
      </c>
      <c r="HG34" s="2"/>
      <c r="HH34" s="2"/>
      <c r="HI34" s="2"/>
      <c r="HJ34" s="2"/>
      <c r="HK34" s="2"/>
      <c r="HL34" s="2"/>
      <c r="HM34" s="2" t="s">
        <v>6</v>
      </c>
      <c r="HN34" s="2" t="s">
        <v>6</v>
      </c>
      <c r="HO34" s="2" t="s">
        <v>6</v>
      </c>
      <c r="HP34" s="2" t="s">
        <v>6</v>
      </c>
      <c r="HQ34" s="2" t="s">
        <v>6</v>
      </c>
      <c r="HR34" s="2"/>
      <c r="HS34" s="2"/>
      <c r="HT34" s="2"/>
      <c r="HU34" s="2"/>
      <c r="HV34" s="2"/>
      <c r="HW34" s="2"/>
      <c r="HX34" s="2"/>
      <c r="HY34" s="2"/>
      <c r="HZ34" s="2"/>
      <c r="IA34" s="2"/>
      <c r="IB34" s="2"/>
      <c r="IC34" s="2"/>
      <c r="ID34" s="2"/>
      <c r="IE34" s="2"/>
      <c r="IF34" s="2">
        <v>-1</v>
      </c>
      <c r="IG34" s="2"/>
      <c r="IH34" s="2"/>
      <c r="II34" s="2"/>
      <c r="IJ34" s="2"/>
      <c r="IK34" s="2">
        <v>0</v>
      </c>
      <c r="IL34" s="2"/>
      <c r="IM34" s="2"/>
      <c r="IN34" s="2"/>
      <c r="IO34" s="2"/>
      <c r="IP34" s="2"/>
      <c r="IQ34" s="2"/>
      <c r="IR34" s="2"/>
      <c r="IS34" s="2"/>
      <c r="IT34" s="2"/>
      <c r="IU34" s="2"/>
    </row>
    <row r="35" spans="1:255" x14ac:dyDescent="0.2">
      <c r="A35">
        <v>17</v>
      </c>
      <c r="B35">
        <v>1</v>
      </c>
      <c r="C35">
        <f>ROW(SmtRes!A28)</f>
        <v>28</v>
      </c>
      <c r="D35">
        <f>ROW(EtalonRes!A30)</f>
        <v>30</v>
      </c>
      <c r="E35" t="s">
        <v>40</v>
      </c>
      <c r="F35" t="s">
        <v>47</v>
      </c>
      <c r="G35" t="s">
        <v>48</v>
      </c>
      <c r="H35" t="s">
        <v>49</v>
      </c>
      <c r="I35">
        <f>'2.Лок.смета.и.Акт'!E25</f>
        <v>0.3725</v>
      </c>
      <c r="J35">
        <v>0</v>
      </c>
      <c r="K35">
        <v>1.49</v>
      </c>
      <c r="O35">
        <f t="shared" si="21"/>
        <v>7294</v>
      </c>
      <c r="P35">
        <f t="shared" si="22"/>
        <v>0</v>
      </c>
      <c r="Q35">
        <f t="shared" si="23"/>
        <v>216</v>
      </c>
      <c r="R35">
        <f t="shared" si="24"/>
        <v>52</v>
      </c>
      <c r="S35">
        <f t="shared" si="25"/>
        <v>7078</v>
      </c>
      <c r="T35">
        <f t="shared" si="26"/>
        <v>0</v>
      </c>
      <c r="U35" t="e">
        <f t="shared" si="27"/>
        <v>#REF!</v>
      </c>
      <c r="V35">
        <f t="shared" si="28"/>
        <v>0.19191200000000003</v>
      </c>
      <c r="W35">
        <f t="shared" si="29"/>
        <v>0</v>
      </c>
      <c r="X35" t="e">
        <f t="shared" si="30"/>
        <v>#REF!</v>
      </c>
      <c r="Y35" t="e">
        <f t="shared" si="31"/>
        <v>#REF!</v>
      </c>
      <c r="AA35">
        <v>86326988</v>
      </c>
      <c r="AB35">
        <f t="shared" si="32"/>
        <v>823.19</v>
      </c>
      <c r="AC35">
        <f>ROUND((ES35+(SUM(SmtRes!BC23:'SmtRes'!BC28)+SUM(EtalonRes!AL24:'EtalonRes'!AL30))),2)</f>
        <v>0</v>
      </c>
      <c r="AD35">
        <f>ROUND(((ET35*1.12)),2)</f>
        <v>73.89</v>
      </c>
      <c r="AE35">
        <f>ROUND(((EU35*1.12)),2)</f>
        <v>7.01</v>
      </c>
      <c r="AF35">
        <f>ROUND(((EV35*1.05)),2)</f>
        <v>749.3</v>
      </c>
      <c r="AG35">
        <f t="shared" si="33"/>
        <v>0</v>
      </c>
      <c r="AH35" t="e">
        <f>((EW35*1.05))</f>
        <v>#REF!</v>
      </c>
      <c r="AI35">
        <f>((EX35*1.12))</f>
        <v>0.5152000000000001</v>
      </c>
      <c r="AJ35">
        <f t="shared" si="34"/>
        <v>0</v>
      </c>
      <c r="AK35">
        <f>AL35+AM35+AO35</f>
        <v>5543.2</v>
      </c>
      <c r="AL35">
        <v>4763.6099999999997</v>
      </c>
      <c r="AM35" s="75">
        <f>'1.Лок.смета.и.Акт'!F66</f>
        <v>65.97</v>
      </c>
      <c r="AN35" s="75">
        <f>'1.Лок.смета.и.Акт'!F67</f>
        <v>6.26</v>
      </c>
      <c r="AO35" s="75">
        <f>'1.Лок.смета.и.Акт'!F65</f>
        <v>713.62</v>
      </c>
      <c r="AP35">
        <v>0</v>
      </c>
      <c r="AQ35" t="e">
        <f>'2.Лок.смета.и.Акт'!#REF!</f>
        <v>#REF!</v>
      </c>
      <c r="AR35">
        <v>0.46</v>
      </c>
      <c r="AS35">
        <v>0</v>
      </c>
      <c r="AT35">
        <v>63</v>
      </c>
      <c r="AU35">
        <v>51</v>
      </c>
      <c r="AV35">
        <v>1</v>
      </c>
      <c r="AW35">
        <v>1</v>
      </c>
      <c r="AZ35">
        <v>1</v>
      </c>
      <c r="BA35">
        <f>'1.Лок.смета.и.Акт'!J65</f>
        <v>25.36</v>
      </c>
      <c r="BB35">
        <f>'1.Лок.смета.и.Акт'!J66</f>
        <v>7.84</v>
      </c>
      <c r="BC35">
        <v>7.56</v>
      </c>
      <c r="BD35" t="s">
        <v>6</v>
      </c>
      <c r="BE35" t="s">
        <v>6</v>
      </c>
      <c r="BF35" t="s">
        <v>6</v>
      </c>
      <c r="BG35" t="s">
        <v>6</v>
      </c>
      <c r="BH35">
        <v>0</v>
      </c>
      <c r="BI35">
        <v>1</v>
      </c>
      <c r="BJ35" t="s">
        <v>50</v>
      </c>
      <c r="BM35">
        <v>501</v>
      </c>
      <c r="BN35">
        <v>0</v>
      </c>
      <c r="BO35" t="s">
        <v>47</v>
      </c>
      <c r="BP35">
        <v>1</v>
      </c>
      <c r="BQ35">
        <v>1</v>
      </c>
      <c r="BR35">
        <v>0</v>
      </c>
      <c r="BS35">
        <f>'1.Лок.смета.и.Акт'!J67</f>
        <v>19.8</v>
      </c>
      <c r="BT35">
        <v>1</v>
      </c>
      <c r="BU35">
        <v>1</v>
      </c>
      <c r="BV35">
        <v>1</v>
      </c>
      <c r="BW35">
        <v>1</v>
      </c>
      <c r="BX35">
        <v>1</v>
      </c>
      <c r="BY35" t="s">
        <v>6</v>
      </c>
      <c r="BZ35" t="e">
        <f>'2.Лок.смета.и.Акт'!#REF!</f>
        <v>#REF!</v>
      </c>
      <c r="CA35" t="e">
        <f>'2.Лок.смета.и.Акт'!#REF!</f>
        <v>#REF!</v>
      </c>
      <c r="CB35" t="s">
        <v>6</v>
      </c>
      <c r="CE35">
        <v>0</v>
      </c>
      <c r="CF35">
        <v>0</v>
      </c>
      <c r="CG35">
        <v>0</v>
      </c>
      <c r="CM35">
        <v>0</v>
      </c>
      <c r="CN35" t="s">
        <v>23</v>
      </c>
      <c r="CO35">
        <v>0</v>
      </c>
      <c r="CP35">
        <f t="shared" si="35"/>
        <v>7294</v>
      </c>
      <c r="CQ35">
        <f t="shared" si="36"/>
        <v>0</v>
      </c>
      <c r="CR35">
        <f t="shared" si="37"/>
        <v>579.29759999999999</v>
      </c>
      <c r="CS35">
        <f t="shared" si="38"/>
        <v>138.798</v>
      </c>
      <c r="CT35">
        <f t="shared" si="39"/>
        <v>19002.248</v>
      </c>
      <c r="CU35">
        <f t="shared" si="40"/>
        <v>0</v>
      </c>
      <c r="CV35" t="e">
        <f t="shared" si="41"/>
        <v>#REF!</v>
      </c>
      <c r="CW35">
        <f t="shared" si="42"/>
        <v>0.5152000000000001</v>
      </c>
      <c r="CX35">
        <f t="shared" si="43"/>
        <v>0</v>
      </c>
      <c r="CY35" t="e">
        <f>(S35+R35)*(BZ35/100)</f>
        <v>#REF!</v>
      </c>
      <c r="CZ35" t="e">
        <f>(S35+R35)*(CA35/100)</f>
        <v>#REF!</v>
      </c>
      <c r="DC35" t="s">
        <v>6</v>
      </c>
      <c r="DD35" t="s">
        <v>6</v>
      </c>
      <c r="DE35" t="s">
        <v>24</v>
      </c>
      <c r="DF35" t="s">
        <v>24</v>
      </c>
      <c r="DG35" t="s">
        <v>25</v>
      </c>
      <c r="DH35" t="s">
        <v>6</v>
      </c>
      <c r="DI35" t="s">
        <v>25</v>
      </c>
      <c r="DJ35" t="s">
        <v>24</v>
      </c>
      <c r="DK35" t="s">
        <v>6</v>
      </c>
      <c r="DL35" t="s">
        <v>6</v>
      </c>
      <c r="DM35" t="s">
        <v>6</v>
      </c>
      <c r="DN35">
        <f>'1.Лок.смета.и.Акт'!E68</f>
        <v>66</v>
      </c>
      <c r="DO35">
        <f>'1.Лок.смета.и.Акт'!E69</f>
        <v>60</v>
      </c>
      <c r="DP35">
        <v>1</v>
      </c>
      <c r="DQ35">
        <v>1</v>
      </c>
      <c r="DU35">
        <v>1013</v>
      </c>
      <c r="DV35" t="s">
        <v>49</v>
      </c>
      <c r="DW35" t="str">
        <f>'2.Лок.смета.и.Акт'!D25</f>
        <v>1 т арматуры, закладных деталей</v>
      </c>
      <c r="DX35">
        <v>1</v>
      </c>
      <c r="DZ35" t="s">
        <v>6</v>
      </c>
      <c r="EA35" t="s">
        <v>6</v>
      </c>
      <c r="EB35" t="s">
        <v>6</v>
      </c>
      <c r="EC35" t="s">
        <v>6</v>
      </c>
      <c r="EE35">
        <v>54938567</v>
      </c>
      <c r="EF35">
        <v>1</v>
      </c>
      <c r="EG35" t="s">
        <v>26</v>
      </c>
      <c r="EH35">
        <v>0</v>
      </c>
      <c r="EI35" t="s">
        <v>6</v>
      </c>
      <c r="EJ35">
        <v>1</v>
      </c>
      <c r="EK35">
        <v>501</v>
      </c>
      <c r="EL35" t="s">
        <v>51</v>
      </c>
      <c r="EM35" t="s">
        <v>52</v>
      </c>
      <c r="EO35" t="s">
        <v>29</v>
      </c>
      <c r="EQ35">
        <v>2228224</v>
      </c>
      <c r="ER35">
        <f>ES35+ET35+EV35</f>
        <v>5543.2</v>
      </c>
      <c r="ES35">
        <v>4763.6099999999997</v>
      </c>
      <c r="ET35" s="75">
        <f>'1.Лок.смета.и.Акт'!F66</f>
        <v>65.97</v>
      </c>
      <c r="EU35" s="75">
        <f>'1.Лок.смета.и.Акт'!F67</f>
        <v>6.26</v>
      </c>
      <c r="EV35" s="75">
        <f>'1.Лок.смета.и.Акт'!F65</f>
        <v>713.62</v>
      </c>
      <c r="EW35" t="e">
        <f>'2.Лок.смета.и.Акт'!#REF!</f>
        <v>#REF!</v>
      </c>
      <c r="EX35">
        <v>0.46</v>
      </c>
      <c r="EY35">
        <v>1</v>
      </c>
      <c r="FQ35">
        <v>0</v>
      </c>
      <c r="FR35">
        <f t="shared" si="44"/>
        <v>0</v>
      </c>
      <c r="FS35">
        <v>0</v>
      </c>
      <c r="FX35">
        <v>66</v>
      </c>
      <c r="FY35">
        <v>60</v>
      </c>
      <c r="GA35" t="s">
        <v>6</v>
      </c>
      <c r="GD35">
        <v>1</v>
      </c>
      <c r="GF35">
        <v>-1557847688</v>
      </c>
      <c r="GG35">
        <v>2</v>
      </c>
      <c r="GH35">
        <v>1</v>
      </c>
      <c r="GI35">
        <v>2</v>
      </c>
      <c r="GJ35">
        <v>0</v>
      </c>
      <c r="GK35">
        <v>0</v>
      </c>
      <c r="GL35">
        <f t="shared" si="45"/>
        <v>0</v>
      </c>
      <c r="GM35" t="e">
        <f t="shared" si="46"/>
        <v>#REF!</v>
      </c>
      <c r="GN35" t="e">
        <f t="shared" si="47"/>
        <v>#REF!</v>
      </c>
      <c r="GO35">
        <f t="shared" si="48"/>
        <v>0</v>
      </c>
      <c r="GP35">
        <f t="shared" si="49"/>
        <v>0</v>
      </c>
      <c r="GR35">
        <v>0</v>
      </c>
      <c r="GS35">
        <v>3</v>
      </c>
      <c r="GT35">
        <v>0</v>
      </c>
      <c r="GU35" t="s">
        <v>6</v>
      </c>
      <c r="GV35">
        <f t="shared" si="50"/>
        <v>0</v>
      </c>
      <c r="GW35">
        <v>1015.2</v>
      </c>
      <c r="GX35">
        <f t="shared" si="51"/>
        <v>0</v>
      </c>
      <c r="HA35">
        <v>0</v>
      </c>
      <c r="HB35">
        <v>0</v>
      </c>
      <c r="HC35">
        <f t="shared" si="52"/>
        <v>0</v>
      </c>
      <c r="HE35" t="s">
        <v>6</v>
      </c>
      <c r="HF35" t="s">
        <v>6</v>
      </c>
      <c r="HM35" t="s">
        <v>6</v>
      </c>
      <c r="HN35" t="s">
        <v>6</v>
      </c>
      <c r="HO35" t="s">
        <v>6</v>
      </c>
      <c r="HP35" t="s">
        <v>6</v>
      </c>
      <c r="HQ35" t="s">
        <v>6</v>
      </c>
      <c r="IF35">
        <v>-1</v>
      </c>
      <c r="IK35">
        <v>0</v>
      </c>
    </row>
    <row r="36" spans="1:255" x14ac:dyDescent="0.2">
      <c r="A36" s="2">
        <v>18</v>
      </c>
      <c r="B36" s="2">
        <v>1</v>
      </c>
      <c r="C36" s="2">
        <v>22</v>
      </c>
      <c r="D36" s="2"/>
      <c r="E36" s="2" t="s">
        <v>53</v>
      </c>
      <c r="F36" s="2" t="s">
        <v>54</v>
      </c>
      <c r="G36" s="2" t="s">
        <v>55</v>
      </c>
      <c r="H36" s="2" t="s">
        <v>33</v>
      </c>
      <c r="I36" s="2">
        <f>I34*J36</f>
        <v>0.3725</v>
      </c>
      <c r="J36" s="226">
        <f>'5.Ведомость_списания'!F30</f>
        <v>1</v>
      </c>
      <c r="K36" s="2">
        <v>1</v>
      </c>
      <c r="L36" s="2"/>
      <c r="M36" s="2"/>
      <c r="N36" s="2"/>
      <c r="O36" s="2">
        <f t="shared" si="21"/>
        <v>1893</v>
      </c>
      <c r="P36" s="2">
        <f t="shared" si="22"/>
        <v>1893</v>
      </c>
      <c r="Q36" s="2">
        <f t="shared" si="23"/>
        <v>0</v>
      </c>
      <c r="R36" s="2">
        <f t="shared" si="24"/>
        <v>0</v>
      </c>
      <c r="S36" s="2">
        <f t="shared" si="25"/>
        <v>0</v>
      </c>
      <c r="T36" s="2">
        <f t="shared" si="26"/>
        <v>0</v>
      </c>
      <c r="U36" s="2">
        <f t="shared" si="27"/>
        <v>0</v>
      </c>
      <c r="V36" s="2">
        <f t="shared" si="28"/>
        <v>0</v>
      </c>
      <c r="W36" s="2">
        <f t="shared" si="29"/>
        <v>0</v>
      </c>
      <c r="X36" s="2">
        <f t="shared" si="30"/>
        <v>0</v>
      </c>
      <c r="Y36" s="2">
        <f t="shared" si="31"/>
        <v>0</v>
      </c>
      <c r="Z36" s="2"/>
      <c r="AA36" s="2">
        <v>86326987</v>
      </c>
      <c r="AB36" s="2">
        <f t="shared" si="32"/>
        <v>5081.62</v>
      </c>
      <c r="AC36" s="2">
        <f>ROUND((ES36),2)</f>
        <v>5081.62</v>
      </c>
      <c r="AD36" s="2">
        <f>ROUND((((ET36)-(EU36))+AE36),2)</f>
        <v>0</v>
      </c>
      <c r="AE36" s="2">
        <f>ROUND((EU36),2)</f>
        <v>0</v>
      </c>
      <c r="AF36" s="2">
        <f>ROUND((EV36),2)</f>
        <v>0</v>
      </c>
      <c r="AG36" s="2">
        <f t="shared" si="33"/>
        <v>0</v>
      </c>
      <c r="AH36" s="2">
        <f>(EW36)</f>
        <v>0</v>
      </c>
      <c r="AI36" s="2">
        <f>(EX36)</f>
        <v>0</v>
      </c>
      <c r="AJ36" s="2">
        <f t="shared" si="34"/>
        <v>0</v>
      </c>
      <c r="AK36" s="2">
        <v>5081.62</v>
      </c>
      <c r="AL36" s="110">
        <f>'1.Лок.смета.и.Акт'!F71</f>
        <v>5081.62</v>
      </c>
      <c r="AM36" s="2">
        <v>0</v>
      </c>
      <c r="AN36" s="2">
        <v>0</v>
      </c>
      <c r="AO36" s="2">
        <v>0</v>
      </c>
      <c r="AP36" s="2">
        <v>0</v>
      </c>
      <c r="AQ36" s="2">
        <v>0</v>
      </c>
      <c r="AR36" s="2">
        <v>0</v>
      </c>
      <c r="AS36" s="2">
        <v>0</v>
      </c>
      <c r="AT36" s="2">
        <v>0</v>
      </c>
      <c r="AU36" s="2">
        <v>0</v>
      </c>
      <c r="AV36" s="2">
        <v>1</v>
      </c>
      <c r="AW36" s="2">
        <v>1</v>
      </c>
      <c r="AX36" s="2"/>
      <c r="AY36" s="2"/>
      <c r="AZ36" s="2">
        <v>1</v>
      </c>
      <c r="BA36" s="2">
        <v>1</v>
      </c>
      <c r="BB36" s="2">
        <v>1</v>
      </c>
      <c r="BC36" s="2">
        <v>1</v>
      </c>
      <c r="BD36" s="2" t="s">
        <v>6</v>
      </c>
      <c r="BE36" s="2" t="s">
        <v>6</v>
      </c>
      <c r="BF36" s="2" t="s">
        <v>6</v>
      </c>
      <c r="BG36" s="2" t="s">
        <v>6</v>
      </c>
      <c r="BH36" s="2">
        <v>3</v>
      </c>
      <c r="BI36" s="2">
        <v>1</v>
      </c>
      <c r="BJ36" s="2" t="s">
        <v>56</v>
      </c>
      <c r="BK36" s="2"/>
      <c r="BL36" s="2"/>
      <c r="BM36" s="2">
        <v>500003</v>
      </c>
      <c r="BN36" s="2">
        <v>0</v>
      </c>
      <c r="BO36" s="2" t="s">
        <v>6</v>
      </c>
      <c r="BP36" s="2">
        <v>0</v>
      </c>
      <c r="BQ36" s="2">
        <v>22</v>
      </c>
      <c r="BR36" s="2">
        <v>0</v>
      </c>
      <c r="BS36" s="2">
        <v>1</v>
      </c>
      <c r="BT36" s="2">
        <v>1</v>
      </c>
      <c r="BU36" s="2">
        <v>1</v>
      </c>
      <c r="BV36" s="2">
        <v>1</v>
      </c>
      <c r="BW36" s="2">
        <v>1</v>
      </c>
      <c r="BX36" s="2">
        <v>1</v>
      </c>
      <c r="BY36" s="2" t="s">
        <v>6</v>
      </c>
      <c r="BZ36" s="2">
        <v>0</v>
      </c>
      <c r="CA36" s="2">
        <v>0</v>
      </c>
      <c r="CB36" s="2" t="s">
        <v>6</v>
      </c>
      <c r="CC36" s="2"/>
      <c r="CD36" s="2"/>
      <c r="CE36" s="2">
        <v>0</v>
      </c>
      <c r="CF36" s="2">
        <v>0</v>
      </c>
      <c r="CG36" s="2">
        <v>0</v>
      </c>
      <c r="CH36" s="2"/>
      <c r="CI36" s="2"/>
      <c r="CJ36" s="2"/>
      <c r="CK36" s="2"/>
      <c r="CL36" s="2"/>
      <c r="CM36" s="2">
        <v>0</v>
      </c>
      <c r="CN36" s="2" t="s">
        <v>6</v>
      </c>
      <c r="CO36" s="2">
        <v>0</v>
      </c>
      <c r="CP36" s="2">
        <f t="shared" si="35"/>
        <v>1893</v>
      </c>
      <c r="CQ36" s="2">
        <f t="shared" si="36"/>
        <v>5081.62</v>
      </c>
      <c r="CR36" s="2">
        <f t="shared" si="37"/>
        <v>0</v>
      </c>
      <c r="CS36" s="2">
        <f t="shared" si="38"/>
        <v>0</v>
      </c>
      <c r="CT36" s="2">
        <f t="shared" si="39"/>
        <v>0</v>
      </c>
      <c r="CU36" s="2">
        <f t="shared" si="40"/>
        <v>0</v>
      </c>
      <c r="CV36" s="2">
        <f t="shared" si="41"/>
        <v>0</v>
      </c>
      <c r="CW36" s="2">
        <f t="shared" si="42"/>
        <v>0</v>
      </c>
      <c r="CX36" s="2">
        <f t="shared" si="43"/>
        <v>0</v>
      </c>
      <c r="CY36" s="2">
        <f>(((S36+(R36*IF(0,0,1)))*AT36)/100)</f>
        <v>0</v>
      </c>
      <c r="CZ36" s="2">
        <f>(((S36+(R36*IF(0,0,1)))*AU36)/100)</f>
        <v>0</v>
      </c>
      <c r="DA36" s="2"/>
      <c r="DB36" s="2"/>
      <c r="DC36" s="2" t="s">
        <v>6</v>
      </c>
      <c r="DD36" s="2" t="s">
        <v>6</v>
      </c>
      <c r="DE36" s="2" t="s">
        <v>6</v>
      </c>
      <c r="DF36" s="2" t="s">
        <v>6</v>
      </c>
      <c r="DG36" s="2" t="s">
        <v>6</v>
      </c>
      <c r="DH36" s="2" t="s">
        <v>6</v>
      </c>
      <c r="DI36" s="2" t="s">
        <v>6</v>
      </c>
      <c r="DJ36" s="2" t="s">
        <v>6</v>
      </c>
      <c r="DK36" s="2" t="s">
        <v>6</v>
      </c>
      <c r="DL36" s="2" t="s">
        <v>6</v>
      </c>
      <c r="DM36" s="2" t="s">
        <v>6</v>
      </c>
      <c r="DN36" s="2">
        <v>0</v>
      </c>
      <c r="DO36" s="2">
        <v>0</v>
      </c>
      <c r="DP36" s="2">
        <v>1</v>
      </c>
      <c r="DQ36" s="2">
        <v>1</v>
      </c>
      <c r="DR36" s="2"/>
      <c r="DS36" s="2"/>
      <c r="DT36" s="2"/>
      <c r="DU36" s="2">
        <v>1009</v>
      </c>
      <c r="DV36" s="2" t="s">
        <v>33</v>
      </c>
      <c r="DW36" s="2" t="s">
        <v>33</v>
      </c>
      <c r="DX36" s="2">
        <v>1000</v>
      </c>
      <c r="DY36" s="2"/>
      <c r="DZ36" s="2" t="s">
        <v>6</v>
      </c>
      <c r="EA36" s="2" t="s">
        <v>6</v>
      </c>
      <c r="EB36" s="2" t="s">
        <v>6</v>
      </c>
      <c r="EC36" s="2" t="s">
        <v>6</v>
      </c>
      <c r="ED36" s="2"/>
      <c r="EE36" s="2">
        <v>54938783</v>
      </c>
      <c r="EF36" s="2">
        <v>22</v>
      </c>
      <c r="EG36" s="2" t="s">
        <v>57</v>
      </c>
      <c r="EH36" s="2">
        <v>0</v>
      </c>
      <c r="EI36" s="2" t="s">
        <v>6</v>
      </c>
      <c r="EJ36" s="2">
        <v>1</v>
      </c>
      <c r="EK36" s="2">
        <v>500003</v>
      </c>
      <c r="EL36" s="2" t="s">
        <v>58</v>
      </c>
      <c r="EM36" s="2" t="s">
        <v>59</v>
      </c>
      <c r="EN36" s="2"/>
      <c r="EO36" s="2" t="s">
        <v>6</v>
      </c>
      <c r="EP36" s="2"/>
      <c r="EQ36" s="2">
        <v>0</v>
      </c>
      <c r="ER36" s="2">
        <v>5081.62</v>
      </c>
      <c r="ES36" s="110">
        <f>'1.Лок.смета.и.Акт'!F71</f>
        <v>5081.62</v>
      </c>
      <c r="ET36" s="2">
        <v>0</v>
      </c>
      <c r="EU36" s="2">
        <v>0</v>
      </c>
      <c r="EV36" s="2">
        <v>0</v>
      </c>
      <c r="EW36" s="2">
        <v>0</v>
      </c>
      <c r="EX36" s="2">
        <v>0</v>
      </c>
      <c r="EY36" s="2"/>
      <c r="EZ36" s="2"/>
      <c r="FA36" s="2"/>
      <c r="FB36" s="2"/>
      <c r="FC36" s="2"/>
      <c r="FD36" s="2"/>
      <c r="FE36" s="2"/>
      <c r="FF36" s="2"/>
      <c r="FG36" s="2"/>
      <c r="FH36" s="2"/>
      <c r="FI36" s="2"/>
      <c r="FJ36" s="2"/>
      <c r="FK36" s="2"/>
      <c r="FL36" s="2"/>
      <c r="FM36" s="2"/>
      <c r="FN36" s="2"/>
      <c r="FO36" s="2"/>
      <c r="FP36" s="2"/>
      <c r="FQ36" s="2">
        <v>0</v>
      </c>
      <c r="FR36" s="2">
        <f t="shared" si="44"/>
        <v>0</v>
      </c>
      <c r="FS36" s="2">
        <v>0</v>
      </c>
      <c r="FT36" s="2"/>
      <c r="FU36" s="2"/>
      <c r="FV36" s="2"/>
      <c r="FW36" s="2"/>
      <c r="FX36" s="2">
        <v>0</v>
      </c>
      <c r="FY36" s="2">
        <v>0</v>
      </c>
      <c r="FZ36" s="2"/>
      <c r="GA36" s="2" t="s">
        <v>6</v>
      </c>
      <c r="GB36" s="2"/>
      <c r="GC36" s="2"/>
      <c r="GD36" s="2">
        <v>1</v>
      </c>
      <c r="GE36" s="2"/>
      <c r="GF36" s="2">
        <v>1567311917</v>
      </c>
      <c r="GG36" s="2">
        <v>2</v>
      </c>
      <c r="GH36" s="2">
        <v>1</v>
      </c>
      <c r="GI36" s="2">
        <v>-2</v>
      </c>
      <c r="GJ36" s="2">
        <v>0</v>
      </c>
      <c r="GK36" s="2">
        <v>0</v>
      </c>
      <c r="GL36" s="2">
        <f t="shared" si="45"/>
        <v>0</v>
      </c>
      <c r="GM36" s="2">
        <f t="shared" si="46"/>
        <v>1893</v>
      </c>
      <c r="GN36" s="2">
        <f t="shared" si="47"/>
        <v>1893</v>
      </c>
      <c r="GO36" s="2">
        <f t="shared" si="48"/>
        <v>0</v>
      </c>
      <c r="GP36" s="2">
        <f t="shared" si="49"/>
        <v>0</v>
      </c>
      <c r="GQ36" s="2"/>
      <c r="GR36" s="2">
        <v>0</v>
      </c>
      <c r="GS36" s="2">
        <v>3</v>
      </c>
      <c r="GT36" s="2">
        <v>0</v>
      </c>
      <c r="GU36" s="2" t="s">
        <v>6</v>
      </c>
      <c r="GV36" s="2">
        <f t="shared" si="50"/>
        <v>0</v>
      </c>
      <c r="GW36" s="2">
        <v>1</v>
      </c>
      <c r="GX36" s="2">
        <f t="shared" si="51"/>
        <v>0</v>
      </c>
      <c r="GY36" s="2"/>
      <c r="GZ36" s="2"/>
      <c r="HA36" s="2">
        <v>0</v>
      </c>
      <c r="HB36" s="2">
        <v>0</v>
      </c>
      <c r="HC36" s="2">
        <f t="shared" si="52"/>
        <v>0</v>
      </c>
      <c r="HD36" s="2"/>
      <c r="HE36" s="2" t="s">
        <v>6</v>
      </c>
      <c r="HF36" s="2" t="s">
        <v>6</v>
      </c>
      <c r="HG36" s="2"/>
      <c r="HH36" s="2"/>
      <c r="HI36" s="2"/>
      <c r="HJ36" s="2"/>
      <c r="HK36" s="2"/>
      <c r="HL36" s="2"/>
      <c r="HM36" s="2" t="s">
        <v>6</v>
      </c>
      <c r="HN36" s="2" t="s">
        <v>6</v>
      </c>
      <c r="HO36" s="2" t="s">
        <v>6</v>
      </c>
      <c r="HP36" s="2" t="s">
        <v>6</v>
      </c>
      <c r="HQ36" s="2" t="s">
        <v>6</v>
      </c>
      <c r="HR36" s="2"/>
      <c r="HS36" s="2"/>
      <c r="HT36" s="2"/>
      <c r="HU36" s="2"/>
      <c r="HV36" s="2"/>
      <c r="HW36" s="2"/>
      <c r="HX36" s="2"/>
      <c r="HY36" s="2"/>
      <c r="HZ36" s="2"/>
      <c r="IA36" s="2"/>
      <c r="IB36" s="2"/>
      <c r="IC36" s="2"/>
      <c r="ID36" s="2"/>
      <c r="IE36" s="2"/>
      <c r="IF36" s="2">
        <v>-1</v>
      </c>
      <c r="IG36" s="2"/>
      <c r="IH36" s="2"/>
      <c r="II36" s="2"/>
      <c r="IJ36" s="2"/>
      <c r="IK36" s="2">
        <v>0</v>
      </c>
      <c r="IL36" s="2"/>
      <c r="IM36" s="2"/>
      <c r="IN36" s="2"/>
      <c r="IO36" s="2"/>
      <c r="IP36" s="2"/>
      <c r="IQ36" s="2"/>
      <c r="IR36" s="2"/>
      <c r="IS36" s="2"/>
      <c r="IT36" s="2"/>
      <c r="IU36" s="2"/>
    </row>
    <row r="37" spans="1:255" x14ac:dyDescent="0.2">
      <c r="A37">
        <v>18</v>
      </c>
      <c r="B37">
        <v>1</v>
      </c>
      <c r="C37">
        <v>28</v>
      </c>
      <c r="E37" t="s">
        <v>53</v>
      </c>
      <c r="F37" t="e">
        <f>'2.Лок.смета.и.Акт'!#REF!</f>
        <v>#REF!</v>
      </c>
      <c r="G37" t="s">
        <v>55</v>
      </c>
      <c r="H37" t="s">
        <v>33</v>
      </c>
      <c r="I37">
        <f>I35*J37</f>
        <v>0.3725</v>
      </c>
      <c r="J37">
        <v>1</v>
      </c>
      <c r="K37">
        <v>1</v>
      </c>
      <c r="O37">
        <f t="shared" si="21"/>
        <v>22161</v>
      </c>
      <c r="P37">
        <f t="shared" si="22"/>
        <v>22161</v>
      </c>
      <c r="Q37">
        <f t="shared" si="23"/>
        <v>0</v>
      </c>
      <c r="R37">
        <f t="shared" si="24"/>
        <v>0</v>
      </c>
      <c r="S37">
        <f t="shared" si="25"/>
        <v>0</v>
      </c>
      <c r="T37">
        <f t="shared" si="26"/>
        <v>0</v>
      </c>
      <c r="U37">
        <f t="shared" si="27"/>
        <v>0</v>
      </c>
      <c r="V37">
        <f t="shared" si="28"/>
        <v>0</v>
      </c>
      <c r="W37">
        <f t="shared" si="29"/>
        <v>0</v>
      </c>
      <c r="X37">
        <f t="shared" si="30"/>
        <v>0</v>
      </c>
      <c r="Y37">
        <f t="shared" si="31"/>
        <v>0</v>
      </c>
      <c r="AA37">
        <v>86326988</v>
      </c>
      <c r="AB37">
        <f t="shared" si="32"/>
        <v>7869.28</v>
      </c>
      <c r="AC37">
        <f>ROUND((ES37),2)</f>
        <v>7869.28</v>
      </c>
      <c r="AD37">
        <f>ROUND((((ET37)-(EU37))+AE37),2)</f>
        <v>0</v>
      </c>
      <c r="AE37">
        <f>ROUND((EU37),2)</f>
        <v>0</v>
      </c>
      <c r="AF37">
        <f>ROUND((EV37),2)</f>
        <v>0</v>
      </c>
      <c r="AG37">
        <f t="shared" si="33"/>
        <v>0</v>
      </c>
      <c r="AH37">
        <f>(EW37)</f>
        <v>0</v>
      </c>
      <c r="AI37">
        <f>(EX37)</f>
        <v>0</v>
      </c>
      <c r="AJ37">
        <f t="shared" si="34"/>
        <v>0</v>
      </c>
      <c r="AK37">
        <v>7869.28</v>
      </c>
      <c r="AL37">
        <v>7869.28</v>
      </c>
      <c r="AM37">
        <v>0</v>
      </c>
      <c r="AN37">
        <v>0</v>
      </c>
      <c r="AO37">
        <v>0</v>
      </c>
      <c r="AP37">
        <v>0</v>
      </c>
      <c r="AQ37">
        <v>0</v>
      </c>
      <c r="AR37">
        <v>0</v>
      </c>
      <c r="AS37">
        <v>0</v>
      </c>
      <c r="AT37">
        <v>0</v>
      </c>
      <c r="AU37">
        <v>0</v>
      </c>
      <c r="AV37">
        <v>1</v>
      </c>
      <c r="AW37">
        <v>1</v>
      </c>
      <c r="AZ37">
        <v>1</v>
      </c>
      <c r="BA37">
        <v>1</v>
      </c>
      <c r="BB37">
        <v>1</v>
      </c>
      <c r="BC37">
        <v>7.56</v>
      </c>
      <c r="BD37" t="s">
        <v>6</v>
      </c>
      <c r="BE37" t="s">
        <v>6</v>
      </c>
      <c r="BF37" t="s">
        <v>6</v>
      </c>
      <c r="BG37" t="s">
        <v>6</v>
      </c>
      <c r="BH37">
        <v>3</v>
      </c>
      <c r="BI37">
        <v>1</v>
      </c>
      <c r="BJ37" t="s">
        <v>56</v>
      </c>
      <c r="BM37">
        <v>500003</v>
      </c>
      <c r="BN37">
        <v>0</v>
      </c>
      <c r="BO37" t="s">
        <v>6</v>
      </c>
      <c r="BP37">
        <v>0</v>
      </c>
      <c r="BQ37">
        <v>22</v>
      </c>
      <c r="BR37">
        <v>0</v>
      </c>
      <c r="BS37">
        <v>1</v>
      </c>
      <c r="BT37">
        <v>1</v>
      </c>
      <c r="BU37">
        <v>1</v>
      </c>
      <c r="BV37">
        <v>1</v>
      </c>
      <c r="BW37">
        <v>1</v>
      </c>
      <c r="BX37">
        <v>1</v>
      </c>
      <c r="BY37" t="s">
        <v>6</v>
      </c>
      <c r="BZ37">
        <v>0</v>
      </c>
      <c r="CA37">
        <v>0</v>
      </c>
      <c r="CB37" t="s">
        <v>6</v>
      </c>
      <c r="CE37">
        <v>0</v>
      </c>
      <c r="CF37">
        <v>0</v>
      </c>
      <c r="CG37">
        <v>0</v>
      </c>
      <c r="CM37">
        <v>0</v>
      </c>
      <c r="CN37" t="s">
        <v>6</v>
      </c>
      <c r="CO37">
        <v>0</v>
      </c>
      <c r="CP37">
        <f t="shared" si="35"/>
        <v>22161</v>
      </c>
      <c r="CQ37">
        <f t="shared" si="36"/>
        <v>59491.756799999996</v>
      </c>
      <c r="CR37">
        <f t="shared" si="37"/>
        <v>0</v>
      </c>
      <c r="CS37">
        <f t="shared" si="38"/>
        <v>0</v>
      </c>
      <c r="CT37">
        <f t="shared" si="39"/>
        <v>0</v>
      </c>
      <c r="CU37">
        <f t="shared" si="40"/>
        <v>0</v>
      </c>
      <c r="CV37">
        <f t="shared" si="41"/>
        <v>0</v>
      </c>
      <c r="CW37">
        <f t="shared" si="42"/>
        <v>0</v>
      </c>
      <c r="CX37">
        <f t="shared" si="43"/>
        <v>0</v>
      </c>
      <c r="CY37">
        <f>(S37+R37)*(BZ37/100)</f>
        <v>0</v>
      </c>
      <c r="CZ37">
        <f>(S37+R37)*(CA37/100)</f>
        <v>0</v>
      </c>
      <c r="DC37" t="s">
        <v>6</v>
      </c>
      <c r="DD37" t="s">
        <v>6</v>
      </c>
      <c r="DE37" t="s">
        <v>6</v>
      </c>
      <c r="DF37" t="s">
        <v>6</v>
      </c>
      <c r="DG37" t="s">
        <v>6</v>
      </c>
      <c r="DH37" t="s">
        <v>6</v>
      </c>
      <c r="DI37" t="s">
        <v>6</v>
      </c>
      <c r="DJ37" t="s">
        <v>6</v>
      </c>
      <c r="DK37" t="s">
        <v>6</v>
      </c>
      <c r="DL37" t="s">
        <v>6</v>
      </c>
      <c r="DM37" t="s">
        <v>6</v>
      </c>
      <c r="DN37">
        <v>0</v>
      </c>
      <c r="DO37">
        <v>0</v>
      </c>
      <c r="DP37">
        <v>1</v>
      </c>
      <c r="DQ37">
        <v>1</v>
      </c>
      <c r="DU37">
        <v>1009</v>
      </c>
      <c r="DV37" t="s">
        <v>33</v>
      </c>
      <c r="DW37" t="e">
        <f>'2.Лок.смета.и.Акт'!#REF!</f>
        <v>#REF!</v>
      </c>
      <c r="DX37">
        <v>1000</v>
      </c>
      <c r="DZ37" t="s">
        <v>6</v>
      </c>
      <c r="EA37" t="s">
        <v>6</v>
      </c>
      <c r="EB37" t="s">
        <v>6</v>
      </c>
      <c r="EC37" t="s">
        <v>6</v>
      </c>
      <c r="EE37">
        <v>54938783</v>
      </c>
      <c r="EF37">
        <v>22</v>
      </c>
      <c r="EG37" t="s">
        <v>57</v>
      </c>
      <c r="EH37">
        <v>0</v>
      </c>
      <c r="EI37" t="s">
        <v>6</v>
      </c>
      <c r="EJ37">
        <v>1</v>
      </c>
      <c r="EK37">
        <v>500003</v>
      </c>
      <c r="EL37" t="s">
        <v>58</v>
      </c>
      <c r="EM37" t="s">
        <v>59</v>
      </c>
      <c r="EO37" t="s">
        <v>6</v>
      </c>
      <c r="EQ37">
        <v>0</v>
      </c>
      <c r="ER37">
        <v>56777.82</v>
      </c>
      <c r="ES37">
        <v>7869.28</v>
      </c>
      <c r="ET37">
        <v>0</v>
      </c>
      <c r="EU37">
        <v>0</v>
      </c>
      <c r="EV37">
        <v>0</v>
      </c>
      <c r="EW37">
        <v>0</v>
      </c>
      <c r="EX37">
        <v>0</v>
      </c>
      <c r="EZ37">
        <v>5</v>
      </c>
      <c r="FC37">
        <v>0</v>
      </c>
      <c r="FD37">
        <v>18</v>
      </c>
      <c r="FF37">
        <v>56777.82</v>
      </c>
      <c r="FQ37">
        <v>0</v>
      </c>
      <c r="FR37">
        <f t="shared" si="44"/>
        <v>0</v>
      </c>
      <c r="FS37">
        <v>0</v>
      </c>
      <c r="FX37">
        <v>0</v>
      </c>
      <c r="FY37">
        <v>0</v>
      </c>
      <c r="GA37" t="s">
        <v>60</v>
      </c>
      <c r="GD37">
        <v>1</v>
      </c>
      <c r="GF37">
        <v>1567311917</v>
      </c>
      <c r="GG37">
        <v>2</v>
      </c>
      <c r="GH37">
        <v>3</v>
      </c>
      <c r="GI37">
        <v>5</v>
      </c>
      <c r="GJ37">
        <v>0</v>
      </c>
      <c r="GK37">
        <v>0</v>
      </c>
      <c r="GL37">
        <f t="shared" si="45"/>
        <v>0</v>
      </c>
      <c r="GM37">
        <f t="shared" si="46"/>
        <v>22161</v>
      </c>
      <c r="GN37">
        <f t="shared" si="47"/>
        <v>22161</v>
      </c>
      <c r="GO37">
        <f t="shared" si="48"/>
        <v>0</v>
      </c>
      <c r="GP37">
        <f t="shared" si="49"/>
        <v>0</v>
      </c>
      <c r="GR37">
        <v>1</v>
      </c>
      <c r="GS37">
        <v>1</v>
      </c>
      <c r="GT37">
        <v>0</v>
      </c>
      <c r="GU37" t="s">
        <v>6</v>
      </c>
      <c r="GV37">
        <f t="shared" si="50"/>
        <v>0</v>
      </c>
      <c r="GW37">
        <v>1</v>
      </c>
      <c r="GX37">
        <f t="shared" si="51"/>
        <v>0</v>
      </c>
      <c r="HA37">
        <v>0</v>
      </c>
      <c r="HB37">
        <v>0</v>
      </c>
      <c r="HC37">
        <f t="shared" si="52"/>
        <v>0</v>
      </c>
      <c r="HE37" t="s">
        <v>39</v>
      </c>
      <c r="HF37" t="s">
        <v>61</v>
      </c>
      <c r="HM37" t="s">
        <v>6</v>
      </c>
      <c r="HN37" t="s">
        <v>6</v>
      </c>
      <c r="HO37" t="s">
        <v>6</v>
      </c>
      <c r="HP37" t="s">
        <v>6</v>
      </c>
      <c r="HQ37" t="s">
        <v>6</v>
      </c>
      <c r="IF37">
        <v>-1</v>
      </c>
      <c r="IK37">
        <v>0</v>
      </c>
    </row>
    <row r="38" spans="1:255" x14ac:dyDescent="0.2">
      <c r="A38" s="2">
        <v>17</v>
      </c>
      <c r="B38" s="2">
        <v>1</v>
      </c>
      <c r="C38" s="2">
        <f>ROW(SmtRes!A34)</f>
        <v>34</v>
      </c>
      <c r="D38" s="2">
        <f>ROW(EtalonRes!A37)</f>
        <v>37</v>
      </c>
      <c r="E38" s="2" t="s">
        <v>62</v>
      </c>
      <c r="F38" s="2" t="s">
        <v>63</v>
      </c>
      <c r="G38" s="2" t="s">
        <v>64</v>
      </c>
      <c r="H38" s="2" t="s">
        <v>49</v>
      </c>
      <c r="I38" s="2">
        <f>'2.Лок.смета.и.Акт'!E26</f>
        <v>2.0665</v>
      </c>
      <c r="J38" s="2">
        <v>0</v>
      </c>
      <c r="K38" s="2">
        <v>8.266</v>
      </c>
      <c r="L38" s="2"/>
      <c r="M38" s="2"/>
      <c r="N38" s="2"/>
      <c r="O38" s="2">
        <f t="shared" si="21"/>
        <v>1696</v>
      </c>
      <c r="P38" s="2">
        <f t="shared" si="22"/>
        <v>0</v>
      </c>
      <c r="Q38" s="2">
        <f t="shared" si="23"/>
        <v>148</v>
      </c>
      <c r="R38" s="2">
        <f t="shared" si="24"/>
        <v>14</v>
      </c>
      <c r="S38" s="2">
        <f t="shared" si="25"/>
        <v>1548</v>
      </c>
      <c r="T38" s="2">
        <f t="shared" si="26"/>
        <v>0</v>
      </c>
      <c r="U38" s="2">
        <f t="shared" si="27"/>
        <v>129.90091327499999</v>
      </c>
      <c r="V38" s="2">
        <f t="shared" si="28"/>
        <v>1.0415160000000003</v>
      </c>
      <c r="W38" s="2">
        <f t="shared" si="29"/>
        <v>0</v>
      </c>
      <c r="X38" s="2">
        <f t="shared" si="30"/>
        <v>1031</v>
      </c>
      <c r="Y38" s="2">
        <f t="shared" si="31"/>
        <v>937</v>
      </c>
      <c r="Z38" s="2"/>
      <c r="AA38" s="2">
        <v>86326987</v>
      </c>
      <c r="AB38" s="2">
        <f t="shared" si="32"/>
        <v>820.88</v>
      </c>
      <c r="AC38" s="2">
        <f>ROUND((ES38+(SUM(SmtRes!BC29:'SmtRes'!BC34)+SUM(EtalonRes!AL31:'EtalonRes'!AL37))),2)</f>
        <v>0</v>
      </c>
      <c r="AD38" s="2">
        <f>ROUND(((ET38*1.12)),2)</f>
        <v>71.58</v>
      </c>
      <c r="AE38" s="2">
        <f>ROUND(((EU38*1.12)),2)</f>
        <v>6.85</v>
      </c>
      <c r="AF38" s="2">
        <f>ROUND(((EV38*1.05)),2)</f>
        <v>749.3</v>
      </c>
      <c r="AG38" s="2">
        <f t="shared" si="33"/>
        <v>0</v>
      </c>
      <c r="AH38" s="2">
        <f>((EW38*1.05))</f>
        <v>62.860349999999997</v>
      </c>
      <c r="AI38" s="2">
        <f>((EX38*1.12))</f>
        <v>0.50400000000000011</v>
      </c>
      <c r="AJ38" s="2">
        <f t="shared" si="34"/>
        <v>0</v>
      </c>
      <c r="AK38" s="2">
        <v>5530.59</v>
      </c>
      <c r="AL38" s="2">
        <v>4753.0600000000004</v>
      </c>
      <c r="AM38" s="2">
        <v>63.91</v>
      </c>
      <c r="AN38" s="2">
        <v>6.12</v>
      </c>
      <c r="AO38" s="2">
        <v>713.62</v>
      </c>
      <c r="AP38" s="2">
        <v>0</v>
      </c>
      <c r="AQ38" s="2">
        <v>59.866999999999997</v>
      </c>
      <c r="AR38" s="2">
        <v>0.45</v>
      </c>
      <c r="AS38" s="2">
        <v>0</v>
      </c>
      <c r="AT38" s="2">
        <v>66</v>
      </c>
      <c r="AU38" s="2">
        <v>60</v>
      </c>
      <c r="AV38" s="2">
        <v>1</v>
      </c>
      <c r="AW38" s="2">
        <v>1</v>
      </c>
      <c r="AX38" s="2"/>
      <c r="AY38" s="2"/>
      <c r="AZ38" s="2">
        <v>1</v>
      </c>
      <c r="BA38" s="2">
        <v>1</v>
      </c>
      <c r="BB38" s="2">
        <v>1</v>
      </c>
      <c r="BC38" s="2">
        <v>1</v>
      </c>
      <c r="BD38" s="2" t="s">
        <v>6</v>
      </c>
      <c r="BE38" s="2" t="s">
        <v>6</v>
      </c>
      <c r="BF38" s="2" t="s">
        <v>6</v>
      </c>
      <c r="BG38" s="2" t="s">
        <v>6</v>
      </c>
      <c r="BH38" s="2">
        <v>0</v>
      </c>
      <c r="BI38" s="2">
        <v>1</v>
      </c>
      <c r="BJ38" s="2" t="s">
        <v>65</v>
      </c>
      <c r="BK38" s="2"/>
      <c r="BL38" s="2"/>
      <c r="BM38" s="2">
        <v>501</v>
      </c>
      <c r="BN38" s="2">
        <v>0</v>
      </c>
      <c r="BO38" s="2" t="s">
        <v>6</v>
      </c>
      <c r="BP38" s="2">
        <v>0</v>
      </c>
      <c r="BQ38" s="2">
        <v>1</v>
      </c>
      <c r="BR38" s="2">
        <v>0</v>
      </c>
      <c r="BS38" s="2">
        <v>1</v>
      </c>
      <c r="BT38" s="2">
        <v>1</v>
      </c>
      <c r="BU38" s="2">
        <v>1</v>
      </c>
      <c r="BV38" s="2">
        <v>1</v>
      </c>
      <c r="BW38" s="2">
        <v>1</v>
      </c>
      <c r="BX38" s="2">
        <v>1</v>
      </c>
      <c r="BY38" s="2" t="s">
        <v>6</v>
      </c>
      <c r="BZ38" s="2">
        <v>66</v>
      </c>
      <c r="CA38" s="2">
        <v>60</v>
      </c>
      <c r="CB38" s="2" t="s">
        <v>6</v>
      </c>
      <c r="CC38" s="2"/>
      <c r="CD38" s="2"/>
      <c r="CE38" s="2">
        <v>0</v>
      </c>
      <c r="CF38" s="2">
        <v>0</v>
      </c>
      <c r="CG38" s="2">
        <v>0</v>
      </c>
      <c r="CH38" s="2"/>
      <c r="CI38" s="2"/>
      <c r="CJ38" s="2"/>
      <c r="CK38" s="2"/>
      <c r="CL38" s="2"/>
      <c r="CM38" s="2">
        <v>0</v>
      </c>
      <c r="CN38" s="2" t="s">
        <v>23</v>
      </c>
      <c r="CO38" s="2">
        <v>0</v>
      </c>
      <c r="CP38" s="2">
        <f t="shared" si="35"/>
        <v>1696</v>
      </c>
      <c r="CQ38" s="2">
        <f t="shared" si="36"/>
        <v>0</v>
      </c>
      <c r="CR38" s="2">
        <f t="shared" si="37"/>
        <v>71.58</v>
      </c>
      <c r="CS38" s="2">
        <f t="shared" si="38"/>
        <v>6.85</v>
      </c>
      <c r="CT38" s="2">
        <f t="shared" si="39"/>
        <v>749.3</v>
      </c>
      <c r="CU38" s="2">
        <f t="shared" si="40"/>
        <v>0</v>
      </c>
      <c r="CV38" s="2">
        <f t="shared" si="41"/>
        <v>62.860349999999997</v>
      </c>
      <c r="CW38" s="2">
        <f t="shared" si="42"/>
        <v>0.50400000000000011</v>
      </c>
      <c r="CX38" s="2">
        <f t="shared" si="43"/>
        <v>0</v>
      </c>
      <c r="CY38" s="2">
        <f>(((S38+(R38*IF(0,0,1)))*AT38)/100)</f>
        <v>1030.92</v>
      </c>
      <c r="CZ38" s="2">
        <f>(((S38+(R38*IF(0,0,1)))*AU38)/100)</f>
        <v>937.2</v>
      </c>
      <c r="DA38" s="2"/>
      <c r="DB38" s="2"/>
      <c r="DC38" s="2" t="s">
        <v>6</v>
      </c>
      <c r="DD38" s="2" t="s">
        <v>6</v>
      </c>
      <c r="DE38" s="2" t="s">
        <v>24</v>
      </c>
      <c r="DF38" s="2" t="s">
        <v>24</v>
      </c>
      <c r="DG38" s="2" t="s">
        <v>25</v>
      </c>
      <c r="DH38" s="2" t="s">
        <v>6</v>
      </c>
      <c r="DI38" s="2" t="s">
        <v>25</v>
      </c>
      <c r="DJ38" s="2" t="s">
        <v>24</v>
      </c>
      <c r="DK38" s="2" t="s">
        <v>6</v>
      </c>
      <c r="DL38" s="2" t="s">
        <v>6</v>
      </c>
      <c r="DM38" s="2" t="s">
        <v>6</v>
      </c>
      <c r="DN38" s="2">
        <v>0</v>
      </c>
      <c r="DO38" s="2">
        <v>0</v>
      </c>
      <c r="DP38" s="2">
        <v>1</v>
      </c>
      <c r="DQ38" s="2">
        <v>1</v>
      </c>
      <c r="DR38" s="2"/>
      <c r="DS38" s="2"/>
      <c r="DT38" s="2"/>
      <c r="DU38" s="2">
        <v>1013</v>
      </c>
      <c r="DV38" s="2" t="s">
        <v>49</v>
      </c>
      <c r="DW38" s="2" t="s">
        <v>49</v>
      </c>
      <c r="DX38" s="2">
        <v>1</v>
      </c>
      <c r="DY38" s="2"/>
      <c r="DZ38" s="2" t="s">
        <v>6</v>
      </c>
      <c r="EA38" s="2" t="s">
        <v>6</v>
      </c>
      <c r="EB38" s="2" t="s">
        <v>6</v>
      </c>
      <c r="EC38" s="2" t="s">
        <v>6</v>
      </c>
      <c r="ED38" s="2"/>
      <c r="EE38" s="2">
        <v>54938567</v>
      </c>
      <c r="EF38" s="2">
        <v>1</v>
      </c>
      <c r="EG38" s="2" t="s">
        <v>26</v>
      </c>
      <c r="EH38" s="2">
        <v>0</v>
      </c>
      <c r="EI38" s="2" t="s">
        <v>6</v>
      </c>
      <c r="EJ38" s="2">
        <v>1</v>
      </c>
      <c r="EK38" s="2">
        <v>501</v>
      </c>
      <c r="EL38" s="2" t="s">
        <v>51</v>
      </c>
      <c r="EM38" s="2" t="s">
        <v>52</v>
      </c>
      <c r="EN38" s="2"/>
      <c r="EO38" s="2" t="s">
        <v>29</v>
      </c>
      <c r="EP38" s="2"/>
      <c r="EQ38" s="2">
        <v>2228224</v>
      </c>
      <c r="ER38" s="2">
        <v>5530.59</v>
      </c>
      <c r="ES38" s="2">
        <v>4753.0600000000004</v>
      </c>
      <c r="ET38" s="2">
        <v>63.91</v>
      </c>
      <c r="EU38" s="2">
        <v>6.12</v>
      </c>
      <c r="EV38" s="2">
        <v>713.62</v>
      </c>
      <c r="EW38" s="2">
        <v>59.866999999999997</v>
      </c>
      <c r="EX38" s="2">
        <v>0.45</v>
      </c>
      <c r="EY38" s="2">
        <v>1</v>
      </c>
      <c r="EZ38" s="2"/>
      <c r="FA38" s="2"/>
      <c r="FB38" s="2"/>
      <c r="FC38" s="2"/>
      <c r="FD38" s="2"/>
      <c r="FE38" s="2"/>
      <c r="FF38" s="2"/>
      <c r="FG38" s="2"/>
      <c r="FH38" s="2"/>
      <c r="FI38" s="2"/>
      <c r="FJ38" s="2"/>
      <c r="FK38" s="2"/>
      <c r="FL38" s="2"/>
      <c r="FM38" s="2"/>
      <c r="FN38" s="2"/>
      <c r="FO38" s="2"/>
      <c r="FP38" s="2"/>
      <c r="FQ38" s="2">
        <v>0</v>
      </c>
      <c r="FR38" s="2">
        <f t="shared" si="44"/>
        <v>0</v>
      </c>
      <c r="FS38" s="2">
        <v>0</v>
      </c>
      <c r="FT38" s="2"/>
      <c r="FU38" s="2"/>
      <c r="FV38" s="2"/>
      <c r="FW38" s="2"/>
      <c r="FX38" s="2">
        <v>66</v>
      </c>
      <c r="FY38" s="2">
        <v>60</v>
      </c>
      <c r="FZ38" s="2"/>
      <c r="GA38" s="2" t="s">
        <v>6</v>
      </c>
      <c r="GB38" s="2"/>
      <c r="GC38" s="2"/>
      <c r="GD38" s="2">
        <v>1</v>
      </c>
      <c r="GE38" s="2"/>
      <c r="GF38" s="2">
        <v>1689405110</v>
      </c>
      <c r="GG38" s="2">
        <v>2</v>
      </c>
      <c r="GH38" s="2">
        <v>1</v>
      </c>
      <c r="GI38" s="2">
        <v>-2</v>
      </c>
      <c r="GJ38" s="2">
        <v>0</v>
      </c>
      <c r="GK38" s="2">
        <v>0</v>
      </c>
      <c r="GL38" s="2">
        <f t="shared" si="45"/>
        <v>0</v>
      </c>
      <c r="GM38" s="2">
        <f t="shared" si="46"/>
        <v>3664</v>
      </c>
      <c r="GN38" s="2">
        <f t="shared" si="47"/>
        <v>3664</v>
      </c>
      <c r="GO38" s="2">
        <f t="shared" si="48"/>
        <v>0</v>
      </c>
      <c r="GP38" s="2">
        <f t="shared" si="49"/>
        <v>0</v>
      </c>
      <c r="GQ38" s="2"/>
      <c r="GR38" s="2">
        <v>0</v>
      </c>
      <c r="GS38" s="2">
        <v>3</v>
      </c>
      <c r="GT38" s="2">
        <v>0</v>
      </c>
      <c r="GU38" s="2" t="s">
        <v>6</v>
      </c>
      <c r="GV38" s="2">
        <f t="shared" si="50"/>
        <v>0</v>
      </c>
      <c r="GW38" s="2">
        <v>1</v>
      </c>
      <c r="GX38" s="2">
        <f t="shared" si="51"/>
        <v>0</v>
      </c>
      <c r="GY38" s="2"/>
      <c r="GZ38" s="2"/>
      <c r="HA38" s="2">
        <v>0</v>
      </c>
      <c r="HB38" s="2">
        <v>0</v>
      </c>
      <c r="HC38" s="2">
        <f t="shared" si="52"/>
        <v>0</v>
      </c>
      <c r="HD38" s="2"/>
      <c r="HE38" s="2" t="s">
        <v>6</v>
      </c>
      <c r="HF38" s="2" t="s">
        <v>6</v>
      </c>
      <c r="HG38" s="2"/>
      <c r="HH38" s="2"/>
      <c r="HI38" s="2"/>
      <c r="HJ38" s="2"/>
      <c r="HK38" s="2"/>
      <c r="HL38" s="2"/>
      <c r="HM38" s="2" t="s">
        <v>6</v>
      </c>
      <c r="HN38" s="2" t="s">
        <v>6</v>
      </c>
      <c r="HO38" s="2" t="s">
        <v>6</v>
      </c>
      <c r="HP38" s="2" t="s">
        <v>6</v>
      </c>
      <c r="HQ38" s="2" t="s">
        <v>6</v>
      </c>
      <c r="HR38" s="2"/>
      <c r="HS38" s="2"/>
      <c r="HT38" s="2"/>
      <c r="HU38" s="2"/>
      <c r="HV38" s="2"/>
      <c r="HW38" s="2"/>
      <c r="HX38" s="2"/>
      <c r="HY38" s="2"/>
      <c r="HZ38" s="2"/>
      <c r="IA38" s="2"/>
      <c r="IB38" s="2"/>
      <c r="IC38" s="2"/>
      <c r="ID38" s="2"/>
      <c r="IE38" s="2"/>
      <c r="IF38" s="2">
        <v>-1</v>
      </c>
      <c r="IG38" s="2"/>
      <c r="IH38" s="2"/>
      <c r="II38" s="2"/>
      <c r="IJ38" s="2"/>
      <c r="IK38" s="2">
        <v>0</v>
      </c>
      <c r="IL38" s="2"/>
      <c r="IM38" s="2"/>
      <c r="IN38" s="2"/>
      <c r="IO38" s="2"/>
      <c r="IP38" s="2"/>
      <c r="IQ38" s="2"/>
      <c r="IR38" s="2"/>
      <c r="IS38" s="2"/>
      <c r="IT38" s="2"/>
      <c r="IU38" s="2"/>
    </row>
    <row r="39" spans="1:255" x14ac:dyDescent="0.2">
      <c r="A39">
        <v>17</v>
      </c>
      <c r="B39">
        <v>1</v>
      </c>
      <c r="C39">
        <f>ROW(SmtRes!A40)</f>
        <v>40</v>
      </c>
      <c r="D39">
        <f>ROW(EtalonRes!A44)</f>
        <v>44</v>
      </c>
      <c r="E39" t="s">
        <v>62</v>
      </c>
      <c r="F39" t="s">
        <v>63</v>
      </c>
      <c r="G39" t="s">
        <v>64</v>
      </c>
      <c r="H39" t="s">
        <v>49</v>
      </c>
      <c r="I39">
        <f>'2.Лок.смета.и.Акт'!E26</f>
        <v>2.0665</v>
      </c>
      <c r="J39">
        <v>0</v>
      </c>
      <c r="K39">
        <v>8.266</v>
      </c>
      <c r="O39">
        <f t="shared" si="21"/>
        <v>40428</v>
      </c>
      <c r="P39">
        <f t="shared" si="22"/>
        <v>0</v>
      </c>
      <c r="Q39">
        <f t="shared" si="23"/>
        <v>1160</v>
      </c>
      <c r="R39">
        <f t="shared" si="24"/>
        <v>280</v>
      </c>
      <c r="S39">
        <f t="shared" si="25"/>
        <v>39268</v>
      </c>
      <c r="T39">
        <f t="shared" si="26"/>
        <v>0</v>
      </c>
      <c r="U39" t="e">
        <f t="shared" si="27"/>
        <v>#REF!</v>
      </c>
      <c r="V39">
        <f t="shared" si="28"/>
        <v>1.0415160000000003</v>
      </c>
      <c r="W39">
        <f t="shared" si="29"/>
        <v>0</v>
      </c>
      <c r="X39" t="e">
        <f t="shared" si="30"/>
        <v>#REF!</v>
      </c>
      <c r="Y39" t="e">
        <f t="shared" si="31"/>
        <v>#REF!</v>
      </c>
      <c r="AA39">
        <v>86326988</v>
      </c>
      <c r="AB39">
        <f t="shared" si="32"/>
        <v>820.88</v>
      </c>
      <c r="AC39">
        <f>ROUND((ES39+(SUM(SmtRes!BC35:'SmtRes'!BC40)+SUM(EtalonRes!AL38:'EtalonRes'!AL44))),2)</f>
        <v>0</v>
      </c>
      <c r="AD39">
        <f>ROUND(((ET39*1.12)),2)</f>
        <v>71.58</v>
      </c>
      <c r="AE39">
        <f>ROUND(((EU39*1.12)),2)</f>
        <v>6.85</v>
      </c>
      <c r="AF39">
        <f>ROUND(((EV39*1.05)),2)</f>
        <v>749.3</v>
      </c>
      <c r="AG39">
        <f t="shared" si="33"/>
        <v>0</v>
      </c>
      <c r="AH39" t="e">
        <f>((EW39*1.05))</f>
        <v>#REF!</v>
      </c>
      <c r="AI39">
        <f>((EX39*1.12))</f>
        <v>0.50400000000000011</v>
      </c>
      <c r="AJ39">
        <f t="shared" si="34"/>
        <v>0</v>
      </c>
      <c r="AK39">
        <f>AL39+AM39+AO39</f>
        <v>5530.59</v>
      </c>
      <c r="AL39">
        <v>4753.0600000000004</v>
      </c>
      <c r="AM39" s="75">
        <f>'1.Лок.смета.и.Акт'!F78</f>
        <v>63.91</v>
      </c>
      <c r="AN39" s="75">
        <f>'1.Лок.смета.и.Акт'!F79</f>
        <v>6.12</v>
      </c>
      <c r="AO39" s="75">
        <f>'1.Лок.смета.и.Акт'!F77</f>
        <v>713.62</v>
      </c>
      <c r="AP39">
        <v>0</v>
      </c>
      <c r="AQ39" t="e">
        <f>'2.Лок.смета.и.Акт'!#REF!</f>
        <v>#REF!</v>
      </c>
      <c r="AR39">
        <v>0.45</v>
      </c>
      <c r="AS39">
        <v>0</v>
      </c>
      <c r="AT39">
        <v>63</v>
      </c>
      <c r="AU39">
        <v>51</v>
      </c>
      <c r="AV39">
        <v>1</v>
      </c>
      <c r="AW39">
        <v>1</v>
      </c>
      <c r="AZ39">
        <v>1</v>
      </c>
      <c r="BA39">
        <f>'1.Лок.смета.и.Акт'!J77</f>
        <v>25.36</v>
      </c>
      <c r="BB39">
        <f>'1.Лок.смета.и.Акт'!J78</f>
        <v>7.84</v>
      </c>
      <c r="BC39">
        <v>7.56</v>
      </c>
      <c r="BD39" t="s">
        <v>6</v>
      </c>
      <c r="BE39" t="s">
        <v>6</v>
      </c>
      <c r="BF39" t="s">
        <v>6</v>
      </c>
      <c r="BG39" t="s">
        <v>6</v>
      </c>
      <c r="BH39">
        <v>0</v>
      </c>
      <c r="BI39">
        <v>1</v>
      </c>
      <c r="BJ39" t="s">
        <v>65</v>
      </c>
      <c r="BM39">
        <v>501</v>
      </c>
      <c r="BN39">
        <v>0</v>
      </c>
      <c r="BO39" t="s">
        <v>63</v>
      </c>
      <c r="BP39">
        <v>1</v>
      </c>
      <c r="BQ39">
        <v>1</v>
      </c>
      <c r="BR39">
        <v>0</v>
      </c>
      <c r="BS39">
        <f>'1.Лок.смета.и.Акт'!J79</f>
        <v>19.8</v>
      </c>
      <c r="BT39">
        <v>1</v>
      </c>
      <c r="BU39">
        <v>1</v>
      </c>
      <c r="BV39">
        <v>1</v>
      </c>
      <c r="BW39">
        <v>1</v>
      </c>
      <c r="BX39">
        <v>1</v>
      </c>
      <c r="BY39" t="s">
        <v>6</v>
      </c>
      <c r="BZ39" t="e">
        <f>'2.Лок.смета.и.Акт'!#REF!</f>
        <v>#REF!</v>
      </c>
      <c r="CA39" t="e">
        <f>'2.Лок.смета.и.Акт'!#REF!</f>
        <v>#REF!</v>
      </c>
      <c r="CB39" t="s">
        <v>6</v>
      </c>
      <c r="CE39">
        <v>0</v>
      </c>
      <c r="CF39">
        <v>0</v>
      </c>
      <c r="CG39">
        <v>0</v>
      </c>
      <c r="CM39">
        <v>0</v>
      </c>
      <c r="CN39" t="s">
        <v>23</v>
      </c>
      <c r="CO39">
        <v>0</v>
      </c>
      <c r="CP39">
        <f t="shared" si="35"/>
        <v>40428</v>
      </c>
      <c r="CQ39">
        <f t="shared" si="36"/>
        <v>0</v>
      </c>
      <c r="CR39">
        <f t="shared" si="37"/>
        <v>561.18719999999996</v>
      </c>
      <c r="CS39">
        <f t="shared" si="38"/>
        <v>135.63</v>
      </c>
      <c r="CT39">
        <f t="shared" si="39"/>
        <v>19002.248</v>
      </c>
      <c r="CU39">
        <f t="shared" si="40"/>
        <v>0</v>
      </c>
      <c r="CV39" t="e">
        <f t="shared" si="41"/>
        <v>#REF!</v>
      </c>
      <c r="CW39">
        <f t="shared" si="42"/>
        <v>0.50400000000000011</v>
      </c>
      <c r="CX39">
        <f t="shared" si="43"/>
        <v>0</v>
      </c>
      <c r="CY39" t="e">
        <f>(S39+R39)*(BZ39/100)</f>
        <v>#REF!</v>
      </c>
      <c r="CZ39" t="e">
        <f>(S39+R39)*(CA39/100)</f>
        <v>#REF!</v>
      </c>
      <c r="DC39" t="s">
        <v>6</v>
      </c>
      <c r="DD39" t="s">
        <v>6</v>
      </c>
      <c r="DE39" t="s">
        <v>24</v>
      </c>
      <c r="DF39" t="s">
        <v>24</v>
      </c>
      <c r="DG39" t="s">
        <v>25</v>
      </c>
      <c r="DH39" t="s">
        <v>6</v>
      </c>
      <c r="DI39" t="s">
        <v>25</v>
      </c>
      <c r="DJ39" t="s">
        <v>24</v>
      </c>
      <c r="DK39" t="s">
        <v>6</v>
      </c>
      <c r="DL39" t="s">
        <v>6</v>
      </c>
      <c r="DM39" t="s">
        <v>6</v>
      </c>
      <c r="DN39">
        <f>'1.Лок.смета.и.Акт'!E80</f>
        <v>66</v>
      </c>
      <c r="DO39">
        <f>'1.Лок.смета.и.Акт'!E81</f>
        <v>60</v>
      </c>
      <c r="DP39">
        <v>1</v>
      </c>
      <c r="DQ39">
        <v>1</v>
      </c>
      <c r="DU39">
        <v>1013</v>
      </c>
      <c r="DV39" t="s">
        <v>49</v>
      </c>
      <c r="DW39" t="str">
        <f>'2.Лок.смета.и.Акт'!D26</f>
        <v>1 т арматуры, закладных деталей</v>
      </c>
      <c r="DX39">
        <v>1</v>
      </c>
      <c r="DZ39" t="s">
        <v>6</v>
      </c>
      <c r="EA39" t="s">
        <v>6</v>
      </c>
      <c r="EB39" t="s">
        <v>6</v>
      </c>
      <c r="EC39" t="s">
        <v>6</v>
      </c>
      <c r="EE39">
        <v>54938567</v>
      </c>
      <c r="EF39">
        <v>1</v>
      </c>
      <c r="EG39" t="s">
        <v>26</v>
      </c>
      <c r="EH39">
        <v>0</v>
      </c>
      <c r="EI39" t="s">
        <v>6</v>
      </c>
      <c r="EJ39">
        <v>1</v>
      </c>
      <c r="EK39">
        <v>501</v>
      </c>
      <c r="EL39" t="s">
        <v>51</v>
      </c>
      <c r="EM39" t="s">
        <v>52</v>
      </c>
      <c r="EO39" t="s">
        <v>29</v>
      </c>
      <c r="EQ39">
        <v>2228224</v>
      </c>
      <c r="ER39">
        <f>ES39+ET39+EV39</f>
        <v>5530.59</v>
      </c>
      <c r="ES39">
        <v>4753.0600000000004</v>
      </c>
      <c r="ET39" s="75">
        <f>'1.Лок.смета.и.Акт'!F78</f>
        <v>63.91</v>
      </c>
      <c r="EU39" s="75">
        <f>'1.Лок.смета.и.Акт'!F79</f>
        <v>6.12</v>
      </c>
      <c r="EV39" s="75">
        <f>'1.Лок.смета.и.Акт'!F77</f>
        <v>713.62</v>
      </c>
      <c r="EW39" t="e">
        <f>'2.Лок.смета.и.Акт'!#REF!</f>
        <v>#REF!</v>
      </c>
      <c r="EX39">
        <v>0.45</v>
      </c>
      <c r="EY39">
        <v>1</v>
      </c>
      <c r="FQ39">
        <v>0</v>
      </c>
      <c r="FR39">
        <f t="shared" si="44"/>
        <v>0</v>
      </c>
      <c r="FS39">
        <v>0</v>
      </c>
      <c r="FX39">
        <v>66</v>
      </c>
      <c r="FY39">
        <v>60</v>
      </c>
      <c r="GA39" t="s">
        <v>6</v>
      </c>
      <c r="GD39">
        <v>1</v>
      </c>
      <c r="GF39">
        <v>1689405110</v>
      </c>
      <c r="GG39">
        <v>2</v>
      </c>
      <c r="GH39">
        <v>1</v>
      </c>
      <c r="GI39">
        <v>2</v>
      </c>
      <c r="GJ39">
        <v>0</v>
      </c>
      <c r="GK39">
        <v>0</v>
      </c>
      <c r="GL39">
        <f t="shared" si="45"/>
        <v>0</v>
      </c>
      <c r="GM39" t="e">
        <f t="shared" si="46"/>
        <v>#REF!</v>
      </c>
      <c r="GN39" t="e">
        <f t="shared" si="47"/>
        <v>#REF!</v>
      </c>
      <c r="GO39">
        <f t="shared" si="48"/>
        <v>0</v>
      </c>
      <c r="GP39">
        <f t="shared" si="49"/>
        <v>0</v>
      </c>
      <c r="GR39">
        <v>0</v>
      </c>
      <c r="GS39">
        <v>3</v>
      </c>
      <c r="GT39">
        <v>0</v>
      </c>
      <c r="GU39" t="s">
        <v>6</v>
      </c>
      <c r="GV39">
        <f t="shared" si="50"/>
        <v>0</v>
      </c>
      <c r="GW39">
        <v>1015.2</v>
      </c>
      <c r="GX39">
        <f t="shared" si="51"/>
        <v>0</v>
      </c>
      <c r="HA39">
        <v>0</v>
      </c>
      <c r="HB39">
        <v>0</v>
      </c>
      <c r="HC39">
        <f t="shared" si="52"/>
        <v>0</v>
      </c>
      <c r="HE39" t="s">
        <v>6</v>
      </c>
      <c r="HF39" t="s">
        <v>6</v>
      </c>
      <c r="HM39" t="s">
        <v>6</v>
      </c>
      <c r="HN39" t="s">
        <v>6</v>
      </c>
      <c r="HO39" t="s">
        <v>6</v>
      </c>
      <c r="HP39" t="s">
        <v>6</v>
      </c>
      <c r="HQ39" t="s">
        <v>6</v>
      </c>
      <c r="IF39">
        <v>-1</v>
      </c>
      <c r="IK39">
        <v>0</v>
      </c>
    </row>
    <row r="40" spans="1:255" x14ac:dyDescent="0.2">
      <c r="A40" s="2">
        <v>18</v>
      </c>
      <c r="B40" s="2">
        <v>1</v>
      </c>
      <c r="C40" s="2">
        <v>34</v>
      </c>
      <c r="D40" s="2"/>
      <c r="E40" s="2" t="s">
        <v>66</v>
      </c>
      <c r="F40" s="2" t="s">
        <v>54</v>
      </c>
      <c r="G40" s="2" t="s">
        <v>55</v>
      </c>
      <c r="H40" s="2" t="s">
        <v>33</v>
      </c>
      <c r="I40" s="2">
        <f>I38*J40</f>
        <v>2.0665</v>
      </c>
      <c r="J40" s="226">
        <f>'5.Ведомость_списания'!F32</f>
        <v>1</v>
      </c>
      <c r="K40" s="2">
        <v>1</v>
      </c>
      <c r="L40" s="2"/>
      <c r="M40" s="2"/>
      <c r="N40" s="2"/>
      <c r="O40" s="2">
        <f t="shared" si="21"/>
        <v>10501</v>
      </c>
      <c r="P40" s="2">
        <f t="shared" si="22"/>
        <v>10501</v>
      </c>
      <c r="Q40" s="2">
        <f t="shared" si="23"/>
        <v>0</v>
      </c>
      <c r="R40" s="2">
        <f t="shared" si="24"/>
        <v>0</v>
      </c>
      <c r="S40" s="2">
        <f t="shared" si="25"/>
        <v>0</v>
      </c>
      <c r="T40" s="2">
        <f t="shared" si="26"/>
        <v>0</v>
      </c>
      <c r="U40" s="2">
        <f t="shared" si="27"/>
        <v>0</v>
      </c>
      <c r="V40" s="2">
        <f t="shared" si="28"/>
        <v>0</v>
      </c>
      <c r="W40" s="2">
        <f t="shared" si="29"/>
        <v>0</v>
      </c>
      <c r="X40" s="2">
        <f t="shared" si="30"/>
        <v>0</v>
      </c>
      <c r="Y40" s="2">
        <f t="shared" si="31"/>
        <v>0</v>
      </c>
      <c r="Z40" s="2"/>
      <c r="AA40" s="2">
        <v>86326987</v>
      </c>
      <c r="AB40" s="2">
        <f t="shared" si="32"/>
        <v>5081.62</v>
      </c>
      <c r="AC40" s="2">
        <f>ROUND((ES40),2)</f>
        <v>5081.62</v>
      </c>
      <c r="AD40" s="2">
        <f>ROUND((((ET40)-(EU40))+AE40),2)</f>
        <v>0</v>
      </c>
      <c r="AE40" s="2">
        <f>ROUND((EU40),2)</f>
        <v>0</v>
      </c>
      <c r="AF40" s="2">
        <f>ROUND((EV40),2)</f>
        <v>0</v>
      </c>
      <c r="AG40" s="2">
        <f t="shared" si="33"/>
        <v>0</v>
      </c>
      <c r="AH40" s="2">
        <f>(EW40)</f>
        <v>0</v>
      </c>
      <c r="AI40" s="2">
        <f>(EX40)</f>
        <v>0</v>
      </c>
      <c r="AJ40" s="2">
        <f t="shared" si="34"/>
        <v>0</v>
      </c>
      <c r="AK40" s="2">
        <v>5081.62</v>
      </c>
      <c r="AL40" s="110">
        <f>'1.Лок.смета.и.Акт'!F83</f>
        <v>5081.62</v>
      </c>
      <c r="AM40" s="2">
        <v>0</v>
      </c>
      <c r="AN40" s="2">
        <v>0</v>
      </c>
      <c r="AO40" s="2">
        <v>0</v>
      </c>
      <c r="AP40" s="2">
        <v>0</v>
      </c>
      <c r="AQ40" s="2">
        <v>0</v>
      </c>
      <c r="AR40" s="2">
        <v>0</v>
      </c>
      <c r="AS40" s="2">
        <v>0</v>
      </c>
      <c r="AT40" s="2">
        <v>0</v>
      </c>
      <c r="AU40" s="2">
        <v>0</v>
      </c>
      <c r="AV40" s="2">
        <v>1</v>
      </c>
      <c r="AW40" s="2">
        <v>1</v>
      </c>
      <c r="AX40" s="2"/>
      <c r="AY40" s="2"/>
      <c r="AZ40" s="2">
        <v>1</v>
      </c>
      <c r="BA40" s="2">
        <v>1</v>
      </c>
      <c r="BB40" s="2">
        <v>1</v>
      </c>
      <c r="BC40" s="2">
        <v>1</v>
      </c>
      <c r="BD40" s="2" t="s">
        <v>6</v>
      </c>
      <c r="BE40" s="2" t="s">
        <v>6</v>
      </c>
      <c r="BF40" s="2" t="s">
        <v>6</v>
      </c>
      <c r="BG40" s="2" t="s">
        <v>6</v>
      </c>
      <c r="BH40" s="2">
        <v>3</v>
      </c>
      <c r="BI40" s="2">
        <v>1</v>
      </c>
      <c r="BJ40" s="2" t="s">
        <v>56</v>
      </c>
      <c r="BK40" s="2"/>
      <c r="BL40" s="2"/>
      <c r="BM40" s="2">
        <v>500003</v>
      </c>
      <c r="BN40" s="2">
        <v>0</v>
      </c>
      <c r="BO40" s="2" t="s">
        <v>6</v>
      </c>
      <c r="BP40" s="2">
        <v>0</v>
      </c>
      <c r="BQ40" s="2">
        <v>22</v>
      </c>
      <c r="BR40" s="2">
        <v>0</v>
      </c>
      <c r="BS40" s="2">
        <v>1</v>
      </c>
      <c r="BT40" s="2">
        <v>1</v>
      </c>
      <c r="BU40" s="2">
        <v>1</v>
      </c>
      <c r="BV40" s="2">
        <v>1</v>
      </c>
      <c r="BW40" s="2">
        <v>1</v>
      </c>
      <c r="BX40" s="2">
        <v>1</v>
      </c>
      <c r="BY40" s="2" t="s">
        <v>6</v>
      </c>
      <c r="BZ40" s="2">
        <v>0</v>
      </c>
      <c r="CA40" s="2">
        <v>0</v>
      </c>
      <c r="CB40" s="2" t="s">
        <v>6</v>
      </c>
      <c r="CC40" s="2"/>
      <c r="CD40" s="2"/>
      <c r="CE40" s="2">
        <v>0</v>
      </c>
      <c r="CF40" s="2">
        <v>0</v>
      </c>
      <c r="CG40" s="2">
        <v>0</v>
      </c>
      <c r="CH40" s="2"/>
      <c r="CI40" s="2"/>
      <c r="CJ40" s="2"/>
      <c r="CK40" s="2"/>
      <c r="CL40" s="2"/>
      <c r="CM40" s="2">
        <v>0</v>
      </c>
      <c r="CN40" s="2" t="s">
        <v>6</v>
      </c>
      <c r="CO40" s="2">
        <v>0</v>
      </c>
      <c r="CP40" s="2">
        <f t="shared" si="35"/>
        <v>10501</v>
      </c>
      <c r="CQ40" s="2">
        <f t="shared" si="36"/>
        <v>5081.62</v>
      </c>
      <c r="CR40" s="2">
        <f t="shared" si="37"/>
        <v>0</v>
      </c>
      <c r="CS40" s="2">
        <f t="shared" si="38"/>
        <v>0</v>
      </c>
      <c r="CT40" s="2">
        <f t="shared" si="39"/>
        <v>0</v>
      </c>
      <c r="CU40" s="2">
        <f t="shared" si="40"/>
        <v>0</v>
      </c>
      <c r="CV40" s="2">
        <f t="shared" si="41"/>
        <v>0</v>
      </c>
      <c r="CW40" s="2">
        <f t="shared" si="42"/>
        <v>0</v>
      </c>
      <c r="CX40" s="2">
        <f t="shared" si="43"/>
        <v>0</v>
      </c>
      <c r="CY40" s="2">
        <f>(((S40+(R40*IF(0,0,1)))*AT40)/100)</f>
        <v>0</v>
      </c>
      <c r="CZ40" s="2">
        <f>(((S40+(R40*IF(0,0,1)))*AU40)/100)</f>
        <v>0</v>
      </c>
      <c r="DA40" s="2"/>
      <c r="DB40" s="2"/>
      <c r="DC40" s="2" t="s">
        <v>6</v>
      </c>
      <c r="DD40" s="2" t="s">
        <v>6</v>
      </c>
      <c r="DE40" s="2" t="s">
        <v>6</v>
      </c>
      <c r="DF40" s="2" t="s">
        <v>6</v>
      </c>
      <c r="DG40" s="2" t="s">
        <v>6</v>
      </c>
      <c r="DH40" s="2" t="s">
        <v>6</v>
      </c>
      <c r="DI40" s="2" t="s">
        <v>6</v>
      </c>
      <c r="DJ40" s="2" t="s">
        <v>6</v>
      </c>
      <c r="DK40" s="2" t="s">
        <v>6</v>
      </c>
      <c r="DL40" s="2" t="s">
        <v>6</v>
      </c>
      <c r="DM40" s="2" t="s">
        <v>6</v>
      </c>
      <c r="DN40" s="2">
        <v>0</v>
      </c>
      <c r="DO40" s="2">
        <v>0</v>
      </c>
      <c r="DP40" s="2">
        <v>1</v>
      </c>
      <c r="DQ40" s="2">
        <v>1</v>
      </c>
      <c r="DR40" s="2"/>
      <c r="DS40" s="2"/>
      <c r="DT40" s="2"/>
      <c r="DU40" s="2">
        <v>1009</v>
      </c>
      <c r="DV40" s="2" t="s">
        <v>33</v>
      </c>
      <c r="DW40" s="2" t="s">
        <v>33</v>
      </c>
      <c r="DX40" s="2">
        <v>1000</v>
      </c>
      <c r="DY40" s="2"/>
      <c r="DZ40" s="2" t="s">
        <v>6</v>
      </c>
      <c r="EA40" s="2" t="s">
        <v>6</v>
      </c>
      <c r="EB40" s="2" t="s">
        <v>6</v>
      </c>
      <c r="EC40" s="2" t="s">
        <v>6</v>
      </c>
      <c r="ED40" s="2"/>
      <c r="EE40" s="2">
        <v>54938783</v>
      </c>
      <c r="EF40" s="2">
        <v>22</v>
      </c>
      <c r="EG40" s="2" t="s">
        <v>57</v>
      </c>
      <c r="EH40" s="2">
        <v>0</v>
      </c>
      <c r="EI40" s="2" t="s">
        <v>6</v>
      </c>
      <c r="EJ40" s="2">
        <v>1</v>
      </c>
      <c r="EK40" s="2">
        <v>500003</v>
      </c>
      <c r="EL40" s="2" t="s">
        <v>58</v>
      </c>
      <c r="EM40" s="2" t="s">
        <v>59</v>
      </c>
      <c r="EN40" s="2"/>
      <c r="EO40" s="2" t="s">
        <v>6</v>
      </c>
      <c r="EP40" s="2"/>
      <c r="EQ40" s="2">
        <v>0</v>
      </c>
      <c r="ER40" s="2">
        <v>5081.62</v>
      </c>
      <c r="ES40" s="110">
        <f>'1.Лок.смета.и.Акт'!F83</f>
        <v>5081.62</v>
      </c>
      <c r="ET40" s="2">
        <v>0</v>
      </c>
      <c r="EU40" s="2">
        <v>0</v>
      </c>
      <c r="EV40" s="2">
        <v>0</v>
      </c>
      <c r="EW40" s="2">
        <v>0</v>
      </c>
      <c r="EX40" s="2">
        <v>0</v>
      </c>
      <c r="EY40" s="2"/>
      <c r="EZ40" s="2"/>
      <c r="FA40" s="2"/>
      <c r="FB40" s="2"/>
      <c r="FC40" s="2"/>
      <c r="FD40" s="2"/>
      <c r="FE40" s="2"/>
      <c r="FF40" s="2"/>
      <c r="FG40" s="2"/>
      <c r="FH40" s="2"/>
      <c r="FI40" s="2"/>
      <c r="FJ40" s="2"/>
      <c r="FK40" s="2"/>
      <c r="FL40" s="2"/>
      <c r="FM40" s="2"/>
      <c r="FN40" s="2"/>
      <c r="FO40" s="2"/>
      <c r="FP40" s="2"/>
      <c r="FQ40" s="2">
        <v>0</v>
      </c>
      <c r="FR40" s="2">
        <f t="shared" si="44"/>
        <v>0</v>
      </c>
      <c r="FS40" s="2">
        <v>0</v>
      </c>
      <c r="FT40" s="2"/>
      <c r="FU40" s="2"/>
      <c r="FV40" s="2"/>
      <c r="FW40" s="2"/>
      <c r="FX40" s="2">
        <v>0</v>
      </c>
      <c r="FY40" s="2">
        <v>0</v>
      </c>
      <c r="FZ40" s="2"/>
      <c r="GA40" s="2" t="s">
        <v>6</v>
      </c>
      <c r="GB40" s="2"/>
      <c r="GC40" s="2"/>
      <c r="GD40" s="2">
        <v>1</v>
      </c>
      <c r="GE40" s="2"/>
      <c r="GF40" s="2">
        <v>1567311917</v>
      </c>
      <c r="GG40" s="2">
        <v>2</v>
      </c>
      <c r="GH40" s="2">
        <v>1</v>
      </c>
      <c r="GI40" s="2">
        <v>-2</v>
      </c>
      <c r="GJ40" s="2">
        <v>0</v>
      </c>
      <c r="GK40" s="2">
        <v>0</v>
      </c>
      <c r="GL40" s="2">
        <f t="shared" si="45"/>
        <v>0</v>
      </c>
      <c r="GM40" s="2">
        <f t="shared" si="46"/>
        <v>10501</v>
      </c>
      <c r="GN40" s="2">
        <f t="shared" si="47"/>
        <v>10501</v>
      </c>
      <c r="GO40" s="2">
        <f t="shared" si="48"/>
        <v>0</v>
      </c>
      <c r="GP40" s="2">
        <f t="shared" si="49"/>
        <v>0</v>
      </c>
      <c r="GQ40" s="2"/>
      <c r="GR40" s="2">
        <v>0</v>
      </c>
      <c r="GS40" s="2">
        <v>3</v>
      </c>
      <c r="GT40" s="2">
        <v>0</v>
      </c>
      <c r="GU40" s="2" t="s">
        <v>6</v>
      </c>
      <c r="GV40" s="2">
        <f t="shared" si="50"/>
        <v>0</v>
      </c>
      <c r="GW40" s="2">
        <v>1</v>
      </c>
      <c r="GX40" s="2">
        <f t="shared" si="51"/>
        <v>0</v>
      </c>
      <c r="GY40" s="2"/>
      <c r="GZ40" s="2"/>
      <c r="HA40" s="2">
        <v>0</v>
      </c>
      <c r="HB40" s="2">
        <v>0</v>
      </c>
      <c r="HC40" s="2">
        <f t="shared" si="52"/>
        <v>0</v>
      </c>
      <c r="HD40" s="2"/>
      <c r="HE40" s="2" t="s">
        <v>6</v>
      </c>
      <c r="HF40" s="2" t="s">
        <v>6</v>
      </c>
      <c r="HG40" s="2"/>
      <c r="HH40" s="2"/>
      <c r="HI40" s="2"/>
      <c r="HJ40" s="2"/>
      <c r="HK40" s="2"/>
      <c r="HL40" s="2"/>
      <c r="HM40" s="2" t="s">
        <v>6</v>
      </c>
      <c r="HN40" s="2" t="s">
        <v>6</v>
      </c>
      <c r="HO40" s="2" t="s">
        <v>6</v>
      </c>
      <c r="HP40" s="2" t="s">
        <v>6</v>
      </c>
      <c r="HQ40" s="2" t="s">
        <v>6</v>
      </c>
      <c r="HR40" s="2"/>
      <c r="HS40" s="2"/>
      <c r="HT40" s="2"/>
      <c r="HU40" s="2"/>
      <c r="HV40" s="2"/>
      <c r="HW40" s="2"/>
      <c r="HX40" s="2"/>
      <c r="HY40" s="2"/>
      <c r="HZ40" s="2"/>
      <c r="IA40" s="2"/>
      <c r="IB40" s="2"/>
      <c r="IC40" s="2"/>
      <c r="ID40" s="2"/>
      <c r="IE40" s="2"/>
      <c r="IF40" s="2">
        <v>-1</v>
      </c>
      <c r="IG40" s="2"/>
      <c r="IH40" s="2"/>
      <c r="II40" s="2"/>
      <c r="IJ40" s="2"/>
      <c r="IK40" s="2">
        <v>0</v>
      </c>
      <c r="IL40" s="2"/>
      <c r="IM40" s="2"/>
      <c r="IN40" s="2"/>
      <c r="IO40" s="2"/>
      <c r="IP40" s="2"/>
      <c r="IQ40" s="2"/>
      <c r="IR40" s="2"/>
      <c r="IS40" s="2"/>
      <c r="IT40" s="2"/>
      <c r="IU40" s="2"/>
    </row>
    <row r="41" spans="1:255" x14ac:dyDescent="0.2">
      <c r="A41">
        <v>18</v>
      </c>
      <c r="B41">
        <v>1</v>
      </c>
      <c r="C41">
        <v>40</v>
      </c>
      <c r="E41" t="s">
        <v>66</v>
      </c>
      <c r="F41" t="e">
        <f>'2.Лок.смета.и.Акт'!#REF!</f>
        <v>#REF!</v>
      </c>
      <c r="G41" t="s">
        <v>55</v>
      </c>
      <c r="H41" t="s">
        <v>33</v>
      </c>
      <c r="I41">
        <f>I39*J41</f>
        <v>2.0665</v>
      </c>
      <c r="J41">
        <v>1</v>
      </c>
      <c r="K41">
        <v>1</v>
      </c>
      <c r="O41">
        <f t="shared" si="21"/>
        <v>122940</v>
      </c>
      <c r="P41">
        <f t="shared" si="22"/>
        <v>122940</v>
      </c>
      <c r="Q41">
        <f t="shared" si="23"/>
        <v>0</v>
      </c>
      <c r="R41">
        <f t="shared" si="24"/>
        <v>0</v>
      </c>
      <c r="S41">
        <f t="shared" si="25"/>
        <v>0</v>
      </c>
      <c r="T41">
        <f t="shared" si="26"/>
        <v>0</v>
      </c>
      <c r="U41">
        <f t="shared" si="27"/>
        <v>0</v>
      </c>
      <c r="V41">
        <f t="shared" si="28"/>
        <v>0</v>
      </c>
      <c r="W41">
        <f t="shared" si="29"/>
        <v>0</v>
      </c>
      <c r="X41">
        <f t="shared" si="30"/>
        <v>0</v>
      </c>
      <c r="Y41">
        <f t="shared" si="31"/>
        <v>0</v>
      </c>
      <c r="AA41">
        <v>86326988</v>
      </c>
      <c r="AB41">
        <f t="shared" si="32"/>
        <v>7869.28</v>
      </c>
      <c r="AC41">
        <f>ROUND((ES41),2)</f>
        <v>7869.28</v>
      </c>
      <c r="AD41">
        <f>ROUND((((ET41)-(EU41))+AE41),2)</f>
        <v>0</v>
      </c>
      <c r="AE41">
        <f>ROUND((EU41),2)</f>
        <v>0</v>
      </c>
      <c r="AF41">
        <f>ROUND((EV41),2)</f>
        <v>0</v>
      </c>
      <c r="AG41">
        <f t="shared" si="33"/>
        <v>0</v>
      </c>
      <c r="AH41">
        <f>(EW41)</f>
        <v>0</v>
      </c>
      <c r="AI41">
        <f>(EX41)</f>
        <v>0</v>
      </c>
      <c r="AJ41">
        <f t="shared" si="34"/>
        <v>0</v>
      </c>
      <c r="AK41">
        <v>7869.28</v>
      </c>
      <c r="AL41">
        <v>7869.28</v>
      </c>
      <c r="AM41">
        <v>0</v>
      </c>
      <c r="AN41">
        <v>0</v>
      </c>
      <c r="AO41">
        <v>0</v>
      </c>
      <c r="AP41">
        <v>0</v>
      </c>
      <c r="AQ41">
        <v>0</v>
      </c>
      <c r="AR41">
        <v>0</v>
      </c>
      <c r="AS41">
        <v>0</v>
      </c>
      <c r="AT41">
        <v>0</v>
      </c>
      <c r="AU41">
        <v>0</v>
      </c>
      <c r="AV41">
        <v>1</v>
      </c>
      <c r="AW41">
        <v>1</v>
      </c>
      <c r="AZ41">
        <v>1</v>
      </c>
      <c r="BA41">
        <v>1</v>
      </c>
      <c r="BB41">
        <v>1</v>
      </c>
      <c r="BC41">
        <v>7.56</v>
      </c>
      <c r="BD41" t="s">
        <v>6</v>
      </c>
      <c r="BE41" t="s">
        <v>6</v>
      </c>
      <c r="BF41" t="s">
        <v>6</v>
      </c>
      <c r="BG41" t="s">
        <v>6</v>
      </c>
      <c r="BH41">
        <v>3</v>
      </c>
      <c r="BI41">
        <v>1</v>
      </c>
      <c r="BJ41" t="s">
        <v>56</v>
      </c>
      <c r="BM41">
        <v>500003</v>
      </c>
      <c r="BN41">
        <v>0</v>
      </c>
      <c r="BO41" t="s">
        <v>6</v>
      </c>
      <c r="BP41">
        <v>0</v>
      </c>
      <c r="BQ41">
        <v>22</v>
      </c>
      <c r="BR41">
        <v>0</v>
      </c>
      <c r="BS41">
        <v>1</v>
      </c>
      <c r="BT41">
        <v>1</v>
      </c>
      <c r="BU41">
        <v>1</v>
      </c>
      <c r="BV41">
        <v>1</v>
      </c>
      <c r="BW41">
        <v>1</v>
      </c>
      <c r="BX41">
        <v>1</v>
      </c>
      <c r="BY41" t="s">
        <v>6</v>
      </c>
      <c r="BZ41">
        <v>0</v>
      </c>
      <c r="CA41">
        <v>0</v>
      </c>
      <c r="CB41" t="s">
        <v>6</v>
      </c>
      <c r="CE41">
        <v>0</v>
      </c>
      <c r="CF41">
        <v>0</v>
      </c>
      <c r="CG41">
        <v>0</v>
      </c>
      <c r="CM41">
        <v>0</v>
      </c>
      <c r="CN41" t="s">
        <v>6</v>
      </c>
      <c r="CO41">
        <v>0</v>
      </c>
      <c r="CP41">
        <f t="shared" si="35"/>
        <v>122940</v>
      </c>
      <c r="CQ41">
        <f t="shared" si="36"/>
        <v>59491.756799999996</v>
      </c>
      <c r="CR41">
        <f t="shared" si="37"/>
        <v>0</v>
      </c>
      <c r="CS41">
        <f t="shared" si="38"/>
        <v>0</v>
      </c>
      <c r="CT41">
        <f t="shared" si="39"/>
        <v>0</v>
      </c>
      <c r="CU41">
        <f t="shared" si="40"/>
        <v>0</v>
      </c>
      <c r="CV41">
        <f t="shared" si="41"/>
        <v>0</v>
      </c>
      <c r="CW41">
        <f t="shared" si="42"/>
        <v>0</v>
      </c>
      <c r="CX41">
        <f t="shared" si="43"/>
        <v>0</v>
      </c>
      <c r="CY41">
        <f>(S41+R41)*(BZ41/100)</f>
        <v>0</v>
      </c>
      <c r="CZ41">
        <f>(S41+R41)*(CA41/100)</f>
        <v>0</v>
      </c>
      <c r="DC41" t="s">
        <v>6</v>
      </c>
      <c r="DD41" t="s">
        <v>6</v>
      </c>
      <c r="DE41" t="s">
        <v>6</v>
      </c>
      <c r="DF41" t="s">
        <v>6</v>
      </c>
      <c r="DG41" t="s">
        <v>6</v>
      </c>
      <c r="DH41" t="s">
        <v>6</v>
      </c>
      <c r="DI41" t="s">
        <v>6</v>
      </c>
      <c r="DJ41" t="s">
        <v>6</v>
      </c>
      <c r="DK41" t="s">
        <v>6</v>
      </c>
      <c r="DL41" t="s">
        <v>6</v>
      </c>
      <c r="DM41" t="s">
        <v>6</v>
      </c>
      <c r="DN41">
        <v>0</v>
      </c>
      <c r="DO41">
        <v>0</v>
      </c>
      <c r="DP41">
        <v>1</v>
      </c>
      <c r="DQ41">
        <v>1</v>
      </c>
      <c r="DU41">
        <v>1009</v>
      </c>
      <c r="DV41" t="s">
        <v>33</v>
      </c>
      <c r="DW41" t="e">
        <f>'2.Лок.смета.и.Акт'!#REF!</f>
        <v>#REF!</v>
      </c>
      <c r="DX41">
        <v>1000</v>
      </c>
      <c r="DZ41" t="s">
        <v>6</v>
      </c>
      <c r="EA41" t="s">
        <v>6</v>
      </c>
      <c r="EB41" t="s">
        <v>6</v>
      </c>
      <c r="EC41" t="s">
        <v>6</v>
      </c>
      <c r="EE41">
        <v>54938783</v>
      </c>
      <c r="EF41">
        <v>22</v>
      </c>
      <c r="EG41" t="s">
        <v>57</v>
      </c>
      <c r="EH41">
        <v>0</v>
      </c>
      <c r="EI41" t="s">
        <v>6</v>
      </c>
      <c r="EJ41">
        <v>1</v>
      </c>
      <c r="EK41">
        <v>500003</v>
      </c>
      <c r="EL41" t="s">
        <v>58</v>
      </c>
      <c r="EM41" t="s">
        <v>59</v>
      </c>
      <c r="EO41" t="s">
        <v>6</v>
      </c>
      <c r="EQ41">
        <v>0</v>
      </c>
      <c r="ER41">
        <v>56777.82</v>
      </c>
      <c r="ES41">
        <v>7869.28</v>
      </c>
      <c r="ET41">
        <v>0</v>
      </c>
      <c r="EU41">
        <v>0</v>
      </c>
      <c r="EV41">
        <v>0</v>
      </c>
      <c r="EW41">
        <v>0</v>
      </c>
      <c r="EX41">
        <v>0</v>
      </c>
      <c r="EZ41">
        <v>5</v>
      </c>
      <c r="FC41">
        <v>0</v>
      </c>
      <c r="FD41">
        <v>18</v>
      </c>
      <c r="FF41">
        <v>56777.82</v>
      </c>
      <c r="FQ41">
        <v>0</v>
      </c>
      <c r="FR41">
        <f t="shared" si="44"/>
        <v>0</v>
      </c>
      <c r="FS41">
        <v>0</v>
      </c>
      <c r="FX41">
        <v>0</v>
      </c>
      <c r="FY41">
        <v>0</v>
      </c>
      <c r="GA41" t="s">
        <v>60</v>
      </c>
      <c r="GD41">
        <v>1</v>
      </c>
      <c r="GF41">
        <v>1567311917</v>
      </c>
      <c r="GG41">
        <v>2</v>
      </c>
      <c r="GH41">
        <v>3</v>
      </c>
      <c r="GI41">
        <v>5</v>
      </c>
      <c r="GJ41">
        <v>0</v>
      </c>
      <c r="GK41">
        <v>0</v>
      </c>
      <c r="GL41">
        <f t="shared" si="45"/>
        <v>0</v>
      </c>
      <c r="GM41">
        <f t="shared" si="46"/>
        <v>122940</v>
      </c>
      <c r="GN41">
        <f t="shared" si="47"/>
        <v>122940</v>
      </c>
      <c r="GO41">
        <f t="shared" si="48"/>
        <v>0</v>
      </c>
      <c r="GP41">
        <f t="shared" si="49"/>
        <v>0</v>
      </c>
      <c r="GR41">
        <v>1</v>
      </c>
      <c r="GS41">
        <v>1</v>
      </c>
      <c r="GT41">
        <v>0</v>
      </c>
      <c r="GU41" t="s">
        <v>6</v>
      </c>
      <c r="GV41">
        <f t="shared" si="50"/>
        <v>0</v>
      </c>
      <c r="GW41">
        <v>1</v>
      </c>
      <c r="GX41">
        <f t="shared" si="51"/>
        <v>0</v>
      </c>
      <c r="HA41">
        <v>0</v>
      </c>
      <c r="HB41">
        <v>0</v>
      </c>
      <c r="HC41">
        <f t="shared" si="52"/>
        <v>0</v>
      </c>
      <c r="HE41" t="s">
        <v>39</v>
      </c>
      <c r="HF41" t="s">
        <v>61</v>
      </c>
      <c r="HM41" t="s">
        <v>6</v>
      </c>
      <c r="HN41" t="s">
        <v>6</v>
      </c>
      <c r="HO41" t="s">
        <v>6</v>
      </c>
      <c r="HP41" t="s">
        <v>6</v>
      </c>
      <c r="HQ41" t="s">
        <v>6</v>
      </c>
      <c r="IF41">
        <v>-1</v>
      </c>
      <c r="IK41">
        <v>0</v>
      </c>
    </row>
    <row r="42" spans="1:255" x14ac:dyDescent="0.2">
      <c r="A42" s="2">
        <v>17</v>
      </c>
      <c r="B42" s="2">
        <v>1</v>
      </c>
      <c r="C42" s="2">
        <f>ROW(SmtRes!A53)</f>
        <v>53</v>
      </c>
      <c r="D42" s="2">
        <f>ROW(EtalonRes!A51)</f>
        <v>51</v>
      </c>
      <c r="E42" s="2" t="s">
        <v>39</v>
      </c>
      <c r="F42" s="2" t="s">
        <v>67</v>
      </c>
      <c r="G42" s="2" t="s">
        <v>68</v>
      </c>
      <c r="H42" s="2" t="s">
        <v>21</v>
      </c>
      <c r="I42" s="2">
        <f>'2.Лок.смета.и.Акт'!E27</f>
        <v>2.2799999999999998</v>
      </c>
      <c r="J42" s="2">
        <v>0</v>
      </c>
      <c r="K42" s="2">
        <v>9.1199999999999992</v>
      </c>
      <c r="L42" s="2"/>
      <c r="M42" s="2"/>
      <c r="N42" s="2"/>
      <c r="O42" s="2">
        <f t="shared" si="21"/>
        <v>604</v>
      </c>
      <c r="P42" s="2">
        <f t="shared" si="22"/>
        <v>0</v>
      </c>
      <c r="Q42" s="2">
        <f t="shared" si="23"/>
        <v>514</v>
      </c>
      <c r="R42" s="2">
        <f t="shared" si="24"/>
        <v>59</v>
      </c>
      <c r="S42" s="2">
        <f t="shared" si="25"/>
        <v>90</v>
      </c>
      <c r="T42" s="2">
        <f t="shared" si="26"/>
        <v>0</v>
      </c>
      <c r="U42" s="2">
        <f t="shared" si="27"/>
        <v>10.38996</v>
      </c>
      <c r="V42" s="2">
        <f t="shared" si="28"/>
        <v>4.3666559999999999</v>
      </c>
      <c r="W42" s="2">
        <f t="shared" si="29"/>
        <v>0</v>
      </c>
      <c r="X42" s="2">
        <f t="shared" si="30"/>
        <v>179</v>
      </c>
      <c r="Y42" s="2">
        <f t="shared" si="31"/>
        <v>115</v>
      </c>
      <c r="Z42" s="2"/>
      <c r="AA42" s="2">
        <v>86326987</v>
      </c>
      <c r="AB42" s="2">
        <f t="shared" si="32"/>
        <v>265.31</v>
      </c>
      <c r="AC42" s="2">
        <f>ROUND((ES42+(SUM(SmtRes!BC41:'SmtRes'!BC53)+SUM(EtalonRes!AL45:'EtalonRes'!AL51))),2)</f>
        <v>0</v>
      </c>
      <c r="AD42" s="2">
        <f>ROUND(((((ET42*1.12)+(SUM(SmtRes!BD41:'SmtRes'!BD53)+SUM(EtalonRes!AM45:'EtalonRes'!AM51)))-((EU42*1.12)+(SUM(SmtRes!BE41:'SmtRes'!BE53)+SUM(EtalonRes!AN45:'EtalonRes'!AN51))))+AE42),2)</f>
        <v>225.62</v>
      </c>
      <c r="AE42" s="2">
        <f>ROUND(((EU42*1.12)+(SUM(SmtRes!BE41:'SmtRes'!BE53)+SUM(EtalonRes!AN45:'EtalonRes'!AN51))),2)</f>
        <v>26.06</v>
      </c>
      <c r="AF42" s="2">
        <f>ROUND(((EV42*1.05)),2)</f>
        <v>39.69</v>
      </c>
      <c r="AG42" s="2">
        <f t="shared" si="33"/>
        <v>0</v>
      </c>
      <c r="AH42" s="2">
        <f>((EW42*1.05))</f>
        <v>4.5570000000000004</v>
      </c>
      <c r="AI42" s="2">
        <f>((EX42*1.12))</f>
        <v>1.9152000000000002</v>
      </c>
      <c r="AJ42" s="2">
        <f t="shared" si="34"/>
        <v>0</v>
      </c>
      <c r="AK42" s="2">
        <v>205.41</v>
      </c>
      <c r="AL42" s="2">
        <v>7.12</v>
      </c>
      <c r="AM42" s="2">
        <v>160.49</v>
      </c>
      <c r="AN42" s="2">
        <v>23.27</v>
      </c>
      <c r="AO42" s="2">
        <v>37.799999999999997</v>
      </c>
      <c r="AP42" s="2">
        <v>0</v>
      </c>
      <c r="AQ42" s="2">
        <v>4.34</v>
      </c>
      <c r="AR42" s="2">
        <v>1.71</v>
      </c>
      <c r="AS42" s="2">
        <v>0</v>
      </c>
      <c r="AT42" s="2">
        <v>120</v>
      </c>
      <c r="AU42" s="2">
        <v>77</v>
      </c>
      <c r="AV42" s="2">
        <v>1</v>
      </c>
      <c r="AW42" s="2">
        <v>1</v>
      </c>
      <c r="AX42" s="2"/>
      <c r="AY42" s="2"/>
      <c r="AZ42" s="2">
        <v>1</v>
      </c>
      <c r="BA42" s="2">
        <v>1</v>
      </c>
      <c r="BB42" s="2">
        <v>1</v>
      </c>
      <c r="BC42" s="2">
        <v>1</v>
      </c>
      <c r="BD42" s="2" t="s">
        <v>6</v>
      </c>
      <c r="BE42" s="2" t="s">
        <v>6</v>
      </c>
      <c r="BF42" s="2" t="s">
        <v>6</v>
      </c>
      <c r="BG42" s="2" t="s">
        <v>6</v>
      </c>
      <c r="BH42" s="2">
        <v>0</v>
      </c>
      <c r="BI42" s="2">
        <v>1</v>
      </c>
      <c r="BJ42" s="2" t="s">
        <v>69</v>
      </c>
      <c r="BK42" s="2"/>
      <c r="BL42" s="2"/>
      <c r="BM42" s="2">
        <v>6002</v>
      </c>
      <c r="BN42" s="2">
        <v>0</v>
      </c>
      <c r="BO42" s="2" t="s">
        <v>6</v>
      </c>
      <c r="BP42" s="2">
        <v>0</v>
      </c>
      <c r="BQ42" s="2">
        <v>1</v>
      </c>
      <c r="BR42" s="2">
        <v>0</v>
      </c>
      <c r="BS42" s="2">
        <v>1</v>
      </c>
      <c r="BT42" s="2">
        <v>1</v>
      </c>
      <c r="BU42" s="2">
        <v>1</v>
      </c>
      <c r="BV42" s="2">
        <v>1</v>
      </c>
      <c r="BW42" s="2">
        <v>1</v>
      </c>
      <c r="BX42" s="2">
        <v>1</v>
      </c>
      <c r="BY42" s="2" t="s">
        <v>6</v>
      </c>
      <c r="BZ42" s="2">
        <v>120</v>
      </c>
      <c r="CA42" s="2">
        <v>77</v>
      </c>
      <c r="CB42" s="2" t="s">
        <v>6</v>
      </c>
      <c r="CC42" s="2"/>
      <c r="CD42" s="2"/>
      <c r="CE42" s="2">
        <v>0</v>
      </c>
      <c r="CF42" s="2">
        <v>0</v>
      </c>
      <c r="CG42" s="2">
        <v>0</v>
      </c>
      <c r="CH42" s="2"/>
      <c r="CI42" s="2"/>
      <c r="CJ42" s="2"/>
      <c r="CK42" s="2"/>
      <c r="CL42" s="2"/>
      <c r="CM42" s="2">
        <v>0</v>
      </c>
      <c r="CN42" s="2" t="s">
        <v>23</v>
      </c>
      <c r="CO42" s="2">
        <v>0</v>
      </c>
      <c r="CP42" s="2">
        <f t="shared" si="35"/>
        <v>604</v>
      </c>
      <c r="CQ42" s="2">
        <f t="shared" si="36"/>
        <v>0</v>
      </c>
      <c r="CR42" s="2">
        <f t="shared" si="37"/>
        <v>225.62</v>
      </c>
      <c r="CS42" s="2">
        <f t="shared" si="38"/>
        <v>26.06</v>
      </c>
      <c r="CT42" s="2">
        <f t="shared" si="39"/>
        <v>39.69</v>
      </c>
      <c r="CU42" s="2">
        <f t="shared" si="40"/>
        <v>0</v>
      </c>
      <c r="CV42" s="2">
        <f t="shared" si="41"/>
        <v>4.5570000000000004</v>
      </c>
      <c r="CW42" s="2">
        <f t="shared" si="42"/>
        <v>1.9152000000000002</v>
      </c>
      <c r="CX42" s="2">
        <f t="shared" si="43"/>
        <v>0</v>
      </c>
      <c r="CY42" s="2">
        <f>(((S42+(R42*IF(0,0,1)))*AT42)/100)</f>
        <v>178.8</v>
      </c>
      <c r="CZ42" s="2">
        <f>(((S42+(R42*IF(0,0,1)))*AU42)/100)</f>
        <v>114.73</v>
      </c>
      <c r="DA42" s="2"/>
      <c r="DB42" s="2"/>
      <c r="DC42" s="2" t="s">
        <v>6</v>
      </c>
      <c r="DD42" s="2" t="s">
        <v>6</v>
      </c>
      <c r="DE42" s="2" t="s">
        <v>24</v>
      </c>
      <c r="DF42" s="2" t="s">
        <v>24</v>
      </c>
      <c r="DG42" s="2" t="s">
        <v>25</v>
      </c>
      <c r="DH42" s="2" t="s">
        <v>6</v>
      </c>
      <c r="DI42" s="2" t="s">
        <v>25</v>
      </c>
      <c r="DJ42" s="2" t="s">
        <v>24</v>
      </c>
      <c r="DK42" s="2" t="s">
        <v>6</v>
      </c>
      <c r="DL42" s="2" t="s">
        <v>6</v>
      </c>
      <c r="DM42" s="2" t="s">
        <v>6</v>
      </c>
      <c r="DN42" s="2">
        <v>0</v>
      </c>
      <c r="DO42" s="2">
        <v>0</v>
      </c>
      <c r="DP42" s="2">
        <v>1</v>
      </c>
      <c r="DQ42" s="2">
        <v>1</v>
      </c>
      <c r="DR42" s="2"/>
      <c r="DS42" s="2"/>
      <c r="DT42" s="2"/>
      <c r="DU42" s="2">
        <v>1013</v>
      </c>
      <c r="DV42" s="2" t="s">
        <v>21</v>
      </c>
      <c r="DW42" s="2" t="s">
        <v>21</v>
      </c>
      <c r="DX42" s="2">
        <v>1</v>
      </c>
      <c r="DY42" s="2"/>
      <c r="DZ42" s="2" t="s">
        <v>6</v>
      </c>
      <c r="EA42" s="2" t="s">
        <v>6</v>
      </c>
      <c r="EB42" s="2" t="s">
        <v>6</v>
      </c>
      <c r="EC42" s="2" t="s">
        <v>6</v>
      </c>
      <c r="ED42" s="2"/>
      <c r="EE42" s="2">
        <v>54938592</v>
      </c>
      <c r="EF42" s="2">
        <v>1</v>
      </c>
      <c r="EG42" s="2" t="s">
        <v>26</v>
      </c>
      <c r="EH42" s="2">
        <v>0</v>
      </c>
      <c r="EI42" s="2" t="s">
        <v>6</v>
      </c>
      <c r="EJ42" s="2">
        <v>1</v>
      </c>
      <c r="EK42" s="2">
        <v>6002</v>
      </c>
      <c r="EL42" s="2" t="s">
        <v>27</v>
      </c>
      <c r="EM42" s="2" t="s">
        <v>28</v>
      </c>
      <c r="EN42" s="2"/>
      <c r="EO42" s="2" t="s">
        <v>29</v>
      </c>
      <c r="EP42" s="2"/>
      <c r="EQ42" s="2">
        <v>2228224</v>
      </c>
      <c r="ER42" s="2">
        <v>205.41</v>
      </c>
      <c r="ES42" s="2">
        <v>7.12</v>
      </c>
      <c r="ET42" s="2">
        <v>160.49</v>
      </c>
      <c r="EU42" s="2">
        <v>23.27</v>
      </c>
      <c r="EV42" s="2">
        <v>37.799999999999997</v>
      </c>
      <c r="EW42" s="2">
        <v>4.34</v>
      </c>
      <c r="EX42" s="2">
        <v>1.71</v>
      </c>
      <c r="EY42" s="2">
        <v>1</v>
      </c>
      <c r="EZ42" s="2"/>
      <c r="FA42" s="2"/>
      <c r="FB42" s="2"/>
      <c r="FC42" s="2"/>
      <c r="FD42" s="2"/>
      <c r="FE42" s="2"/>
      <c r="FF42" s="2"/>
      <c r="FG42" s="2"/>
      <c r="FH42" s="2"/>
      <c r="FI42" s="2"/>
      <c r="FJ42" s="2"/>
      <c r="FK42" s="2"/>
      <c r="FL42" s="2"/>
      <c r="FM42" s="2"/>
      <c r="FN42" s="2"/>
      <c r="FO42" s="2"/>
      <c r="FP42" s="2"/>
      <c r="FQ42" s="2">
        <v>0</v>
      </c>
      <c r="FR42" s="2">
        <f t="shared" si="44"/>
        <v>0</v>
      </c>
      <c r="FS42" s="2">
        <v>0</v>
      </c>
      <c r="FT42" s="2"/>
      <c r="FU42" s="2"/>
      <c r="FV42" s="2"/>
      <c r="FW42" s="2"/>
      <c r="FX42" s="2">
        <v>120</v>
      </c>
      <c r="FY42" s="2">
        <v>77</v>
      </c>
      <c r="FZ42" s="2"/>
      <c r="GA42" s="2" t="s">
        <v>6</v>
      </c>
      <c r="GB42" s="2"/>
      <c r="GC42" s="2"/>
      <c r="GD42" s="2">
        <v>1</v>
      </c>
      <c r="GE42" s="2"/>
      <c r="GF42" s="2">
        <v>57756731</v>
      </c>
      <c r="GG42" s="2">
        <v>2</v>
      </c>
      <c r="GH42" s="2">
        <v>1</v>
      </c>
      <c r="GI42" s="2">
        <v>-2</v>
      </c>
      <c r="GJ42" s="2">
        <v>0</v>
      </c>
      <c r="GK42" s="2">
        <v>0</v>
      </c>
      <c r="GL42" s="2">
        <f t="shared" si="45"/>
        <v>0</v>
      </c>
      <c r="GM42" s="2">
        <f t="shared" si="46"/>
        <v>898</v>
      </c>
      <c r="GN42" s="2">
        <f t="shared" si="47"/>
        <v>898</v>
      </c>
      <c r="GO42" s="2">
        <f t="shared" si="48"/>
        <v>0</v>
      </c>
      <c r="GP42" s="2">
        <f t="shared" si="49"/>
        <v>0</v>
      </c>
      <c r="GQ42" s="2"/>
      <c r="GR42" s="2">
        <v>0</v>
      </c>
      <c r="GS42" s="2">
        <v>3</v>
      </c>
      <c r="GT42" s="2">
        <v>0</v>
      </c>
      <c r="GU42" s="2" t="s">
        <v>6</v>
      </c>
      <c r="GV42" s="2">
        <f t="shared" si="50"/>
        <v>0</v>
      </c>
      <c r="GW42" s="2">
        <v>1</v>
      </c>
      <c r="GX42" s="2">
        <f t="shared" si="51"/>
        <v>0</v>
      </c>
      <c r="GY42" s="2"/>
      <c r="GZ42" s="2"/>
      <c r="HA42" s="2">
        <v>0</v>
      </c>
      <c r="HB42" s="2">
        <v>0</v>
      </c>
      <c r="HC42" s="2">
        <f t="shared" si="52"/>
        <v>0</v>
      </c>
      <c r="HD42" s="2"/>
      <c r="HE42" s="2" t="s">
        <v>6</v>
      </c>
      <c r="HF42" s="2" t="s">
        <v>6</v>
      </c>
      <c r="HG42" s="2"/>
      <c r="HH42" s="2"/>
      <c r="HI42" s="2"/>
      <c r="HJ42" s="2"/>
      <c r="HK42" s="2"/>
      <c r="HL42" s="2"/>
      <c r="HM42" s="2" t="s">
        <v>6</v>
      </c>
      <c r="HN42" s="2" t="s">
        <v>6</v>
      </c>
      <c r="HO42" s="2" t="s">
        <v>6</v>
      </c>
      <c r="HP42" s="2" t="s">
        <v>6</v>
      </c>
      <c r="HQ42" s="2" t="s">
        <v>6</v>
      </c>
      <c r="HR42" s="2"/>
      <c r="HS42" s="2"/>
      <c r="HT42" s="2"/>
      <c r="HU42" s="2"/>
      <c r="HV42" s="2"/>
      <c r="HW42" s="2"/>
      <c r="HX42" s="2"/>
      <c r="HY42" s="2"/>
      <c r="HZ42" s="2"/>
      <c r="IA42" s="2"/>
      <c r="IB42" s="2"/>
      <c r="IC42" s="2"/>
      <c r="ID42" s="2"/>
      <c r="IE42" s="2"/>
      <c r="IF42" s="2">
        <v>-1</v>
      </c>
      <c r="IG42" s="2"/>
      <c r="IH42" s="2"/>
      <c r="II42" s="2"/>
      <c r="IJ42" s="2"/>
      <c r="IK42" s="2">
        <v>0</v>
      </c>
      <c r="IL42" s="2"/>
      <c r="IM42" s="2"/>
      <c r="IN42" s="2"/>
      <c r="IO42" s="2"/>
      <c r="IP42" s="2"/>
      <c r="IQ42" s="2"/>
      <c r="IR42" s="2"/>
      <c r="IS42" s="2"/>
      <c r="IT42" s="2"/>
      <c r="IU42" s="2"/>
    </row>
    <row r="43" spans="1:255" x14ac:dyDescent="0.2">
      <c r="A43">
        <v>17</v>
      </c>
      <c r="B43">
        <v>1</v>
      </c>
      <c r="C43">
        <f>ROW(SmtRes!A66)</f>
        <v>66</v>
      </c>
      <c r="D43">
        <f>ROW(EtalonRes!A58)</f>
        <v>58</v>
      </c>
      <c r="E43" t="s">
        <v>39</v>
      </c>
      <c r="F43" t="s">
        <v>67</v>
      </c>
      <c r="G43" t="s">
        <v>68</v>
      </c>
      <c r="H43" t="s">
        <v>21</v>
      </c>
      <c r="I43">
        <f>'2.Лок.смета.и.Акт'!E27</f>
        <v>2.2799999999999998</v>
      </c>
      <c r="J43">
        <v>0</v>
      </c>
      <c r="K43">
        <v>9.1199999999999992</v>
      </c>
      <c r="O43">
        <f t="shared" si="21"/>
        <v>8048</v>
      </c>
      <c r="P43">
        <f t="shared" si="22"/>
        <v>0</v>
      </c>
      <c r="Q43">
        <f t="shared" si="23"/>
        <v>4784</v>
      </c>
      <c r="R43">
        <f t="shared" si="24"/>
        <v>1176</v>
      </c>
      <c r="S43">
        <f t="shared" si="25"/>
        <v>3264</v>
      </c>
      <c r="T43">
        <f t="shared" si="26"/>
        <v>0</v>
      </c>
      <c r="U43" t="e">
        <f t="shared" si="27"/>
        <v>#REF!</v>
      </c>
      <c r="V43">
        <f t="shared" si="28"/>
        <v>4.3666559999999999</v>
      </c>
      <c r="W43">
        <f t="shared" si="29"/>
        <v>0</v>
      </c>
      <c r="X43" t="e">
        <f t="shared" si="30"/>
        <v>#REF!</v>
      </c>
      <c r="Y43" t="e">
        <f t="shared" si="31"/>
        <v>#REF!</v>
      </c>
      <c r="AA43">
        <v>86326988</v>
      </c>
      <c r="AB43">
        <f t="shared" si="32"/>
        <v>265.31</v>
      </c>
      <c r="AC43">
        <f>ROUND((ES43+(SUM(SmtRes!BC54:'SmtRes'!BC66)+SUM(EtalonRes!AL52:'EtalonRes'!AL58))),2)</f>
        <v>0</v>
      </c>
      <c r="AD43">
        <f>ROUND(((((ET43*1.12)+(SUM(SmtRes!BD54:'SmtRes'!BD66)+SUM(EtalonRes!AM52:'EtalonRes'!AM58)))-((EU43*1.12)+(SUM(SmtRes!BE54:'SmtRes'!BE66)+SUM(EtalonRes!AN52:'EtalonRes'!AN58))))+AE43),2)</f>
        <v>225.62</v>
      </c>
      <c r="AE43">
        <f>ROUND(((EU43*1.12)+(SUM(SmtRes!BE54:'SmtRes'!BE66)+SUM(EtalonRes!AN52:'EtalonRes'!AN58))),2)</f>
        <v>26.06</v>
      </c>
      <c r="AF43">
        <f>ROUND(((EV43*1.05)),2)</f>
        <v>39.69</v>
      </c>
      <c r="AG43">
        <f t="shared" si="33"/>
        <v>0</v>
      </c>
      <c r="AH43" t="e">
        <f>((EW43*1.05))</f>
        <v>#REF!</v>
      </c>
      <c r="AI43">
        <f>((EX43*1.12))</f>
        <v>1.9152000000000002</v>
      </c>
      <c r="AJ43">
        <f t="shared" si="34"/>
        <v>0</v>
      </c>
      <c r="AK43">
        <f>AL43+AM43+AO43</f>
        <v>205.41000000000003</v>
      </c>
      <c r="AL43">
        <v>7.12</v>
      </c>
      <c r="AM43" s="75">
        <f>'1.Лок.смета.и.Акт'!F90</f>
        <v>160.49</v>
      </c>
      <c r="AN43" s="75">
        <f>'1.Лок.смета.и.Акт'!F91</f>
        <v>23.27</v>
      </c>
      <c r="AO43" s="75">
        <f>'1.Лок.смета.и.Акт'!F89</f>
        <v>37.799999999999997</v>
      </c>
      <c r="AP43">
        <v>0</v>
      </c>
      <c r="AQ43" t="e">
        <f>'2.Лок.смета.и.Акт'!#REF!</f>
        <v>#REF!</v>
      </c>
      <c r="AR43">
        <v>1.71</v>
      </c>
      <c r="AS43">
        <v>0</v>
      </c>
      <c r="AT43">
        <v>114</v>
      </c>
      <c r="AU43">
        <v>65</v>
      </c>
      <c r="AV43">
        <v>1</v>
      </c>
      <c r="AW43">
        <v>1</v>
      </c>
      <c r="AZ43">
        <v>1</v>
      </c>
      <c r="BA43">
        <f>'1.Лок.смета.и.Акт'!J89</f>
        <v>36.07</v>
      </c>
      <c r="BB43">
        <f>'1.Лок.смета.и.Акт'!J90</f>
        <v>9.3000000000000007</v>
      </c>
      <c r="BC43">
        <v>7.56</v>
      </c>
      <c r="BD43" t="s">
        <v>6</v>
      </c>
      <c r="BE43" t="s">
        <v>6</v>
      </c>
      <c r="BF43" t="s">
        <v>6</v>
      </c>
      <c r="BG43" t="s">
        <v>6</v>
      </c>
      <c r="BH43">
        <v>0</v>
      </c>
      <c r="BI43">
        <v>1</v>
      </c>
      <c r="BJ43" t="s">
        <v>69</v>
      </c>
      <c r="BM43">
        <v>6002</v>
      </c>
      <c r="BN43">
        <v>0</v>
      </c>
      <c r="BO43" t="s">
        <v>67</v>
      </c>
      <c r="BP43">
        <v>1</v>
      </c>
      <c r="BQ43">
        <v>1</v>
      </c>
      <c r="BR43">
        <v>0</v>
      </c>
      <c r="BS43">
        <f>'1.Лок.смета.и.Акт'!J91</f>
        <v>19.8</v>
      </c>
      <c r="BT43">
        <v>1</v>
      </c>
      <c r="BU43">
        <v>1</v>
      </c>
      <c r="BV43">
        <v>1</v>
      </c>
      <c r="BW43">
        <v>1</v>
      </c>
      <c r="BX43">
        <v>1</v>
      </c>
      <c r="BY43" t="s">
        <v>6</v>
      </c>
      <c r="BZ43" t="e">
        <f>'2.Лок.смета.и.Акт'!#REF!</f>
        <v>#REF!</v>
      </c>
      <c r="CA43" t="e">
        <f>'2.Лок.смета.и.Акт'!#REF!</f>
        <v>#REF!</v>
      </c>
      <c r="CB43" t="s">
        <v>6</v>
      </c>
      <c r="CE43">
        <v>0</v>
      </c>
      <c r="CF43">
        <v>0</v>
      </c>
      <c r="CG43">
        <v>0</v>
      </c>
      <c r="CM43">
        <v>0</v>
      </c>
      <c r="CN43" t="s">
        <v>23</v>
      </c>
      <c r="CO43">
        <v>0</v>
      </c>
      <c r="CP43">
        <f t="shared" si="35"/>
        <v>8048</v>
      </c>
      <c r="CQ43">
        <f t="shared" si="36"/>
        <v>0</v>
      </c>
      <c r="CR43">
        <f t="shared" si="37"/>
        <v>2098.2660000000001</v>
      </c>
      <c r="CS43">
        <f t="shared" si="38"/>
        <v>515.98799999999994</v>
      </c>
      <c r="CT43">
        <f t="shared" si="39"/>
        <v>1431.6182999999999</v>
      </c>
      <c r="CU43">
        <f t="shared" si="40"/>
        <v>0</v>
      </c>
      <c r="CV43" t="e">
        <f t="shared" si="41"/>
        <v>#REF!</v>
      </c>
      <c r="CW43">
        <f t="shared" si="42"/>
        <v>1.9152000000000002</v>
      </c>
      <c r="CX43">
        <f t="shared" si="43"/>
        <v>0</v>
      </c>
      <c r="CY43" t="e">
        <f>(S43+R43)*(BZ43/100)</f>
        <v>#REF!</v>
      </c>
      <c r="CZ43" t="e">
        <f>(S43+R43)*(CA43/100)</f>
        <v>#REF!</v>
      </c>
      <c r="DC43" t="s">
        <v>6</v>
      </c>
      <c r="DD43" t="s">
        <v>6</v>
      </c>
      <c r="DE43" t="s">
        <v>24</v>
      </c>
      <c r="DF43" t="s">
        <v>24</v>
      </c>
      <c r="DG43" t="s">
        <v>25</v>
      </c>
      <c r="DH43" t="s">
        <v>6</v>
      </c>
      <c r="DI43" t="s">
        <v>25</v>
      </c>
      <c r="DJ43" t="s">
        <v>24</v>
      </c>
      <c r="DK43" t="s">
        <v>6</v>
      </c>
      <c r="DL43" t="s">
        <v>6</v>
      </c>
      <c r="DM43" t="s">
        <v>6</v>
      </c>
      <c r="DN43">
        <f>'1.Лок.смета.и.Акт'!E92</f>
        <v>120</v>
      </c>
      <c r="DO43">
        <f>'1.Лок.смета.и.Акт'!E93</f>
        <v>77</v>
      </c>
      <c r="DP43">
        <v>1</v>
      </c>
      <c r="DQ43">
        <v>1</v>
      </c>
      <c r="DU43">
        <v>1013</v>
      </c>
      <c r="DV43" t="s">
        <v>21</v>
      </c>
      <c r="DW43" t="str">
        <f>'2.Лок.смета.и.Акт'!D27</f>
        <v>10 м2 конструкций</v>
      </c>
      <c r="DX43">
        <v>1</v>
      </c>
      <c r="DZ43" t="s">
        <v>6</v>
      </c>
      <c r="EA43" t="s">
        <v>6</v>
      </c>
      <c r="EB43" t="s">
        <v>6</v>
      </c>
      <c r="EC43" t="s">
        <v>6</v>
      </c>
      <c r="EE43">
        <v>54938592</v>
      </c>
      <c r="EF43">
        <v>1</v>
      </c>
      <c r="EG43" t="s">
        <v>26</v>
      </c>
      <c r="EH43">
        <v>0</v>
      </c>
      <c r="EI43" t="s">
        <v>6</v>
      </c>
      <c r="EJ43">
        <v>1</v>
      </c>
      <c r="EK43">
        <v>6002</v>
      </c>
      <c r="EL43" t="s">
        <v>27</v>
      </c>
      <c r="EM43" t="s">
        <v>28</v>
      </c>
      <c r="EO43" t="s">
        <v>29</v>
      </c>
      <c r="EQ43">
        <v>2228224</v>
      </c>
      <c r="ER43">
        <f>ES43+ET43+EV43</f>
        <v>205.41000000000003</v>
      </c>
      <c r="ES43">
        <v>7.12</v>
      </c>
      <c r="ET43" s="75">
        <f>'1.Лок.смета.и.Акт'!F90</f>
        <v>160.49</v>
      </c>
      <c r="EU43" s="75">
        <f>'1.Лок.смета.и.Акт'!F91</f>
        <v>23.27</v>
      </c>
      <c r="EV43" s="75">
        <f>'1.Лок.смета.и.Акт'!F89</f>
        <v>37.799999999999997</v>
      </c>
      <c r="EW43" t="e">
        <f>'2.Лок.смета.и.Акт'!#REF!</f>
        <v>#REF!</v>
      </c>
      <c r="EX43">
        <v>1.71</v>
      </c>
      <c r="EY43">
        <v>1</v>
      </c>
      <c r="FQ43">
        <v>0</v>
      </c>
      <c r="FR43">
        <f t="shared" si="44"/>
        <v>0</v>
      </c>
      <c r="FS43">
        <v>0</v>
      </c>
      <c r="FX43">
        <v>120</v>
      </c>
      <c r="FY43">
        <v>77</v>
      </c>
      <c r="GA43" t="s">
        <v>6</v>
      </c>
      <c r="GD43">
        <v>1</v>
      </c>
      <c r="GF43">
        <v>57756731</v>
      </c>
      <c r="GG43">
        <v>2</v>
      </c>
      <c r="GH43">
        <v>1</v>
      </c>
      <c r="GI43">
        <v>2</v>
      </c>
      <c r="GJ43">
        <v>0</v>
      </c>
      <c r="GK43">
        <v>0</v>
      </c>
      <c r="GL43">
        <f t="shared" si="45"/>
        <v>0</v>
      </c>
      <c r="GM43" t="e">
        <f t="shared" si="46"/>
        <v>#REF!</v>
      </c>
      <c r="GN43" t="e">
        <f t="shared" si="47"/>
        <v>#REF!</v>
      </c>
      <c r="GO43">
        <f t="shared" si="48"/>
        <v>0</v>
      </c>
      <c r="GP43">
        <f t="shared" si="49"/>
        <v>0</v>
      </c>
      <c r="GR43">
        <v>0</v>
      </c>
      <c r="GS43">
        <v>0</v>
      </c>
      <c r="GT43">
        <v>0</v>
      </c>
      <c r="GU43" t="s">
        <v>6</v>
      </c>
      <c r="GV43">
        <f t="shared" si="50"/>
        <v>0</v>
      </c>
      <c r="GW43">
        <v>1003.4</v>
      </c>
      <c r="GX43">
        <f t="shared" si="51"/>
        <v>0</v>
      </c>
      <c r="HA43">
        <v>0</v>
      </c>
      <c r="HB43">
        <v>0</v>
      </c>
      <c r="HC43">
        <f t="shared" si="52"/>
        <v>0</v>
      </c>
      <c r="HE43" t="s">
        <v>6</v>
      </c>
      <c r="HF43" t="s">
        <v>6</v>
      </c>
      <c r="HM43" t="s">
        <v>6</v>
      </c>
      <c r="HN43" t="s">
        <v>6</v>
      </c>
      <c r="HO43" t="s">
        <v>6</v>
      </c>
      <c r="HP43" t="s">
        <v>6</v>
      </c>
      <c r="HQ43" t="s">
        <v>6</v>
      </c>
      <c r="IF43">
        <v>-1</v>
      </c>
      <c r="IK43">
        <v>0</v>
      </c>
    </row>
    <row r="44" spans="1:255" x14ac:dyDescent="0.2">
      <c r="A44" s="2">
        <v>18</v>
      </c>
      <c r="B44" s="2">
        <v>1</v>
      </c>
      <c r="C44" s="2">
        <v>45</v>
      </c>
      <c r="D44" s="2"/>
      <c r="E44" s="2" t="s">
        <v>70</v>
      </c>
      <c r="F44" s="2" t="s">
        <v>71</v>
      </c>
      <c r="G44" s="2" t="s">
        <v>72</v>
      </c>
      <c r="H44" s="2" t="s">
        <v>33</v>
      </c>
      <c r="I44" s="2">
        <f>I42*J44</f>
        <v>9.5759999999999994E-3</v>
      </c>
      <c r="J44" s="226">
        <f>'5.Ведомость_списания'!F34</f>
        <v>4.1999999999999997E-3</v>
      </c>
      <c r="K44" s="2">
        <v>4.1999999999999997E-3</v>
      </c>
      <c r="L44" s="2"/>
      <c r="M44" s="2"/>
      <c r="N44" s="2"/>
      <c r="O44" s="2">
        <f t="shared" si="21"/>
        <v>16</v>
      </c>
      <c r="P44" s="2">
        <f t="shared" si="22"/>
        <v>16</v>
      </c>
      <c r="Q44" s="2">
        <f t="shared" si="23"/>
        <v>0</v>
      </c>
      <c r="R44" s="2">
        <f t="shared" si="24"/>
        <v>0</v>
      </c>
      <c r="S44" s="2">
        <f t="shared" si="25"/>
        <v>0</v>
      </c>
      <c r="T44" s="2">
        <f t="shared" si="26"/>
        <v>0</v>
      </c>
      <c r="U44" s="2">
        <f t="shared" si="27"/>
        <v>0</v>
      </c>
      <c r="V44" s="2">
        <f t="shared" si="28"/>
        <v>0</v>
      </c>
      <c r="W44" s="2">
        <f t="shared" si="29"/>
        <v>0</v>
      </c>
      <c r="X44" s="2">
        <f t="shared" si="30"/>
        <v>0</v>
      </c>
      <c r="Y44" s="2">
        <f t="shared" si="31"/>
        <v>0</v>
      </c>
      <c r="Z44" s="2"/>
      <c r="AA44" s="2">
        <v>86326987</v>
      </c>
      <c r="AB44" s="2">
        <f t="shared" si="32"/>
        <v>1696.01</v>
      </c>
      <c r="AC44" s="2">
        <f t="shared" ref="AC44:AC61" si="55">ROUND((ES44),2)</f>
        <v>1696.01</v>
      </c>
      <c r="AD44" s="2">
        <f>ROUND((((ET44)-(EU44))+AE44),2)</f>
        <v>0</v>
      </c>
      <c r="AE44" s="2">
        <f t="shared" ref="AE44:AE61" si="56">ROUND((EU44),2)</f>
        <v>0</v>
      </c>
      <c r="AF44" s="2">
        <f t="shared" ref="AF44:AF61" si="57">ROUND((EV44),2)</f>
        <v>0</v>
      </c>
      <c r="AG44" s="2">
        <f t="shared" si="33"/>
        <v>0</v>
      </c>
      <c r="AH44" s="2">
        <f t="shared" ref="AH44:AH61" si="58">(EW44)</f>
        <v>0</v>
      </c>
      <c r="AI44" s="2">
        <f t="shared" ref="AI44:AI61" si="59">(EX44)</f>
        <v>0</v>
      </c>
      <c r="AJ44" s="2">
        <f t="shared" si="34"/>
        <v>44.58</v>
      </c>
      <c r="AK44" s="2">
        <v>1696.01</v>
      </c>
      <c r="AL44" s="110">
        <f>'1.Лок.смета.и.Акт'!F95</f>
        <v>1696.01</v>
      </c>
      <c r="AM44" s="2">
        <v>0</v>
      </c>
      <c r="AN44" s="2">
        <v>0</v>
      </c>
      <c r="AO44" s="2">
        <v>0</v>
      </c>
      <c r="AP44" s="2">
        <v>0</v>
      </c>
      <c r="AQ44" s="2">
        <v>0</v>
      </c>
      <c r="AR44" s="2">
        <v>0</v>
      </c>
      <c r="AS44" s="2">
        <v>44.58</v>
      </c>
      <c r="AT44" s="2">
        <v>0</v>
      </c>
      <c r="AU44" s="2">
        <v>0</v>
      </c>
      <c r="AV44" s="2">
        <v>1</v>
      </c>
      <c r="AW44" s="2">
        <v>1</v>
      </c>
      <c r="AX44" s="2"/>
      <c r="AY44" s="2"/>
      <c r="AZ44" s="2">
        <v>1</v>
      </c>
      <c r="BA44" s="2">
        <v>1</v>
      </c>
      <c r="BB44" s="2">
        <v>1</v>
      </c>
      <c r="BC44" s="2">
        <v>1</v>
      </c>
      <c r="BD44" s="2" t="s">
        <v>6</v>
      </c>
      <c r="BE44" s="2" t="s">
        <v>6</v>
      </c>
      <c r="BF44" s="2" t="s">
        <v>6</v>
      </c>
      <c r="BG44" s="2" t="s">
        <v>6</v>
      </c>
      <c r="BH44" s="2">
        <v>3</v>
      </c>
      <c r="BI44" s="2">
        <v>1</v>
      </c>
      <c r="BJ44" s="2" t="s">
        <v>73</v>
      </c>
      <c r="BK44" s="2"/>
      <c r="BL44" s="2"/>
      <c r="BM44" s="2">
        <v>500001</v>
      </c>
      <c r="BN44" s="2">
        <v>0</v>
      </c>
      <c r="BO44" s="2" t="s">
        <v>6</v>
      </c>
      <c r="BP44" s="2">
        <v>0</v>
      </c>
      <c r="BQ44" s="2">
        <v>20</v>
      </c>
      <c r="BR44" s="2">
        <v>0</v>
      </c>
      <c r="BS44" s="2">
        <v>1</v>
      </c>
      <c r="BT44" s="2">
        <v>1</v>
      </c>
      <c r="BU44" s="2">
        <v>1</v>
      </c>
      <c r="BV44" s="2">
        <v>1</v>
      </c>
      <c r="BW44" s="2">
        <v>1</v>
      </c>
      <c r="BX44" s="2">
        <v>1</v>
      </c>
      <c r="BY44" s="2" t="s">
        <v>6</v>
      </c>
      <c r="BZ44" s="2">
        <v>0</v>
      </c>
      <c r="CA44" s="2">
        <v>0</v>
      </c>
      <c r="CB44" s="2" t="s">
        <v>6</v>
      </c>
      <c r="CC44" s="2"/>
      <c r="CD44" s="2"/>
      <c r="CE44" s="2">
        <v>0</v>
      </c>
      <c r="CF44" s="2">
        <v>0</v>
      </c>
      <c r="CG44" s="2">
        <v>0</v>
      </c>
      <c r="CH44" s="2"/>
      <c r="CI44" s="2"/>
      <c r="CJ44" s="2"/>
      <c r="CK44" s="2"/>
      <c r="CL44" s="2"/>
      <c r="CM44" s="2">
        <v>0</v>
      </c>
      <c r="CN44" s="2" t="s">
        <v>6</v>
      </c>
      <c r="CO44" s="2">
        <v>0</v>
      </c>
      <c r="CP44" s="2">
        <f t="shared" si="35"/>
        <v>16</v>
      </c>
      <c r="CQ44" s="2">
        <f t="shared" si="36"/>
        <v>1696.01</v>
      </c>
      <c r="CR44" s="2">
        <f t="shared" si="37"/>
        <v>0</v>
      </c>
      <c r="CS44" s="2">
        <f t="shared" si="38"/>
        <v>0</v>
      </c>
      <c r="CT44" s="2">
        <f t="shared" si="39"/>
        <v>0</v>
      </c>
      <c r="CU44" s="2">
        <f t="shared" si="40"/>
        <v>0</v>
      </c>
      <c r="CV44" s="2">
        <f t="shared" si="41"/>
        <v>0</v>
      </c>
      <c r="CW44" s="2">
        <f t="shared" si="42"/>
        <v>0</v>
      </c>
      <c r="CX44" s="2">
        <f t="shared" si="43"/>
        <v>44.58</v>
      </c>
      <c r="CY44" s="2">
        <f>(((S44+(R44*IF(0,0,1)))*AT44)/100)</f>
        <v>0</v>
      </c>
      <c r="CZ44" s="2">
        <f>(((S44+(R44*IF(0,0,1)))*AU44)/100)</f>
        <v>0</v>
      </c>
      <c r="DA44" s="2"/>
      <c r="DB44" s="2"/>
      <c r="DC44" s="2" t="s">
        <v>6</v>
      </c>
      <c r="DD44" s="2" t="s">
        <v>6</v>
      </c>
      <c r="DE44" s="2" t="s">
        <v>6</v>
      </c>
      <c r="DF44" s="2" t="s">
        <v>6</v>
      </c>
      <c r="DG44" s="2" t="s">
        <v>6</v>
      </c>
      <c r="DH44" s="2" t="s">
        <v>6</v>
      </c>
      <c r="DI44" s="2" t="s">
        <v>6</v>
      </c>
      <c r="DJ44" s="2" t="s">
        <v>6</v>
      </c>
      <c r="DK44" s="2" t="s">
        <v>6</v>
      </c>
      <c r="DL44" s="2" t="s">
        <v>6</v>
      </c>
      <c r="DM44" s="2" t="s">
        <v>6</v>
      </c>
      <c r="DN44" s="2">
        <v>0</v>
      </c>
      <c r="DO44" s="2">
        <v>0</v>
      </c>
      <c r="DP44" s="2">
        <v>1</v>
      </c>
      <c r="DQ44" s="2">
        <v>1</v>
      </c>
      <c r="DR44" s="2"/>
      <c r="DS44" s="2"/>
      <c r="DT44" s="2"/>
      <c r="DU44" s="2">
        <v>1009</v>
      </c>
      <c r="DV44" s="2" t="s">
        <v>33</v>
      </c>
      <c r="DW44" s="2" t="s">
        <v>33</v>
      </c>
      <c r="DX44" s="2">
        <v>1000</v>
      </c>
      <c r="DY44" s="2"/>
      <c r="DZ44" s="2" t="s">
        <v>6</v>
      </c>
      <c r="EA44" s="2" t="s">
        <v>6</v>
      </c>
      <c r="EB44" s="2" t="s">
        <v>6</v>
      </c>
      <c r="EC44" s="2" t="s">
        <v>6</v>
      </c>
      <c r="ED44" s="2"/>
      <c r="EE44" s="2">
        <v>54938781</v>
      </c>
      <c r="EF44" s="2">
        <v>20</v>
      </c>
      <c r="EG44" s="2" t="s">
        <v>35</v>
      </c>
      <c r="EH44" s="2">
        <v>0</v>
      </c>
      <c r="EI44" s="2" t="s">
        <v>6</v>
      </c>
      <c r="EJ44" s="2">
        <v>1</v>
      </c>
      <c r="EK44" s="2">
        <v>500001</v>
      </c>
      <c r="EL44" s="2" t="s">
        <v>36</v>
      </c>
      <c r="EM44" s="2" t="s">
        <v>37</v>
      </c>
      <c r="EN44" s="2"/>
      <c r="EO44" s="2" t="s">
        <v>6</v>
      </c>
      <c r="EP44" s="2"/>
      <c r="EQ44" s="2">
        <v>0</v>
      </c>
      <c r="ER44" s="2">
        <v>1696.01</v>
      </c>
      <c r="ES44" s="110">
        <f>'1.Лок.смета.и.Акт'!F95</f>
        <v>1696.01</v>
      </c>
      <c r="ET44" s="2">
        <v>0</v>
      </c>
      <c r="EU44" s="2">
        <v>0</v>
      </c>
      <c r="EV44" s="2">
        <v>0</v>
      </c>
      <c r="EW44" s="2">
        <v>0</v>
      </c>
      <c r="EX44" s="2">
        <v>0</v>
      </c>
      <c r="EY44" s="2"/>
      <c r="EZ44" s="2"/>
      <c r="FA44" s="2"/>
      <c r="FB44" s="2"/>
      <c r="FC44" s="2"/>
      <c r="FD44" s="2"/>
      <c r="FE44" s="2"/>
      <c r="FF44" s="2"/>
      <c r="FG44" s="2"/>
      <c r="FH44" s="2"/>
      <c r="FI44" s="2"/>
      <c r="FJ44" s="2"/>
      <c r="FK44" s="2"/>
      <c r="FL44" s="2"/>
      <c r="FM44" s="2"/>
      <c r="FN44" s="2"/>
      <c r="FO44" s="2"/>
      <c r="FP44" s="2"/>
      <c r="FQ44" s="2">
        <v>0</v>
      </c>
      <c r="FR44" s="2">
        <f t="shared" si="44"/>
        <v>0</v>
      </c>
      <c r="FS44" s="2">
        <v>0</v>
      </c>
      <c r="FT44" s="2"/>
      <c r="FU44" s="2"/>
      <c r="FV44" s="2"/>
      <c r="FW44" s="2"/>
      <c r="FX44" s="2">
        <v>0</v>
      </c>
      <c r="FY44" s="2">
        <v>0</v>
      </c>
      <c r="FZ44" s="2"/>
      <c r="GA44" s="2" t="s">
        <v>6</v>
      </c>
      <c r="GB44" s="2"/>
      <c r="GC44" s="2"/>
      <c r="GD44" s="2">
        <v>1</v>
      </c>
      <c r="GE44" s="2"/>
      <c r="GF44" s="2">
        <v>-81122142</v>
      </c>
      <c r="GG44" s="2">
        <v>2</v>
      </c>
      <c r="GH44" s="2">
        <v>0</v>
      </c>
      <c r="GI44" s="2">
        <v>-2</v>
      </c>
      <c r="GJ44" s="2">
        <v>0</v>
      </c>
      <c r="GK44" s="2">
        <v>0</v>
      </c>
      <c r="GL44" s="2">
        <f t="shared" si="45"/>
        <v>0</v>
      </c>
      <c r="GM44" s="2">
        <f t="shared" si="46"/>
        <v>16</v>
      </c>
      <c r="GN44" s="2">
        <f t="shared" si="47"/>
        <v>16</v>
      </c>
      <c r="GO44" s="2">
        <f t="shared" si="48"/>
        <v>0</v>
      </c>
      <c r="GP44" s="2">
        <f t="shared" si="49"/>
        <v>0</v>
      </c>
      <c r="GQ44" s="2"/>
      <c r="GR44" s="2">
        <v>0</v>
      </c>
      <c r="GS44" s="2">
        <v>3</v>
      </c>
      <c r="GT44" s="2">
        <v>0</v>
      </c>
      <c r="GU44" s="2" t="s">
        <v>6</v>
      </c>
      <c r="GV44" s="2">
        <f t="shared" si="50"/>
        <v>0</v>
      </c>
      <c r="GW44" s="2">
        <v>1</v>
      </c>
      <c r="GX44" s="2">
        <f t="shared" si="51"/>
        <v>0</v>
      </c>
      <c r="GY44" s="2"/>
      <c r="GZ44" s="2"/>
      <c r="HA44" s="2">
        <v>0</v>
      </c>
      <c r="HB44" s="2">
        <v>0</v>
      </c>
      <c r="HC44" s="2">
        <f t="shared" si="52"/>
        <v>0</v>
      </c>
      <c r="HD44" s="2"/>
      <c r="HE44" s="2" t="s">
        <v>6</v>
      </c>
      <c r="HF44" s="2" t="s">
        <v>6</v>
      </c>
      <c r="HG44" s="2"/>
      <c r="HH44" s="2"/>
      <c r="HI44" s="2"/>
      <c r="HJ44" s="2"/>
      <c r="HK44" s="2"/>
      <c r="HL44" s="2"/>
      <c r="HM44" s="2" t="s">
        <v>6</v>
      </c>
      <c r="HN44" s="2" t="s">
        <v>6</v>
      </c>
      <c r="HO44" s="2" t="s">
        <v>6</v>
      </c>
      <c r="HP44" s="2" t="s">
        <v>6</v>
      </c>
      <c r="HQ44" s="2" t="s">
        <v>6</v>
      </c>
      <c r="HR44" s="2"/>
      <c r="HS44" s="2"/>
      <c r="HT44" s="2"/>
      <c r="HU44" s="2"/>
      <c r="HV44" s="2"/>
      <c r="HW44" s="2"/>
      <c r="HX44" s="2"/>
      <c r="HY44" s="2"/>
      <c r="HZ44" s="2"/>
      <c r="IA44" s="2"/>
      <c r="IB44" s="2"/>
      <c r="IC44" s="2"/>
      <c r="ID44" s="2"/>
      <c r="IE44" s="2"/>
      <c r="IF44" s="2">
        <v>-1</v>
      </c>
      <c r="IG44" s="2"/>
      <c r="IH44" s="2"/>
      <c r="II44" s="2"/>
      <c r="IJ44" s="2"/>
      <c r="IK44" s="2">
        <v>0</v>
      </c>
      <c r="IL44" s="2"/>
      <c r="IM44" s="2"/>
      <c r="IN44" s="2"/>
      <c r="IO44" s="2"/>
      <c r="IP44" s="2"/>
      <c r="IQ44" s="2"/>
      <c r="IR44" s="2"/>
      <c r="IS44" s="2"/>
      <c r="IT44" s="2"/>
      <c r="IU44" s="2"/>
    </row>
    <row r="45" spans="1:255" x14ac:dyDescent="0.2">
      <c r="A45">
        <v>18</v>
      </c>
      <c r="B45">
        <v>1</v>
      </c>
      <c r="C45">
        <v>58</v>
      </c>
      <c r="E45" t="s">
        <v>70</v>
      </c>
      <c r="F45" t="e">
        <f>'2.Лок.смета.и.Акт'!#REF!</f>
        <v>#REF!</v>
      </c>
      <c r="G45" t="s">
        <v>72</v>
      </c>
      <c r="H45" t="s">
        <v>33</v>
      </c>
      <c r="I45">
        <f>I43*J45</f>
        <v>9.5759999999999994E-3</v>
      </c>
      <c r="J45">
        <v>4.1999999999999997E-3</v>
      </c>
      <c r="K45">
        <v>4.1999999999999997E-3</v>
      </c>
      <c r="O45">
        <f t="shared" si="21"/>
        <v>838</v>
      </c>
      <c r="P45">
        <f t="shared" si="22"/>
        <v>838</v>
      </c>
      <c r="Q45">
        <f t="shared" si="23"/>
        <v>0</v>
      </c>
      <c r="R45">
        <f t="shared" si="24"/>
        <v>0</v>
      </c>
      <c r="S45">
        <f t="shared" si="25"/>
        <v>0</v>
      </c>
      <c r="T45">
        <f t="shared" si="26"/>
        <v>0</v>
      </c>
      <c r="U45">
        <f t="shared" si="27"/>
        <v>0</v>
      </c>
      <c r="V45">
        <f t="shared" si="28"/>
        <v>0</v>
      </c>
      <c r="W45">
        <f t="shared" si="29"/>
        <v>0</v>
      </c>
      <c r="X45">
        <f t="shared" si="30"/>
        <v>0</v>
      </c>
      <c r="Y45">
        <f t="shared" si="31"/>
        <v>0</v>
      </c>
      <c r="AA45">
        <v>86326988</v>
      </c>
      <c r="AB45">
        <f t="shared" si="32"/>
        <v>11576.19</v>
      </c>
      <c r="AC45">
        <f t="shared" si="55"/>
        <v>11576.19</v>
      </c>
      <c r="AD45">
        <f>ROUND((((ET45)-(EU45))+AE45),2)</f>
        <v>0</v>
      </c>
      <c r="AE45">
        <f t="shared" si="56"/>
        <v>0</v>
      </c>
      <c r="AF45">
        <f t="shared" si="57"/>
        <v>0</v>
      </c>
      <c r="AG45">
        <f t="shared" si="33"/>
        <v>0</v>
      </c>
      <c r="AH45">
        <f t="shared" si="58"/>
        <v>0</v>
      </c>
      <c r="AI45">
        <f t="shared" si="59"/>
        <v>0</v>
      </c>
      <c r="AJ45">
        <f t="shared" si="34"/>
        <v>44.58</v>
      </c>
      <c r="AK45">
        <v>11576.19</v>
      </c>
      <c r="AL45">
        <v>11576.19</v>
      </c>
      <c r="AM45">
        <v>0</v>
      </c>
      <c r="AN45">
        <v>0</v>
      </c>
      <c r="AO45">
        <v>0</v>
      </c>
      <c r="AP45">
        <v>0</v>
      </c>
      <c r="AQ45">
        <v>0</v>
      </c>
      <c r="AR45">
        <v>0</v>
      </c>
      <c r="AS45">
        <v>44.58</v>
      </c>
      <c r="AT45">
        <v>0</v>
      </c>
      <c r="AU45">
        <v>0</v>
      </c>
      <c r="AV45">
        <v>1</v>
      </c>
      <c r="AW45">
        <v>1</v>
      </c>
      <c r="AZ45">
        <v>1</v>
      </c>
      <c r="BA45">
        <v>1</v>
      </c>
      <c r="BB45">
        <v>1</v>
      </c>
      <c r="BC45">
        <v>7.56</v>
      </c>
      <c r="BD45" t="s">
        <v>6</v>
      </c>
      <c r="BE45" t="s">
        <v>6</v>
      </c>
      <c r="BF45" t="s">
        <v>6</v>
      </c>
      <c r="BG45" t="s">
        <v>6</v>
      </c>
      <c r="BH45">
        <v>3</v>
      </c>
      <c r="BI45">
        <v>1</v>
      </c>
      <c r="BJ45" t="s">
        <v>73</v>
      </c>
      <c r="BM45">
        <v>500001</v>
      </c>
      <c r="BN45">
        <v>0</v>
      </c>
      <c r="BO45" t="s">
        <v>6</v>
      </c>
      <c r="BP45">
        <v>0</v>
      </c>
      <c r="BQ45">
        <v>20</v>
      </c>
      <c r="BR45">
        <v>0</v>
      </c>
      <c r="BS45">
        <v>1</v>
      </c>
      <c r="BT45">
        <v>1</v>
      </c>
      <c r="BU45">
        <v>1</v>
      </c>
      <c r="BV45">
        <v>1</v>
      </c>
      <c r="BW45">
        <v>1</v>
      </c>
      <c r="BX45">
        <v>1</v>
      </c>
      <c r="BY45" t="s">
        <v>6</v>
      </c>
      <c r="BZ45">
        <v>0</v>
      </c>
      <c r="CA45">
        <v>0</v>
      </c>
      <c r="CB45" t="s">
        <v>6</v>
      </c>
      <c r="CE45">
        <v>0</v>
      </c>
      <c r="CF45">
        <v>0</v>
      </c>
      <c r="CG45">
        <v>0</v>
      </c>
      <c r="CM45">
        <v>0</v>
      </c>
      <c r="CN45" t="s">
        <v>6</v>
      </c>
      <c r="CO45">
        <v>0</v>
      </c>
      <c r="CP45">
        <f t="shared" si="35"/>
        <v>838</v>
      </c>
      <c r="CQ45">
        <f t="shared" si="36"/>
        <v>87515.996400000004</v>
      </c>
      <c r="CR45">
        <f t="shared" si="37"/>
        <v>0</v>
      </c>
      <c r="CS45">
        <f t="shared" si="38"/>
        <v>0</v>
      </c>
      <c r="CT45">
        <f t="shared" si="39"/>
        <v>0</v>
      </c>
      <c r="CU45">
        <f t="shared" si="40"/>
        <v>0</v>
      </c>
      <c r="CV45">
        <f t="shared" si="41"/>
        <v>0</v>
      </c>
      <c r="CW45">
        <f t="shared" si="42"/>
        <v>0</v>
      </c>
      <c r="CX45">
        <f t="shared" si="43"/>
        <v>44.58</v>
      </c>
      <c r="CY45">
        <f>(S45+R45)*(BZ45/100)</f>
        <v>0</v>
      </c>
      <c r="CZ45">
        <f>(S45+R45)*(CA45/100)</f>
        <v>0</v>
      </c>
      <c r="DC45" t="s">
        <v>6</v>
      </c>
      <c r="DD45" t="s">
        <v>6</v>
      </c>
      <c r="DE45" t="s">
        <v>6</v>
      </c>
      <c r="DF45" t="s">
        <v>6</v>
      </c>
      <c r="DG45" t="s">
        <v>6</v>
      </c>
      <c r="DH45" t="s">
        <v>6</v>
      </c>
      <c r="DI45" t="s">
        <v>6</v>
      </c>
      <c r="DJ45" t="s">
        <v>6</v>
      </c>
      <c r="DK45" t="s">
        <v>6</v>
      </c>
      <c r="DL45" t="s">
        <v>6</v>
      </c>
      <c r="DM45" t="s">
        <v>6</v>
      </c>
      <c r="DN45">
        <v>0</v>
      </c>
      <c r="DO45">
        <v>0</v>
      </c>
      <c r="DP45">
        <v>1</v>
      </c>
      <c r="DQ45">
        <v>1</v>
      </c>
      <c r="DU45">
        <v>1009</v>
      </c>
      <c r="DV45" t="s">
        <v>33</v>
      </c>
      <c r="DW45" t="e">
        <f>'2.Лок.смета.и.Акт'!#REF!</f>
        <v>#REF!</v>
      </c>
      <c r="DX45">
        <v>1000</v>
      </c>
      <c r="DZ45" t="s">
        <v>6</v>
      </c>
      <c r="EA45" t="s">
        <v>6</v>
      </c>
      <c r="EB45" t="s">
        <v>6</v>
      </c>
      <c r="EC45" t="s">
        <v>6</v>
      </c>
      <c r="EE45">
        <v>54938781</v>
      </c>
      <c r="EF45">
        <v>20</v>
      </c>
      <c r="EG45" t="s">
        <v>35</v>
      </c>
      <c r="EH45">
        <v>0</v>
      </c>
      <c r="EI45" t="s">
        <v>6</v>
      </c>
      <c r="EJ45">
        <v>1</v>
      </c>
      <c r="EK45">
        <v>500001</v>
      </c>
      <c r="EL45" t="s">
        <v>36</v>
      </c>
      <c r="EM45" t="s">
        <v>37</v>
      </c>
      <c r="EO45" t="s">
        <v>6</v>
      </c>
      <c r="EQ45">
        <v>0</v>
      </c>
      <c r="ER45">
        <v>82500</v>
      </c>
      <c r="ES45">
        <v>11576.19</v>
      </c>
      <c r="ET45">
        <v>0</v>
      </c>
      <c r="EU45">
        <v>0</v>
      </c>
      <c r="EV45">
        <v>0</v>
      </c>
      <c r="EW45">
        <v>0</v>
      </c>
      <c r="EX45">
        <v>0</v>
      </c>
      <c r="EZ45">
        <v>5</v>
      </c>
      <c r="FC45">
        <v>0</v>
      </c>
      <c r="FD45">
        <v>18</v>
      </c>
      <c r="FF45">
        <v>82500</v>
      </c>
      <c r="FQ45">
        <v>0</v>
      </c>
      <c r="FR45">
        <f t="shared" si="44"/>
        <v>0</v>
      </c>
      <c r="FS45">
        <v>0</v>
      </c>
      <c r="FX45">
        <v>0</v>
      </c>
      <c r="FY45">
        <v>0</v>
      </c>
      <c r="GA45" t="s">
        <v>74</v>
      </c>
      <c r="GD45">
        <v>1</v>
      </c>
      <c r="GF45">
        <v>-81122142</v>
      </c>
      <c r="GG45">
        <v>2</v>
      </c>
      <c r="GH45">
        <v>3</v>
      </c>
      <c r="GI45">
        <v>5</v>
      </c>
      <c r="GJ45">
        <v>0</v>
      </c>
      <c r="GK45">
        <v>0</v>
      </c>
      <c r="GL45">
        <f t="shared" si="45"/>
        <v>0</v>
      </c>
      <c r="GM45">
        <f t="shared" si="46"/>
        <v>838</v>
      </c>
      <c r="GN45">
        <f t="shared" si="47"/>
        <v>838</v>
      </c>
      <c r="GO45">
        <f t="shared" si="48"/>
        <v>0</v>
      </c>
      <c r="GP45">
        <f t="shared" si="49"/>
        <v>0</v>
      </c>
      <c r="GR45">
        <v>1</v>
      </c>
      <c r="GS45">
        <v>1</v>
      </c>
      <c r="GT45">
        <v>0</v>
      </c>
      <c r="GU45" t="s">
        <v>6</v>
      </c>
      <c r="GV45">
        <f t="shared" si="50"/>
        <v>0</v>
      </c>
      <c r="GW45">
        <v>1</v>
      </c>
      <c r="GX45">
        <f t="shared" si="51"/>
        <v>0</v>
      </c>
      <c r="HA45">
        <v>0</v>
      </c>
      <c r="HB45">
        <v>0</v>
      </c>
      <c r="HC45">
        <f t="shared" si="52"/>
        <v>0</v>
      </c>
      <c r="HE45" t="s">
        <v>39</v>
      </c>
      <c r="HF45" t="s">
        <v>40</v>
      </c>
      <c r="HM45" t="s">
        <v>6</v>
      </c>
      <c r="HN45" t="s">
        <v>6</v>
      </c>
      <c r="HO45" t="s">
        <v>6</v>
      </c>
      <c r="HP45" t="s">
        <v>6</v>
      </c>
      <c r="HQ45" t="s">
        <v>6</v>
      </c>
      <c r="IF45">
        <v>-1</v>
      </c>
      <c r="IK45">
        <v>0</v>
      </c>
    </row>
    <row r="46" spans="1:255" x14ac:dyDescent="0.2">
      <c r="A46" s="2">
        <v>18</v>
      </c>
      <c r="B46" s="2">
        <v>1</v>
      </c>
      <c r="C46" s="2">
        <v>49</v>
      </c>
      <c r="D46" s="2"/>
      <c r="E46" s="2" t="s">
        <v>75</v>
      </c>
      <c r="F46" s="2" t="s">
        <v>76</v>
      </c>
      <c r="G46" s="2" t="s">
        <v>77</v>
      </c>
      <c r="H46" s="2" t="s">
        <v>78</v>
      </c>
      <c r="I46" s="2">
        <f>I42*J46</f>
        <v>6.84</v>
      </c>
      <c r="J46" s="226">
        <f>'5.Ведомость_списания'!F35</f>
        <v>3</v>
      </c>
      <c r="K46" s="2">
        <v>3</v>
      </c>
      <c r="L46" s="2"/>
      <c r="M46" s="2"/>
      <c r="N46" s="2"/>
      <c r="O46" s="2">
        <f t="shared" si="21"/>
        <v>599</v>
      </c>
      <c r="P46" s="2">
        <f t="shared" si="22"/>
        <v>599</v>
      </c>
      <c r="Q46" s="2">
        <f t="shared" si="23"/>
        <v>0</v>
      </c>
      <c r="R46" s="2">
        <f t="shared" si="24"/>
        <v>0</v>
      </c>
      <c r="S46" s="2">
        <f t="shared" si="25"/>
        <v>0</v>
      </c>
      <c r="T46" s="2">
        <f t="shared" si="26"/>
        <v>0</v>
      </c>
      <c r="U46" s="2">
        <f t="shared" si="27"/>
        <v>0</v>
      </c>
      <c r="V46" s="2">
        <f t="shared" si="28"/>
        <v>0</v>
      </c>
      <c r="W46" s="2">
        <f t="shared" si="29"/>
        <v>0</v>
      </c>
      <c r="X46" s="2">
        <f t="shared" si="30"/>
        <v>0</v>
      </c>
      <c r="Y46" s="2">
        <f t="shared" si="31"/>
        <v>0</v>
      </c>
      <c r="Z46" s="2"/>
      <c r="AA46" s="2">
        <v>86326987</v>
      </c>
      <c r="AB46" s="2">
        <f t="shared" si="32"/>
        <v>87.58</v>
      </c>
      <c r="AC46" s="2">
        <f t="shared" si="55"/>
        <v>87.58</v>
      </c>
      <c r="AD46" s="2">
        <f>ROUND((ET46),2)</f>
        <v>0</v>
      </c>
      <c r="AE46" s="2">
        <f t="shared" si="56"/>
        <v>0</v>
      </c>
      <c r="AF46" s="2">
        <f t="shared" si="57"/>
        <v>0</v>
      </c>
      <c r="AG46" s="2">
        <f t="shared" si="33"/>
        <v>0</v>
      </c>
      <c r="AH46" s="2">
        <f t="shared" si="58"/>
        <v>0</v>
      </c>
      <c r="AI46" s="2">
        <f t="shared" si="59"/>
        <v>0</v>
      </c>
      <c r="AJ46" s="2">
        <f t="shared" si="34"/>
        <v>0</v>
      </c>
      <c r="AK46" s="2">
        <v>87.58</v>
      </c>
      <c r="AL46" s="110">
        <f>'1.Лок.смета.и.Акт'!F97</f>
        <v>87.58</v>
      </c>
      <c r="AM46" s="2">
        <v>0</v>
      </c>
      <c r="AN46" s="2">
        <v>0</v>
      </c>
      <c r="AO46" s="2">
        <v>0</v>
      </c>
      <c r="AP46" s="2">
        <v>0</v>
      </c>
      <c r="AQ46" s="2">
        <v>0</v>
      </c>
      <c r="AR46" s="2">
        <v>0</v>
      </c>
      <c r="AS46" s="2">
        <v>0</v>
      </c>
      <c r="AT46" s="2">
        <v>0</v>
      </c>
      <c r="AU46" s="2">
        <v>0</v>
      </c>
      <c r="AV46" s="2">
        <v>1</v>
      </c>
      <c r="AW46" s="2">
        <v>1</v>
      </c>
      <c r="AX46" s="2"/>
      <c r="AY46" s="2"/>
      <c r="AZ46" s="2">
        <v>1</v>
      </c>
      <c r="BA46" s="2">
        <v>1</v>
      </c>
      <c r="BB46" s="2">
        <v>1</v>
      </c>
      <c r="BC46" s="2">
        <v>1</v>
      </c>
      <c r="BD46" s="2" t="s">
        <v>6</v>
      </c>
      <c r="BE46" s="2" t="s">
        <v>6</v>
      </c>
      <c r="BF46" s="2" t="s">
        <v>6</v>
      </c>
      <c r="BG46" s="2" t="s">
        <v>6</v>
      </c>
      <c r="BH46" s="2">
        <v>3</v>
      </c>
      <c r="BI46" s="2">
        <v>1</v>
      </c>
      <c r="BJ46" s="2" t="s">
        <v>79</v>
      </c>
      <c r="BK46" s="2"/>
      <c r="BL46" s="2"/>
      <c r="BM46" s="2">
        <v>3101</v>
      </c>
      <c r="BN46" s="2">
        <v>0</v>
      </c>
      <c r="BO46" s="2" t="s">
        <v>6</v>
      </c>
      <c r="BP46" s="2">
        <v>0</v>
      </c>
      <c r="BQ46" s="2">
        <v>0</v>
      </c>
      <c r="BR46" s="2">
        <v>0</v>
      </c>
      <c r="BS46" s="2">
        <v>1</v>
      </c>
      <c r="BT46" s="2">
        <v>1</v>
      </c>
      <c r="BU46" s="2">
        <v>1</v>
      </c>
      <c r="BV46" s="2">
        <v>1</v>
      </c>
      <c r="BW46" s="2">
        <v>1</v>
      </c>
      <c r="BX46" s="2">
        <v>1</v>
      </c>
      <c r="BY46" s="2" t="s">
        <v>6</v>
      </c>
      <c r="BZ46" s="2">
        <v>0</v>
      </c>
      <c r="CA46" s="2">
        <v>0</v>
      </c>
      <c r="CB46" s="2" t="s">
        <v>6</v>
      </c>
      <c r="CC46" s="2"/>
      <c r="CD46" s="2"/>
      <c r="CE46" s="2">
        <v>0</v>
      </c>
      <c r="CF46" s="2">
        <v>0</v>
      </c>
      <c r="CG46" s="2">
        <v>0</v>
      </c>
      <c r="CH46" s="2"/>
      <c r="CI46" s="2"/>
      <c r="CJ46" s="2"/>
      <c r="CK46" s="2"/>
      <c r="CL46" s="2"/>
      <c r="CM46" s="2">
        <v>0</v>
      </c>
      <c r="CN46" s="2" t="s">
        <v>6</v>
      </c>
      <c r="CO46" s="2">
        <v>0</v>
      </c>
      <c r="CP46" s="2">
        <f t="shared" si="35"/>
        <v>599</v>
      </c>
      <c r="CQ46" s="2">
        <f t="shared" si="36"/>
        <v>87.58</v>
      </c>
      <c r="CR46" s="2">
        <f t="shared" si="37"/>
        <v>0</v>
      </c>
      <c r="CS46" s="2">
        <f t="shared" si="38"/>
        <v>0</v>
      </c>
      <c r="CT46" s="2">
        <f t="shared" si="39"/>
        <v>0</v>
      </c>
      <c r="CU46" s="2">
        <f t="shared" si="40"/>
        <v>0</v>
      </c>
      <c r="CV46" s="2">
        <f t="shared" si="41"/>
        <v>0</v>
      </c>
      <c r="CW46" s="2">
        <f t="shared" si="42"/>
        <v>0</v>
      </c>
      <c r="CX46" s="2">
        <f t="shared" si="43"/>
        <v>0</v>
      </c>
      <c r="CY46" s="2">
        <f>0</f>
        <v>0</v>
      </c>
      <c r="CZ46" s="2">
        <f>0</f>
        <v>0</v>
      </c>
      <c r="DA46" s="2"/>
      <c r="DB46" s="2"/>
      <c r="DC46" s="2" t="s">
        <v>6</v>
      </c>
      <c r="DD46" s="2" t="s">
        <v>6</v>
      </c>
      <c r="DE46" s="2" t="s">
        <v>6</v>
      </c>
      <c r="DF46" s="2" t="s">
        <v>6</v>
      </c>
      <c r="DG46" s="2" t="s">
        <v>6</v>
      </c>
      <c r="DH46" s="2" t="s">
        <v>6</v>
      </c>
      <c r="DI46" s="2" t="s">
        <v>6</v>
      </c>
      <c r="DJ46" s="2" t="s">
        <v>6</v>
      </c>
      <c r="DK46" s="2" t="s">
        <v>6</v>
      </c>
      <c r="DL46" s="2" t="s">
        <v>6</v>
      </c>
      <c r="DM46" s="2" t="s">
        <v>6</v>
      </c>
      <c r="DN46" s="2">
        <v>0</v>
      </c>
      <c r="DO46" s="2">
        <v>0</v>
      </c>
      <c r="DP46" s="2">
        <v>1</v>
      </c>
      <c r="DQ46" s="2">
        <v>1</v>
      </c>
      <c r="DR46" s="2"/>
      <c r="DS46" s="2"/>
      <c r="DT46" s="2"/>
      <c r="DU46" s="2">
        <v>1013</v>
      </c>
      <c r="DV46" s="2" t="s">
        <v>78</v>
      </c>
      <c r="DW46" s="2" t="s">
        <v>78</v>
      </c>
      <c r="DX46" s="2">
        <v>1</v>
      </c>
      <c r="DY46" s="2"/>
      <c r="DZ46" s="2" t="s">
        <v>6</v>
      </c>
      <c r="EA46" s="2" t="s">
        <v>6</v>
      </c>
      <c r="EB46" s="2" t="s">
        <v>6</v>
      </c>
      <c r="EC46" s="2" t="s">
        <v>6</v>
      </c>
      <c r="ED46" s="2"/>
      <c r="EE46" s="2">
        <v>0</v>
      </c>
      <c r="EF46" s="2">
        <v>0</v>
      </c>
      <c r="EG46" s="2" t="s">
        <v>6</v>
      </c>
      <c r="EH46" s="2">
        <v>0</v>
      </c>
      <c r="EI46" s="2" t="s">
        <v>6</v>
      </c>
      <c r="EJ46" s="2">
        <v>0</v>
      </c>
      <c r="EK46" s="2">
        <v>3101</v>
      </c>
      <c r="EL46" s="2" t="s">
        <v>6</v>
      </c>
      <c r="EM46" s="2" t="s">
        <v>6</v>
      </c>
      <c r="EN46" s="2"/>
      <c r="EO46" s="2" t="s">
        <v>6</v>
      </c>
      <c r="EP46" s="2"/>
      <c r="EQ46" s="2">
        <v>0</v>
      </c>
      <c r="ER46" s="2">
        <v>87.58</v>
      </c>
      <c r="ES46" s="110">
        <f>'1.Лок.смета.и.Акт'!F97</f>
        <v>87.58</v>
      </c>
      <c r="ET46" s="2">
        <v>0</v>
      </c>
      <c r="EU46" s="2">
        <v>0</v>
      </c>
      <c r="EV46" s="2">
        <v>0</v>
      </c>
      <c r="EW46" s="2">
        <v>0</v>
      </c>
      <c r="EX46" s="2">
        <v>0</v>
      </c>
      <c r="EY46" s="2"/>
      <c r="EZ46" s="2"/>
      <c r="FA46" s="2"/>
      <c r="FB46" s="2"/>
      <c r="FC46" s="2"/>
      <c r="FD46" s="2"/>
      <c r="FE46" s="2"/>
      <c r="FF46" s="2"/>
      <c r="FG46" s="2"/>
      <c r="FH46" s="2"/>
      <c r="FI46" s="2"/>
      <c r="FJ46" s="2"/>
      <c r="FK46" s="2"/>
      <c r="FL46" s="2"/>
      <c r="FM46" s="2"/>
      <c r="FN46" s="2"/>
      <c r="FO46" s="2"/>
      <c r="FP46" s="2"/>
      <c r="FQ46" s="2">
        <v>0</v>
      </c>
      <c r="FR46" s="2">
        <f t="shared" si="44"/>
        <v>0</v>
      </c>
      <c r="FS46" s="2">
        <v>0</v>
      </c>
      <c r="FT46" s="2"/>
      <c r="FU46" s="2"/>
      <c r="FV46" s="2"/>
      <c r="FW46" s="2"/>
      <c r="FX46" s="2">
        <v>0</v>
      </c>
      <c r="FY46" s="2">
        <v>0</v>
      </c>
      <c r="FZ46" s="2"/>
      <c r="GA46" s="2" t="s">
        <v>6</v>
      </c>
      <c r="GB46" s="2"/>
      <c r="GC46" s="2"/>
      <c r="GD46" s="2">
        <v>1</v>
      </c>
      <c r="GE46" s="2"/>
      <c r="GF46" s="2">
        <v>813644265</v>
      </c>
      <c r="GG46" s="2">
        <v>2</v>
      </c>
      <c r="GH46" s="2">
        <v>1</v>
      </c>
      <c r="GI46" s="2">
        <v>-2</v>
      </c>
      <c r="GJ46" s="2">
        <v>0</v>
      </c>
      <c r="GK46" s="2">
        <v>0</v>
      </c>
      <c r="GL46" s="2">
        <f t="shared" si="45"/>
        <v>0</v>
      </c>
      <c r="GM46" s="2">
        <f t="shared" si="46"/>
        <v>599</v>
      </c>
      <c r="GN46" s="2">
        <f t="shared" si="47"/>
        <v>599</v>
      </c>
      <c r="GO46" s="2">
        <f t="shared" si="48"/>
        <v>0</v>
      </c>
      <c r="GP46" s="2">
        <f t="shared" si="49"/>
        <v>0</v>
      </c>
      <c r="GQ46" s="2"/>
      <c r="GR46" s="2">
        <v>0</v>
      </c>
      <c r="GS46" s="2">
        <v>3</v>
      </c>
      <c r="GT46" s="2">
        <v>0</v>
      </c>
      <c r="GU46" s="2" t="s">
        <v>6</v>
      </c>
      <c r="GV46" s="2">
        <f t="shared" si="50"/>
        <v>0</v>
      </c>
      <c r="GW46" s="2">
        <v>1</v>
      </c>
      <c r="GX46" s="2">
        <f t="shared" si="51"/>
        <v>0</v>
      </c>
      <c r="GY46" s="2"/>
      <c r="GZ46" s="2"/>
      <c r="HA46" s="2">
        <v>0</v>
      </c>
      <c r="HB46" s="2">
        <v>0</v>
      </c>
      <c r="HC46" s="2">
        <f t="shared" si="52"/>
        <v>0</v>
      </c>
      <c r="HD46" s="2"/>
      <c r="HE46" s="2" t="s">
        <v>6</v>
      </c>
      <c r="HF46" s="2" t="s">
        <v>6</v>
      </c>
      <c r="HG46" s="2"/>
      <c r="HH46" s="2"/>
      <c r="HI46" s="2"/>
      <c r="HJ46" s="2"/>
      <c r="HK46" s="2"/>
      <c r="HL46" s="2"/>
      <c r="HM46" s="2" t="s">
        <v>6</v>
      </c>
      <c r="HN46" s="2" t="s">
        <v>6</v>
      </c>
      <c r="HO46" s="2" t="s">
        <v>6</v>
      </c>
      <c r="HP46" s="2" t="s">
        <v>6</v>
      </c>
      <c r="HQ46" s="2" t="s">
        <v>6</v>
      </c>
      <c r="HR46" s="2"/>
      <c r="HS46" s="2"/>
      <c r="HT46" s="2"/>
      <c r="HU46" s="2"/>
      <c r="HV46" s="2"/>
      <c r="HW46" s="2"/>
      <c r="HX46" s="2"/>
      <c r="HY46" s="2"/>
      <c r="HZ46" s="2"/>
      <c r="IA46" s="2"/>
      <c r="IB46" s="2"/>
      <c r="IC46" s="2"/>
      <c r="ID46" s="2"/>
      <c r="IE46" s="2"/>
      <c r="IF46" s="2">
        <v>-1</v>
      </c>
      <c r="IG46" s="2"/>
      <c r="IH46" s="2"/>
      <c r="II46" s="2"/>
      <c r="IJ46" s="2"/>
      <c r="IK46" s="2">
        <v>0</v>
      </c>
      <c r="IL46" s="2"/>
      <c r="IM46" s="2"/>
      <c r="IN46" s="2"/>
      <c r="IO46" s="2"/>
      <c r="IP46" s="2"/>
      <c r="IQ46" s="2"/>
      <c r="IR46" s="2"/>
      <c r="IS46" s="2"/>
      <c r="IT46" s="2"/>
      <c r="IU46" s="2"/>
    </row>
    <row r="47" spans="1:255" x14ac:dyDescent="0.2">
      <c r="A47">
        <v>18</v>
      </c>
      <c r="B47">
        <v>1</v>
      </c>
      <c r="C47">
        <v>62</v>
      </c>
      <c r="E47" t="s">
        <v>75</v>
      </c>
      <c r="F47" t="e">
        <f>'2.Лок.смета.и.Акт'!#REF!</f>
        <v>#REF!</v>
      </c>
      <c r="G47" t="s">
        <v>77</v>
      </c>
      <c r="H47" t="s">
        <v>78</v>
      </c>
      <c r="I47">
        <f>I43*J47</f>
        <v>6.84</v>
      </c>
      <c r="J47">
        <v>3</v>
      </c>
      <c r="K47">
        <v>3</v>
      </c>
      <c r="O47">
        <f t="shared" si="21"/>
        <v>2390</v>
      </c>
      <c r="P47">
        <f t="shared" si="22"/>
        <v>2390</v>
      </c>
      <c r="Q47">
        <f t="shared" si="23"/>
        <v>0</v>
      </c>
      <c r="R47">
        <f t="shared" si="24"/>
        <v>0</v>
      </c>
      <c r="S47">
        <f t="shared" si="25"/>
        <v>0</v>
      </c>
      <c r="T47">
        <f t="shared" si="26"/>
        <v>0</v>
      </c>
      <c r="U47">
        <f t="shared" si="27"/>
        <v>0</v>
      </c>
      <c r="V47">
        <f t="shared" si="28"/>
        <v>0</v>
      </c>
      <c r="W47">
        <f t="shared" si="29"/>
        <v>0</v>
      </c>
      <c r="X47">
        <f t="shared" si="30"/>
        <v>0</v>
      </c>
      <c r="Y47">
        <f t="shared" si="31"/>
        <v>0</v>
      </c>
      <c r="AA47">
        <v>86326988</v>
      </c>
      <c r="AB47">
        <f t="shared" si="32"/>
        <v>46.21</v>
      </c>
      <c r="AC47">
        <f t="shared" si="55"/>
        <v>46.21</v>
      </c>
      <c r="AD47">
        <f>ROUND((ET47),2)</f>
        <v>0</v>
      </c>
      <c r="AE47">
        <f t="shared" si="56"/>
        <v>0</v>
      </c>
      <c r="AF47">
        <f t="shared" si="57"/>
        <v>0</v>
      </c>
      <c r="AG47">
        <f t="shared" si="33"/>
        <v>0</v>
      </c>
      <c r="AH47">
        <f t="shared" si="58"/>
        <v>0</v>
      </c>
      <c r="AI47">
        <f t="shared" si="59"/>
        <v>0</v>
      </c>
      <c r="AJ47">
        <f t="shared" si="34"/>
        <v>0</v>
      </c>
      <c r="AK47">
        <v>46.21</v>
      </c>
      <c r="AL47">
        <v>46.21</v>
      </c>
      <c r="AM47">
        <v>0</v>
      </c>
      <c r="AN47">
        <v>0</v>
      </c>
      <c r="AO47">
        <v>0</v>
      </c>
      <c r="AP47">
        <v>0</v>
      </c>
      <c r="AQ47">
        <v>0</v>
      </c>
      <c r="AR47">
        <v>0</v>
      </c>
      <c r="AS47">
        <v>0</v>
      </c>
      <c r="AT47">
        <v>0</v>
      </c>
      <c r="AU47">
        <v>0</v>
      </c>
      <c r="AV47">
        <v>1</v>
      </c>
      <c r="AW47">
        <v>1</v>
      </c>
      <c r="AZ47">
        <v>1</v>
      </c>
      <c r="BA47">
        <v>1</v>
      </c>
      <c r="BB47">
        <v>1</v>
      </c>
      <c r="BC47">
        <v>7.56</v>
      </c>
      <c r="BD47" t="s">
        <v>6</v>
      </c>
      <c r="BE47" t="s">
        <v>6</v>
      </c>
      <c r="BF47" t="s">
        <v>6</v>
      </c>
      <c r="BG47" t="s">
        <v>6</v>
      </c>
      <c r="BH47">
        <v>3</v>
      </c>
      <c r="BI47">
        <v>1</v>
      </c>
      <c r="BJ47" t="s">
        <v>79</v>
      </c>
      <c r="BM47">
        <v>3101</v>
      </c>
      <c r="BN47">
        <v>0</v>
      </c>
      <c r="BO47" t="s">
        <v>6</v>
      </c>
      <c r="BP47">
        <v>0</v>
      </c>
      <c r="BQ47">
        <v>0</v>
      </c>
      <c r="BR47">
        <v>0</v>
      </c>
      <c r="BS47">
        <v>1</v>
      </c>
      <c r="BT47">
        <v>1</v>
      </c>
      <c r="BU47">
        <v>1</v>
      </c>
      <c r="BV47">
        <v>1</v>
      </c>
      <c r="BW47">
        <v>1</v>
      </c>
      <c r="BX47">
        <v>1</v>
      </c>
      <c r="BY47" t="s">
        <v>6</v>
      </c>
      <c r="BZ47">
        <v>0</v>
      </c>
      <c r="CA47">
        <v>0</v>
      </c>
      <c r="CB47" t="s">
        <v>6</v>
      </c>
      <c r="CE47">
        <v>0</v>
      </c>
      <c r="CF47">
        <v>0</v>
      </c>
      <c r="CG47">
        <v>0</v>
      </c>
      <c r="CM47">
        <v>0</v>
      </c>
      <c r="CN47" t="s">
        <v>6</v>
      </c>
      <c r="CO47">
        <v>0</v>
      </c>
      <c r="CP47">
        <f t="shared" si="35"/>
        <v>2390</v>
      </c>
      <c r="CQ47">
        <f t="shared" si="36"/>
        <v>349.3476</v>
      </c>
      <c r="CR47">
        <f t="shared" si="37"/>
        <v>0</v>
      </c>
      <c r="CS47">
        <f t="shared" si="38"/>
        <v>0</v>
      </c>
      <c r="CT47">
        <f t="shared" si="39"/>
        <v>0</v>
      </c>
      <c r="CU47">
        <f t="shared" si="40"/>
        <v>0</v>
      </c>
      <c r="CV47">
        <f t="shared" si="41"/>
        <v>0</v>
      </c>
      <c r="CW47">
        <f t="shared" si="42"/>
        <v>0</v>
      </c>
      <c r="CX47">
        <f t="shared" si="43"/>
        <v>0</v>
      </c>
      <c r="CY47">
        <f>(S47+R47)*(BZ47/100)</f>
        <v>0</v>
      </c>
      <c r="CZ47">
        <f>(S47+R47)*(CA47/100)</f>
        <v>0</v>
      </c>
      <c r="DC47" t="s">
        <v>6</v>
      </c>
      <c r="DD47" t="s">
        <v>6</v>
      </c>
      <c r="DE47" t="s">
        <v>6</v>
      </c>
      <c r="DF47" t="s">
        <v>6</v>
      </c>
      <c r="DG47" t="s">
        <v>6</v>
      </c>
      <c r="DH47" t="s">
        <v>6</v>
      </c>
      <c r="DI47" t="s">
        <v>6</v>
      </c>
      <c r="DJ47" t="s">
        <v>6</v>
      </c>
      <c r="DK47" t="s">
        <v>6</v>
      </c>
      <c r="DL47" t="s">
        <v>6</v>
      </c>
      <c r="DM47" t="s">
        <v>6</v>
      </c>
      <c r="DN47">
        <v>0</v>
      </c>
      <c r="DO47">
        <v>0</v>
      </c>
      <c r="DP47">
        <v>1</v>
      </c>
      <c r="DQ47">
        <v>1</v>
      </c>
      <c r="DU47">
        <v>1013</v>
      </c>
      <c r="DV47" t="s">
        <v>78</v>
      </c>
      <c r="DW47" t="e">
        <f>'2.Лок.смета.и.Акт'!#REF!</f>
        <v>#REF!</v>
      </c>
      <c r="DX47">
        <v>1</v>
      </c>
      <c r="DZ47" t="s">
        <v>6</v>
      </c>
      <c r="EA47" t="s">
        <v>6</v>
      </c>
      <c r="EB47" t="s">
        <v>6</v>
      </c>
      <c r="EC47" t="s">
        <v>6</v>
      </c>
      <c r="EE47">
        <v>0</v>
      </c>
      <c r="EF47">
        <v>0</v>
      </c>
      <c r="EG47" t="s">
        <v>6</v>
      </c>
      <c r="EH47">
        <v>0</v>
      </c>
      <c r="EI47" t="s">
        <v>6</v>
      </c>
      <c r="EJ47">
        <v>0</v>
      </c>
      <c r="EK47">
        <v>3101</v>
      </c>
      <c r="EL47" t="s">
        <v>6</v>
      </c>
      <c r="EM47" t="s">
        <v>6</v>
      </c>
      <c r="EO47" t="s">
        <v>6</v>
      </c>
      <c r="EQ47">
        <v>0</v>
      </c>
      <c r="ER47">
        <v>333.45</v>
      </c>
      <c r="ES47">
        <v>46.21</v>
      </c>
      <c r="ET47">
        <v>0</v>
      </c>
      <c r="EU47">
        <v>0</v>
      </c>
      <c r="EV47">
        <v>0</v>
      </c>
      <c r="EW47">
        <v>0</v>
      </c>
      <c r="EX47">
        <v>0</v>
      </c>
      <c r="EZ47">
        <v>5</v>
      </c>
      <c r="FC47">
        <v>0</v>
      </c>
      <c r="FD47">
        <v>18</v>
      </c>
      <c r="FF47">
        <v>333.45</v>
      </c>
      <c r="FQ47">
        <v>0</v>
      </c>
      <c r="FR47">
        <f t="shared" si="44"/>
        <v>0</v>
      </c>
      <c r="FS47">
        <v>0</v>
      </c>
      <c r="FX47">
        <v>0</v>
      </c>
      <c r="FY47">
        <v>0</v>
      </c>
      <c r="GA47" t="s">
        <v>80</v>
      </c>
      <c r="GD47">
        <v>1</v>
      </c>
      <c r="GF47">
        <v>813644265</v>
      </c>
      <c r="GG47">
        <v>2</v>
      </c>
      <c r="GH47">
        <v>3</v>
      </c>
      <c r="GI47">
        <v>5</v>
      </c>
      <c r="GJ47">
        <v>0</v>
      </c>
      <c r="GK47">
        <v>0</v>
      </c>
      <c r="GL47">
        <f t="shared" si="45"/>
        <v>0</v>
      </c>
      <c r="GM47">
        <f t="shared" si="46"/>
        <v>2390</v>
      </c>
      <c r="GN47">
        <f t="shared" si="47"/>
        <v>2390</v>
      </c>
      <c r="GO47">
        <f t="shared" si="48"/>
        <v>0</v>
      </c>
      <c r="GP47">
        <f t="shared" si="49"/>
        <v>0</v>
      </c>
      <c r="GR47">
        <v>1</v>
      </c>
      <c r="GS47">
        <v>1</v>
      </c>
      <c r="GT47">
        <v>0</v>
      </c>
      <c r="GU47" t="s">
        <v>6</v>
      </c>
      <c r="GV47">
        <f t="shared" si="50"/>
        <v>0</v>
      </c>
      <c r="GW47">
        <v>1</v>
      </c>
      <c r="GX47">
        <f t="shared" si="51"/>
        <v>0</v>
      </c>
      <c r="HA47">
        <v>0</v>
      </c>
      <c r="HB47">
        <v>0</v>
      </c>
      <c r="HC47">
        <f t="shared" si="52"/>
        <v>0</v>
      </c>
      <c r="HE47" t="s">
        <v>39</v>
      </c>
      <c r="HF47" t="s">
        <v>61</v>
      </c>
      <c r="HM47" t="s">
        <v>6</v>
      </c>
      <c r="HN47" t="s">
        <v>6</v>
      </c>
      <c r="HO47" t="s">
        <v>6</v>
      </c>
      <c r="HP47" t="s">
        <v>6</v>
      </c>
      <c r="HQ47" t="s">
        <v>6</v>
      </c>
      <c r="IF47">
        <v>-1</v>
      </c>
      <c r="IK47">
        <v>0</v>
      </c>
    </row>
    <row r="48" spans="1:255" x14ac:dyDescent="0.2">
      <c r="A48" s="2">
        <v>18</v>
      </c>
      <c r="B48" s="2">
        <v>1</v>
      </c>
      <c r="C48" s="2">
        <v>50</v>
      </c>
      <c r="D48" s="2"/>
      <c r="E48" s="2" t="s">
        <v>81</v>
      </c>
      <c r="F48" s="2" t="s">
        <v>82</v>
      </c>
      <c r="G48" s="2" t="s">
        <v>83</v>
      </c>
      <c r="H48" s="2" t="s">
        <v>78</v>
      </c>
      <c r="I48" s="2">
        <f>I42*J48</f>
        <v>6.84</v>
      </c>
      <c r="J48" s="226">
        <f>'5.Ведомость_списания'!F36</f>
        <v>3</v>
      </c>
      <c r="K48" s="2">
        <v>3</v>
      </c>
      <c r="L48" s="2"/>
      <c r="M48" s="2"/>
      <c r="N48" s="2"/>
      <c r="O48" s="2">
        <f t="shared" si="21"/>
        <v>387</v>
      </c>
      <c r="P48" s="2">
        <f t="shared" si="22"/>
        <v>387</v>
      </c>
      <c r="Q48" s="2">
        <f t="shared" si="23"/>
        <v>0</v>
      </c>
      <c r="R48" s="2">
        <f t="shared" si="24"/>
        <v>0</v>
      </c>
      <c r="S48" s="2">
        <f t="shared" si="25"/>
        <v>0</v>
      </c>
      <c r="T48" s="2">
        <f t="shared" si="26"/>
        <v>0</v>
      </c>
      <c r="U48" s="2">
        <f t="shared" si="27"/>
        <v>0</v>
      </c>
      <c r="V48" s="2">
        <f t="shared" si="28"/>
        <v>0</v>
      </c>
      <c r="W48" s="2">
        <f t="shared" si="29"/>
        <v>0</v>
      </c>
      <c r="X48" s="2">
        <f t="shared" si="30"/>
        <v>0</v>
      </c>
      <c r="Y48" s="2">
        <f t="shared" si="31"/>
        <v>0</v>
      </c>
      <c r="Z48" s="2"/>
      <c r="AA48" s="2">
        <v>86326987</v>
      </c>
      <c r="AB48" s="2">
        <f t="shared" si="32"/>
        <v>56.57</v>
      </c>
      <c r="AC48" s="2">
        <f t="shared" si="55"/>
        <v>56.57</v>
      </c>
      <c r="AD48" s="2">
        <f>ROUND((ET48),2)</f>
        <v>0</v>
      </c>
      <c r="AE48" s="2">
        <f t="shared" si="56"/>
        <v>0</v>
      </c>
      <c r="AF48" s="2">
        <f t="shared" si="57"/>
        <v>0</v>
      </c>
      <c r="AG48" s="2">
        <f t="shared" si="33"/>
        <v>0</v>
      </c>
      <c r="AH48" s="2">
        <f t="shared" si="58"/>
        <v>0</v>
      </c>
      <c r="AI48" s="2">
        <f t="shared" si="59"/>
        <v>0</v>
      </c>
      <c r="AJ48" s="2">
        <f t="shared" si="34"/>
        <v>0</v>
      </c>
      <c r="AK48" s="2">
        <v>56.57</v>
      </c>
      <c r="AL48" s="110">
        <f>'1.Лок.смета.и.Акт'!F99</f>
        <v>56.57</v>
      </c>
      <c r="AM48" s="2">
        <v>0</v>
      </c>
      <c r="AN48" s="2">
        <v>0</v>
      </c>
      <c r="AO48" s="2">
        <v>0</v>
      </c>
      <c r="AP48" s="2">
        <v>0</v>
      </c>
      <c r="AQ48" s="2">
        <v>0</v>
      </c>
      <c r="AR48" s="2">
        <v>0</v>
      </c>
      <c r="AS48" s="2">
        <v>0</v>
      </c>
      <c r="AT48" s="2">
        <v>0</v>
      </c>
      <c r="AU48" s="2">
        <v>0</v>
      </c>
      <c r="AV48" s="2">
        <v>1</v>
      </c>
      <c r="AW48" s="2">
        <v>1</v>
      </c>
      <c r="AX48" s="2"/>
      <c r="AY48" s="2"/>
      <c r="AZ48" s="2">
        <v>1</v>
      </c>
      <c r="BA48" s="2">
        <v>1</v>
      </c>
      <c r="BB48" s="2">
        <v>1</v>
      </c>
      <c r="BC48" s="2">
        <v>1</v>
      </c>
      <c r="BD48" s="2" t="s">
        <v>6</v>
      </c>
      <c r="BE48" s="2" t="s">
        <v>6</v>
      </c>
      <c r="BF48" s="2" t="s">
        <v>6</v>
      </c>
      <c r="BG48" s="2" t="s">
        <v>6</v>
      </c>
      <c r="BH48" s="2">
        <v>3</v>
      </c>
      <c r="BI48" s="2">
        <v>1</v>
      </c>
      <c r="BJ48" s="2" t="s">
        <v>84</v>
      </c>
      <c r="BK48" s="2"/>
      <c r="BL48" s="2"/>
      <c r="BM48" s="2">
        <v>3101</v>
      </c>
      <c r="BN48" s="2">
        <v>0</v>
      </c>
      <c r="BO48" s="2" t="s">
        <v>6</v>
      </c>
      <c r="BP48" s="2">
        <v>0</v>
      </c>
      <c r="BQ48" s="2">
        <v>0</v>
      </c>
      <c r="BR48" s="2">
        <v>0</v>
      </c>
      <c r="BS48" s="2">
        <v>1</v>
      </c>
      <c r="BT48" s="2">
        <v>1</v>
      </c>
      <c r="BU48" s="2">
        <v>1</v>
      </c>
      <c r="BV48" s="2">
        <v>1</v>
      </c>
      <c r="BW48" s="2">
        <v>1</v>
      </c>
      <c r="BX48" s="2">
        <v>1</v>
      </c>
      <c r="BY48" s="2" t="s">
        <v>6</v>
      </c>
      <c r="BZ48" s="2">
        <v>0</v>
      </c>
      <c r="CA48" s="2">
        <v>0</v>
      </c>
      <c r="CB48" s="2" t="s">
        <v>6</v>
      </c>
      <c r="CC48" s="2"/>
      <c r="CD48" s="2"/>
      <c r="CE48" s="2">
        <v>0</v>
      </c>
      <c r="CF48" s="2">
        <v>0</v>
      </c>
      <c r="CG48" s="2">
        <v>0</v>
      </c>
      <c r="CH48" s="2"/>
      <c r="CI48" s="2"/>
      <c r="CJ48" s="2"/>
      <c r="CK48" s="2"/>
      <c r="CL48" s="2"/>
      <c r="CM48" s="2">
        <v>0</v>
      </c>
      <c r="CN48" s="2" t="s">
        <v>6</v>
      </c>
      <c r="CO48" s="2">
        <v>0</v>
      </c>
      <c r="CP48" s="2">
        <f t="shared" si="35"/>
        <v>387</v>
      </c>
      <c r="CQ48" s="2">
        <f t="shared" si="36"/>
        <v>56.57</v>
      </c>
      <c r="CR48" s="2">
        <f t="shared" si="37"/>
        <v>0</v>
      </c>
      <c r="CS48" s="2">
        <f t="shared" si="38"/>
        <v>0</v>
      </c>
      <c r="CT48" s="2">
        <f t="shared" si="39"/>
        <v>0</v>
      </c>
      <c r="CU48" s="2">
        <f t="shared" si="40"/>
        <v>0</v>
      </c>
      <c r="CV48" s="2">
        <f t="shared" si="41"/>
        <v>0</v>
      </c>
      <c r="CW48" s="2">
        <f t="shared" si="42"/>
        <v>0</v>
      </c>
      <c r="CX48" s="2">
        <f t="shared" si="43"/>
        <v>0</v>
      </c>
      <c r="CY48" s="2">
        <f>0</f>
        <v>0</v>
      </c>
      <c r="CZ48" s="2">
        <f>0</f>
        <v>0</v>
      </c>
      <c r="DA48" s="2"/>
      <c r="DB48" s="2"/>
      <c r="DC48" s="2" t="s">
        <v>6</v>
      </c>
      <c r="DD48" s="2" t="s">
        <v>6</v>
      </c>
      <c r="DE48" s="2" t="s">
        <v>6</v>
      </c>
      <c r="DF48" s="2" t="s">
        <v>6</v>
      </c>
      <c r="DG48" s="2" t="s">
        <v>6</v>
      </c>
      <c r="DH48" s="2" t="s">
        <v>6</v>
      </c>
      <c r="DI48" s="2" t="s">
        <v>6</v>
      </c>
      <c r="DJ48" s="2" t="s">
        <v>6</v>
      </c>
      <c r="DK48" s="2" t="s">
        <v>6</v>
      </c>
      <c r="DL48" s="2" t="s">
        <v>6</v>
      </c>
      <c r="DM48" s="2" t="s">
        <v>6</v>
      </c>
      <c r="DN48" s="2">
        <v>0</v>
      </c>
      <c r="DO48" s="2">
        <v>0</v>
      </c>
      <c r="DP48" s="2">
        <v>1</v>
      </c>
      <c r="DQ48" s="2">
        <v>1</v>
      </c>
      <c r="DR48" s="2"/>
      <c r="DS48" s="2"/>
      <c r="DT48" s="2"/>
      <c r="DU48" s="2">
        <v>1013</v>
      </c>
      <c r="DV48" s="2" t="s">
        <v>78</v>
      </c>
      <c r="DW48" s="2" t="s">
        <v>78</v>
      </c>
      <c r="DX48" s="2">
        <v>1</v>
      </c>
      <c r="DY48" s="2"/>
      <c r="DZ48" s="2" t="s">
        <v>6</v>
      </c>
      <c r="EA48" s="2" t="s">
        <v>6</v>
      </c>
      <c r="EB48" s="2" t="s">
        <v>6</v>
      </c>
      <c r="EC48" s="2" t="s">
        <v>6</v>
      </c>
      <c r="ED48" s="2"/>
      <c r="EE48" s="2">
        <v>0</v>
      </c>
      <c r="EF48" s="2">
        <v>0</v>
      </c>
      <c r="EG48" s="2" t="s">
        <v>6</v>
      </c>
      <c r="EH48" s="2">
        <v>0</v>
      </c>
      <c r="EI48" s="2" t="s">
        <v>6</v>
      </c>
      <c r="EJ48" s="2">
        <v>0</v>
      </c>
      <c r="EK48" s="2">
        <v>3101</v>
      </c>
      <c r="EL48" s="2" t="s">
        <v>6</v>
      </c>
      <c r="EM48" s="2" t="s">
        <v>6</v>
      </c>
      <c r="EN48" s="2"/>
      <c r="EO48" s="2" t="s">
        <v>6</v>
      </c>
      <c r="EP48" s="2"/>
      <c r="EQ48" s="2">
        <v>0</v>
      </c>
      <c r="ER48" s="2">
        <v>56.57</v>
      </c>
      <c r="ES48" s="110">
        <f>'1.Лок.смета.и.Акт'!F99</f>
        <v>56.57</v>
      </c>
      <c r="ET48" s="2">
        <v>0</v>
      </c>
      <c r="EU48" s="2">
        <v>0</v>
      </c>
      <c r="EV48" s="2">
        <v>0</v>
      </c>
      <c r="EW48" s="2">
        <v>0</v>
      </c>
      <c r="EX48" s="2">
        <v>0</v>
      </c>
      <c r="EY48" s="2"/>
      <c r="EZ48" s="2"/>
      <c r="FA48" s="2"/>
      <c r="FB48" s="2"/>
      <c r="FC48" s="2"/>
      <c r="FD48" s="2"/>
      <c r="FE48" s="2"/>
      <c r="FF48" s="2"/>
      <c r="FG48" s="2"/>
      <c r="FH48" s="2"/>
      <c r="FI48" s="2"/>
      <c r="FJ48" s="2"/>
      <c r="FK48" s="2"/>
      <c r="FL48" s="2"/>
      <c r="FM48" s="2"/>
      <c r="FN48" s="2"/>
      <c r="FO48" s="2"/>
      <c r="FP48" s="2"/>
      <c r="FQ48" s="2">
        <v>0</v>
      </c>
      <c r="FR48" s="2">
        <f t="shared" si="44"/>
        <v>0</v>
      </c>
      <c r="FS48" s="2">
        <v>0</v>
      </c>
      <c r="FT48" s="2"/>
      <c r="FU48" s="2"/>
      <c r="FV48" s="2"/>
      <c r="FW48" s="2"/>
      <c r="FX48" s="2">
        <v>0</v>
      </c>
      <c r="FY48" s="2">
        <v>0</v>
      </c>
      <c r="FZ48" s="2"/>
      <c r="GA48" s="2" t="s">
        <v>6</v>
      </c>
      <c r="GB48" s="2"/>
      <c r="GC48" s="2"/>
      <c r="GD48" s="2">
        <v>1</v>
      </c>
      <c r="GE48" s="2"/>
      <c r="GF48" s="2">
        <v>1913149582</v>
      </c>
      <c r="GG48" s="2">
        <v>2</v>
      </c>
      <c r="GH48" s="2">
        <v>1</v>
      </c>
      <c r="GI48" s="2">
        <v>-2</v>
      </c>
      <c r="GJ48" s="2">
        <v>0</v>
      </c>
      <c r="GK48" s="2">
        <v>0</v>
      </c>
      <c r="GL48" s="2">
        <f t="shared" si="45"/>
        <v>0</v>
      </c>
      <c r="GM48" s="2">
        <f t="shared" si="46"/>
        <v>387</v>
      </c>
      <c r="GN48" s="2">
        <f t="shared" si="47"/>
        <v>387</v>
      </c>
      <c r="GO48" s="2">
        <f t="shared" si="48"/>
        <v>0</v>
      </c>
      <c r="GP48" s="2">
        <f t="shared" si="49"/>
        <v>0</v>
      </c>
      <c r="GQ48" s="2"/>
      <c r="GR48" s="2">
        <v>0</v>
      </c>
      <c r="GS48" s="2">
        <v>3</v>
      </c>
      <c r="GT48" s="2">
        <v>0</v>
      </c>
      <c r="GU48" s="2" t="s">
        <v>6</v>
      </c>
      <c r="GV48" s="2">
        <f t="shared" si="50"/>
        <v>0</v>
      </c>
      <c r="GW48" s="2">
        <v>1</v>
      </c>
      <c r="GX48" s="2">
        <f t="shared" si="51"/>
        <v>0</v>
      </c>
      <c r="GY48" s="2"/>
      <c r="GZ48" s="2"/>
      <c r="HA48" s="2">
        <v>0</v>
      </c>
      <c r="HB48" s="2">
        <v>0</v>
      </c>
      <c r="HC48" s="2">
        <f t="shared" si="52"/>
        <v>0</v>
      </c>
      <c r="HD48" s="2"/>
      <c r="HE48" s="2" t="s">
        <v>6</v>
      </c>
      <c r="HF48" s="2" t="s">
        <v>6</v>
      </c>
      <c r="HG48" s="2"/>
      <c r="HH48" s="2"/>
      <c r="HI48" s="2"/>
      <c r="HJ48" s="2"/>
      <c r="HK48" s="2"/>
      <c r="HL48" s="2"/>
      <c r="HM48" s="2" t="s">
        <v>6</v>
      </c>
      <c r="HN48" s="2" t="s">
        <v>6</v>
      </c>
      <c r="HO48" s="2" t="s">
        <v>6</v>
      </c>
      <c r="HP48" s="2" t="s">
        <v>6</v>
      </c>
      <c r="HQ48" s="2" t="s">
        <v>6</v>
      </c>
      <c r="HR48" s="2"/>
      <c r="HS48" s="2"/>
      <c r="HT48" s="2"/>
      <c r="HU48" s="2"/>
      <c r="HV48" s="2"/>
      <c r="HW48" s="2"/>
      <c r="HX48" s="2"/>
      <c r="HY48" s="2"/>
      <c r="HZ48" s="2"/>
      <c r="IA48" s="2"/>
      <c r="IB48" s="2"/>
      <c r="IC48" s="2"/>
      <c r="ID48" s="2"/>
      <c r="IE48" s="2"/>
      <c r="IF48" s="2">
        <v>-1</v>
      </c>
      <c r="IG48" s="2"/>
      <c r="IH48" s="2"/>
      <c r="II48" s="2"/>
      <c r="IJ48" s="2"/>
      <c r="IK48" s="2">
        <v>0</v>
      </c>
      <c r="IL48" s="2"/>
      <c r="IM48" s="2"/>
      <c r="IN48" s="2"/>
      <c r="IO48" s="2"/>
      <c r="IP48" s="2"/>
      <c r="IQ48" s="2"/>
      <c r="IR48" s="2"/>
      <c r="IS48" s="2"/>
      <c r="IT48" s="2"/>
      <c r="IU48" s="2"/>
    </row>
    <row r="49" spans="1:255" x14ac:dyDescent="0.2">
      <c r="A49">
        <v>18</v>
      </c>
      <c r="B49">
        <v>1</v>
      </c>
      <c r="C49">
        <v>63</v>
      </c>
      <c r="E49" t="s">
        <v>81</v>
      </c>
      <c r="F49" t="e">
        <f>'2.Лок.смета.и.Акт'!#REF!</f>
        <v>#REF!</v>
      </c>
      <c r="G49" t="s">
        <v>83</v>
      </c>
      <c r="H49" t="s">
        <v>78</v>
      </c>
      <c r="I49">
        <f>I43*J49</f>
        <v>6.84</v>
      </c>
      <c r="J49">
        <v>3</v>
      </c>
      <c r="K49">
        <v>3</v>
      </c>
      <c r="O49">
        <f t="shared" si="21"/>
        <v>1563</v>
      </c>
      <c r="P49">
        <f t="shared" si="22"/>
        <v>1563</v>
      </c>
      <c r="Q49">
        <f t="shared" si="23"/>
        <v>0</v>
      </c>
      <c r="R49">
        <f t="shared" si="24"/>
        <v>0</v>
      </c>
      <c r="S49">
        <f t="shared" si="25"/>
        <v>0</v>
      </c>
      <c r="T49">
        <f t="shared" si="26"/>
        <v>0</v>
      </c>
      <c r="U49">
        <f t="shared" si="27"/>
        <v>0</v>
      </c>
      <c r="V49">
        <f t="shared" si="28"/>
        <v>0</v>
      </c>
      <c r="W49">
        <f t="shared" si="29"/>
        <v>0</v>
      </c>
      <c r="X49">
        <f t="shared" si="30"/>
        <v>0</v>
      </c>
      <c r="Y49">
        <f t="shared" si="31"/>
        <v>0</v>
      </c>
      <c r="AA49">
        <v>86326988</v>
      </c>
      <c r="AB49">
        <f t="shared" si="32"/>
        <v>30.22</v>
      </c>
      <c r="AC49">
        <f t="shared" si="55"/>
        <v>30.22</v>
      </c>
      <c r="AD49">
        <f>ROUND((ET49),2)</f>
        <v>0</v>
      </c>
      <c r="AE49">
        <f t="shared" si="56"/>
        <v>0</v>
      </c>
      <c r="AF49">
        <f t="shared" si="57"/>
        <v>0</v>
      </c>
      <c r="AG49">
        <f t="shared" si="33"/>
        <v>0</v>
      </c>
      <c r="AH49">
        <f t="shared" si="58"/>
        <v>0</v>
      </c>
      <c r="AI49">
        <f t="shared" si="59"/>
        <v>0</v>
      </c>
      <c r="AJ49">
        <f t="shared" si="34"/>
        <v>0</v>
      </c>
      <c r="AK49">
        <v>30.22</v>
      </c>
      <c r="AL49">
        <v>30.22</v>
      </c>
      <c r="AM49">
        <v>0</v>
      </c>
      <c r="AN49">
        <v>0</v>
      </c>
      <c r="AO49">
        <v>0</v>
      </c>
      <c r="AP49">
        <v>0</v>
      </c>
      <c r="AQ49">
        <v>0</v>
      </c>
      <c r="AR49">
        <v>0</v>
      </c>
      <c r="AS49">
        <v>0</v>
      </c>
      <c r="AT49">
        <v>0</v>
      </c>
      <c r="AU49">
        <v>0</v>
      </c>
      <c r="AV49">
        <v>1</v>
      </c>
      <c r="AW49">
        <v>1</v>
      </c>
      <c r="AZ49">
        <v>1</v>
      </c>
      <c r="BA49">
        <v>1</v>
      </c>
      <c r="BB49">
        <v>1</v>
      </c>
      <c r="BC49">
        <v>7.56</v>
      </c>
      <c r="BD49" t="s">
        <v>6</v>
      </c>
      <c r="BE49" t="s">
        <v>6</v>
      </c>
      <c r="BF49" t="s">
        <v>6</v>
      </c>
      <c r="BG49" t="s">
        <v>6</v>
      </c>
      <c r="BH49">
        <v>3</v>
      </c>
      <c r="BI49">
        <v>1</v>
      </c>
      <c r="BJ49" t="s">
        <v>84</v>
      </c>
      <c r="BM49">
        <v>3101</v>
      </c>
      <c r="BN49">
        <v>0</v>
      </c>
      <c r="BO49" t="s">
        <v>6</v>
      </c>
      <c r="BP49">
        <v>0</v>
      </c>
      <c r="BQ49">
        <v>0</v>
      </c>
      <c r="BR49">
        <v>0</v>
      </c>
      <c r="BS49">
        <v>1</v>
      </c>
      <c r="BT49">
        <v>1</v>
      </c>
      <c r="BU49">
        <v>1</v>
      </c>
      <c r="BV49">
        <v>1</v>
      </c>
      <c r="BW49">
        <v>1</v>
      </c>
      <c r="BX49">
        <v>1</v>
      </c>
      <c r="BY49" t="s">
        <v>6</v>
      </c>
      <c r="BZ49">
        <v>0</v>
      </c>
      <c r="CA49">
        <v>0</v>
      </c>
      <c r="CB49" t="s">
        <v>6</v>
      </c>
      <c r="CE49">
        <v>0</v>
      </c>
      <c r="CF49">
        <v>0</v>
      </c>
      <c r="CG49">
        <v>0</v>
      </c>
      <c r="CM49">
        <v>0</v>
      </c>
      <c r="CN49" t="s">
        <v>6</v>
      </c>
      <c r="CO49">
        <v>0</v>
      </c>
      <c r="CP49">
        <f t="shared" si="35"/>
        <v>1563</v>
      </c>
      <c r="CQ49">
        <f t="shared" si="36"/>
        <v>228.46319999999997</v>
      </c>
      <c r="CR49">
        <f t="shared" si="37"/>
        <v>0</v>
      </c>
      <c r="CS49">
        <f t="shared" si="38"/>
        <v>0</v>
      </c>
      <c r="CT49">
        <f t="shared" si="39"/>
        <v>0</v>
      </c>
      <c r="CU49">
        <f t="shared" si="40"/>
        <v>0</v>
      </c>
      <c r="CV49">
        <f t="shared" si="41"/>
        <v>0</v>
      </c>
      <c r="CW49">
        <f t="shared" si="42"/>
        <v>0</v>
      </c>
      <c r="CX49">
        <f t="shared" si="43"/>
        <v>0</v>
      </c>
      <c r="CY49">
        <f>(S49+R49)*(BZ49/100)</f>
        <v>0</v>
      </c>
      <c r="CZ49">
        <f>(S49+R49)*(CA49/100)</f>
        <v>0</v>
      </c>
      <c r="DC49" t="s">
        <v>6</v>
      </c>
      <c r="DD49" t="s">
        <v>6</v>
      </c>
      <c r="DE49" t="s">
        <v>6</v>
      </c>
      <c r="DF49" t="s">
        <v>6</v>
      </c>
      <c r="DG49" t="s">
        <v>6</v>
      </c>
      <c r="DH49" t="s">
        <v>6</v>
      </c>
      <c r="DI49" t="s">
        <v>6</v>
      </c>
      <c r="DJ49" t="s">
        <v>6</v>
      </c>
      <c r="DK49" t="s">
        <v>6</v>
      </c>
      <c r="DL49" t="s">
        <v>6</v>
      </c>
      <c r="DM49" t="s">
        <v>6</v>
      </c>
      <c r="DN49">
        <v>0</v>
      </c>
      <c r="DO49">
        <v>0</v>
      </c>
      <c r="DP49">
        <v>1</v>
      </c>
      <c r="DQ49">
        <v>1</v>
      </c>
      <c r="DU49">
        <v>1013</v>
      </c>
      <c r="DV49" t="s">
        <v>78</v>
      </c>
      <c r="DW49" t="e">
        <f>'2.Лок.смета.и.Акт'!#REF!</f>
        <v>#REF!</v>
      </c>
      <c r="DX49">
        <v>1</v>
      </c>
      <c r="DZ49" t="s">
        <v>6</v>
      </c>
      <c r="EA49" t="s">
        <v>6</v>
      </c>
      <c r="EB49" t="s">
        <v>6</v>
      </c>
      <c r="EC49" t="s">
        <v>6</v>
      </c>
      <c r="EE49">
        <v>0</v>
      </c>
      <c r="EF49">
        <v>0</v>
      </c>
      <c r="EG49" t="s">
        <v>6</v>
      </c>
      <c r="EH49">
        <v>0</v>
      </c>
      <c r="EI49" t="s">
        <v>6</v>
      </c>
      <c r="EJ49">
        <v>0</v>
      </c>
      <c r="EK49">
        <v>3101</v>
      </c>
      <c r="EL49" t="s">
        <v>6</v>
      </c>
      <c r="EM49" t="s">
        <v>6</v>
      </c>
      <c r="EO49" t="s">
        <v>6</v>
      </c>
      <c r="EQ49">
        <v>0</v>
      </c>
      <c r="ER49">
        <v>215.4</v>
      </c>
      <c r="ES49">
        <v>30.22</v>
      </c>
      <c r="ET49">
        <v>0</v>
      </c>
      <c r="EU49">
        <v>0</v>
      </c>
      <c r="EV49">
        <v>0</v>
      </c>
      <c r="EW49">
        <v>0</v>
      </c>
      <c r="EX49">
        <v>0</v>
      </c>
      <c r="EZ49">
        <v>5</v>
      </c>
      <c r="FC49">
        <v>0</v>
      </c>
      <c r="FD49">
        <v>18</v>
      </c>
      <c r="FF49">
        <v>215.4</v>
      </c>
      <c r="FQ49">
        <v>0</v>
      </c>
      <c r="FR49">
        <f t="shared" si="44"/>
        <v>0</v>
      </c>
      <c r="FS49">
        <v>0</v>
      </c>
      <c r="FX49">
        <v>0</v>
      </c>
      <c r="FY49">
        <v>0</v>
      </c>
      <c r="GA49" t="s">
        <v>85</v>
      </c>
      <c r="GD49">
        <v>1</v>
      </c>
      <c r="GF49">
        <v>1913149582</v>
      </c>
      <c r="GG49">
        <v>2</v>
      </c>
      <c r="GH49">
        <v>3</v>
      </c>
      <c r="GI49">
        <v>5</v>
      </c>
      <c r="GJ49">
        <v>0</v>
      </c>
      <c r="GK49">
        <v>0</v>
      </c>
      <c r="GL49">
        <f t="shared" si="45"/>
        <v>0</v>
      </c>
      <c r="GM49">
        <f t="shared" si="46"/>
        <v>1563</v>
      </c>
      <c r="GN49">
        <f t="shared" si="47"/>
        <v>1563</v>
      </c>
      <c r="GO49">
        <f t="shared" si="48"/>
        <v>0</v>
      </c>
      <c r="GP49">
        <f t="shared" si="49"/>
        <v>0</v>
      </c>
      <c r="GR49">
        <v>1</v>
      </c>
      <c r="GS49">
        <v>1</v>
      </c>
      <c r="GT49">
        <v>0</v>
      </c>
      <c r="GU49" t="s">
        <v>6</v>
      </c>
      <c r="GV49">
        <f t="shared" si="50"/>
        <v>0</v>
      </c>
      <c r="GW49">
        <v>1</v>
      </c>
      <c r="GX49">
        <f t="shared" si="51"/>
        <v>0</v>
      </c>
      <c r="HA49">
        <v>0</v>
      </c>
      <c r="HB49">
        <v>0</v>
      </c>
      <c r="HC49">
        <f t="shared" si="52"/>
        <v>0</v>
      </c>
      <c r="HE49" t="s">
        <v>39</v>
      </c>
      <c r="HF49" t="s">
        <v>40</v>
      </c>
      <c r="HM49" t="s">
        <v>6</v>
      </c>
      <c r="HN49" t="s">
        <v>6</v>
      </c>
      <c r="HO49" t="s">
        <v>6</v>
      </c>
      <c r="HP49" t="s">
        <v>6</v>
      </c>
      <c r="HQ49" t="s">
        <v>6</v>
      </c>
      <c r="IF49">
        <v>-1</v>
      </c>
      <c r="IK49">
        <v>0</v>
      </c>
    </row>
    <row r="50" spans="1:255" x14ac:dyDescent="0.2">
      <c r="A50" s="2">
        <v>18</v>
      </c>
      <c r="B50" s="2">
        <v>1</v>
      </c>
      <c r="C50" s="2">
        <v>53</v>
      </c>
      <c r="D50" s="2"/>
      <c r="E50" s="2" t="s">
        <v>86</v>
      </c>
      <c r="F50" s="2" t="s">
        <v>87</v>
      </c>
      <c r="G50" s="2" t="s">
        <v>88</v>
      </c>
      <c r="H50" s="2" t="s">
        <v>44</v>
      </c>
      <c r="I50" s="2">
        <f>I42*J50</f>
        <v>6.9425999999999997</v>
      </c>
      <c r="J50" s="226">
        <f>'5.Ведомость_списания'!F37</f>
        <v>3.0449999999999999</v>
      </c>
      <c r="K50" s="2">
        <v>3.0449999999999999</v>
      </c>
      <c r="L50" s="2"/>
      <c r="M50" s="2"/>
      <c r="N50" s="2"/>
      <c r="O50" s="2">
        <f t="shared" si="21"/>
        <v>6101</v>
      </c>
      <c r="P50" s="2">
        <f t="shared" si="22"/>
        <v>6101</v>
      </c>
      <c r="Q50" s="2">
        <f t="shared" si="23"/>
        <v>0</v>
      </c>
      <c r="R50" s="2">
        <f t="shared" si="24"/>
        <v>0</v>
      </c>
      <c r="S50" s="2">
        <f t="shared" si="25"/>
        <v>0</v>
      </c>
      <c r="T50" s="2">
        <f t="shared" si="26"/>
        <v>0</v>
      </c>
      <c r="U50" s="2">
        <f t="shared" si="27"/>
        <v>0</v>
      </c>
      <c r="V50" s="2">
        <f t="shared" si="28"/>
        <v>0</v>
      </c>
      <c r="W50" s="2">
        <f t="shared" si="29"/>
        <v>0</v>
      </c>
      <c r="X50" s="2">
        <f t="shared" si="30"/>
        <v>0</v>
      </c>
      <c r="Y50" s="2">
        <f t="shared" si="31"/>
        <v>0</v>
      </c>
      <c r="Z50" s="2"/>
      <c r="AA50" s="2">
        <v>86326987</v>
      </c>
      <c r="AB50" s="2">
        <f t="shared" si="32"/>
        <v>878.79</v>
      </c>
      <c r="AC50" s="2">
        <f t="shared" si="55"/>
        <v>878.79</v>
      </c>
      <c r="AD50" s="2">
        <f>ROUND((((ET50)-(EU50))+AE50),2)</f>
        <v>0</v>
      </c>
      <c r="AE50" s="2">
        <f t="shared" si="56"/>
        <v>0</v>
      </c>
      <c r="AF50" s="2">
        <f t="shared" si="57"/>
        <v>0</v>
      </c>
      <c r="AG50" s="2">
        <f t="shared" si="33"/>
        <v>0</v>
      </c>
      <c r="AH50" s="2">
        <f t="shared" si="58"/>
        <v>0</v>
      </c>
      <c r="AI50" s="2">
        <f t="shared" si="59"/>
        <v>0</v>
      </c>
      <c r="AJ50" s="2">
        <f t="shared" si="34"/>
        <v>0</v>
      </c>
      <c r="AK50" s="2">
        <v>878.79</v>
      </c>
      <c r="AL50" s="110">
        <f>'1.Лок.смета.и.Акт'!F101</f>
        <v>878.79</v>
      </c>
      <c r="AM50" s="2">
        <v>0</v>
      </c>
      <c r="AN50" s="2">
        <v>0</v>
      </c>
      <c r="AO50" s="2">
        <v>0</v>
      </c>
      <c r="AP50" s="2">
        <v>0</v>
      </c>
      <c r="AQ50" s="2">
        <v>0</v>
      </c>
      <c r="AR50" s="2">
        <v>0</v>
      </c>
      <c r="AS50" s="2">
        <v>0</v>
      </c>
      <c r="AT50" s="2">
        <v>0</v>
      </c>
      <c r="AU50" s="2">
        <v>0</v>
      </c>
      <c r="AV50" s="2">
        <v>1</v>
      </c>
      <c r="AW50" s="2">
        <v>1</v>
      </c>
      <c r="AX50" s="2"/>
      <c r="AY50" s="2"/>
      <c r="AZ50" s="2">
        <v>1</v>
      </c>
      <c r="BA50" s="2">
        <v>1</v>
      </c>
      <c r="BB50" s="2">
        <v>1</v>
      </c>
      <c r="BC50" s="2">
        <v>1</v>
      </c>
      <c r="BD50" s="2" t="s">
        <v>6</v>
      </c>
      <c r="BE50" s="2" t="s">
        <v>6</v>
      </c>
      <c r="BF50" s="2" t="s">
        <v>6</v>
      </c>
      <c r="BG50" s="2" t="s">
        <v>6</v>
      </c>
      <c r="BH50" s="2">
        <v>3</v>
      </c>
      <c r="BI50" s="2">
        <v>1</v>
      </c>
      <c r="BJ50" s="2" t="s">
        <v>89</v>
      </c>
      <c r="BK50" s="2"/>
      <c r="BL50" s="2"/>
      <c r="BM50" s="2">
        <v>500003</v>
      </c>
      <c r="BN50" s="2">
        <v>0</v>
      </c>
      <c r="BO50" s="2" t="s">
        <v>6</v>
      </c>
      <c r="BP50" s="2">
        <v>0</v>
      </c>
      <c r="BQ50" s="2">
        <v>22</v>
      </c>
      <c r="BR50" s="2">
        <v>0</v>
      </c>
      <c r="BS50" s="2">
        <v>1</v>
      </c>
      <c r="BT50" s="2">
        <v>1</v>
      </c>
      <c r="BU50" s="2">
        <v>1</v>
      </c>
      <c r="BV50" s="2">
        <v>1</v>
      </c>
      <c r="BW50" s="2">
        <v>1</v>
      </c>
      <c r="BX50" s="2">
        <v>1</v>
      </c>
      <c r="BY50" s="2" t="s">
        <v>6</v>
      </c>
      <c r="BZ50" s="2">
        <v>0</v>
      </c>
      <c r="CA50" s="2">
        <v>0</v>
      </c>
      <c r="CB50" s="2" t="s">
        <v>6</v>
      </c>
      <c r="CC50" s="2"/>
      <c r="CD50" s="2"/>
      <c r="CE50" s="2">
        <v>0</v>
      </c>
      <c r="CF50" s="2">
        <v>0</v>
      </c>
      <c r="CG50" s="2">
        <v>0</v>
      </c>
      <c r="CH50" s="2"/>
      <c r="CI50" s="2"/>
      <c r="CJ50" s="2"/>
      <c r="CK50" s="2"/>
      <c r="CL50" s="2"/>
      <c r="CM50" s="2">
        <v>0</v>
      </c>
      <c r="CN50" s="2" t="s">
        <v>6</v>
      </c>
      <c r="CO50" s="2">
        <v>0</v>
      </c>
      <c r="CP50" s="2">
        <f t="shared" si="35"/>
        <v>6101</v>
      </c>
      <c r="CQ50" s="2">
        <f t="shared" si="36"/>
        <v>878.79</v>
      </c>
      <c r="CR50" s="2">
        <f t="shared" si="37"/>
        <v>0</v>
      </c>
      <c r="CS50" s="2">
        <f t="shared" si="38"/>
        <v>0</v>
      </c>
      <c r="CT50" s="2">
        <f t="shared" si="39"/>
        <v>0</v>
      </c>
      <c r="CU50" s="2">
        <f t="shared" si="40"/>
        <v>0</v>
      </c>
      <c r="CV50" s="2">
        <f t="shared" si="41"/>
        <v>0</v>
      </c>
      <c r="CW50" s="2">
        <f t="shared" si="42"/>
        <v>0</v>
      </c>
      <c r="CX50" s="2">
        <f t="shared" si="43"/>
        <v>0</v>
      </c>
      <c r="CY50" s="2">
        <f>(((S50+(R50*IF(0,0,1)))*AT50)/100)</f>
        <v>0</v>
      </c>
      <c r="CZ50" s="2">
        <f>(((S50+(R50*IF(0,0,1)))*AU50)/100)</f>
        <v>0</v>
      </c>
      <c r="DA50" s="2"/>
      <c r="DB50" s="2"/>
      <c r="DC50" s="2" t="s">
        <v>6</v>
      </c>
      <c r="DD50" s="2" t="s">
        <v>6</v>
      </c>
      <c r="DE50" s="2" t="s">
        <v>6</v>
      </c>
      <c r="DF50" s="2" t="s">
        <v>6</v>
      </c>
      <c r="DG50" s="2" t="s">
        <v>6</v>
      </c>
      <c r="DH50" s="2" t="s">
        <v>6</v>
      </c>
      <c r="DI50" s="2" t="s">
        <v>6</v>
      </c>
      <c r="DJ50" s="2" t="s">
        <v>6</v>
      </c>
      <c r="DK50" s="2" t="s">
        <v>6</v>
      </c>
      <c r="DL50" s="2" t="s">
        <v>6</v>
      </c>
      <c r="DM50" s="2" t="s">
        <v>6</v>
      </c>
      <c r="DN50" s="2">
        <v>0</v>
      </c>
      <c r="DO50" s="2">
        <v>0</v>
      </c>
      <c r="DP50" s="2">
        <v>1</v>
      </c>
      <c r="DQ50" s="2">
        <v>1</v>
      </c>
      <c r="DR50" s="2"/>
      <c r="DS50" s="2"/>
      <c r="DT50" s="2"/>
      <c r="DU50" s="2">
        <v>1007</v>
      </c>
      <c r="DV50" s="2" t="s">
        <v>44</v>
      </c>
      <c r="DW50" s="2" t="s">
        <v>44</v>
      </c>
      <c r="DX50" s="2">
        <v>1</v>
      </c>
      <c r="DY50" s="2"/>
      <c r="DZ50" s="2" t="s">
        <v>6</v>
      </c>
      <c r="EA50" s="2" t="s">
        <v>6</v>
      </c>
      <c r="EB50" s="2" t="s">
        <v>6</v>
      </c>
      <c r="EC50" s="2" t="s">
        <v>6</v>
      </c>
      <c r="ED50" s="2"/>
      <c r="EE50" s="2">
        <v>54938783</v>
      </c>
      <c r="EF50" s="2">
        <v>22</v>
      </c>
      <c r="EG50" s="2" t="s">
        <v>57</v>
      </c>
      <c r="EH50" s="2">
        <v>0</v>
      </c>
      <c r="EI50" s="2" t="s">
        <v>6</v>
      </c>
      <c r="EJ50" s="2">
        <v>1</v>
      </c>
      <c r="EK50" s="2">
        <v>500003</v>
      </c>
      <c r="EL50" s="2" t="s">
        <v>58</v>
      </c>
      <c r="EM50" s="2" t="s">
        <v>59</v>
      </c>
      <c r="EN50" s="2"/>
      <c r="EO50" s="2" t="s">
        <v>6</v>
      </c>
      <c r="EP50" s="2"/>
      <c r="EQ50" s="2">
        <v>0</v>
      </c>
      <c r="ER50" s="2">
        <v>878.79</v>
      </c>
      <c r="ES50" s="110">
        <f>'1.Лок.смета.и.Акт'!F101</f>
        <v>878.79</v>
      </c>
      <c r="ET50" s="2">
        <v>0</v>
      </c>
      <c r="EU50" s="2">
        <v>0</v>
      </c>
      <c r="EV50" s="2">
        <v>0</v>
      </c>
      <c r="EW50" s="2">
        <v>0</v>
      </c>
      <c r="EX50" s="2">
        <v>0</v>
      </c>
      <c r="EY50" s="2"/>
      <c r="EZ50" s="2"/>
      <c r="FA50" s="2"/>
      <c r="FB50" s="2"/>
      <c r="FC50" s="2"/>
      <c r="FD50" s="2"/>
      <c r="FE50" s="2"/>
      <c r="FF50" s="2"/>
      <c r="FG50" s="2"/>
      <c r="FH50" s="2"/>
      <c r="FI50" s="2"/>
      <c r="FJ50" s="2"/>
      <c r="FK50" s="2"/>
      <c r="FL50" s="2"/>
      <c r="FM50" s="2"/>
      <c r="FN50" s="2"/>
      <c r="FO50" s="2"/>
      <c r="FP50" s="2"/>
      <c r="FQ50" s="2">
        <v>0</v>
      </c>
      <c r="FR50" s="2">
        <f t="shared" si="44"/>
        <v>0</v>
      </c>
      <c r="FS50" s="2">
        <v>0</v>
      </c>
      <c r="FT50" s="2"/>
      <c r="FU50" s="2"/>
      <c r="FV50" s="2"/>
      <c r="FW50" s="2"/>
      <c r="FX50" s="2">
        <v>0</v>
      </c>
      <c r="FY50" s="2">
        <v>0</v>
      </c>
      <c r="FZ50" s="2"/>
      <c r="GA50" s="2" t="s">
        <v>6</v>
      </c>
      <c r="GB50" s="2"/>
      <c r="GC50" s="2"/>
      <c r="GD50" s="2">
        <v>1</v>
      </c>
      <c r="GE50" s="2"/>
      <c r="GF50" s="2">
        <v>-183216560</v>
      </c>
      <c r="GG50" s="2">
        <v>2</v>
      </c>
      <c r="GH50" s="2">
        <v>2</v>
      </c>
      <c r="GI50" s="2">
        <v>-2</v>
      </c>
      <c r="GJ50" s="2">
        <v>0</v>
      </c>
      <c r="GK50" s="2">
        <v>0</v>
      </c>
      <c r="GL50" s="2">
        <f t="shared" si="45"/>
        <v>0</v>
      </c>
      <c r="GM50" s="2">
        <f t="shared" si="46"/>
        <v>6101</v>
      </c>
      <c r="GN50" s="2">
        <f t="shared" si="47"/>
        <v>6101</v>
      </c>
      <c r="GO50" s="2">
        <f t="shared" si="48"/>
        <v>0</v>
      </c>
      <c r="GP50" s="2">
        <f t="shared" si="49"/>
        <v>0</v>
      </c>
      <c r="GQ50" s="2"/>
      <c r="GR50" s="2">
        <v>0</v>
      </c>
      <c r="GS50" s="2">
        <v>2</v>
      </c>
      <c r="GT50" s="2">
        <v>0</v>
      </c>
      <c r="GU50" s="2" t="s">
        <v>6</v>
      </c>
      <c r="GV50" s="2">
        <f t="shared" si="50"/>
        <v>0</v>
      </c>
      <c r="GW50" s="2">
        <v>1</v>
      </c>
      <c r="GX50" s="2">
        <f t="shared" si="51"/>
        <v>0</v>
      </c>
      <c r="GY50" s="2"/>
      <c r="GZ50" s="2"/>
      <c r="HA50" s="2">
        <v>0</v>
      </c>
      <c r="HB50" s="2">
        <v>0</v>
      </c>
      <c r="HC50" s="2">
        <f t="shared" si="52"/>
        <v>0</v>
      </c>
      <c r="HD50" s="2"/>
      <c r="HE50" s="2" t="s">
        <v>6</v>
      </c>
      <c r="HF50" s="2" t="s">
        <v>6</v>
      </c>
      <c r="HG50" s="2"/>
      <c r="HH50" s="2"/>
      <c r="HI50" s="2"/>
      <c r="HJ50" s="2"/>
      <c r="HK50" s="2"/>
      <c r="HL50" s="2"/>
      <c r="HM50" s="2" t="s">
        <v>6</v>
      </c>
      <c r="HN50" s="2" t="s">
        <v>6</v>
      </c>
      <c r="HO50" s="2" t="s">
        <v>6</v>
      </c>
      <c r="HP50" s="2" t="s">
        <v>6</v>
      </c>
      <c r="HQ50" s="2" t="s">
        <v>6</v>
      </c>
      <c r="HR50" s="2"/>
      <c r="HS50" s="2"/>
      <c r="HT50" s="2"/>
      <c r="HU50" s="2"/>
      <c r="HV50" s="2"/>
      <c r="HW50" s="2"/>
      <c r="HX50" s="2"/>
      <c r="HY50" s="2"/>
      <c r="HZ50" s="2"/>
      <c r="IA50" s="2"/>
      <c r="IB50" s="2"/>
      <c r="IC50" s="2"/>
      <c r="ID50" s="2"/>
      <c r="IE50" s="2"/>
      <c r="IF50" s="2">
        <v>-1</v>
      </c>
      <c r="IG50" s="2"/>
      <c r="IH50" s="2"/>
      <c r="II50" s="2"/>
      <c r="IJ50" s="2"/>
      <c r="IK50" s="2">
        <v>0</v>
      </c>
      <c r="IL50" s="2"/>
      <c r="IM50" s="2"/>
      <c r="IN50" s="2"/>
      <c r="IO50" s="2"/>
      <c r="IP50" s="2"/>
      <c r="IQ50" s="2"/>
      <c r="IR50" s="2"/>
      <c r="IS50" s="2"/>
      <c r="IT50" s="2"/>
      <c r="IU50" s="2"/>
    </row>
    <row r="51" spans="1:255" x14ac:dyDescent="0.2">
      <c r="A51">
        <v>18</v>
      </c>
      <c r="B51">
        <v>1</v>
      </c>
      <c r="C51">
        <v>66</v>
      </c>
      <c r="E51" t="s">
        <v>86</v>
      </c>
      <c r="F51" t="e">
        <f>'2.Лок.смета.и.Акт'!#REF!</f>
        <v>#REF!</v>
      </c>
      <c r="G51" t="s">
        <v>88</v>
      </c>
      <c r="H51" t="s">
        <v>44</v>
      </c>
      <c r="I51">
        <f>I43*J51</f>
        <v>6.9425999999999997</v>
      </c>
      <c r="J51">
        <v>3.0449999999999999</v>
      </c>
      <c r="K51">
        <v>3.0449999999999999</v>
      </c>
      <c r="O51">
        <f t="shared" si="21"/>
        <v>51174</v>
      </c>
      <c r="P51">
        <f t="shared" si="22"/>
        <v>51174</v>
      </c>
      <c r="Q51">
        <f t="shared" si="23"/>
        <v>0</v>
      </c>
      <c r="R51">
        <f t="shared" si="24"/>
        <v>0</v>
      </c>
      <c r="S51">
        <f t="shared" si="25"/>
        <v>0</v>
      </c>
      <c r="T51">
        <f t="shared" si="26"/>
        <v>0</v>
      </c>
      <c r="U51">
        <f t="shared" si="27"/>
        <v>0</v>
      </c>
      <c r="V51">
        <f t="shared" si="28"/>
        <v>0</v>
      </c>
      <c r="W51">
        <f t="shared" si="29"/>
        <v>0</v>
      </c>
      <c r="X51">
        <f t="shared" si="30"/>
        <v>0</v>
      </c>
      <c r="Y51">
        <f t="shared" si="31"/>
        <v>0</v>
      </c>
      <c r="AA51">
        <v>86326988</v>
      </c>
      <c r="AB51">
        <f t="shared" si="32"/>
        <v>975</v>
      </c>
      <c r="AC51">
        <f t="shared" si="55"/>
        <v>975</v>
      </c>
      <c r="AD51">
        <f>ROUND((((ET51)-(EU51))+AE51),2)</f>
        <v>0</v>
      </c>
      <c r="AE51">
        <f t="shared" si="56"/>
        <v>0</v>
      </c>
      <c r="AF51">
        <f t="shared" si="57"/>
        <v>0</v>
      </c>
      <c r="AG51">
        <f t="shared" si="33"/>
        <v>0</v>
      </c>
      <c r="AH51">
        <f t="shared" si="58"/>
        <v>0</v>
      </c>
      <c r="AI51">
        <f t="shared" si="59"/>
        <v>0</v>
      </c>
      <c r="AJ51">
        <f t="shared" si="34"/>
        <v>0</v>
      </c>
      <c r="AK51">
        <v>975</v>
      </c>
      <c r="AL51">
        <v>975</v>
      </c>
      <c r="AM51">
        <v>0</v>
      </c>
      <c r="AN51">
        <v>0</v>
      </c>
      <c r="AO51">
        <v>0</v>
      </c>
      <c r="AP51">
        <v>0</v>
      </c>
      <c r="AQ51">
        <v>0</v>
      </c>
      <c r="AR51">
        <v>0</v>
      </c>
      <c r="AS51">
        <v>0</v>
      </c>
      <c r="AT51">
        <v>0</v>
      </c>
      <c r="AU51">
        <v>0</v>
      </c>
      <c r="AV51">
        <v>1</v>
      </c>
      <c r="AW51">
        <v>1</v>
      </c>
      <c r="AZ51">
        <v>1</v>
      </c>
      <c r="BA51">
        <v>1</v>
      </c>
      <c r="BB51">
        <v>1</v>
      </c>
      <c r="BC51">
        <v>7.56</v>
      </c>
      <c r="BD51" t="s">
        <v>6</v>
      </c>
      <c r="BE51" t="s">
        <v>6</v>
      </c>
      <c r="BF51" t="s">
        <v>6</v>
      </c>
      <c r="BG51" t="s">
        <v>6</v>
      </c>
      <c r="BH51">
        <v>3</v>
      </c>
      <c r="BI51">
        <v>1</v>
      </c>
      <c r="BJ51" t="s">
        <v>89</v>
      </c>
      <c r="BM51">
        <v>500003</v>
      </c>
      <c r="BN51">
        <v>0</v>
      </c>
      <c r="BO51" t="s">
        <v>6</v>
      </c>
      <c r="BP51">
        <v>0</v>
      </c>
      <c r="BQ51">
        <v>22</v>
      </c>
      <c r="BR51">
        <v>0</v>
      </c>
      <c r="BS51">
        <v>1</v>
      </c>
      <c r="BT51">
        <v>1</v>
      </c>
      <c r="BU51">
        <v>1</v>
      </c>
      <c r="BV51">
        <v>1</v>
      </c>
      <c r="BW51">
        <v>1</v>
      </c>
      <c r="BX51">
        <v>1</v>
      </c>
      <c r="BY51" t="s">
        <v>6</v>
      </c>
      <c r="BZ51">
        <v>0</v>
      </c>
      <c r="CA51">
        <v>0</v>
      </c>
      <c r="CB51" t="s">
        <v>6</v>
      </c>
      <c r="CE51">
        <v>0</v>
      </c>
      <c r="CF51">
        <v>0</v>
      </c>
      <c r="CG51">
        <v>0</v>
      </c>
      <c r="CM51">
        <v>0</v>
      </c>
      <c r="CN51" t="s">
        <v>6</v>
      </c>
      <c r="CO51">
        <v>0</v>
      </c>
      <c r="CP51">
        <f t="shared" si="35"/>
        <v>51174</v>
      </c>
      <c r="CQ51">
        <f t="shared" si="36"/>
        <v>7371</v>
      </c>
      <c r="CR51">
        <f t="shared" si="37"/>
        <v>0</v>
      </c>
      <c r="CS51">
        <f t="shared" si="38"/>
        <v>0</v>
      </c>
      <c r="CT51">
        <f t="shared" si="39"/>
        <v>0</v>
      </c>
      <c r="CU51">
        <f t="shared" si="40"/>
        <v>0</v>
      </c>
      <c r="CV51">
        <f t="shared" si="41"/>
        <v>0</v>
      </c>
      <c r="CW51">
        <f t="shared" si="42"/>
        <v>0</v>
      </c>
      <c r="CX51">
        <f t="shared" si="43"/>
        <v>0</v>
      </c>
      <c r="CY51">
        <f>(S51+R51)*(BZ51/100)</f>
        <v>0</v>
      </c>
      <c r="CZ51">
        <f>(S51+R51)*(CA51/100)</f>
        <v>0</v>
      </c>
      <c r="DC51" t="s">
        <v>6</v>
      </c>
      <c r="DD51" t="s">
        <v>6</v>
      </c>
      <c r="DE51" t="s">
        <v>6</v>
      </c>
      <c r="DF51" t="s">
        <v>6</v>
      </c>
      <c r="DG51" t="s">
        <v>6</v>
      </c>
      <c r="DH51" t="s">
        <v>6</v>
      </c>
      <c r="DI51" t="s">
        <v>6</v>
      </c>
      <c r="DJ51" t="s">
        <v>6</v>
      </c>
      <c r="DK51" t="s">
        <v>6</v>
      </c>
      <c r="DL51" t="s">
        <v>6</v>
      </c>
      <c r="DM51" t="s">
        <v>6</v>
      </c>
      <c r="DN51">
        <v>0</v>
      </c>
      <c r="DO51">
        <v>0</v>
      </c>
      <c r="DP51">
        <v>1</v>
      </c>
      <c r="DQ51">
        <v>1</v>
      </c>
      <c r="DU51">
        <v>1007</v>
      </c>
      <c r="DV51" t="s">
        <v>44</v>
      </c>
      <c r="DW51" t="e">
        <f>'2.Лок.смета.и.Акт'!#REF!</f>
        <v>#REF!</v>
      </c>
      <c r="DX51">
        <v>1</v>
      </c>
      <c r="DZ51" t="s">
        <v>6</v>
      </c>
      <c r="EA51" t="s">
        <v>6</v>
      </c>
      <c r="EB51" t="s">
        <v>6</v>
      </c>
      <c r="EC51" t="s">
        <v>6</v>
      </c>
      <c r="EE51">
        <v>54938783</v>
      </c>
      <c r="EF51">
        <v>22</v>
      </c>
      <c r="EG51" t="s">
        <v>57</v>
      </c>
      <c r="EH51">
        <v>0</v>
      </c>
      <c r="EI51" t="s">
        <v>6</v>
      </c>
      <c r="EJ51">
        <v>1</v>
      </c>
      <c r="EK51">
        <v>500003</v>
      </c>
      <c r="EL51" t="s">
        <v>58</v>
      </c>
      <c r="EM51" t="s">
        <v>59</v>
      </c>
      <c r="EO51" t="s">
        <v>6</v>
      </c>
      <c r="EQ51">
        <v>0</v>
      </c>
      <c r="ER51">
        <v>6948.56</v>
      </c>
      <c r="ES51">
        <v>975</v>
      </c>
      <c r="ET51">
        <v>0</v>
      </c>
      <c r="EU51">
        <v>0</v>
      </c>
      <c r="EV51">
        <v>0</v>
      </c>
      <c r="EW51">
        <v>0</v>
      </c>
      <c r="EX51">
        <v>0</v>
      </c>
      <c r="EZ51">
        <v>5</v>
      </c>
      <c r="FC51">
        <v>0</v>
      </c>
      <c r="FD51">
        <v>18</v>
      </c>
      <c r="FF51">
        <v>6948.56</v>
      </c>
      <c r="FQ51">
        <v>0</v>
      </c>
      <c r="FR51">
        <f t="shared" si="44"/>
        <v>0</v>
      </c>
      <c r="FS51">
        <v>0</v>
      </c>
      <c r="FX51">
        <v>0</v>
      </c>
      <c r="FY51">
        <v>0</v>
      </c>
      <c r="GA51" t="s">
        <v>90</v>
      </c>
      <c r="GD51">
        <v>1</v>
      </c>
      <c r="GF51">
        <v>-183216560</v>
      </c>
      <c r="GG51">
        <v>2</v>
      </c>
      <c r="GH51">
        <v>3</v>
      </c>
      <c r="GI51">
        <v>5</v>
      </c>
      <c r="GJ51">
        <v>0</v>
      </c>
      <c r="GK51">
        <v>0</v>
      </c>
      <c r="GL51">
        <f t="shared" si="45"/>
        <v>0</v>
      </c>
      <c r="GM51">
        <f t="shared" si="46"/>
        <v>51174</v>
      </c>
      <c r="GN51">
        <f t="shared" si="47"/>
        <v>51174</v>
      </c>
      <c r="GO51">
        <f t="shared" si="48"/>
        <v>0</v>
      </c>
      <c r="GP51">
        <f t="shared" si="49"/>
        <v>0</v>
      </c>
      <c r="GR51">
        <v>1</v>
      </c>
      <c r="GS51">
        <v>1</v>
      </c>
      <c r="GT51">
        <v>0</v>
      </c>
      <c r="GU51" t="s">
        <v>6</v>
      </c>
      <c r="GV51">
        <f t="shared" si="50"/>
        <v>0</v>
      </c>
      <c r="GW51">
        <v>1</v>
      </c>
      <c r="GX51">
        <f t="shared" si="51"/>
        <v>0</v>
      </c>
      <c r="HA51">
        <v>0</v>
      </c>
      <c r="HB51">
        <v>0</v>
      </c>
      <c r="HC51">
        <f t="shared" si="52"/>
        <v>0</v>
      </c>
      <c r="HE51" t="s">
        <v>39</v>
      </c>
      <c r="HF51" t="s">
        <v>40</v>
      </c>
      <c r="HM51" t="s">
        <v>6</v>
      </c>
      <c r="HN51" t="s">
        <v>6</v>
      </c>
      <c r="HO51" t="s">
        <v>6</v>
      </c>
      <c r="HP51" t="s">
        <v>6</v>
      </c>
      <c r="HQ51" t="s">
        <v>6</v>
      </c>
      <c r="IF51">
        <v>-1</v>
      </c>
      <c r="IK51">
        <v>0</v>
      </c>
    </row>
    <row r="52" spans="1:255" x14ac:dyDescent="0.2">
      <c r="A52" s="2">
        <v>18</v>
      </c>
      <c r="B52" s="2">
        <v>1</v>
      </c>
      <c r="C52" s="2">
        <v>51</v>
      </c>
      <c r="D52" s="2"/>
      <c r="E52" s="2" t="s">
        <v>91</v>
      </c>
      <c r="F52" s="2" t="s">
        <v>92</v>
      </c>
      <c r="G52" s="2" t="s">
        <v>93</v>
      </c>
      <c r="H52" s="2" t="s">
        <v>94</v>
      </c>
      <c r="I52" s="2">
        <f>I42*J52</f>
        <v>12.28464</v>
      </c>
      <c r="J52" s="226">
        <f>'5.Ведомость_списания'!F38</f>
        <v>5.3879999999999999</v>
      </c>
      <c r="K52" s="2">
        <v>5.3879999999999999</v>
      </c>
      <c r="L52" s="2"/>
      <c r="M52" s="2"/>
      <c r="N52" s="2"/>
      <c r="O52" s="2">
        <f t="shared" si="21"/>
        <v>58</v>
      </c>
      <c r="P52" s="2">
        <f t="shared" si="22"/>
        <v>58</v>
      </c>
      <c r="Q52" s="2">
        <f t="shared" si="23"/>
        <v>0</v>
      </c>
      <c r="R52" s="2">
        <f t="shared" si="24"/>
        <v>0</v>
      </c>
      <c r="S52" s="2">
        <f t="shared" si="25"/>
        <v>0</v>
      </c>
      <c r="T52" s="2">
        <f t="shared" si="26"/>
        <v>0</v>
      </c>
      <c r="U52" s="2">
        <f t="shared" si="27"/>
        <v>0</v>
      </c>
      <c r="V52" s="2">
        <f t="shared" si="28"/>
        <v>0</v>
      </c>
      <c r="W52" s="2">
        <f t="shared" si="29"/>
        <v>0</v>
      </c>
      <c r="X52" s="2">
        <f t="shared" si="30"/>
        <v>0</v>
      </c>
      <c r="Y52" s="2">
        <f t="shared" si="31"/>
        <v>0</v>
      </c>
      <c r="Z52" s="2"/>
      <c r="AA52" s="2">
        <v>86326987</v>
      </c>
      <c r="AB52" s="2">
        <f t="shared" si="32"/>
        <v>4.6900000000000004</v>
      </c>
      <c r="AC52" s="2">
        <f t="shared" si="55"/>
        <v>4.6900000000000004</v>
      </c>
      <c r="AD52" s="2">
        <f>ROUND((((ET52)-(EU52))+AE52),2)</f>
        <v>0</v>
      </c>
      <c r="AE52" s="2">
        <f t="shared" si="56"/>
        <v>0</v>
      </c>
      <c r="AF52" s="2">
        <f t="shared" si="57"/>
        <v>0</v>
      </c>
      <c r="AG52" s="2">
        <f t="shared" si="33"/>
        <v>0</v>
      </c>
      <c r="AH52" s="2">
        <f t="shared" si="58"/>
        <v>0</v>
      </c>
      <c r="AI52" s="2">
        <f t="shared" si="59"/>
        <v>0</v>
      </c>
      <c r="AJ52" s="2">
        <f t="shared" si="34"/>
        <v>0.01</v>
      </c>
      <c r="AK52" s="2">
        <v>4.6900000000000004</v>
      </c>
      <c r="AL52" s="110">
        <f>'1.Лок.смета.и.Акт'!F103</f>
        <v>4.6900000000000004</v>
      </c>
      <c r="AM52" s="2">
        <v>0</v>
      </c>
      <c r="AN52" s="2">
        <v>0</v>
      </c>
      <c r="AO52" s="2">
        <v>0</v>
      </c>
      <c r="AP52" s="2">
        <v>0</v>
      </c>
      <c r="AQ52" s="2">
        <v>0</v>
      </c>
      <c r="AR52" s="2">
        <v>0</v>
      </c>
      <c r="AS52" s="2">
        <v>0.01</v>
      </c>
      <c r="AT52" s="2">
        <v>0</v>
      </c>
      <c r="AU52" s="2">
        <v>0</v>
      </c>
      <c r="AV52" s="2">
        <v>1</v>
      </c>
      <c r="AW52" s="2">
        <v>1</v>
      </c>
      <c r="AX52" s="2"/>
      <c r="AY52" s="2"/>
      <c r="AZ52" s="2">
        <v>1</v>
      </c>
      <c r="BA52" s="2">
        <v>1</v>
      </c>
      <c r="BB52" s="2">
        <v>1</v>
      </c>
      <c r="BC52" s="2">
        <v>1</v>
      </c>
      <c r="BD52" s="2" t="s">
        <v>6</v>
      </c>
      <c r="BE52" s="2" t="s">
        <v>6</v>
      </c>
      <c r="BF52" s="2" t="s">
        <v>6</v>
      </c>
      <c r="BG52" s="2" t="s">
        <v>6</v>
      </c>
      <c r="BH52" s="2">
        <v>3</v>
      </c>
      <c r="BI52" s="2">
        <v>2</v>
      </c>
      <c r="BJ52" s="2" t="s">
        <v>95</v>
      </c>
      <c r="BK52" s="2"/>
      <c r="BL52" s="2"/>
      <c r="BM52" s="2">
        <v>500002</v>
      </c>
      <c r="BN52" s="2">
        <v>0</v>
      </c>
      <c r="BO52" s="2" t="s">
        <v>6</v>
      </c>
      <c r="BP52" s="2">
        <v>0</v>
      </c>
      <c r="BQ52" s="2">
        <v>21</v>
      </c>
      <c r="BR52" s="2">
        <v>0</v>
      </c>
      <c r="BS52" s="2">
        <v>1</v>
      </c>
      <c r="BT52" s="2">
        <v>1</v>
      </c>
      <c r="BU52" s="2">
        <v>1</v>
      </c>
      <c r="BV52" s="2">
        <v>1</v>
      </c>
      <c r="BW52" s="2">
        <v>1</v>
      </c>
      <c r="BX52" s="2">
        <v>1</v>
      </c>
      <c r="BY52" s="2" t="s">
        <v>6</v>
      </c>
      <c r="BZ52" s="2">
        <v>0</v>
      </c>
      <c r="CA52" s="2">
        <v>0</v>
      </c>
      <c r="CB52" s="2" t="s">
        <v>6</v>
      </c>
      <c r="CC52" s="2"/>
      <c r="CD52" s="2"/>
      <c r="CE52" s="2">
        <v>0</v>
      </c>
      <c r="CF52" s="2">
        <v>0</v>
      </c>
      <c r="CG52" s="2">
        <v>0</v>
      </c>
      <c r="CH52" s="2"/>
      <c r="CI52" s="2"/>
      <c r="CJ52" s="2"/>
      <c r="CK52" s="2"/>
      <c r="CL52" s="2"/>
      <c r="CM52" s="2">
        <v>0</v>
      </c>
      <c r="CN52" s="2" t="s">
        <v>6</v>
      </c>
      <c r="CO52" s="2">
        <v>0</v>
      </c>
      <c r="CP52" s="2">
        <f t="shared" si="35"/>
        <v>58</v>
      </c>
      <c r="CQ52" s="2">
        <f t="shared" si="36"/>
        <v>4.6900000000000004</v>
      </c>
      <c r="CR52" s="2">
        <f t="shared" si="37"/>
        <v>0</v>
      </c>
      <c r="CS52" s="2">
        <f t="shared" si="38"/>
        <v>0</v>
      </c>
      <c r="CT52" s="2">
        <f t="shared" si="39"/>
        <v>0</v>
      </c>
      <c r="CU52" s="2">
        <f t="shared" si="40"/>
        <v>0</v>
      </c>
      <c r="CV52" s="2">
        <f t="shared" si="41"/>
        <v>0</v>
      </c>
      <c r="CW52" s="2">
        <f t="shared" si="42"/>
        <v>0</v>
      </c>
      <c r="CX52" s="2">
        <f t="shared" si="43"/>
        <v>0.01</v>
      </c>
      <c r="CY52" s="2">
        <f>(((S52+(R52*IF(0,0,1)))*AT52)/100)</f>
        <v>0</v>
      </c>
      <c r="CZ52" s="2">
        <f>(((S52+(R52*IF(0,0,1)))*AU52)/100)</f>
        <v>0</v>
      </c>
      <c r="DA52" s="2"/>
      <c r="DB52" s="2"/>
      <c r="DC52" s="2" t="s">
        <v>6</v>
      </c>
      <c r="DD52" s="2" t="s">
        <v>6</v>
      </c>
      <c r="DE52" s="2" t="s">
        <v>6</v>
      </c>
      <c r="DF52" s="2" t="s">
        <v>6</v>
      </c>
      <c r="DG52" s="2" t="s">
        <v>6</v>
      </c>
      <c r="DH52" s="2" t="s">
        <v>6</v>
      </c>
      <c r="DI52" s="2" t="s">
        <v>6</v>
      </c>
      <c r="DJ52" s="2" t="s">
        <v>6</v>
      </c>
      <c r="DK52" s="2" t="s">
        <v>6</v>
      </c>
      <c r="DL52" s="2" t="s">
        <v>6</v>
      </c>
      <c r="DM52" s="2" t="s">
        <v>6</v>
      </c>
      <c r="DN52" s="2">
        <v>0</v>
      </c>
      <c r="DO52" s="2">
        <v>0</v>
      </c>
      <c r="DP52" s="2">
        <v>1</v>
      </c>
      <c r="DQ52" s="2">
        <v>1</v>
      </c>
      <c r="DR52" s="2"/>
      <c r="DS52" s="2"/>
      <c r="DT52" s="2"/>
      <c r="DU52" s="2">
        <v>1003</v>
      </c>
      <c r="DV52" s="2" t="s">
        <v>94</v>
      </c>
      <c r="DW52" s="2" t="s">
        <v>94</v>
      </c>
      <c r="DX52" s="2">
        <v>1</v>
      </c>
      <c r="DY52" s="2"/>
      <c r="DZ52" s="2" t="s">
        <v>6</v>
      </c>
      <c r="EA52" s="2" t="s">
        <v>6</v>
      </c>
      <c r="EB52" s="2" t="s">
        <v>6</v>
      </c>
      <c r="EC52" s="2" t="s">
        <v>6</v>
      </c>
      <c r="ED52" s="2"/>
      <c r="EE52" s="2">
        <v>54938782</v>
      </c>
      <c r="EF52" s="2">
        <v>21</v>
      </c>
      <c r="EG52" s="2" t="s">
        <v>96</v>
      </c>
      <c r="EH52" s="2">
        <v>0</v>
      </c>
      <c r="EI52" s="2" t="s">
        <v>6</v>
      </c>
      <c r="EJ52" s="2">
        <v>2</v>
      </c>
      <c r="EK52" s="2">
        <v>500002</v>
      </c>
      <c r="EL52" s="2" t="s">
        <v>97</v>
      </c>
      <c r="EM52" s="2" t="s">
        <v>98</v>
      </c>
      <c r="EN52" s="2"/>
      <c r="EO52" s="2" t="s">
        <v>6</v>
      </c>
      <c r="EP52" s="2"/>
      <c r="EQ52" s="2">
        <v>0</v>
      </c>
      <c r="ER52" s="2">
        <v>4.6900000000000004</v>
      </c>
      <c r="ES52" s="110">
        <f>'1.Лок.смета.и.Акт'!F103</f>
        <v>4.6900000000000004</v>
      </c>
      <c r="ET52" s="2">
        <v>0</v>
      </c>
      <c r="EU52" s="2">
        <v>0</v>
      </c>
      <c r="EV52" s="2">
        <v>0</v>
      </c>
      <c r="EW52" s="2">
        <v>0</v>
      </c>
      <c r="EX52" s="2">
        <v>0</v>
      </c>
      <c r="EY52" s="2"/>
      <c r="EZ52" s="2"/>
      <c r="FA52" s="2"/>
      <c r="FB52" s="2"/>
      <c r="FC52" s="2"/>
      <c r="FD52" s="2"/>
      <c r="FE52" s="2"/>
      <c r="FF52" s="2"/>
      <c r="FG52" s="2"/>
      <c r="FH52" s="2"/>
      <c r="FI52" s="2"/>
      <c r="FJ52" s="2"/>
      <c r="FK52" s="2"/>
      <c r="FL52" s="2"/>
      <c r="FM52" s="2"/>
      <c r="FN52" s="2"/>
      <c r="FO52" s="2"/>
      <c r="FP52" s="2"/>
      <c r="FQ52" s="2">
        <v>0</v>
      </c>
      <c r="FR52" s="2">
        <f t="shared" si="44"/>
        <v>0</v>
      </c>
      <c r="FS52" s="2">
        <v>0</v>
      </c>
      <c r="FT52" s="2"/>
      <c r="FU52" s="2"/>
      <c r="FV52" s="2"/>
      <c r="FW52" s="2"/>
      <c r="FX52" s="2">
        <v>0</v>
      </c>
      <c r="FY52" s="2">
        <v>0</v>
      </c>
      <c r="FZ52" s="2"/>
      <c r="GA52" s="2" t="s">
        <v>6</v>
      </c>
      <c r="GB52" s="2"/>
      <c r="GC52" s="2"/>
      <c r="GD52" s="2">
        <v>1</v>
      </c>
      <c r="GE52" s="2"/>
      <c r="GF52" s="2">
        <v>-1608277363</v>
      </c>
      <c r="GG52" s="2">
        <v>2</v>
      </c>
      <c r="GH52" s="2">
        <v>1</v>
      </c>
      <c r="GI52" s="2">
        <v>-2</v>
      </c>
      <c r="GJ52" s="2">
        <v>0</v>
      </c>
      <c r="GK52" s="2">
        <v>0</v>
      </c>
      <c r="GL52" s="2">
        <f t="shared" si="45"/>
        <v>0</v>
      </c>
      <c r="GM52" s="2">
        <f t="shared" si="46"/>
        <v>58</v>
      </c>
      <c r="GN52" s="2">
        <f t="shared" si="47"/>
        <v>0</v>
      </c>
      <c r="GO52" s="2">
        <f t="shared" si="48"/>
        <v>58</v>
      </c>
      <c r="GP52" s="2">
        <f t="shared" si="49"/>
        <v>0</v>
      </c>
      <c r="GQ52" s="2"/>
      <c r="GR52" s="2">
        <v>0</v>
      </c>
      <c r="GS52" s="2">
        <v>3</v>
      </c>
      <c r="GT52" s="2">
        <v>0</v>
      </c>
      <c r="GU52" s="2" t="s">
        <v>6</v>
      </c>
      <c r="GV52" s="2">
        <f t="shared" si="50"/>
        <v>0</v>
      </c>
      <c r="GW52" s="2">
        <v>1</v>
      </c>
      <c r="GX52" s="2">
        <f t="shared" si="51"/>
        <v>0</v>
      </c>
      <c r="GY52" s="2"/>
      <c r="GZ52" s="2"/>
      <c r="HA52" s="2">
        <v>0</v>
      </c>
      <c r="HB52" s="2">
        <v>0</v>
      </c>
      <c r="HC52" s="2">
        <f t="shared" si="52"/>
        <v>0</v>
      </c>
      <c r="HD52" s="2"/>
      <c r="HE52" s="2" t="s">
        <v>6</v>
      </c>
      <c r="HF52" s="2" t="s">
        <v>6</v>
      </c>
      <c r="HG52" s="2"/>
      <c r="HH52" s="2"/>
      <c r="HI52" s="2"/>
      <c r="HJ52" s="2"/>
      <c r="HK52" s="2"/>
      <c r="HL52" s="2"/>
      <c r="HM52" s="2" t="s">
        <v>6</v>
      </c>
      <c r="HN52" s="2" t="s">
        <v>6</v>
      </c>
      <c r="HO52" s="2" t="s">
        <v>6</v>
      </c>
      <c r="HP52" s="2" t="s">
        <v>6</v>
      </c>
      <c r="HQ52" s="2" t="s">
        <v>6</v>
      </c>
      <c r="HR52" s="2"/>
      <c r="HS52" s="2"/>
      <c r="HT52" s="2"/>
      <c r="HU52" s="2"/>
      <c r="HV52" s="2"/>
      <c r="HW52" s="2"/>
      <c r="HX52" s="2"/>
      <c r="HY52" s="2"/>
      <c r="HZ52" s="2"/>
      <c r="IA52" s="2"/>
      <c r="IB52" s="2"/>
      <c r="IC52" s="2"/>
      <c r="ID52" s="2"/>
      <c r="IE52" s="2"/>
      <c r="IF52" s="2">
        <v>-1</v>
      </c>
      <c r="IG52" s="2"/>
      <c r="IH52" s="2"/>
      <c r="II52" s="2"/>
      <c r="IJ52" s="2"/>
      <c r="IK52" s="2">
        <v>0</v>
      </c>
      <c r="IL52" s="2"/>
      <c r="IM52" s="2"/>
      <c r="IN52" s="2"/>
      <c r="IO52" s="2"/>
      <c r="IP52" s="2"/>
      <c r="IQ52" s="2"/>
      <c r="IR52" s="2"/>
      <c r="IS52" s="2"/>
      <c r="IT52" s="2"/>
      <c r="IU52" s="2"/>
    </row>
    <row r="53" spans="1:255" x14ac:dyDescent="0.2">
      <c r="A53">
        <v>18</v>
      </c>
      <c r="B53">
        <v>1</v>
      </c>
      <c r="C53">
        <v>64</v>
      </c>
      <c r="E53" t="s">
        <v>91</v>
      </c>
      <c r="F53" t="e">
        <f>'2.Лок.смета.и.Акт'!#REF!</f>
        <v>#REF!</v>
      </c>
      <c r="G53" t="s">
        <v>93</v>
      </c>
      <c r="H53" t="s">
        <v>94</v>
      </c>
      <c r="I53">
        <f>I43*J53</f>
        <v>12.28464</v>
      </c>
      <c r="J53">
        <v>5.3879999999999999</v>
      </c>
      <c r="K53">
        <v>5.3879999999999999</v>
      </c>
      <c r="O53">
        <f t="shared" si="21"/>
        <v>397</v>
      </c>
      <c r="P53">
        <f t="shared" si="22"/>
        <v>397</v>
      </c>
      <c r="Q53">
        <f t="shared" si="23"/>
        <v>0</v>
      </c>
      <c r="R53">
        <f t="shared" si="24"/>
        <v>0</v>
      </c>
      <c r="S53">
        <f t="shared" si="25"/>
        <v>0</v>
      </c>
      <c r="T53">
        <f t="shared" si="26"/>
        <v>0</v>
      </c>
      <c r="U53">
        <f t="shared" si="27"/>
        <v>0</v>
      </c>
      <c r="V53">
        <f t="shared" si="28"/>
        <v>0</v>
      </c>
      <c r="W53">
        <f t="shared" si="29"/>
        <v>0</v>
      </c>
      <c r="X53">
        <f t="shared" si="30"/>
        <v>0</v>
      </c>
      <c r="Y53">
        <f t="shared" si="31"/>
        <v>0</v>
      </c>
      <c r="AA53">
        <v>86326988</v>
      </c>
      <c r="AB53">
        <f t="shared" si="32"/>
        <v>4.28</v>
      </c>
      <c r="AC53">
        <f t="shared" si="55"/>
        <v>4.28</v>
      </c>
      <c r="AD53">
        <f>ROUND((((ET53)-(EU53))+AE53),2)</f>
        <v>0</v>
      </c>
      <c r="AE53">
        <f t="shared" si="56"/>
        <v>0</v>
      </c>
      <c r="AF53">
        <f t="shared" si="57"/>
        <v>0</v>
      </c>
      <c r="AG53">
        <f t="shared" si="33"/>
        <v>0</v>
      </c>
      <c r="AH53">
        <f t="shared" si="58"/>
        <v>0</v>
      </c>
      <c r="AI53">
        <f t="shared" si="59"/>
        <v>0</v>
      </c>
      <c r="AJ53">
        <f t="shared" si="34"/>
        <v>0.01</v>
      </c>
      <c r="AK53">
        <v>4.28</v>
      </c>
      <c r="AL53">
        <v>4.28</v>
      </c>
      <c r="AM53">
        <v>0</v>
      </c>
      <c r="AN53">
        <v>0</v>
      </c>
      <c r="AO53">
        <v>0</v>
      </c>
      <c r="AP53">
        <v>0</v>
      </c>
      <c r="AQ53">
        <v>0</v>
      </c>
      <c r="AR53">
        <v>0</v>
      </c>
      <c r="AS53">
        <v>0.01</v>
      </c>
      <c r="AT53">
        <v>0</v>
      </c>
      <c r="AU53">
        <v>0</v>
      </c>
      <c r="AV53">
        <v>1</v>
      </c>
      <c r="AW53">
        <v>1</v>
      </c>
      <c r="AZ53">
        <v>1</v>
      </c>
      <c r="BA53">
        <v>1</v>
      </c>
      <c r="BB53">
        <v>1</v>
      </c>
      <c r="BC53">
        <v>7.56</v>
      </c>
      <c r="BD53" t="s">
        <v>6</v>
      </c>
      <c r="BE53" t="s">
        <v>6</v>
      </c>
      <c r="BF53" t="s">
        <v>6</v>
      </c>
      <c r="BG53" t="s">
        <v>6</v>
      </c>
      <c r="BH53">
        <v>3</v>
      </c>
      <c r="BI53">
        <v>2</v>
      </c>
      <c r="BJ53" t="s">
        <v>95</v>
      </c>
      <c r="BM53">
        <v>500002</v>
      </c>
      <c r="BN53">
        <v>0</v>
      </c>
      <c r="BO53" t="s">
        <v>6</v>
      </c>
      <c r="BP53">
        <v>0</v>
      </c>
      <c r="BQ53">
        <v>21</v>
      </c>
      <c r="BR53">
        <v>0</v>
      </c>
      <c r="BS53">
        <v>1</v>
      </c>
      <c r="BT53">
        <v>1</v>
      </c>
      <c r="BU53">
        <v>1</v>
      </c>
      <c r="BV53">
        <v>1</v>
      </c>
      <c r="BW53">
        <v>1</v>
      </c>
      <c r="BX53">
        <v>1</v>
      </c>
      <c r="BY53" t="s">
        <v>6</v>
      </c>
      <c r="BZ53">
        <v>0</v>
      </c>
      <c r="CA53">
        <v>0</v>
      </c>
      <c r="CB53" t="s">
        <v>6</v>
      </c>
      <c r="CE53">
        <v>0</v>
      </c>
      <c r="CF53">
        <v>0</v>
      </c>
      <c r="CG53">
        <v>0</v>
      </c>
      <c r="CM53">
        <v>0</v>
      </c>
      <c r="CN53" t="s">
        <v>6</v>
      </c>
      <c r="CO53">
        <v>0</v>
      </c>
      <c r="CP53">
        <f t="shared" si="35"/>
        <v>397</v>
      </c>
      <c r="CQ53">
        <f t="shared" si="36"/>
        <v>32.3568</v>
      </c>
      <c r="CR53">
        <f t="shared" si="37"/>
        <v>0</v>
      </c>
      <c r="CS53">
        <f t="shared" si="38"/>
        <v>0</v>
      </c>
      <c r="CT53">
        <f t="shared" si="39"/>
        <v>0</v>
      </c>
      <c r="CU53">
        <f t="shared" si="40"/>
        <v>0</v>
      </c>
      <c r="CV53">
        <f t="shared" si="41"/>
        <v>0</v>
      </c>
      <c r="CW53">
        <f t="shared" si="42"/>
        <v>0</v>
      </c>
      <c r="CX53">
        <f t="shared" si="43"/>
        <v>0.01</v>
      </c>
      <c r="CY53">
        <f>(S53+R53)*(BZ53/100)</f>
        <v>0</v>
      </c>
      <c r="CZ53">
        <f>(S53+R53)*(CA53/100)</f>
        <v>0</v>
      </c>
      <c r="DC53" t="s">
        <v>6</v>
      </c>
      <c r="DD53" t="s">
        <v>6</v>
      </c>
      <c r="DE53" t="s">
        <v>6</v>
      </c>
      <c r="DF53" t="s">
        <v>6</v>
      </c>
      <c r="DG53" t="s">
        <v>6</v>
      </c>
      <c r="DH53" t="s">
        <v>6</v>
      </c>
      <c r="DI53" t="s">
        <v>6</v>
      </c>
      <c r="DJ53" t="s">
        <v>6</v>
      </c>
      <c r="DK53" t="s">
        <v>6</v>
      </c>
      <c r="DL53" t="s">
        <v>6</v>
      </c>
      <c r="DM53" t="s">
        <v>6</v>
      </c>
      <c r="DN53">
        <v>0</v>
      </c>
      <c r="DO53">
        <v>0</v>
      </c>
      <c r="DP53">
        <v>1</v>
      </c>
      <c r="DQ53">
        <v>1</v>
      </c>
      <c r="DU53">
        <v>1003</v>
      </c>
      <c r="DV53" t="s">
        <v>94</v>
      </c>
      <c r="DW53" t="e">
        <f>'2.Лок.смета.и.Акт'!#REF!</f>
        <v>#REF!</v>
      </c>
      <c r="DX53">
        <v>1</v>
      </c>
      <c r="DZ53" t="s">
        <v>6</v>
      </c>
      <c r="EA53" t="s">
        <v>6</v>
      </c>
      <c r="EB53" t="s">
        <v>6</v>
      </c>
      <c r="EC53" t="s">
        <v>6</v>
      </c>
      <c r="EE53">
        <v>54938782</v>
      </c>
      <c r="EF53">
        <v>21</v>
      </c>
      <c r="EG53" t="s">
        <v>96</v>
      </c>
      <c r="EH53">
        <v>0</v>
      </c>
      <c r="EI53" t="s">
        <v>6</v>
      </c>
      <c r="EJ53">
        <v>2</v>
      </c>
      <c r="EK53">
        <v>500002</v>
      </c>
      <c r="EL53" t="s">
        <v>97</v>
      </c>
      <c r="EM53" t="s">
        <v>98</v>
      </c>
      <c r="EO53" t="s">
        <v>6</v>
      </c>
      <c r="EQ53">
        <v>0</v>
      </c>
      <c r="ER53">
        <v>30.51</v>
      </c>
      <c r="ES53">
        <v>4.28</v>
      </c>
      <c r="ET53">
        <v>0</v>
      </c>
      <c r="EU53">
        <v>0</v>
      </c>
      <c r="EV53">
        <v>0</v>
      </c>
      <c r="EW53">
        <v>0</v>
      </c>
      <c r="EX53">
        <v>0</v>
      </c>
      <c r="EZ53">
        <v>5</v>
      </c>
      <c r="FC53">
        <v>0</v>
      </c>
      <c r="FD53">
        <v>18</v>
      </c>
      <c r="FF53">
        <v>30.51</v>
      </c>
      <c r="FQ53">
        <v>0</v>
      </c>
      <c r="FR53">
        <f t="shared" si="44"/>
        <v>0</v>
      </c>
      <c r="FS53">
        <v>0</v>
      </c>
      <c r="FX53">
        <v>0</v>
      </c>
      <c r="FY53">
        <v>0</v>
      </c>
      <c r="GA53" t="s">
        <v>99</v>
      </c>
      <c r="GD53">
        <v>1</v>
      </c>
      <c r="GF53">
        <v>-1608277363</v>
      </c>
      <c r="GG53">
        <v>2</v>
      </c>
      <c r="GH53">
        <v>3</v>
      </c>
      <c r="GI53">
        <v>5</v>
      </c>
      <c r="GJ53">
        <v>0</v>
      </c>
      <c r="GK53">
        <v>0</v>
      </c>
      <c r="GL53">
        <f t="shared" si="45"/>
        <v>0</v>
      </c>
      <c r="GM53">
        <f t="shared" si="46"/>
        <v>397</v>
      </c>
      <c r="GN53">
        <f t="shared" si="47"/>
        <v>0</v>
      </c>
      <c r="GO53">
        <f t="shared" si="48"/>
        <v>397</v>
      </c>
      <c r="GP53">
        <f t="shared" si="49"/>
        <v>0</v>
      </c>
      <c r="GR53">
        <v>1</v>
      </c>
      <c r="GS53">
        <v>1</v>
      </c>
      <c r="GT53">
        <v>0</v>
      </c>
      <c r="GU53" t="s">
        <v>6</v>
      </c>
      <c r="GV53">
        <f t="shared" si="50"/>
        <v>0</v>
      </c>
      <c r="GW53">
        <v>1</v>
      </c>
      <c r="GX53">
        <f t="shared" si="51"/>
        <v>0</v>
      </c>
      <c r="HA53">
        <v>0</v>
      </c>
      <c r="HB53">
        <v>0</v>
      </c>
      <c r="HC53">
        <f t="shared" si="52"/>
        <v>0</v>
      </c>
      <c r="HE53" t="s">
        <v>39</v>
      </c>
      <c r="HF53" t="s">
        <v>40</v>
      </c>
      <c r="HM53" t="s">
        <v>6</v>
      </c>
      <c r="HN53" t="s">
        <v>6</v>
      </c>
      <c r="HO53" t="s">
        <v>6</v>
      </c>
      <c r="HP53" t="s">
        <v>6</v>
      </c>
      <c r="HQ53" t="s">
        <v>6</v>
      </c>
      <c r="IF53">
        <v>-1</v>
      </c>
      <c r="IK53">
        <v>0</v>
      </c>
    </row>
    <row r="54" spans="1:255" x14ac:dyDescent="0.2">
      <c r="A54" s="2">
        <v>18</v>
      </c>
      <c r="B54" s="2">
        <v>1</v>
      </c>
      <c r="C54" s="2">
        <v>48</v>
      </c>
      <c r="D54" s="2"/>
      <c r="E54" s="2" t="s">
        <v>100</v>
      </c>
      <c r="F54" s="2" t="s">
        <v>101</v>
      </c>
      <c r="G54" s="2" t="s">
        <v>102</v>
      </c>
      <c r="H54" s="2" t="s">
        <v>103</v>
      </c>
      <c r="I54" s="2">
        <f>I42*J54</f>
        <v>52.44</v>
      </c>
      <c r="J54" s="226">
        <f>'5.Ведомость_списания'!F39</f>
        <v>23</v>
      </c>
      <c r="K54" s="2">
        <v>23</v>
      </c>
      <c r="L54" s="2"/>
      <c r="M54" s="2"/>
      <c r="N54" s="2"/>
      <c r="O54" s="2">
        <f t="shared" si="21"/>
        <v>13</v>
      </c>
      <c r="P54" s="2">
        <f t="shared" si="22"/>
        <v>13</v>
      </c>
      <c r="Q54" s="2">
        <f t="shared" si="23"/>
        <v>0</v>
      </c>
      <c r="R54" s="2">
        <f t="shared" si="24"/>
        <v>0</v>
      </c>
      <c r="S54" s="2">
        <f t="shared" si="25"/>
        <v>0</v>
      </c>
      <c r="T54" s="2">
        <f t="shared" si="26"/>
        <v>0</v>
      </c>
      <c r="U54" s="2">
        <f t="shared" si="27"/>
        <v>0</v>
      </c>
      <c r="V54" s="2">
        <f t="shared" si="28"/>
        <v>0</v>
      </c>
      <c r="W54" s="2">
        <f t="shared" si="29"/>
        <v>0</v>
      </c>
      <c r="X54" s="2">
        <f t="shared" si="30"/>
        <v>0</v>
      </c>
      <c r="Y54" s="2">
        <f t="shared" si="31"/>
        <v>0</v>
      </c>
      <c r="Z54" s="2"/>
      <c r="AA54" s="2">
        <v>86326987</v>
      </c>
      <c r="AB54" s="2">
        <f t="shared" si="32"/>
        <v>0.24</v>
      </c>
      <c r="AC54" s="2">
        <f t="shared" si="55"/>
        <v>0.24</v>
      </c>
      <c r="AD54" s="2">
        <f t="shared" ref="AD54:AD59" si="60">ROUND((ET54),2)</f>
        <v>0</v>
      </c>
      <c r="AE54" s="2">
        <f t="shared" si="56"/>
        <v>0</v>
      </c>
      <c r="AF54" s="2">
        <f t="shared" si="57"/>
        <v>0</v>
      </c>
      <c r="AG54" s="2">
        <f t="shared" si="33"/>
        <v>0</v>
      </c>
      <c r="AH54" s="2">
        <f t="shared" si="58"/>
        <v>0</v>
      </c>
      <c r="AI54" s="2">
        <f t="shared" si="59"/>
        <v>0</v>
      </c>
      <c r="AJ54" s="2">
        <f t="shared" si="34"/>
        <v>0</v>
      </c>
      <c r="AK54" s="2">
        <v>0.24</v>
      </c>
      <c r="AL54" s="110">
        <f>'1.Лок.смета.и.Акт'!F105</f>
        <v>0.24</v>
      </c>
      <c r="AM54" s="2">
        <v>0</v>
      </c>
      <c r="AN54" s="2">
        <v>0</v>
      </c>
      <c r="AO54" s="2">
        <v>0</v>
      </c>
      <c r="AP54" s="2">
        <v>0</v>
      </c>
      <c r="AQ54" s="2">
        <v>0</v>
      </c>
      <c r="AR54" s="2">
        <v>0</v>
      </c>
      <c r="AS54" s="2">
        <v>0</v>
      </c>
      <c r="AT54" s="2">
        <v>0</v>
      </c>
      <c r="AU54" s="2">
        <v>0</v>
      </c>
      <c r="AV54" s="2">
        <v>1</v>
      </c>
      <c r="AW54" s="2">
        <v>1</v>
      </c>
      <c r="AX54" s="2"/>
      <c r="AY54" s="2"/>
      <c r="AZ54" s="2">
        <v>1</v>
      </c>
      <c r="BA54" s="2">
        <v>1</v>
      </c>
      <c r="BB54" s="2">
        <v>1</v>
      </c>
      <c r="BC54" s="2">
        <v>1</v>
      </c>
      <c r="BD54" s="2" t="s">
        <v>6</v>
      </c>
      <c r="BE54" s="2" t="s">
        <v>6</v>
      </c>
      <c r="BF54" s="2" t="s">
        <v>6</v>
      </c>
      <c r="BG54" s="2" t="s">
        <v>6</v>
      </c>
      <c r="BH54" s="2">
        <v>3</v>
      </c>
      <c r="BI54" s="2">
        <v>1</v>
      </c>
      <c r="BJ54" s="2" t="s">
        <v>104</v>
      </c>
      <c r="BK54" s="2"/>
      <c r="BL54" s="2"/>
      <c r="BM54" s="2">
        <v>3101</v>
      </c>
      <c r="BN54" s="2">
        <v>0</v>
      </c>
      <c r="BO54" s="2" t="s">
        <v>6</v>
      </c>
      <c r="BP54" s="2">
        <v>0</v>
      </c>
      <c r="BQ54" s="2">
        <v>0</v>
      </c>
      <c r="BR54" s="2">
        <v>0</v>
      </c>
      <c r="BS54" s="2">
        <v>1</v>
      </c>
      <c r="BT54" s="2">
        <v>1</v>
      </c>
      <c r="BU54" s="2">
        <v>1</v>
      </c>
      <c r="BV54" s="2">
        <v>1</v>
      </c>
      <c r="BW54" s="2">
        <v>1</v>
      </c>
      <c r="BX54" s="2">
        <v>1</v>
      </c>
      <c r="BY54" s="2" t="s">
        <v>6</v>
      </c>
      <c r="BZ54" s="2">
        <v>0</v>
      </c>
      <c r="CA54" s="2">
        <v>0</v>
      </c>
      <c r="CB54" s="2" t="s">
        <v>6</v>
      </c>
      <c r="CC54" s="2"/>
      <c r="CD54" s="2"/>
      <c r="CE54" s="2">
        <v>0</v>
      </c>
      <c r="CF54" s="2">
        <v>0</v>
      </c>
      <c r="CG54" s="2">
        <v>0</v>
      </c>
      <c r="CH54" s="2"/>
      <c r="CI54" s="2"/>
      <c r="CJ54" s="2"/>
      <c r="CK54" s="2"/>
      <c r="CL54" s="2"/>
      <c r="CM54" s="2">
        <v>0</v>
      </c>
      <c r="CN54" s="2" t="s">
        <v>6</v>
      </c>
      <c r="CO54" s="2">
        <v>0</v>
      </c>
      <c r="CP54" s="2">
        <f t="shared" si="35"/>
        <v>13</v>
      </c>
      <c r="CQ54" s="2">
        <f t="shared" si="36"/>
        <v>0.24</v>
      </c>
      <c r="CR54" s="2">
        <f t="shared" si="37"/>
        <v>0</v>
      </c>
      <c r="CS54" s="2">
        <f t="shared" si="38"/>
        <v>0</v>
      </c>
      <c r="CT54" s="2">
        <f t="shared" si="39"/>
        <v>0</v>
      </c>
      <c r="CU54" s="2">
        <f t="shared" si="40"/>
        <v>0</v>
      </c>
      <c r="CV54" s="2">
        <f t="shared" si="41"/>
        <v>0</v>
      </c>
      <c r="CW54" s="2">
        <f t="shared" si="42"/>
        <v>0</v>
      </c>
      <c r="CX54" s="2">
        <f t="shared" si="43"/>
        <v>0</v>
      </c>
      <c r="CY54" s="2">
        <f>0</f>
        <v>0</v>
      </c>
      <c r="CZ54" s="2">
        <f>0</f>
        <v>0</v>
      </c>
      <c r="DA54" s="2"/>
      <c r="DB54" s="2"/>
      <c r="DC54" s="2" t="s">
        <v>6</v>
      </c>
      <c r="DD54" s="2" t="s">
        <v>6</v>
      </c>
      <c r="DE54" s="2" t="s">
        <v>6</v>
      </c>
      <c r="DF54" s="2" t="s">
        <v>6</v>
      </c>
      <c r="DG54" s="2" t="s">
        <v>6</v>
      </c>
      <c r="DH54" s="2" t="s">
        <v>6</v>
      </c>
      <c r="DI54" s="2" t="s">
        <v>6</v>
      </c>
      <c r="DJ54" s="2" t="s">
        <v>6</v>
      </c>
      <c r="DK54" s="2" t="s">
        <v>6</v>
      </c>
      <c r="DL54" s="2" t="s">
        <v>6</v>
      </c>
      <c r="DM54" s="2" t="s">
        <v>6</v>
      </c>
      <c r="DN54" s="2">
        <v>0</v>
      </c>
      <c r="DO54" s="2">
        <v>0</v>
      </c>
      <c r="DP54" s="2">
        <v>1</v>
      </c>
      <c r="DQ54" s="2">
        <v>1</v>
      </c>
      <c r="DR54" s="2"/>
      <c r="DS54" s="2"/>
      <c r="DT54" s="2"/>
      <c r="DU54" s="2">
        <v>1013</v>
      </c>
      <c r="DV54" s="2" t="s">
        <v>103</v>
      </c>
      <c r="DW54" s="2" t="s">
        <v>103</v>
      </c>
      <c r="DX54" s="2">
        <v>1</v>
      </c>
      <c r="DY54" s="2"/>
      <c r="DZ54" s="2" t="s">
        <v>6</v>
      </c>
      <c r="EA54" s="2" t="s">
        <v>6</v>
      </c>
      <c r="EB54" s="2" t="s">
        <v>6</v>
      </c>
      <c r="EC54" s="2" t="s">
        <v>6</v>
      </c>
      <c r="ED54" s="2"/>
      <c r="EE54" s="2">
        <v>0</v>
      </c>
      <c r="EF54" s="2">
        <v>0</v>
      </c>
      <c r="EG54" s="2" t="s">
        <v>6</v>
      </c>
      <c r="EH54" s="2">
        <v>0</v>
      </c>
      <c r="EI54" s="2" t="s">
        <v>6</v>
      </c>
      <c r="EJ54" s="2">
        <v>0</v>
      </c>
      <c r="EK54" s="2">
        <v>3101</v>
      </c>
      <c r="EL54" s="2" t="s">
        <v>6</v>
      </c>
      <c r="EM54" s="2" t="s">
        <v>6</v>
      </c>
      <c r="EN54" s="2"/>
      <c r="EO54" s="2" t="s">
        <v>6</v>
      </c>
      <c r="EP54" s="2"/>
      <c r="EQ54" s="2">
        <v>0</v>
      </c>
      <c r="ER54" s="2">
        <v>0.24</v>
      </c>
      <c r="ES54" s="110">
        <f>'1.Лок.смета.и.Акт'!F105</f>
        <v>0.24</v>
      </c>
      <c r="ET54" s="2">
        <v>0</v>
      </c>
      <c r="EU54" s="2">
        <v>0</v>
      </c>
      <c r="EV54" s="2">
        <v>0</v>
      </c>
      <c r="EW54" s="2">
        <v>0</v>
      </c>
      <c r="EX54" s="2">
        <v>0</v>
      </c>
      <c r="EY54" s="2"/>
      <c r="EZ54" s="2"/>
      <c r="FA54" s="2"/>
      <c r="FB54" s="2"/>
      <c r="FC54" s="2"/>
      <c r="FD54" s="2"/>
      <c r="FE54" s="2"/>
      <c r="FF54" s="2"/>
      <c r="FG54" s="2"/>
      <c r="FH54" s="2"/>
      <c r="FI54" s="2"/>
      <c r="FJ54" s="2"/>
      <c r="FK54" s="2"/>
      <c r="FL54" s="2"/>
      <c r="FM54" s="2"/>
      <c r="FN54" s="2"/>
      <c r="FO54" s="2"/>
      <c r="FP54" s="2"/>
      <c r="FQ54" s="2">
        <v>0</v>
      </c>
      <c r="FR54" s="2">
        <f t="shared" si="44"/>
        <v>0</v>
      </c>
      <c r="FS54" s="2">
        <v>0</v>
      </c>
      <c r="FT54" s="2"/>
      <c r="FU54" s="2"/>
      <c r="FV54" s="2"/>
      <c r="FW54" s="2"/>
      <c r="FX54" s="2">
        <v>0</v>
      </c>
      <c r="FY54" s="2">
        <v>0</v>
      </c>
      <c r="FZ54" s="2"/>
      <c r="GA54" s="2" t="s">
        <v>6</v>
      </c>
      <c r="GB54" s="2"/>
      <c r="GC54" s="2"/>
      <c r="GD54" s="2">
        <v>1</v>
      </c>
      <c r="GE54" s="2"/>
      <c r="GF54" s="2">
        <v>-504018761</v>
      </c>
      <c r="GG54" s="2">
        <v>2</v>
      </c>
      <c r="GH54" s="2">
        <v>1</v>
      </c>
      <c r="GI54" s="2">
        <v>-2</v>
      </c>
      <c r="GJ54" s="2">
        <v>0</v>
      </c>
      <c r="GK54" s="2">
        <v>0</v>
      </c>
      <c r="GL54" s="2">
        <f t="shared" si="45"/>
        <v>0</v>
      </c>
      <c r="GM54" s="2">
        <f t="shared" si="46"/>
        <v>13</v>
      </c>
      <c r="GN54" s="2">
        <f t="shared" si="47"/>
        <v>13</v>
      </c>
      <c r="GO54" s="2">
        <f t="shared" si="48"/>
        <v>0</v>
      </c>
      <c r="GP54" s="2">
        <f t="shared" si="49"/>
        <v>0</v>
      </c>
      <c r="GQ54" s="2"/>
      <c r="GR54" s="2">
        <v>0</v>
      </c>
      <c r="GS54" s="2">
        <v>3</v>
      </c>
      <c r="GT54" s="2">
        <v>0</v>
      </c>
      <c r="GU54" s="2" t="s">
        <v>6</v>
      </c>
      <c r="GV54" s="2">
        <f t="shared" si="50"/>
        <v>0</v>
      </c>
      <c r="GW54" s="2">
        <v>1</v>
      </c>
      <c r="GX54" s="2">
        <f t="shared" si="51"/>
        <v>0</v>
      </c>
      <c r="GY54" s="2"/>
      <c r="GZ54" s="2"/>
      <c r="HA54" s="2">
        <v>0</v>
      </c>
      <c r="HB54" s="2">
        <v>0</v>
      </c>
      <c r="HC54" s="2">
        <f t="shared" si="52"/>
        <v>0</v>
      </c>
      <c r="HD54" s="2"/>
      <c r="HE54" s="2" t="s">
        <v>6</v>
      </c>
      <c r="HF54" s="2" t="s">
        <v>6</v>
      </c>
      <c r="HG54" s="2"/>
      <c r="HH54" s="2"/>
      <c r="HI54" s="2"/>
      <c r="HJ54" s="2"/>
      <c r="HK54" s="2"/>
      <c r="HL54" s="2"/>
      <c r="HM54" s="2" t="s">
        <v>6</v>
      </c>
      <c r="HN54" s="2" t="s">
        <v>6</v>
      </c>
      <c r="HO54" s="2" t="s">
        <v>6</v>
      </c>
      <c r="HP54" s="2" t="s">
        <v>6</v>
      </c>
      <c r="HQ54" s="2" t="s">
        <v>6</v>
      </c>
      <c r="HR54" s="2"/>
      <c r="HS54" s="2"/>
      <c r="HT54" s="2"/>
      <c r="HU54" s="2"/>
      <c r="HV54" s="2"/>
      <c r="HW54" s="2"/>
      <c r="HX54" s="2"/>
      <c r="HY54" s="2"/>
      <c r="HZ54" s="2"/>
      <c r="IA54" s="2"/>
      <c r="IB54" s="2"/>
      <c r="IC54" s="2"/>
      <c r="ID54" s="2"/>
      <c r="IE54" s="2"/>
      <c r="IF54" s="2">
        <v>-1</v>
      </c>
      <c r="IG54" s="2"/>
      <c r="IH54" s="2"/>
      <c r="II54" s="2"/>
      <c r="IJ54" s="2"/>
      <c r="IK54" s="2">
        <v>0</v>
      </c>
      <c r="IL54" s="2"/>
      <c r="IM54" s="2"/>
      <c r="IN54" s="2"/>
      <c r="IO54" s="2"/>
      <c r="IP54" s="2"/>
      <c r="IQ54" s="2"/>
      <c r="IR54" s="2"/>
      <c r="IS54" s="2"/>
      <c r="IT54" s="2"/>
      <c r="IU54" s="2"/>
    </row>
    <row r="55" spans="1:255" x14ac:dyDescent="0.2">
      <c r="A55">
        <v>18</v>
      </c>
      <c r="B55">
        <v>1</v>
      </c>
      <c r="C55">
        <v>61</v>
      </c>
      <c r="E55" t="s">
        <v>100</v>
      </c>
      <c r="F55" t="e">
        <f>'2.Лок.смета.и.Акт'!#REF!</f>
        <v>#REF!</v>
      </c>
      <c r="G55" t="s">
        <v>102</v>
      </c>
      <c r="H55" t="s">
        <v>103</v>
      </c>
      <c r="I55">
        <f>I43*J55</f>
        <v>52.44</v>
      </c>
      <c r="J55">
        <v>23</v>
      </c>
      <c r="K55">
        <v>23</v>
      </c>
      <c r="O55">
        <f t="shared" si="21"/>
        <v>63</v>
      </c>
      <c r="P55">
        <f t="shared" si="22"/>
        <v>63</v>
      </c>
      <c r="Q55">
        <f t="shared" si="23"/>
        <v>0</v>
      </c>
      <c r="R55">
        <f t="shared" si="24"/>
        <v>0</v>
      </c>
      <c r="S55">
        <f t="shared" si="25"/>
        <v>0</v>
      </c>
      <c r="T55">
        <f t="shared" si="26"/>
        <v>0</v>
      </c>
      <c r="U55">
        <f t="shared" si="27"/>
        <v>0</v>
      </c>
      <c r="V55">
        <f t="shared" si="28"/>
        <v>0</v>
      </c>
      <c r="W55">
        <f t="shared" si="29"/>
        <v>0</v>
      </c>
      <c r="X55">
        <f t="shared" si="30"/>
        <v>0</v>
      </c>
      <c r="Y55">
        <f t="shared" si="31"/>
        <v>0</v>
      </c>
      <c r="AA55">
        <v>86326988</v>
      </c>
      <c r="AB55">
        <f t="shared" si="32"/>
        <v>0.16</v>
      </c>
      <c r="AC55">
        <f t="shared" si="55"/>
        <v>0.16</v>
      </c>
      <c r="AD55">
        <f t="shared" si="60"/>
        <v>0</v>
      </c>
      <c r="AE55">
        <f t="shared" si="56"/>
        <v>0</v>
      </c>
      <c r="AF55">
        <f t="shared" si="57"/>
        <v>0</v>
      </c>
      <c r="AG55">
        <f t="shared" si="33"/>
        <v>0</v>
      </c>
      <c r="AH55">
        <f t="shared" si="58"/>
        <v>0</v>
      </c>
      <c r="AI55">
        <f t="shared" si="59"/>
        <v>0</v>
      </c>
      <c r="AJ55">
        <f t="shared" si="34"/>
        <v>0</v>
      </c>
      <c r="AK55">
        <v>0.16</v>
      </c>
      <c r="AL55">
        <v>0.16</v>
      </c>
      <c r="AM55">
        <v>0</v>
      </c>
      <c r="AN55">
        <v>0</v>
      </c>
      <c r="AO55">
        <v>0</v>
      </c>
      <c r="AP55">
        <v>0</v>
      </c>
      <c r="AQ55">
        <v>0</v>
      </c>
      <c r="AR55">
        <v>0</v>
      </c>
      <c r="AS55">
        <v>0</v>
      </c>
      <c r="AT55">
        <v>0</v>
      </c>
      <c r="AU55">
        <v>0</v>
      </c>
      <c r="AV55">
        <v>1</v>
      </c>
      <c r="AW55">
        <v>1</v>
      </c>
      <c r="AZ55">
        <v>1</v>
      </c>
      <c r="BA55">
        <v>1</v>
      </c>
      <c r="BB55">
        <v>1</v>
      </c>
      <c r="BC55">
        <v>7.56</v>
      </c>
      <c r="BD55" t="s">
        <v>6</v>
      </c>
      <c r="BE55" t="s">
        <v>6</v>
      </c>
      <c r="BF55" t="s">
        <v>6</v>
      </c>
      <c r="BG55" t="s">
        <v>6</v>
      </c>
      <c r="BH55">
        <v>3</v>
      </c>
      <c r="BI55">
        <v>1</v>
      </c>
      <c r="BJ55" t="s">
        <v>104</v>
      </c>
      <c r="BM55">
        <v>3101</v>
      </c>
      <c r="BN55">
        <v>0</v>
      </c>
      <c r="BO55" t="s">
        <v>6</v>
      </c>
      <c r="BP55">
        <v>0</v>
      </c>
      <c r="BQ55">
        <v>0</v>
      </c>
      <c r="BR55">
        <v>0</v>
      </c>
      <c r="BS55">
        <v>1</v>
      </c>
      <c r="BT55">
        <v>1</v>
      </c>
      <c r="BU55">
        <v>1</v>
      </c>
      <c r="BV55">
        <v>1</v>
      </c>
      <c r="BW55">
        <v>1</v>
      </c>
      <c r="BX55">
        <v>1</v>
      </c>
      <c r="BY55" t="s">
        <v>6</v>
      </c>
      <c r="BZ55">
        <v>0</v>
      </c>
      <c r="CA55">
        <v>0</v>
      </c>
      <c r="CB55" t="s">
        <v>6</v>
      </c>
      <c r="CE55">
        <v>0</v>
      </c>
      <c r="CF55">
        <v>0</v>
      </c>
      <c r="CG55">
        <v>0</v>
      </c>
      <c r="CM55">
        <v>0</v>
      </c>
      <c r="CN55" t="s">
        <v>6</v>
      </c>
      <c r="CO55">
        <v>0</v>
      </c>
      <c r="CP55">
        <f t="shared" si="35"/>
        <v>63</v>
      </c>
      <c r="CQ55">
        <f t="shared" si="36"/>
        <v>1.2096</v>
      </c>
      <c r="CR55">
        <f t="shared" si="37"/>
        <v>0</v>
      </c>
      <c r="CS55">
        <f t="shared" si="38"/>
        <v>0</v>
      </c>
      <c r="CT55">
        <f t="shared" si="39"/>
        <v>0</v>
      </c>
      <c r="CU55">
        <f t="shared" si="40"/>
        <v>0</v>
      </c>
      <c r="CV55">
        <f t="shared" si="41"/>
        <v>0</v>
      </c>
      <c r="CW55">
        <f t="shared" si="42"/>
        <v>0</v>
      </c>
      <c r="CX55">
        <f t="shared" si="43"/>
        <v>0</v>
      </c>
      <c r="CY55">
        <f>(S55+R55)*(BZ55/100)</f>
        <v>0</v>
      </c>
      <c r="CZ55">
        <f>(S55+R55)*(CA55/100)</f>
        <v>0</v>
      </c>
      <c r="DC55" t="s">
        <v>6</v>
      </c>
      <c r="DD55" t="s">
        <v>6</v>
      </c>
      <c r="DE55" t="s">
        <v>6</v>
      </c>
      <c r="DF55" t="s">
        <v>6</v>
      </c>
      <c r="DG55" t="s">
        <v>6</v>
      </c>
      <c r="DH55" t="s">
        <v>6</v>
      </c>
      <c r="DI55" t="s">
        <v>6</v>
      </c>
      <c r="DJ55" t="s">
        <v>6</v>
      </c>
      <c r="DK55" t="s">
        <v>6</v>
      </c>
      <c r="DL55" t="s">
        <v>6</v>
      </c>
      <c r="DM55" t="s">
        <v>6</v>
      </c>
      <c r="DN55">
        <v>0</v>
      </c>
      <c r="DO55">
        <v>0</v>
      </c>
      <c r="DP55">
        <v>1</v>
      </c>
      <c r="DQ55">
        <v>1</v>
      </c>
      <c r="DU55">
        <v>1013</v>
      </c>
      <c r="DV55" t="s">
        <v>103</v>
      </c>
      <c r="DW55" t="e">
        <f>'2.Лок.смета.и.Акт'!#REF!</f>
        <v>#REF!</v>
      </c>
      <c r="DX55">
        <v>1</v>
      </c>
      <c r="DZ55" t="s">
        <v>6</v>
      </c>
      <c r="EA55" t="s">
        <v>6</v>
      </c>
      <c r="EB55" t="s">
        <v>6</v>
      </c>
      <c r="EC55" t="s">
        <v>6</v>
      </c>
      <c r="EE55">
        <v>0</v>
      </c>
      <c r="EF55">
        <v>0</v>
      </c>
      <c r="EG55" t="s">
        <v>6</v>
      </c>
      <c r="EH55">
        <v>0</v>
      </c>
      <c r="EI55" t="s">
        <v>6</v>
      </c>
      <c r="EJ55">
        <v>0</v>
      </c>
      <c r="EK55">
        <v>3101</v>
      </c>
      <c r="EL55" t="s">
        <v>6</v>
      </c>
      <c r="EM55" t="s">
        <v>6</v>
      </c>
      <c r="EO55" t="s">
        <v>6</v>
      </c>
      <c r="EQ55">
        <v>0</v>
      </c>
      <c r="ER55">
        <v>1.1299999999999999</v>
      </c>
      <c r="ES55">
        <v>0.16</v>
      </c>
      <c r="ET55">
        <v>0</v>
      </c>
      <c r="EU55">
        <v>0</v>
      </c>
      <c r="EV55">
        <v>0</v>
      </c>
      <c r="EW55">
        <v>0</v>
      </c>
      <c r="EX55">
        <v>0</v>
      </c>
      <c r="EZ55">
        <v>5</v>
      </c>
      <c r="FC55">
        <v>0</v>
      </c>
      <c r="FD55">
        <v>18</v>
      </c>
      <c r="FF55">
        <v>1.1299999999999999</v>
      </c>
      <c r="FQ55">
        <v>0</v>
      </c>
      <c r="FR55">
        <f t="shared" si="44"/>
        <v>0</v>
      </c>
      <c r="FS55">
        <v>0</v>
      </c>
      <c r="FX55">
        <v>0</v>
      </c>
      <c r="FY55">
        <v>0</v>
      </c>
      <c r="GA55" t="s">
        <v>105</v>
      </c>
      <c r="GD55">
        <v>1</v>
      </c>
      <c r="GF55">
        <v>-504018761</v>
      </c>
      <c r="GG55">
        <v>2</v>
      </c>
      <c r="GH55">
        <v>3</v>
      </c>
      <c r="GI55">
        <v>5</v>
      </c>
      <c r="GJ55">
        <v>0</v>
      </c>
      <c r="GK55">
        <v>0</v>
      </c>
      <c r="GL55">
        <f t="shared" si="45"/>
        <v>0</v>
      </c>
      <c r="GM55">
        <f t="shared" si="46"/>
        <v>63</v>
      </c>
      <c r="GN55">
        <f t="shared" si="47"/>
        <v>63</v>
      </c>
      <c r="GO55">
        <f t="shared" si="48"/>
        <v>0</v>
      </c>
      <c r="GP55">
        <f t="shared" si="49"/>
        <v>0</v>
      </c>
      <c r="GR55">
        <v>1</v>
      </c>
      <c r="GS55">
        <v>1</v>
      </c>
      <c r="GT55">
        <v>0</v>
      </c>
      <c r="GU55" t="s">
        <v>6</v>
      </c>
      <c r="GV55">
        <f t="shared" si="50"/>
        <v>0</v>
      </c>
      <c r="GW55">
        <v>1</v>
      </c>
      <c r="GX55">
        <f t="shared" si="51"/>
        <v>0</v>
      </c>
      <c r="HA55">
        <v>0</v>
      </c>
      <c r="HB55">
        <v>0</v>
      </c>
      <c r="HC55">
        <f t="shared" si="52"/>
        <v>0</v>
      </c>
      <c r="HE55" t="s">
        <v>39</v>
      </c>
      <c r="HF55" t="s">
        <v>40</v>
      </c>
      <c r="HM55" t="s">
        <v>6</v>
      </c>
      <c r="HN55" t="s">
        <v>6</v>
      </c>
      <c r="HO55" t="s">
        <v>6</v>
      </c>
      <c r="HP55" t="s">
        <v>6</v>
      </c>
      <c r="HQ55" t="s">
        <v>6</v>
      </c>
      <c r="IF55">
        <v>-1</v>
      </c>
      <c r="IK55">
        <v>0</v>
      </c>
    </row>
    <row r="56" spans="1:255" x14ac:dyDescent="0.2">
      <c r="A56" s="2">
        <v>18</v>
      </c>
      <c r="B56" s="2">
        <v>1</v>
      </c>
      <c r="C56" s="2">
        <v>46</v>
      </c>
      <c r="D56" s="2"/>
      <c r="E56" s="2" t="s">
        <v>106</v>
      </c>
      <c r="F56" s="2" t="s">
        <v>107</v>
      </c>
      <c r="G56" s="2" t="s">
        <v>108</v>
      </c>
      <c r="H56" s="2" t="s">
        <v>103</v>
      </c>
      <c r="I56" s="2">
        <f>I42*J56</f>
        <v>27.36</v>
      </c>
      <c r="J56" s="226">
        <f>'5.Ведомость_списания'!F40</f>
        <v>12</v>
      </c>
      <c r="K56" s="2">
        <v>12</v>
      </c>
      <c r="L56" s="2"/>
      <c r="M56" s="2"/>
      <c r="N56" s="2"/>
      <c r="O56" s="2">
        <f t="shared" si="21"/>
        <v>7</v>
      </c>
      <c r="P56" s="2">
        <f t="shared" si="22"/>
        <v>7</v>
      </c>
      <c r="Q56" s="2">
        <f t="shared" si="23"/>
        <v>0</v>
      </c>
      <c r="R56" s="2">
        <f t="shared" si="24"/>
        <v>0</v>
      </c>
      <c r="S56" s="2">
        <f t="shared" si="25"/>
        <v>0</v>
      </c>
      <c r="T56" s="2">
        <f t="shared" si="26"/>
        <v>0</v>
      </c>
      <c r="U56" s="2">
        <f t="shared" si="27"/>
        <v>0</v>
      </c>
      <c r="V56" s="2">
        <f t="shared" si="28"/>
        <v>0</v>
      </c>
      <c r="W56" s="2">
        <f t="shared" si="29"/>
        <v>0</v>
      </c>
      <c r="X56" s="2">
        <f t="shared" si="30"/>
        <v>0</v>
      </c>
      <c r="Y56" s="2">
        <f t="shared" si="31"/>
        <v>0</v>
      </c>
      <c r="Z56" s="2"/>
      <c r="AA56" s="2">
        <v>86326987</v>
      </c>
      <c r="AB56" s="2">
        <f t="shared" si="32"/>
        <v>0.24</v>
      </c>
      <c r="AC56" s="2">
        <f t="shared" si="55"/>
        <v>0.24</v>
      </c>
      <c r="AD56" s="2">
        <f t="shared" si="60"/>
        <v>0</v>
      </c>
      <c r="AE56" s="2">
        <f t="shared" si="56"/>
        <v>0</v>
      </c>
      <c r="AF56" s="2">
        <f t="shared" si="57"/>
        <v>0</v>
      </c>
      <c r="AG56" s="2">
        <f t="shared" si="33"/>
        <v>0</v>
      </c>
      <c r="AH56" s="2">
        <f t="shared" si="58"/>
        <v>0</v>
      </c>
      <c r="AI56" s="2">
        <f t="shared" si="59"/>
        <v>0</v>
      </c>
      <c r="AJ56" s="2">
        <f t="shared" si="34"/>
        <v>0</v>
      </c>
      <c r="AK56" s="2">
        <v>0.24</v>
      </c>
      <c r="AL56" s="110">
        <f>'1.Лок.смета.и.Акт'!F107</f>
        <v>0.24</v>
      </c>
      <c r="AM56" s="2">
        <v>0</v>
      </c>
      <c r="AN56" s="2">
        <v>0</v>
      </c>
      <c r="AO56" s="2">
        <v>0</v>
      </c>
      <c r="AP56" s="2">
        <v>0</v>
      </c>
      <c r="AQ56" s="2">
        <v>0</v>
      </c>
      <c r="AR56" s="2">
        <v>0</v>
      </c>
      <c r="AS56" s="2">
        <v>0</v>
      </c>
      <c r="AT56" s="2">
        <v>0</v>
      </c>
      <c r="AU56" s="2">
        <v>0</v>
      </c>
      <c r="AV56" s="2">
        <v>1</v>
      </c>
      <c r="AW56" s="2">
        <v>1</v>
      </c>
      <c r="AX56" s="2"/>
      <c r="AY56" s="2"/>
      <c r="AZ56" s="2">
        <v>1</v>
      </c>
      <c r="BA56" s="2">
        <v>1</v>
      </c>
      <c r="BB56" s="2">
        <v>1</v>
      </c>
      <c r="BC56" s="2">
        <v>1</v>
      </c>
      <c r="BD56" s="2" t="s">
        <v>6</v>
      </c>
      <c r="BE56" s="2" t="s">
        <v>6</v>
      </c>
      <c r="BF56" s="2" t="s">
        <v>6</v>
      </c>
      <c r="BG56" s="2" t="s">
        <v>6</v>
      </c>
      <c r="BH56" s="2">
        <v>3</v>
      </c>
      <c r="BI56" s="2">
        <v>1</v>
      </c>
      <c r="BJ56" s="2" t="s">
        <v>109</v>
      </c>
      <c r="BK56" s="2"/>
      <c r="BL56" s="2"/>
      <c r="BM56" s="2">
        <v>3101</v>
      </c>
      <c r="BN56" s="2">
        <v>0</v>
      </c>
      <c r="BO56" s="2" t="s">
        <v>6</v>
      </c>
      <c r="BP56" s="2">
        <v>0</v>
      </c>
      <c r="BQ56" s="2">
        <v>0</v>
      </c>
      <c r="BR56" s="2">
        <v>0</v>
      </c>
      <c r="BS56" s="2">
        <v>1</v>
      </c>
      <c r="BT56" s="2">
        <v>1</v>
      </c>
      <c r="BU56" s="2">
        <v>1</v>
      </c>
      <c r="BV56" s="2">
        <v>1</v>
      </c>
      <c r="BW56" s="2">
        <v>1</v>
      </c>
      <c r="BX56" s="2">
        <v>1</v>
      </c>
      <c r="BY56" s="2" t="s">
        <v>6</v>
      </c>
      <c r="BZ56" s="2">
        <v>0</v>
      </c>
      <c r="CA56" s="2">
        <v>0</v>
      </c>
      <c r="CB56" s="2" t="s">
        <v>6</v>
      </c>
      <c r="CC56" s="2"/>
      <c r="CD56" s="2"/>
      <c r="CE56" s="2">
        <v>0</v>
      </c>
      <c r="CF56" s="2">
        <v>0</v>
      </c>
      <c r="CG56" s="2">
        <v>0</v>
      </c>
      <c r="CH56" s="2"/>
      <c r="CI56" s="2"/>
      <c r="CJ56" s="2"/>
      <c r="CK56" s="2"/>
      <c r="CL56" s="2"/>
      <c r="CM56" s="2">
        <v>0</v>
      </c>
      <c r="CN56" s="2" t="s">
        <v>6</v>
      </c>
      <c r="CO56" s="2">
        <v>0</v>
      </c>
      <c r="CP56" s="2">
        <f t="shared" si="35"/>
        <v>7</v>
      </c>
      <c r="CQ56" s="2">
        <f t="shared" si="36"/>
        <v>0.24</v>
      </c>
      <c r="CR56" s="2">
        <f t="shared" si="37"/>
        <v>0</v>
      </c>
      <c r="CS56" s="2">
        <f t="shared" si="38"/>
        <v>0</v>
      </c>
      <c r="CT56" s="2">
        <f t="shared" si="39"/>
        <v>0</v>
      </c>
      <c r="CU56" s="2">
        <f t="shared" si="40"/>
        <v>0</v>
      </c>
      <c r="CV56" s="2">
        <f t="shared" si="41"/>
        <v>0</v>
      </c>
      <c r="CW56" s="2">
        <f t="shared" si="42"/>
        <v>0</v>
      </c>
      <c r="CX56" s="2">
        <f t="shared" si="43"/>
        <v>0</v>
      </c>
      <c r="CY56" s="2">
        <f>0</f>
        <v>0</v>
      </c>
      <c r="CZ56" s="2">
        <f>0</f>
        <v>0</v>
      </c>
      <c r="DA56" s="2"/>
      <c r="DB56" s="2"/>
      <c r="DC56" s="2" t="s">
        <v>6</v>
      </c>
      <c r="DD56" s="2" t="s">
        <v>6</v>
      </c>
      <c r="DE56" s="2" t="s">
        <v>6</v>
      </c>
      <c r="DF56" s="2" t="s">
        <v>6</v>
      </c>
      <c r="DG56" s="2" t="s">
        <v>6</v>
      </c>
      <c r="DH56" s="2" t="s">
        <v>6</v>
      </c>
      <c r="DI56" s="2" t="s">
        <v>6</v>
      </c>
      <c r="DJ56" s="2" t="s">
        <v>6</v>
      </c>
      <c r="DK56" s="2" t="s">
        <v>6</v>
      </c>
      <c r="DL56" s="2" t="s">
        <v>6</v>
      </c>
      <c r="DM56" s="2" t="s">
        <v>6</v>
      </c>
      <c r="DN56" s="2">
        <v>0</v>
      </c>
      <c r="DO56" s="2">
        <v>0</v>
      </c>
      <c r="DP56" s="2">
        <v>1</v>
      </c>
      <c r="DQ56" s="2">
        <v>1</v>
      </c>
      <c r="DR56" s="2"/>
      <c r="DS56" s="2"/>
      <c r="DT56" s="2"/>
      <c r="DU56" s="2">
        <v>1013</v>
      </c>
      <c r="DV56" s="2" t="s">
        <v>103</v>
      </c>
      <c r="DW56" s="2" t="s">
        <v>103</v>
      </c>
      <c r="DX56" s="2">
        <v>1</v>
      </c>
      <c r="DY56" s="2"/>
      <c r="DZ56" s="2" t="s">
        <v>6</v>
      </c>
      <c r="EA56" s="2" t="s">
        <v>6</v>
      </c>
      <c r="EB56" s="2" t="s">
        <v>6</v>
      </c>
      <c r="EC56" s="2" t="s">
        <v>6</v>
      </c>
      <c r="ED56" s="2"/>
      <c r="EE56" s="2">
        <v>0</v>
      </c>
      <c r="EF56" s="2">
        <v>0</v>
      </c>
      <c r="EG56" s="2" t="s">
        <v>6</v>
      </c>
      <c r="EH56" s="2">
        <v>0</v>
      </c>
      <c r="EI56" s="2" t="s">
        <v>6</v>
      </c>
      <c r="EJ56" s="2">
        <v>0</v>
      </c>
      <c r="EK56" s="2">
        <v>3101</v>
      </c>
      <c r="EL56" s="2" t="s">
        <v>6</v>
      </c>
      <c r="EM56" s="2" t="s">
        <v>6</v>
      </c>
      <c r="EN56" s="2"/>
      <c r="EO56" s="2" t="s">
        <v>6</v>
      </c>
      <c r="EP56" s="2"/>
      <c r="EQ56" s="2">
        <v>0</v>
      </c>
      <c r="ER56" s="2">
        <v>0.24</v>
      </c>
      <c r="ES56" s="110">
        <f>'1.Лок.смета.и.Акт'!F107</f>
        <v>0.24</v>
      </c>
      <c r="ET56" s="2">
        <v>0</v>
      </c>
      <c r="EU56" s="2">
        <v>0</v>
      </c>
      <c r="EV56" s="2">
        <v>0</v>
      </c>
      <c r="EW56" s="2">
        <v>0</v>
      </c>
      <c r="EX56" s="2">
        <v>0</v>
      </c>
      <c r="EY56" s="2"/>
      <c r="EZ56" s="2"/>
      <c r="FA56" s="2"/>
      <c r="FB56" s="2"/>
      <c r="FC56" s="2"/>
      <c r="FD56" s="2"/>
      <c r="FE56" s="2"/>
      <c r="FF56" s="2"/>
      <c r="FG56" s="2"/>
      <c r="FH56" s="2"/>
      <c r="FI56" s="2"/>
      <c r="FJ56" s="2"/>
      <c r="FK56" s="2"/>
      <c r="FL56" s="2"/>
      <c r="FM56" s="2"/>
      <c r="FN56" s="2"/>
      <c r="FO56" s="2"/>
      <c r="FP56" s="2"/>
      <c r="FQ56" s="2">
        <v>0</v>
      </c>
      <c r="FR56" s="2">
        <f t="shared" si="44"/>
        <v>0</v>
      </c>
      <c r="FS56" s="2">
        <v>0</v>
      </c>
      <c r="FT56" s="2"/>
      <c r="FU56" s="2"/>
      <c r="FV56" s="2"/>
      <c r="FW56" s="2"/>
      <c r="FX56" s="2">
        <v>0</v>
      </c>
      <c r="FY56" s="2">
        <v>0</v>
      </c>
      <c r="FZ56" s="2"/>
      <c r="GA56" s="2" t="s">
        <v>6</v>
      </c>
      <c r="GB56" s="2"/>
      <c r="GC56" s="2"/>
      <c r="GD56" s="2">
        <v>1</v>
      </c>
      <c r="GE56" s="2"/>
      <c r="GF56" s="2">
        <v>-1648273723</v>
      </c>
      <c r="GG56" s="2">
        <v>2</v>
      </c>
      <c r="GH56" s="2">
        <v>1</v>
      </c>
      <c r="GI56" s="2">
        <v>-2</v>
      </c>
      <c r="GJ56" s="2">
        <v>0</v>
      </c>
      <c r="GK56" s="2">
        <v>0</v>
      </c>
      <c r="GL56" s="2">
        <f t="shared" si="45"/>
        <v>0</v>
      </c>
      <c r="GM56" s="2">
        <f t="shared" si="46"/>
        <v>7</v>
      </c>
      <c r="GN56" s="2">
        <f t="shared" si="47"/>
        <v>7</v>
      </c>
      <c r="GO56" s="2">
        <f t="shared" si="48"/>
        <v>0</v>
      </c>
      <c r="GP56" s="2">
        <f t="shared" si="49"/>
        <v>0</v>
      </c>
      <c r="GQ56" s="2"/>
      <c r="GR56" s="2">
        <v>0</v>
      </c>
      <c r="GS56" s="2">
        <v>3</v>
      </c>
      <c r="GT56" s="2">
        <v>0</v>
      </c>
      <c r="GU56" s="2" t="s">
        <v>6</v>
      </c>
      <c r="GV56" s="2">
        <f t="shared" si="50"/>
        <v>0</v>
      </c>
      <c r="GW56" s="2">
        <v>1</v>
      </c>
      <c r="GX56" s="2">
        <f t="shared" si="51"/>
        <v>0</v>
      </c>
      <c r="GY56" s="2"/>
      <c r="GZ56" s="2"/>
      <c r="HA56" s="2">
        <v>0</v>
      </c>
      <c r="HB56" s="2">
        <v>0</v>
      </c>
      <c r="HC56" s="2">
        <f t="shared" si="52"/>
        <v>0</v>
      </c>
      <c r="HD56" s="2"/>
      <c r="HE56" s="2" t="s">
        <v>6</v>
      </c>
      <c r="HF56" s="2" t="s">
        <v>6</v>
      </c>
      <c r="HG56" s="2"/>
      <c r="HH56" s="2"/>
      <c r="HI56" s="2"/>
      <c r="HJ56" s="2"/>
      <c r="HK56" s="2"/>
      <c r="HL56" s="2"/>
      <c r="HM56" s="2" t="s">
        <v>6</v>
      </c>
      <c r="HN56" s="2" t="s">
        <v>6</v>
      </c>
      <c r="HO56" s="2" t="s">
        <v>6</v>
      </c>
      <c r="HP56" s="2" t="s">
        <v>6</v>
      </c>
      <c r="HQ56" s="2" t="s">
        <v>6</v>
      </c>
      <c r="HR56" s="2"/>
      <c r="HS56" s="2"/>
      <c r="HT56" s="2"/>
      <c r="HU56" s="2"/>
      <c r="HV56" s="2"/>
      <c r="HW56" s="2"/>
      <c r="HX56" s="2"/>
      <c r="HY56" s="2"/>
      <c r="HZ56" s="2"/>
      <c r="IA56" s="2"/>
      <c r="IB56" s="2"/>
      <c r="IC56" s="2"/>
      <c r="ID56" s="2"/>
      <c r="IE56" s="2"/>
      <c r="IF56" s="2">
        <v>-1</v>
      </c>
      <c r="IG56" s="2"/>
      <c r="IH56" s="2"/>
      <c r="II56" s="2"/>
      <c r="IJ56" s="2"/>
      <c r="IK56" s="2">
        <v>0</v>
      </c>
      <c r="IL56" s="2"/>
      <c r="IM56" s="2"/>
      <c r="IN56" s="2"/>
      <c r="IO56" s="2"/>
      <c r="IP56" s="2"/>
      <c r="IQ56" s="2"/>
      <c r="IR56" s="2"/>
      <c r="IS56" s="2"/>
      <c r="IT56" s="2"/>
      <c r="IU56" s="2"/>
    </row>
    <row r="57" spans="1:255" x14ac:dyDescent="0.2">
      <c r="A57">
        <v>18</v>
      </c>
      <c r="B57">
        <v>1</v>
      </c>
      <c r="C57">
        <v>59</v>
      </c>
      <c r="E57" t="s">
        <v>106</v>
      </c>
      <c r="F57" t="e">
        <f>'2.Лок.смета.и.Акт'!#REF!</f>
        <v>#REF!</v>
      </c>
      <c r="G57" t="s">
        <v>108</v>
      </c>
      <c r="H57" t="s">
        <v>103</v>
      </c>
      <c r="I57">
        <f>I43*J57</f>
        <v>27.36</v>
      </c>
      <c r="J57">
        <v>12</v>
      </c>
      <c r="K57">
        <v>12</v>
      </c>
      <c r="O57">
        <f t="shared" si="21"/>
        <v>17</v>
      </c>
      <c r="P57">
        <f t="shared" si="22"/>
        <v>17</v>
      </c>
      <c r="Q57">
        <f t="shared" si="23"/>
        <v>0</v>
      </c>
      <c r="R57">
        <f t="shared" si="24"/>
        <v>0</v>
      </c>
      <c r="S57">
        <f t="shared" si="25"/>
        <v>0</v>
      </c>
      <c r="T57">
        <f t="shared" si="26"/>
        <v>0</v>
      </c>
      <c r="U57">
        <f t="shared" si="27"/>
        <v>0</v>
      </c>
      <c r="V57">
        <f t="shared" si="28"/>
        <v>0</v>
      </c>
      <c r="W57">
        <f t="shared" si="29"/>
        <v>0</v>
      </c>
      <c r="X57">
        <f t="shared" si="30"/>
        <v>0</v>
      </c>
      <c r="Y57">
        <f t="shared" si="31"/>
        <v>0</v>
      </c>
      <c r="AA57">
        <v>86326988</v>
      </c>
      <c r="AB57">
        <f t="shared" si="32"/>
        <v>0.08</v>
      </c>
      <c r="AC57">
        <f t="shared" si="55"/>
        <v>0.08</v>
      </c>
      <c r="AD57">
        <f t="shared" si="60"/>
        <v>0</v>
      </c>
      <c r="AE57">
        <f t="shared" si="56"/>
        <v>0</v>
      </c>
      <c r="AF57">
        <f t="shared" si="57"/>
        <v>0</v>
      </c>
      <c r="AG57">
        <f t="shared" si="33"/>
        <v>0</v>
      </c>
      <c r="AH57">
        <f t="shared" si="58"/>
        <v>0</v>
      </c>
      <c r="AI57">
        <f t="shared" si="59"/>
        <v>0</v>
      </c>
      <c r="AJ57">
        <f t="shared" si="34"/>
        <v>0</v>
      </c>
      <c r="AK57">
        <v>0.08</v>
      </c>
      <c r="AL57">
        <v>0.08</v>
      </c>
      <c r="AM57">
        <v>0</v>
      </c>
      <c r="AN57">
        <v>0</v>
      </c>
      <c r="AO57">
        <v>0</v>
      </c>
      <c r="AP57">
        <v>0</v>
      </c>
      <c r="AQ57">
        <v>0</v>
      </c>
      <c r="AR57">
        <v>0</v>
      </c>
      <c r="AS57">
        <v>0</v>
      </c>
      <c r="AT57">
        <v>0</v>
      </c>
      <c r="AU57">
        <v>0</v>
      </c>
      <c r="AV57">
        <v>1</v>
      </c>
      <c r="AW57">
        <v>1</v>
      </c>
      <c r="AZ57">
        <v>1</v>
      </c>
      <c r="BA57">
        <v>1</v>
      </c>
      <c r="BB57">
        <v>1</v>
      </c>
      <c r="BC57">
        <v>7.56</v>
      </c>
      <c r="BD57" t="s">
        <v>6</v>
      </c>
      <c r="BE57" t="s">
        <v>6</v>
      </c>
      <c r="BF57" t="s">
        <v>6</v>
      </c>
      <c r="BG57" t="s">
        <v>6</v>
      </c>
      <c r="BH57">
        <v>3</v>
      </c>
      <c r="BI57">
        <v>1</v>
      </c>
      <c r="BJ57" t="s">
        <v>109</v>
      </c>
      <c r="BM57">
        <v>3101</v>
      </c>
      <c r="BN57">
        <v>0</v>
      </c>
      <c r="BO57" t="s">
        <v>6</v>
      </c>
      <c r="BP57">
        <v>0</v>
      </c>
      <c r="BQ57">
        <v>0</v>
      </c>
      <c r="BR57">
        <v>0</v>
      </c>
      <c r="BS57">
        <v>1</v>
      </c>
      <c r="BT57">
        <v>1</v>
      </c>
      <c r="BU57">
        <v>1</v>
      </c>
      <c r="BV57">
        <v>1</v>
      </c>
      <c r="BW57">
        <v>1</v>
      </c>
      <c r="BX57">
        <v>1</v>
      </c>
      <c r="BY57" t="s">
        <v>6</v>
      </c>
      <c r="BZ57">
        <v>0</v>
      </c>
      <c r="CA57">
        <v>0</v>
      </c>
      <c r="CB57" t="s">
        <v>6</v>
      </c>
      <c r="CE57">
        <v>0</v>
      </c>
      <c r="CF57">
        <v>0</v>
      </c>
      <c r="CG57">
        <v>0</v>
      </c>
      <c r="CM57">
        <v>0</v>
      </c>
      <c r="CN57" t="s">
        <v>6</v>
      </c>
      <c r="CO57">
        <v>0</v>
      </c>
      <c r="CP57">
        <f t="shared" si="35"/>
        <v>17</v>
      </c>
      <c r="CQ57">
        <f t="shared" si="36"/>
        <v>0.6048</v>
      </c>
      <c r="CR57">
        <f t="shared" si="37"/>
        <v>0</v>
      </c>
      <c r="CS57">
        <f t="shared" si="38"/>
        <v>0</v>
      </c>
      <c r="CT57">
        <f t="shared" si="39"/>
        <v>0</v>
      </c>
      <c r="CU57">
        <f t="shared" si="40"/>
        <v>0</v>
      </c>
      <c r="CV57">
        <f t="shared" si="41"/>
        <v>0</v>
      </c>
      <c r="CW57">
        <f t="shared" si="42"/>
        <v>0</v>
      </c>
      <c r="CX57">
        <f t="shared" si="43"/>
        <v>0</v>
      </c>
      <c r="CY57">
        <f>(S57+R57)*(BZ57/100)</f>
        <v>0</v>
      </c>
      <c r="CZ57">
        <f>(S57+R57)*(CA57/100)</f>
        <v>0</v>
      </c>
      <c r="DC57" t="s">
        <v>6</v>
      </c>
      <c r="DD57" t="s">
        <v>6</v>
      </c>
      <c r="DE57" t="s">
        <v>6</v>
      </c>
      <c r="DF57" t="s">
        <v>6</v>
      </c>
      <c r="DG57" t="s">
        <v>6</v>
      </c>
      <c r="DH57" t="s">
        <v>6</v>
      </c>
      <c r="DI57" t="s">
        <v>6</v>
      </c>
      <c r="DJ57" t="s">
        <v>6</v>
      </c>
      <c r="DK57" t="s">
        <v>6</v>
      </c>
      <c r="DL57" t="s">
        <v>6</v>
      </c>
      <c r="DM57" t="s">
        <v>6</v>
      </c>
      <c r="DN57">
        <v>0</v>
      </c>
      <c r="DO57">
        <v>0</v>
      </c>
      <c r="DP57">
        <v>1</v>
      </c>
      <c r="DQ57">
        <v>1</v>
      </c>
      <c r="DU57">
        <v>1013</v>
      </c>
      <c r="DV57" t="s">
        <v>103</v>
      </c>
      <c r="DW57" t="e">
        <f>'2.Лок.смета.и.Акт'!#REF!</f>
        <v>#REF!</v>
      </c>
      <c r="DX57">
        <v>1</v>
      </c>
      <c r="DZ57" t="s">
        <v>6</v>
      </c>
      <c r="EA57" t="s">
        <v>6</v>
      </c>
      <c r="EB57" t="s">
        <v>6</v>
      </c>
      <c r="EC57" t="s">
        <v>6</v>
      </c>
      <c r="EE57">
        <v>0</v>
      </c>
      <c r="EF57">
        <v>0</v>
      </c>
      <c r="EG57" t="s">
        <v>6</v>
      </c>
      <c r="EH57">
        <v>0</v>
      </c>
      <c r="EI57" t="s">
        <v>6</v>
      </c>
      <c r="EJ57">
        <v>0</v>
      </c>
      <c r="EK57">
        <v>3101</v>
      </c>
      <c r="EL57" t="s">
        <v>6</v>
      </c>
      <c r="EM57" t="s">
        <v>6</v>
      </c>
      <c r="EO57" t="s">
        <v>6</v>
      </c>
      <c r="EQ57">
        <v>0</v>
      </c>
      <c r="ER57">
        <v>0.62</v>
      </c>
      <c r="ES57">
        <v>0.08</v>
      </c>
      <c r="ET57">
        <v>0</v>
      </c>
      <c r="EU57">
        <v>0</v>
      </c>
      <c r="EV57">
        <v>0</v>
      </c>
      <c r="EW57">
        <v>0</v>
      </c>
      <c r="EX57">
        <v>0</v>
      </c>
      <c r="EZ57">
        <v>5</v>
      </c>
      <c r="FC57">
        <v>0</v>
      </c>
      <c r="FD57">
        <v>18</v>
      </c>
      <c r="FF57">
        <v>0.62</v>
      </c>
      <c r="FQ57">
        <v>0</v>
      </c>
      <c r="FR57">
        <f t="shared" si="44"/>
        <v>0</v>
      </c>
      <c r="FS57">
        <v>0</v>
      </c>
      <c r="FX57">
        <v>0</v>
      </c>
      <c r="FY57">
        <v>0</v>
      </c>
      <c r="GA57" t="s">
        <v>110</v>
      </c>
      <c r="GD57">
        <v>1</v>
      </c>
      <c r="GF57">
        <v>-1648273723</v>
      </c>
      <c r="GG57">
        <v>2</v>
      </c>
      <c r="GH57">
        <v>3</v>
      </c>
      <c r="GI57">
        <v>5</v>
      </c>
      <c r="GJ57">
        <v>0</v>
      </c>
      <c r="GK57">
        <v>0</v>
      </c>
      <c r="GL57">
        <f t="shared" si="45"/>
        <v>0</v>
      </c>
      <c r="GM57">
        <f t="shared" si="46"/>
        <v>17</v>
      </c>
      <c r="GN57">
        <f t="shared" si="47"/>
        <v>17</v>
      </c>
      <c r="GO57">
        <f t="shared" si="48"/>
        <v>0</v>
      </c>
      <c r="GP57">
        <f t="shared" si="49"/>
        <v>0</v>
      </c>
      <c r="GR57">
        <v>1</v>
      </c>
      <c r="GS57">
        <v>1</v>
      </c>
      <c r="GT57">
        <v>0</v>
      </c>
      <c r="GU57" t="s">
        <v>6</v>
      </c>
      <c r="GV57">
        <f t="shared" si="50"/>
        <v>0</v>
      </c>
      <c r="GW57">
        <v>1</v>
      </c>
      <c r="GX57">
        <f t="shared" si="51"/>
        <v>0</v>
      </c>
      <c r="HA57">
        <v>0</v>
      </c>
      <c r="HB57">
        <v>0</v>
      </c>
      <c r="HC57">
        <f t="shared" si="52"/>
        <v>0</v>
      </c>
      <c r="HE57" t="s">
        <v>39</v>
      </c>
      <c r="HF57" t="s">
        <v>40</v>
      </c>
      <c r="HM57" t="s">
        <v>6</v>
      </c>
      <c r="HN57" t="s">
        <v>6</v>
      </c>
      <c r="HO57" t="s">
        <v>6</v>
      </c>
      <c r="HP57" t="s">
        <v>6</v>
      </c>
      <c r="HQ57" t="s">
        <v>6</v>
      </c>
      <c r="IF57">
        <v>-1</v>
      </c>
      <c r="IK57">
        <v>0</v>
      </c>
    </row>
    <row r="58" spans="1:255" x14ac:dyDescent="0.2">
      <c r="A58" s="2">
        <v>18</v>
      </c>
      <c r="B58" s="2">
        <v>1</v>
      </c>
      <c r="C58" s="2">
        <v>47</v>
      </c>
      <c r="D58" s="2"/>
      <c r="E58" s="2" t="s">
        <v>111</v>
      </c>
      <c r="F58" s="2" t="s">
        <v>112</v>
      </c>
      <c r="G58" s="2" t="s">
        <v>113</v>
      </c>
      <c r="H58" s="2" t="s">
        <v>103</v>
      </c>
      <c r="I58" s="2">
        <f>I42*J58</f>
        <v>27.36</v>
      </c>
      <c r="J58" s="226">
        <f>'5.Ведомость_списания'!F41</f>
        <v>12</v>
      </c>
      <c r="K58" s="2">
        <v>12</v>
      </c>
      <c r="L58" s="2"/>
      <c r="M58" s="2"/>
      <c r="N58" s="2"/>
      <c r="O58" s="2">
        <f t="shared" si="21"/>
        <v>8</v>
      </c>
      <c r="P58" s="2">
        <f t="shared" si="22"/>
        <v>8</v>
      </c>
      <c r="Q58" s="2">
        <f t="shared" si="23"/>
        <v>0</v>
      </c>
      <c r="R58" s="2">
        <f t="shared" si="24"/>
        <v>0</v>
      </c>
      <c r="S58" s="2">
        <f t="shared" si="25"/>
        <v>0</v>
      </c>
      <c r="T58" s="2">
        <f t="shared" si="26"/>
        <v>0</v>
      </c>
      <c r="U58" s="2">
        <f t="shared" si="27"/>
        <v>0</v>
      </c>
      <c r="V58" s="2">
        <f t="shared" si="28"/>
        <v>0</v>
      </c>
      <c r="W58" s="2">
        <f t="shared" si="29"/>
        <v>0</v>
      </c>
      <c r="X58" s="2">
        <f t="shared" si="30"/>
        <v>0</v>
      </c>
      <c r="Y58" s="2">
        <f t="shared" si="31"/>
        <v>0</v>
      </c>
      <c r="Z58" s="2"/>
      <c r="AA58" s="2">
        <v>86326987</v>
      </c>
      <c r="AB58" s="2">
        <f t="shared" si="32"/>
        <v>0.3</v>
      </c>
      <c r="AC58" s="2">
        <f t="shared" si="55"/>
        <v>0.3</v>
      </c>
      <c r="AD58" s="2">
        <f t="shared" si="60"/>
        <v>0</v>
      </c>
      <c r="AE58" s="2">
        <f t="shared" si="56"/>
        <v>0</v>
      </c>
      <c r="AF58" s="2">
        <f t="shared" si="57"/>
        <v>0</v>
      </c>
      <c r="AG58" s="2">
        <f t="shared" si="33"/>
        <v>0</v>
      </c>
      <c r="AH58" s="2">
        <f t="shared" si="58"/>
        <v>0</v>
      </c>
      <c r="AI58" s="2">
        <f t="shared" si="59"/>
        <v>0</v>
      </c>
      <c r="AJ58" s="2">
        <f t="shared" si="34"/>
        <v>0</v>
      </c>
      <c r="AK58" s="2">
        <v>0.3</v>
      </c>
      <c r="AL58" s="110">
        <f>'1.Лок.смета.и.Акт'!F109</f>
        <v>0.3</v>
      </c>
      <c r="AM58" s="2">
        <v>0</v>
      </c>
      <c r="AN58" s="2">
        <v>0</v>
      </c>
      <c r="AO58" s="2">
        <v>0</v>
      </c>
      <c r="AP58" s="2">
        <v>0</v>
      </c>
      <c r="AQ58" s="2">
        <v>0</v>
      </c>
      <c r="AR58" s="2">
        <v>0</v>
      </c>
      <c r="AS58" s="2">
        <v>0</v>
      </c>
      <c r="AT58" s="2">
        <v>0</v>
      </c>
      <c r="AU58" s="2">
        <v>0</v>
      </c>
      <c r="AV58" s="2">
        <v>1</v>
      </c>
      <c r="AW58" s="2">
        <v>1</v>
      </c>
      <c r="AX58" s="2"/>
      <c r="AY58" s="2"/>
      <c r="AZ58" s="2">
        <v>1</v>
      </c>
      <c r="BA58" s="2">
        <v>1</v>
      </c>
      <c r="BB58" s="2">
        <v>1</v>
      </c>
      <c r="BC58" s="2">
        <v>1</v>
      </c>
      <c r="BD58" s="2" t="s">
        <v>6</v>
      </c>
      <c r="BE58" s="2" t="s">
        <v>6</v>
      </c>
      <c r="BF58" s="2" t="s">
        <v>6</v>
      </c>
      <c r="BG58" s="2" t="s">
        <v>6</v>
      </c>
      <c r="BH58" s="2">
        <v>3</v>
      </c>
      <c r="BI58" s="2">
        <v>1</v>
      </c>
      <c r="BJ58" s="2" t="s">
        <v>114</v>
      </c>
      <c r="BK58" s="2"/>
      <c r="BL58" s="2"/>
      <c r="BM58" s="2">
        <v>3101</v>
      </c>
      <c r="BN58" s="2">
        <v>0</v>
      </c>
      <c r="BO58" s="2" t="s">
        <v>6</v>
      </c>
      <c r="BP58" s="2">
        <v>0</v>
      </c>
      <c r="BQ58" s="2">
        <v>0</v>
      </c>
      <c r="BR58" s="2">
        <v>0</v>
      </c>
      <c r="BS58" s="2">
        <v>1</v>
      </c>
      <c r="BT58" s="2">
        <v>1</v>
      </c>
      <c r="BU58" s="2">
        <v>1</v>
      </c>
      <c r="BV58" s="2">
        <v>1</v>
      </c>
      <c r="BW58" s="2">
        <v>1</v>
      </c>
      <c r="BX58" s="2">
        <v>1</v>
      </c>
      <c r="BY58" s="2" t="s">
        <v>6</v>
      </c>
      <c r="BZ58" s="2">
        <v>0</v>
      </c>
      <c r="CA58" s="2">
        <v>0</v>
      </c>
      <c r="CB58" s="2" t="s">
        <v>6</v>
      </c>
      <c r="CC58" s="2"/>
      <c r="CD58" s="2"/>
      <c r="CE58" s="2">
        <v>0</v>
      </c>
      <c r="CF58" s="2">
        <v>0</v>
      </c>
      <c r="CG58" s="2">
        <v>0</v>
      </c>
      <c r="CH58" s="2"/>
      <c r="CI58" s="2"/>
      <c r="CJ58" s="2"/>
      <c r="CK58" s="2"/>
      <c r="CL58" s="2"/>
      <c r="CM58" s="2">
        <v>0</v>
      </c>
      <c r="CN58" s="2" t="s">
        <v>6</v>
      </c>
      <c r="CO58" s="2">
        <v>0</v>
      </c>
      <c r="CP58" s="2">
        <f t="shared" si="35"/>
        <v>8</v>
      </c>
      <c r="CQ58" s="2">
        <f t="shared" si="36"/>
        <v>0.3</v>
      </c>
      <c r="CR58" s="2">
        <f t="shared" si="37"/>
        <v>0</v>
      </c>
      <c r="CS58" s="2">
        <f t="shared" si="38"/>
        <v>0</v>
      </c>
      <c r="CT58" s="2">
        <f t="shared" si="39"/>
        <v>0</v>
      </c>
      <c r="CU58" s="2">
        <f t="shared" si="40"/>
        <v>0</v>
      </c>
      <c r="CV58" s="2">
        <f t="shared" si="41"/>
        <v>0</v>
      </c>
      <c r="CW58" s="2">
        <f t="shared" si="42"/>
        <v>0</v>
      </c>
      <c r="CX58" s="2">
        <f t="shared" si="43"/>
        <v>0</v>
      </c>
      <c r="CY58" s="2">
        <f>0</f>
        <v>0</v>
      </c>
      <c r="CZ58" s="2">
        <f>0</f>
        <v>0</v>
      </c>
      <c r="DA58" s="2"/>
      <c r="DB58" s="2"/>
      <c r="DC58" s="2" t="s">
        <v>6</v>
      </c>
      <c r="DD58" s="2" t="s">
        <v>6</v>
      </c>
      <c r="DE58" s="2" t="s">
        <v>6</v>
      </c>
      <c r="DF58" s="2" t="s">
        <v>6</v>
      </c>
      <c r="DG58" s="2" t="s">
        <v>6</v>
      </c>
      <c r="DH58" s="2" t="s">
        <v>6</v>
      </c>
      <c r="DI58" s="2" t="s">
        <v>6</v>
      </c>
      <c r="DJ58" s="2" t="s">
        <v>6</v>
      </c>
      <c r="DK58" s="2" t="s">
        <v>6</v>
      </c>
      <c r="DL58" s="2" t="s">
        <v>6</v>
      </c>
      <c r="DM58" s="2" t="s">
        <v>6</v>
      </c>
      <c r="DN58" s="2">
        <v>0</v>
      </c>
      <c r="DO58" s="2">
        <v>0</v>
      </c>
      <c r="DP58" s="2">
        <v>1</v>
      </c>
      <c r="DQ58" s="2">
        <v>1</v>
      </c>
      <c r="DR58" s="2"/>
      <c r="DS58" s="2"/>
      <c r="DT58" s="2"/>
      <c r="DU58" s="2">
        <v>1013</v>
      </c>
      <c r="DV58" s="2" t="s">
        <v>103</v>
      </c>
      <c r="DW58" s="2" t="s">
        <v>103</v>
      </c>
      <c r="DX58" s="2">
        <v>1</v>
      </c>
      <c r="DY58" s="2"/>
      <c r="DZ58" s="2" t="s">
        <v>6</v>
      </c>
      <c r="EA58" s="2" t="s">
        <v>6</v>
      </c>
      <c r="EB58" s="2" t="s">
        <v>6</v>
      </c>
      <c r="EC58" s="2" t="s">
        <v>6</v>
      </c>
      <c r="ED58" s="2"/>
      <c r="EE58" s="2">
        <v>0</v>
      </c>
      <c r="EF58" s="2">
        <v>0</v>
      </c>
      <c r="EG58" s="2" t="s">
        <v>6</v>
      </c>
      <c r="EH58" s="2">
        <v>0</v>
      </c>
      <c r="EI58" s="2" t="s">
        <v>6</v>
      </c>
      <c r="EJ58" s="2">
        <v>0</v>
      </c>
      <c r="EK58" s="2">
        <v>3101</v>
      </c>
      <c r="EL58" s="2" t="s">
        <v>6</v>
      </c>
      <c r="EM58" s="2" t="s">
        <v>6</v>
      </c>
      <c r="EN58" s="2"/>
      <c r="EO58" s="2" t="s">
        <v>6</v>
      </c>
      <c r="EP58" s="2"/>
      <c r="EQ58" s="2">
        <v>0</v>
      </c>
      <c r="ER58" s="2">
        <v>0.3</v>
      </c>
      <c r="ES58" s="110">
        <f>'1.Лок.смета.и.Акт'!F109</f>
        <v>0.3</v>
      </c>
      <c r="ET58" s="2">
        <v>0</v>
      </c>
      <c r="EU58" s="2">
        <v>0</v>
      </c>
      <c r="EV58" s="2">
        <v>0</v>
      </c>
      <c r="EW58" s="2">
        <v>0</v>
      </c>
      <c r="EX58" s="2">
        <v>0</v>
      </c>
      <c r="EY58" s="2"/>
      <c r="EZ58" s="2"/>
      <c r="FA58" s="2"/>
      <c r="FB58" s="2"/>
      <c r="FC58" s="2"/>
      <c r="FD58" s="2"/>
      <c r="FE58" s="2"/>
      <c r="FF58" s="2"/>
      <c r="FG58" s="2"/>
      <c r="FH58" s="2"/>
      <c r="FI58" s="2"/>
      <c r="FJ58" s="2"/>
      <c r="FK58" s="2"/>
      <c r="FL58" s="2"/>
      <c r="FM58" s="2"/>
      <c r="FN58" s="2"/>
      <c r="FO58" s="2"/>
      <c r="FP58" s="2"/>
      <c r="FQ58" s="2">
        <v>0</v>
      </c>
      <c r="FR58" s="2">
        <f t="shared" si="44"/>
        <v>0</v>
      </c>
      <c r="FS58" s="2">
        <v>0</v>
      </c>
      <c r="FT58" s="2"/>
      <c r="FU58" s="2"/>
      <c r="FV58" s="2"/>
      <c r="FW58" s="2"/>
      <c r="FX58" s="2">
        <v>0</v>
      </c>
      <c r="FY58" s="2">
        <v>0</v>
      </c>
      <c r="FZ58" s="2"/>
      <c r="GA58" s="2" t="s">
        <v>6</v>
      </c>
      <c r="GB58" s="2"/>
      <c r="GC58" s="2"/>
      <c r="GD58" s="2">
        <v>1</v>
      </c>
      <c r="GE58" s="2"/>
      <c r="GF58" s="2">
        <v>1900494391</v>
      </c>
      <c r="GG58" s="2">
        <v>2</v>
      </c>
      <c r="GH58" s="2">
        <v>1</v>
      </c>
      <c r="GI58" s="2">
        <v>-2</v>
      </c>
      <c r="GJ58" s="2">
        <v>0</v>
      </c>
      <c r="GK58" s="2">
        <v>0</v>
      </c>
      <c r="GL58" s="2">
        <f t="shared" si="45"/>
        <v>0</v>
      </c>
      <c r="GM58" s="2">
        <f t="shared" si="46"/>
        <v>8</v>
      </c>
      <c r="GN58" s="2">
        <f t="shared" si="47"/>
        <v>8</v>
      </c>
      <c r="GO58" s="2">
        <f t="shared" si="48"/>
        <v>0</v>
      </c>
      <c r="GP58" s="2">
        <f t="shared" si="49"/>
        <v>0</v>
      </c>
      <c r="GQ58" s="2"/>
      <c r="GR58" s="2">
        <v>0</v>
      </c>
      <c r="GS58" s="2">
        <v>3</v>
      </c>
      <c r="GT58" s="2">
        <v>0</v>
      </c>
      <c r="GU58" s="2" t="s">
        <v>6</v>
      </c>
      <c r="GV58" s="2">
        <f t="shared" si="50"/>
        <v>0</v>
      </c>
      <c r="GW58" s="2">
        <v>1</v>
      </c>
      <c r="GX58" s="2">
        <f t="shared" si="51"/>
        <v>0</v>
      </c>
      <c r="GY58" s="2"/>
      <c r="GZ58" s="2"/>
      <c r="HA58" s="2">
        <v>0</v>
      </c>
      <c r="HB58" s="2">
        <v>0</v>
      </c>
      <c r="HC58" s="2">
        <f t="shared" si="52"/>
        <v>0</v>
      </c>
      <c r="HD58" s="2"/>
      <c r="HE58" s="2" t="s">
        <v>6</v>
      </c>
      <c r="HF58" s="2" t="s">
        <v>6</v>
      </c>
      <c r="HG58" s="2"/>
      <c r="HH58" s="2"/>
      <c r="HI58" s="2"/>
      <c r="HJ58" s="2"/>
      <c r="HK58" s="2"/>
      <c r="HL58" s="2"/>
      <c r="HM58" s="2" t="s">
        <v>6</v>
      </c>
      <c r="HN58" s="2" t="s">
        <v>6</v>
      </c>
      <c r="HO58" s="2" t="s">
        <v>6</v>
      </c>
      <c r="HP58" s="2" t="s">
        <v>6</v>
      </c>
      <c r="HQ58" s="2" t="s">
        <v>6</v>
      </c>
      <c r="HR58" s="2"/>
      <c r="HS58" s="2"/>
      <c r="HT58" s="2"/>
      <c r="HU58" s="2"/>
      <c r="HV58" s="2"/>
      <c r="HW58" s="2"/>
      <c r="HX58" s="2"/>
      <c r="HY58" s="2"/>
      <c r="HZ58" s="2"/>
      <c r="IA58" s="2"/>
      <c r="IB58" s="2"/>
      <c r="IC58" s="2"/>
      <c r="ID58" s="2"/>
      <c r="IE58" s="2"/>
      <c r="IF58" s="2">
        <v>-1</v>
      </c>
      <c r="IG58" s="2"/>
      <c r="IH58" s="2"/>
      <c r="II58" s="2"/>
      <c r="IJ58" s="2"/>
      <c r="IK58" s="2">
        <v>0</v>
      </c>
      <c r="IL58" s="2"/>
      <c r="IM58" s="2"/>
      <c r="IN58" s="2"/>
      <c r="IO58" s="2"/>
      <c r="IP58" s="2"/>
      <c r="IQ58" s="2"/>
      <c r="IR58" s="2"/>
      <c r="IS58" s="2"/>
      <c r="IT58" s="2"/>
      <c r="IU58" s="2"/>
    </row>
    <row r="59" spans="1:255" x14ac:dyDescent="0.2">
      <c r="A59">
        <v>18</v>
      </c>
      <c r="B59">
        <v>1</v>
      </c>
      <c r="C59">
        <v>60</v>
      </c>
      <c r="E59" t="s">
        <v>111</v>
      </c>
      <c r="F59" t="e">
        <f>'2.Лок.смета.и.Акт'!#REF!</f>
        <v>#REF!</v>
      </c>
      <c r="G59" t="s">
        <v>113</v>
      </c>
      <c r="H59" t="s">
        <v>103</v>
      </c>
      <c r="I59">
        <f>I43*J59</f>
        <v>27.36</v>
      </c>
      <c r="J59">
        <v>12</v>
      </c>
      <c r="K59">
        <v>12</v>
      </c>
      <c r="O59">
        <f t="shared" si="21"/>
        <v>29</v>
      </c>
      <c r="P59">
        <f t="shared" si="22"/>
        <v>29</v>
      </c>
      <c r="Q59">
        <f t="shared" si="23"/>
        <v>0</v>
      </c>
      <c r="R59">
        <f t="shared" si="24"/>
        <v>0</v>
      </c>
      <c r="S59">
        <f t="shared" si="25"/>
        <v>0</v>
      </c>
      <c r="T59">
        <f t="shared" si="26"/>
        <v>0</v>
      </c>
      <c r="U59">
        <f t="shared" si="27"/>
        <v>0</v>
      </c>
      <c r="V59">
        <f t="shared" si="28"/>
        <v>0</v>
      </c>
      <c r="W59">
        <f t="shared" si="29"/>
        <v>0</v>
      </c>
      <c r="X59">
        <f t="shared" si="30"/>
        <v>0</v>
      </c>
      <c r="Y59">
        <f t="shared" si="31"/>
        <v>0</v>
      </c>
      <c r="AA59">
        <v>86326988</v>
      </c>
      <c r="AB59">
        <f t="shared" si="32"/>
        <v>0.14000000000000001</v>
      </c>
      <c r="AC59">
        <f t="shared" si="55"/>
        <v>0.14000000000000001</v>
      </c>
      <c r="AD59">
        <f t="shared" si="60"/>
        <v>0</v>
      </c>
      <c r="AE59">
        <f t="shared" si="56"/>
        <v>0</v>
      </c>
      <c r="AF59">
        <f t="shared" si="57"/>
        <v>0</v>
      </c>
      <c r="AG59">
        <f t="shared" si="33"/>
        <v>0</v>
      </c>
      <c r="AH59">
        <f t="shared" si="58"/>
        <v>0</v>
      </c>
      <c r="AI59">
        <f t="shared" si="59"/>
        <v>0</v>
      </c>
      <c r="AJ59">
        <f t="shared" si="34"/>
        <v>0</v>
      </c>
      <c r="AK59">
        <v>0.14000000000000001</v>
      </c>
      <c r="AL59">
        <v>0.14000000000000001</v>
      </c>
      <c r="AM59">
        <v>0</v>
      </c>
      <c r="AN59">
        <v>0</v>
      </c>
      <c r="AO59">
        <v>0</v>
      </c>
      <c r="AP59">
        <v>0</v>
      </c>
      <c r="AQ59">
        <v>0</v>
      </c>
      <c r="AR59">
        <v>0</v>
      </c>
      <c r="AS59">
        <v>0</v>
      </c>
      <c r="AT59">
        <v>0</v>
      </c>
      <c r="AU59">
        <v>0</v>
      </c>
      <c r="AV59">
        <v>1</v>
      </c>
      <c r="AW59">
        <v>1</v>
      </c>
      <c r="AZ59">
        <v>1</v>
      </c>
      <c r="BA59">
        <v>1</v>
      </c>
      <c r="BB59">
        <v>1</v>
      </c>
      <c r="BC59">
        <v>7.56</v>
      </c>
      <c r="BD59" t="s">
        <v>6</v>
      </c>
      <c r="BE59" t="s">
        <v>6</v>
      </c>
      <c r="BF59" t="s">
        <v>6</v>
      </c>
      <c r="BG59" t="s">
        <v>6</v>
      </c>
      <c r="BH59">
        <v>3</v>
      </c>
      <c r="BI59">
        <v>1</v>
      </c>
      <c r="BJ59" t="s">
        <v>114</v>
      </c>
      <c r="BM59">
        <v>3101</v>
      </c>
      <c r="BN59">
        <v>0</v>
      </c>
      <c r="BO59" t="s">
        <v>6</v>
      </c>
      <c r="BP59">
        <v>0</v>
      </c>
      <c r="BQ59">
        <v>0</v>
      </c>
      <c r="BR59">
        <v>0</v>
      </c>
      <c r="BS59">
        <v>1</v>
      </c>
      <c r="BT59">
        <v>1</v>
      </c>
      <c r="BU59">
        <v>1</v>
      </c>
      <c r="BV59">
        <v>1</v>
      </c>
      <c r="BW59">
        <v>1</v>
      </c>
      <c r="BX59">
        <v>1</v>
      </c>
      <c r="BY59" t="s">
        <v>6</v>
      </c>
      <c r="BZ59">
        <v>0</v>
      </c>
      <c r="CA59">
        <v>0</v>
      </c>
      <c r="CB59" t="s">
        <v>6</v>
      </c>
      <c r="CE59">
        <v>0</v>
      </c>
      <c r="CF59">
        <v>0</v>
      </c>
      <c r="CG59">
        <v>0</v>
      </c>
      <c r="CM59">
        <v>0</v>
      </c>
      <c r="CN59" t="s">
        <v>6</v>
      </c>
      <c r="CO59">
        <v>0</v>
      </c>
      <c r="CP59">
        <f t="shared" si="35"/>
        <v>29</v>
      </c>
      <c r="CQ59">
        <f t="shared" si="36"/>
        <v>1.0584</v>
      </c>
      <c r="CR59">
        <f t="shared" si="37"/>
        <v>0</v>
      </c>
      <c r="CS59">
        <f t="shared" si="38"/>
        <v>0</v>
      </c>
      <c r="CT59">
        <f t="shared" si="39"/>
        <v>0</v>
      </c>
      <c r="CU59">
        <f t="shared" si="40"/>
        <v>0</v>
      </c>
      <c r="CV59">
        <f t="shared" si="41"/>
        <v>0</v>
      </c>
      <c r="CW59">
        <f t="shared" si="42"/>
        <v>0</v>
      </c>
      <c r="CX59">
        <f t="shared" si="43"/>
        <v>0</v>
      </c>
      <c r="CY59">
        <f>(S59+R59)*(BZ59/100)</f>
        <v>0</v>
      </c>
      <c r="CZ59">
        <f>(S59+R59)*(CA59/100)</f>
        <v>0</v>
      </c>
      <c r="DC59" t="s">
        <v>6</v>
      </c>
      <c r="DD59" t="s">
        <v>6</v>
      </c>
      <c r="DE59" t="s">
        <v>6</v>
      </c>
      <c r="DF59" t="s">
        <v>6</v>
      </c>
      <c r="DG59" t="s">
        <v>6</v>
      </c>
      <c r="DH59" t="s">
        <v>6</v>
      </c>
      <c r="DI59" t="s">
        <v>6</v>
      </c>
      <c r="DJ59" t="s">
        <v>6</v>
      </c>
      <c r="DK59" t="s">
        <v>6</v>
      </c>
      <c r="DL59" t="s">
        <v>6</v>
      </c>
      <c r="DM59" t="s">
        <v>6</v>
      </c>
      <c r="DN59">
        <v>0</v>
      </c>
      <c r="DO59">
        <v>0</v>
      </c>
      <c r="DP59">
        <v>1</v>
      </c>
      <c r="DQ59">
        <v>1</v>
      </c>
      <c r="DU59">
        <v>1013</v>
      </c>
      <c r="DV59" t="s">
        <v>103</v>
      </c>
      <c r="DW59" t="e">
        <f>'2.Лок.смета.и.Акт'!#REF!</f>
        <v>#REF!</v>
      </c>
      <c r="DX59">
        <v>1</v>
      </c>
      <c r="DZ59" t="s">
        <v>6</v>
      </c>
      <c r="EA59" t="s">
        <v>6</v>
      </c>
      <c r="EB59" t="s">
        <v>6</v>
      </c>
      <c r="EC59" t="s">
        <v>6</v>
      </c>
      <c r="EE59">
        <v>0</v>
      </c>
      <c r="EF59">
        <v>0</v>
      </c>
      <c r="EG59" t="s">
        <v>6</v>
      </c>
      <c r="EH59">
        <v>0</v>
      </c>
      <c r="EI59" t="s">
        <v>6</v>
      </c>
      <c r="EJ59">
        <v>0</v>
      </c>
      <c r="EK59">
        <v>3101</v>
      </c>
      <c r="EL59" t="s">
        <v>6</v>
      </c>
      <c r="EM59" t="s">
        <v>6</v>
      </c>
      <c r="EO59" t="s">
        <v>6</v>
      </c>
      <c r="EQ59">
        <v>0</v>
      </c>
      <c r="ER59">
        <v>1.02</v>
      </c>
      <c r="ES59">
        <v>0.14000000000000001</v>
      </c>
      <c r="ET59">
        <v>0</v>
      </c>
      <c r="EU59">
        <v>0</v>
      </c>
      <c r="EV59">
        <v>0</v>
      </c>
      <c r="EW59">
        <v>0</v>
      </c>
      <c r="EX59">
        <v>0</v>
      </c>
      <c r="EZ59">
        <v>5</v>
      </c>
      <c r="FC59">
        <v>0</v>
      </c>
      <c r="FD59">
        <v>18</v>
      </c>
      <c r="FF59">
        <v>1.02</v>
      </c>
      <c r="FQ59">
        <v>0</v>
      </c>
      <c r="FR59">
        <f t="shared" si="44"/>
        <v>0</v>
      </c>
      <c r="FS59">
        <v>0</v>
      </c>
      <c r="FX59">
        <v>0</v>
      </c>
      <c r="FY59">
        <v>0</v>
      </c>
      <c r="GA59" t="s">
        <v>115</v>
      </c>
      <c r="GD59">
        <v>1</v>
      </c>
      <c r="GF59">
        <v>1900494391</v>
      </c>
      <c r="GG59">
        <v>2</v>
      </c>
      <c r="GH59">
        <v>3</v>
      </c>
      <c r="GI59">
        <v>5</v>
      </c>
      <c r="GJ59">
        <v>0</v>
      </c>
      <c r="GK59">
        <v>0</v>
      </c>
      <c r="GL59">
        <f t="shared" si="45"/>
        <v>0</v>
      </c>
      <c r="GM59">
        <f t="shared" si="46"/>
        <v>29</v>
      </c>
      <c r="GN59">
        <f t="shared" si="47"/>
        <v>29</v>
      </c>
      <c r="GO59">
        <f t="shared" si="48"/>
        <v>0</v>
      </c>
      <c r="GP59">
        <f t="shared" si="49"/>
        <v>0</v>
      </c>
      <c r="GR59">
        <v>1</v>
      </c>
      <c r="GS59">
        <v>1</v>
      </c>
      <c r="GT59">
        <v>0</v>
      </c>
      <c r="GU59" t="s">
        <v>6</v>
      </c>
      <c r="GV59">
        <f t="shared" si="50"/>
        <v>0</v>
      </c>
      <c r="GW59">
        <v>1</v>
      </c>
      <c r="GX59">
        <f t="shared" si="51"/>
        <v>0</v>
      </c>
      <c r="HA59">
        <v>0</v>
      </c>
      <c r="HB59">
        <v>0</v>
      </c>
      <c r="HC59">
        <f t="shared" si="52"/>
        <v>0</v>
      </c>
      <c r="HE59" t="s">
        <v>39</v>
      </c>
      <c r="HF59" t="s">
        <v>40</v>
      </c>
      <c r="HM59" t="s">
        <v>6</v>
      </c>
      <c r="HN59" t="s">
        <v>6</v>
      </c>
      <c r="HO59" t="s">
        <v>6</v>
      </c>
      <c r="HP59" t="s">
        <v>6</v>
      </c>
      <c r="HQ59" t="s">
        <v>6</v>
      </c>
      <c r="IF59">
        <v>-1</v>
      </c>
      <c r="IK59">
        <v>0</v>
      </c>
    </row>
    <row r="60" spans="1:255" x14ac:dyDescent="0.2">
      <c r="A60" s="2">
        <v>18</v>
      </c>
      <c r="B60" s="2">
        <v>1</v>
      </c>
      <c r="C60" s="2">
        <v>52</v>
      </c>
      <c r="D60" s="2"/>
      <c r="E60" s="2" t="s">
        <v>116</v>
      </c>
      <c r="F60" s="2" t="s">
        <v>117</v>
      </c>
      <c r="G60" s="2" t="s">
        <v>118</v>
      </c>
      <c r="H60" s="2" t="s">
        <v>33</v>
      </c>
      <c r="I60" s="2">
        <f>I42*J60</f>
        <v>2.16825E-3</v>
      </c>
      <c r="J60" s="226">
        <f>'5.Ведомость_списания'!F42</f>
        <v>9.5098684210526325E-4</v>
      </c>
      <c r="K60" s="2">
        <v>9.5100000000000002E-4</v>
      </c>
      <c r="L60" s="2"/>
      <c r="M60" s="2"/>
      <c r="N60" s="2"/>
      <c r="O60" s="2">
        <f t="shared" ref="O60:O83" si="61">ROUND(CP60,0)</f>
        <v>23</v>
      </c>
      <c r="P60" s="2">
        <f t="shared" ref="P60:P83" si="62">ROUND(CQ60*I60,0)</f>
        <v>23</v>
      </c>
      <c r="Q60" s="2">
        <f t="shared" ref="Q60:Q83" si="63">ROUND(CR60*I60,0)</f>
        <v>0</v>
      </c>
      <c r="R60" s="2">
        <f t="shared" ref="R60:R83" si="64">ROUND(CS60*I60,0)</f>
        <v>0</v>
      </c>
      <c r="S60" s="2">
        <f t="shared" ref="S60:S83" si="65">ROUND(CT60*I60,0)</f>
        <v>0</v>
      </c>
      <c r="T60" s="2">
        <f t="shared" ref="T60:T83" si="66">ROUND(CU60*I60,0)</f>
        <v>0</v>
      </c>
      <c r="U60" s="2">
        <f t="shared" ref="U60:U83" si="67">CV60*I60</f>
        <v>0</v>
      </c>
      <c r="V60" s="2">
        <f t="shared" ref="V60:V83" si="68">CW60*I60</f>
        <v>0</v>
      </c>
      <c r="W60" s="2">
        <f t="shared" ref="W60:W83" si="69">ROUND(CX60*I60,0)</f>
        <v>0</v>
      </c>
      <c r="X60" s="2">
        <f t="shared" ref="X60:X83" si="70">ROUND(CY60,0)</f>
        <v>0</v>
      </c>
      <c r="Y60" s="2">
        <f t="shared" ref="Y60:Y83" si="71">ROUND(CZ60,0)</f>
        <v>0</v>
      </c>
      <c r="Z60" s="2"/>
      <c r="AA60" s="2">
        <v>86326987</v>
      </c>
      <c r="AB60" s="2">
        <f t="shared" ref="AB60:AB83" si="72">ROUND((AC60+AD60+AF60),2)</f>
        <v>10633.86</v>
      </c>
      <c r="AC60" s="2">
        <f t="shared" si="55"/>
        <v>10633.86</v>
      </c>
      <c r="AD60" s="2">
        <f>ROUND((((ET60)-(EU60))+AE60),2)</f>
        <v>0</v>
      </c>
      <c r="AE60" s="2">
        <f t="shared" si="56"/>
        <v>0</v>
      </c>
      <c r="AF60" s="2">
        <f t="shared" si="57"/>
        <v>0</v>
      </c>
      <c r="AG60" s="2">
        <f t="shared" ref="AG60:AG83" si="73">ROUND((AP60),2)</f>
        <v>0</v>
      </c>
      <c r="AH60" s="2">
        <f t="shared" si="58"/>
        <v>0</v>
      </c>
      <c r="AI60" s="2">
        <f t="shared" si="59"/>
        <v>0</v>
      </c>
      <c r="AJ60" s="2">
        <f t="shared" ref="AJ60:AJ83" si="74">(AS60)</f>
        <v>0</v>
      </c>
      <c r="AK60" s="2">
        <v>10633.86</v>
      </c>
      <c r="AL60" s="110">
        <f>'1.Лок.смета.и.Акт'!F111</f>
        <v>10633.86</v>
      </c>
      <c r="AM60" s="2">
        <v>0</v>
      </c>
      <c r="AN60" s="2">
        <v>0</v>
      </c>
      <c r="AO60" s="2">
        <v>0</v>
      </c>
      <c r="AP60" s="2">
        <v>0</v>
      </c>
      <c r="AQ60" s="2">
        <v>0</v>
      </c>
      <c r="AR60" s="2">
        <v>0</v>
      </c>
      <c r="AS60" s="2">
        <v>0</v>
      </c>
      <c r="AT60" s="2">
        <v>0</v>
      </c>
      <c r="AU60" s="2">
        <v>0</v>
      </c>
      <c r="AV60" s="2">
        <v>1</v>
      </c>
      <c r="AW60" s="2">
        <v>1</v>
      </c>
      <c r="AX60" s="2"/>
      <c r="AY60" s="2"/>
      <c r="AZ60" s="2">
        <v>1</v>
      </c>
      <c r="BA60" s="2">
        <v>1</v>
      </c>
      <c r="BB60" s="2">
        <v>1</v>
      </c>
      <c r="BC60" s="2">
        <v>1</v>
      </c>
      <c r="BD60" s="2" t="s">
        <v>6</v>
      </c>
      <c r="BE60" s="2" t="s">
        <v>6</v>
      </c>
      <c r="BF60" s="2" t="s">
        <v>6</v>
      </c>
      <c r="BG60" s="2" t="s">
        <v>6</v>
      </c>
      <c r="BH60" s="2">
        <v>3</v>
      </c>
      <c r="BI60" s="2">
        <v>1</v>
      </c>
      <c r="BJ60" s="2" t="s">
        <v>119</v>
      </c>
      <c r="BK60" s="2"/>
      <c r="BL60" s="2"/>
      <c r="BM60" s="2">
        <v>500003</v>
      </c>
      <c r="BN60" s="2">
        <v>0</v>
      </c>
      <c r="BO60" s="2" t="s">
        <v>6</v>
      </c>
      <c r="BP60" s="2">
        <v>0</v>
      </c>
      <c r="BQ60" s="2">
        <v>22</v>
      </c>
      <c r="BR60" s="2">
        <v>0</v>
      </c>
      <c r="BS60" s="2">
        <v>1</v>
      </c>
      <c r="BT60" s="2">
        <v>1</v>
      </c>
      <c r="BU60" s="2">
        <v>1</v>
      </c>
      <c r="BV60" s="2">
        <v>1</v>
      </c>
      <c r="BW60" s="2">
        <v>1</v>
      </c>
      <c r="BX60" s="2">
        <v>1</v>
      </c>
      <c r="BY60" s="2" t="s">
        <v>6</v>
      </c>
      <c r="BZ60" s="2">
        <v>0</v>
      </c>
      <c r="CA60" s="2">
        <v>0</v>
      </c>
      <c r="CB60" s="2" t="s">
        <v>6</v>
      </c>
      <c r="CC60" s="2"/>
      <c r="CD60" s="2"/>
      <c r="CE60" s="2">
        <v>0</v>
      </c>
      <c r="CF60" s="2">
        <v>0</v>
      </c>
      <c r="CG60" s="2">
        <v>0</v>
      </c>
      <c r="CH60" s="2"/>
      <c r="CI60" s="2"/>
      <c r="CJ60" s="2"/>
      <c r="CK60" s="2"/>
      <c r="CL60" s="2"/>
      <c r="CM60" s="2">
        <v>0</v>
      </c>
      <c r="CN60" s="2" t="s">
        <v>6</v>
      </c>
      <c r="CO60" s="2">
        <v>0</v>
      </c>
      <c r="CP60" s="2">
        <f t="shared" ref="CP60:CP83" si="75">(P60+Q60+S60)</f>
        <v>23</v>
      </c>
      <c r="CQ60" s="2">
        <f t="shared" ref="CQ60:CQ83" si="76">AC60*BC60</f>
        <v>10633.86</v>
      </c>
      <c r="CR60" s="2">
        <f t="shared" ref="CR60:CR83" si="77">AD60*BB60</f>
        <v>0</v>
      </c>
      <c r="CS60" s="2">
        <f t="shared" ref="CS60:CS83" si="78">AE60*BS60</f>
        <v>0</v>
      </c>
      <c r="CT60" s="2">
        <f t="shared" ref="CT60:CT83" si="79">AF60*BA60</f>
        <v>0</v>
      </c>
      <c r="CU60" s="2">
        <f t="shared" ref="CU60:CU83" si="80">AG60</f>
        <v>0</v>
      </c>
      <c r="CV60" s="2">
        <f t="shared" ref="CV60:CV83" si="81">AH60</f>
        <v>0</v>
      </c>
      <c r="CW60" s="2">
        <f t="shared" ref="CW60:CW83" si="82">AI60</f>
        <v>0</v>
      </c>
      <c r="CX60" s="2">
        <f t="shared" ref="CX60:CX83" si="83">AJ60</f>
        <v>0</v>
      </c>
      <c r="CY60" s="2">
        <f>(((S60+(R60*IF(0,0,1)))*AT60)/100)</f>
        <v>0</v>
      </c>
      <c r="CZ60" s="2">
        <f>(((S60+(R60*IF(0,0,1)))*AU60)/100)</f>
        <v>0</v>
      </c>
      <c r="DA60" s="2"/>
      <c r="DB60" s="2"/>
      <c r="DC60" s="2" t="s">
        <v>6</v>
      </c>
      <c r="DD60" s="2" t="s">
        <v>6</v>
      </c>
      <c r="DE60" s="2" t="s">
        <v>6</v>
      </c>
      <c r="DF60" s="2" t="s">
        <v>6</v>
      </c>
      <c r="DG60" s="2" t="s">
        <v>6</v>
      </c>
      <c r="DH60" s="2" t="s">
        <v>6</v>
      </c>
      <c r="DI60" s="2" t="s">
        <v>6</v>
      </c>
      <c r="DJ60" s="2" t="s">
        <v>6</v>
      </c>
      <c r="DK60" s="2" t="s">
        <v>6</v>
      </c>
      <c r="DL60" s="2" t="s">
        <v>6</v>
      </c>
      <c r="DM60" s="2" t="s">
        <v>6</v>
      </c>
      <c r="DN60" s="2">
        <v>0</v>
      </c>
      <c r="DO60" s="2">
        <v>0</v>
      </c>
      <c r="DP60" s="2">
        <v>1</v>
      </c>
      <c r="DQ60" s="2">
        <v>1</v>
      </c>
      <c r="DR60" s="2"/>
      <c r="DS60" s="2"/>
      <c r="DT60" s="2"/>
      <c r="DU60" s="2">
        <v>1009</v>
      </c>
      <c r="DV60" s="2" t="s">
        <v>33</v>
      </c>
      <c r="DW60" s="2" t="s">
        <v>33</v>
      </c>
      <c r="DX60" s="2">
        <v>1000</v>
      </c>
      <c r="DY60" s="2"/>
      <c r="DZ60" s="2" t="s">
        <v>6</v>
      </c>
      <c r="EA60" s="2" t="s">
        <v>6</v>
      </c>
      <c r="EB60" s="2" t="s">
        <v>6</v>
      </c>
      <c r="EC60" s="2" t="s">
        <v>6</v>
      </c>
      <c r="ED60" s="2"/>
      <c r="EE60" s="2">
        <v>54938783</v>
      </c>
      <c r="EF60" s="2">
        <v>22</v>
      </c>
      <c r="EG60" s="2" t="s">
        <v>57</v>
      </c>
      <c r="EH60" s="2">
        <v>0</v>
      </c>
      <c r="EI60" s="2" t="s">
        <v>6</v>
      </c>
      <c r="EJ60" s="2">
        <v>1</v>
      </c>
      <c r="EK60" s="2">
        <v>500003</v>
      </c>
      <c r="EL60" s="2" t="s">
        <v>58</v>
      </c>
      <c r="EM60" s="2" t="s">
        <v>59</v>
      </c>
      <c r="EN60" s="2"/>
      <c r="EO60" s="2" t="s">
        <v>6</v>
      </c>
      <c r="EP60" s="2"/>
      <c r="EQ60" s="2">
        <v>0</v>
      </c>
      <c r="ER60" s="2">
        <v>10633.86</v>
      </c>
      <c r="ES60" s="110">
        <f>'1.Лок.смета.и.Акт'!F111</f>
        <v>10633.86</v>
      </c>
      <c r="ET60" s="2">
        <v>0</v>
      </c>
      <c r="EU60" s="2">
        <v>0</v>
      </c>
      <c r="EV60" s="2">
        <v>0</v>
      </c>
      <c r="EW60" s="2">
        <v>0</v>
      </c>
      <c r="EX60" s="2">
        <v>0</v>
      </c>
      <c r="EY60" s="2"/>
      <c r="EZ60" s="2"/>
      <c r="FA60" s="2"/>
      <c r="FB60" s="2"/>
      <c r="FC60" s="2"/>
      <c r="FD60" s="2"/>
      <c r="FE60" s="2"/>
      <c r="FF60" s="2"/>
      <c r="FG60" s="2"/>
      <c r="FH60" s="2"/>
      <c r="FI60" s="2"/>
      <c r="FJ60" s="2"/>
      <c r="FK60" s="2"/>
      <c r="FL60" s="2"/>
      <c r="FM60" s="2"/>
      <c r="FN60" s="2"/>
      <c r="FO60" s="2"/>
      <c r="FP60" s="2"/>
      <c r="FQ60" s="2">
        <v>0</v>
      </c>
      <c r="FR60" s="2">
        <f t="shared" ref="FR60:FR83" si="84">ROUND(IF(BI60=3,GM60,0),0)</f>
        <v>0</v>
      </c>
      <c r="FS60" s="2">
        <v>0</v>
      </c>
      <c r="FT60" s="2"/>
      <c r="FU60" s="2"/>
      <c r="FV60" s="2"/>
      <c r="FW60" s="2"/>
      <c r="FX60" s="2">
        <v>0</v>
      </c>
      <c r="FY60" s="2">
        <v>0</v>
      </c>
      <c r="FZ60" s="2"/>
      <c r="GA60" s="2" t="s">
        <v>6</v>
      </c>
      <c r="GB60" s="2"/>
      <c r="GC60" s="2"/>
      <c r="GD60" s="2">
        <v>1</v>
      </c>
      <c r="GE60" s="2"/>
      <c r="GF60" s="2">
        <v>772407484</v>
      </c>
      <c r="GG60" s="2">
        <v>2</v>
      </c>
      <c r="GH60" s="2">
        <v>2</v>
      </c>
      <c r="GI60" s="2">
        <v>-2</v>
      </c>
      <c r="GJ60" s="2">
        <v>0</v>
      </c>
      <c r="GK60" s="2">
        <v>0</v>
      </c>
      <c r="GL60" s="2">
        <f t="shared" ref="GL60:GL83" si="85">ROUND(IF(AND(BH60=3,BI60=3,FS60&lt;&gt;0),P60,0),0)</f>
        <v>0</v>
      </c>
      <c r="GM60" s="2">
        <f t="shared" ref="GM60:GM83" si="86">ROUND(O60+X60+Y60,0)+GX60</f>
        <v>23</v>
      </c>
      <c r="GN60" s="2">
        <f t="shared" ref="GN60:GN83" si="87">IF(OR(BI60=0,BI60=1),GM60-GX60,0)</f>
        <v>23</v>
      </c>
      <c r="GO60" s="2">
        <f t="shared" ref="GO60:GO83" si="88">IF(BI60=2,GM60-GX60,0)</f>
        <v>0</v>
      </c>
      <c r="GP60" s="2">
        <f t="shared" ref="GP60:GP83" si="89">IF(BI60=4,GM60-GX60,0)</f>
        <v>0</v>
      </c>
      <c r="GQ60" s="2"/>
      <c r="GR60" s="2">
        <v>0</v>
      </c>
      <c r="GS60" s="2">
        <v>2</v>
      </c>
      <c r="GT60" s="2">
        <v>0</v>
      </c>
      <c r="GU60" s="2" t="s">
        <v>6</v>
      </c>
      <c r="GV60" s="2">
        <f t="shared" ref="GV60:GV83" si="90">ROUND((GT60),2)</f>
        <v>0</v>
      </c>
      <c r="GW60" s="2">
        <v>1</v>
      </c>
      <c r="GX60" s="2">
        <f t="shared" ref="GX60:GX83" si="91">ROUND(HC60*I60,0)</f>
        <v>0</v>
      </c>
      <c r="GY60" s="2"/>
      <c r="GZ60" s="2"/>
      <c r="HA60" s="2">
        <v>0</v>
      </c>
      <c r="HB60" s="2">
        <v>0</v>
      </c>
      <c r="HC60" s="2">
        <f t="shared" ref="HC60:HC83" si="92">GV60*GW60</f>
        <v>0</v>
      </c>
      <c r="HD60" s="2"/>
      <c r="HE60" s="2" t="s">
        <v>6</v>
      </c>
      <c r="HF60" s="2" t="s">
        <v>6</v>
      </c>
      <c r="HG60" s="2"/>
      <c r="HH60" s="2"/>
      <c r="HI60" s="2"/>
      <c r="HJ60" s="2"/>
      <c r="HK60" s="2"/>
      <c r="HL60" s="2"/>
      <c r="HM60" s="2" t="s">
        <v>6</v>
      </c>
      <c r="HN60" s="2" t="s">
        <v>6</v>
      </c>
      <c r="HO60" s="2" t="s">
        <v>6</v>
      </c>
      <c r="HP60" s="2" t="s">
        <v>6</v>
      </c>
      <c r="HQ60" s="2" t="s">
        <v>6</v>
      </c>
      <c r="HR60" s="2"/>
      <c r="HS60" s="2"/>
      <c r="HT60" s="2"/>
      <c r="HU60" s="2"/>
      <c r="HV60" s="2"/>
      <c r="HW60" s="2"/>
      <c r="HX60" s="2"/>
      <c r="HY60" s="2"/>
      <c r="HZ60" s="2"/>
      <c r="IA60" s="2"/>
      <c r="IB60" s="2"/>
      <c r="IC60" s="2"/>
      <c r="ID60" s="2"/>
      <c r="IE60" s="2"/>
      <c r="IF60" s="2">
        <v>-1</v>
      </c>
      <c r="IG60" s="2"/>
      <c r="IH60" s="2"/>
      <c r="II60" s="2"/>
      <c r="IJ60" s="2"/>
      <c r="IK60" s="2">
        <v>0</v>
      </c>
      <c r="IL60" s="2"/>
      <c r="IM60" s="2"/>
      <c r="IN60" s="2"/>
      <c r="IO60" s="2"/>
      <c r="IP60" s="2"/>
      <c r="IQ60" s="2"/>
      <c r="IR60" s="2"/>
      <c r="IS60" s="2"/>
      <c r="IT60" s="2"/>
      <c r="IU60" s="2"/>
    </row>
    <row r="61" spans="1:255" x14ac:dyDescent="0.2">
      <c r="A61">
        <v>18</v>
      </c>
      <c r="B61">
        <v>1</v>
      </c>
      <c r="C61">
        <v>65</v>
      </c>
      <c r="E61" t="s">
        <v>116</v>
      </c>
      <c r="F61" t="e">
        <f>'2.Лок.смета.и.Акт'!#REF!</f>
        <v>#REF!</v>
      </c>
      <c r="G61" t="s">
        <v>118</v>
      </c>
      <c r="H61" t="s">
        <v>33</v>
      </c>
      <c r="I61">
        <f>I43*J61</f>
        <v>2.16825E-3</v>
      </c>
      <c r="J61">
        <v>9.5098684210526325E-4</v>
      </c>
      <c r="K61">
        <v>9.5100000000000002E-4</v>
      </c>
      <c r="O61">
        <f t="shared" si="61"/>
        <v>183</v>
      </c>
      <c r="P61">
        <f t="shared" si="62"/>
        <v>183</v>
      </c>
      <c r="Q61">
        <f t="shared" si="63"/>
        <v>0</v>
      </c>
      <c r="R61">
        <f t="shared" si="64"/>
        <v>0</v>
      </c>
      <c r="S61">
        <f t="shared" si="65"/>
        <v>0</v>
      </c>
      <c r="T61">
        <f t="shared" si="66"/>
        <v>0</v>
      </c>
      <c r="U61">
        <f t="shared" si="67"/>
        <v>0</v>
      </c>
      <c r="V61">
        <f t="shared" si="68"/>
        <v>0</v>
      </c>
      <c r="W61">
        <f t="shared" si="69"/>
        <v>0</v>
      </c>
      <c r="X61">
        <f t="shared" si="70"/>
        <v>0</v>
      </c>
      <c r="Y61">
        <f t="shared" si="71"/>
        <v>0</v>
      </c>
      <c r="AA61">
        <v>86326988</v>
      </c>
      <c r="AB61">
        <f t="shared" si="72"/>
        <v>11142.15</v>
      </c>
      <c r="AC61">
        <f t="shared" si="55"/>
        <v>11142.15</v>
      </c>
      <c r="AD61">
        <f>ROUND((((ET61)-(EU61))+AE61),2)</f>
        <v>0</v>
      </c>
      <c r="AE61">
        <f t="shared" si="56"/>
        <v>0</v>
      </c>
      <c r="AF61">
        <f t="shared" si="57"/>
        <v>0</v>
      </c>
      <c r="AG61">
        <f t="shared" si="73"/>
        <v>0</v>
      </c>
      <c r="AH61">
        <f t="shared" si="58"/>
        <v>0</v>
      </c>
      <c r="AI61">
        <f t="shared" si="59"/>
        <v>0</v>
      </c>
      <c r="AJ61">
        <f t="shared" si="74"/>
        <v>0</v>
      </c>
      <c r="AK61">
        <v>11142.150000000001</v>
      </c>
      <c r="AL61">
        <v>11142.150000000001</v>
      </c>
      <c r="AM61">
        <v>0</v>
      </c>
      <c r="AN61">
        <v>0</v>
      </c>
      <c r="AO61">
        <v>0</v>
      </c>
      <c r="AP61">
        <v>0</v>
      </c>
      <c r="AQ61">
        <v>0</v>
      </c>
      <c r="AR61">
        <v>0</v>
      </c>
      <c r="AS61">
        <v>0</v>
      </c>
      <c r="AT61">
        <v>0</v>
      </c>
      <c r="AU61">
        <v>0</v>
      </c>
      <c r="AV61">
        <v>1</v>
      </c>
      <c r="AW61">
        <v>1</v>
      </c>
      <c r="AZ61">
        <v>1</v>
      </c>
      <c r="BA61">
        <v>1</v>
      </c>
      <c r="BB61">
        <v>1</v>
      </c>
      <c r="BC61">
        <v>7.56</v>
      </c>
      <c r="BD61" t="s">
        <v>6</v>
      </c>
      <c r="BE61" t="s">
        <v>6</v>
      </c>
      <c r="BF61" t="s">
        <v>6</v>
      </c>
      <c r="BG61" t="s">
        <v>6</v>
      </c>
      <c r="BH61">
        <v>3</v>
      </c>
      <c r="BI61">
        <v>1</v>
      </c>
      <c r="BJ61" t="s">
        <v>119</v>
      </c>
      <c r="BM61">
        <v>500003</v>
      </c>
      <c r="BN61">
        <v>0</v>
      </c>
      <c r="BO61" t="s">
        <v>6</v>
      </c>
      <c r="BP61">
        <v>0</v>
      </c>
      <c r="BQ61">
        <v>22</v>
      </c>
      <c r="BR61">
        <v>0</v>
      </c>
      <c r="BS61">
        <v>1</v>
      </c>
      <c r="BT61">
        <v>1</v>
      </c>
      <c r="BU61">
        <v>1</v>
      </c>
      <c r="BV61">
        <v>1</v>
      </c>
      <c r="BW61">
        <v>1</v>
      </c>
      <c r="BX61">
        <v>1</v>
      </c>
      <c r="BY61" t="s">
        <v>6</v>
      </c>
      <c r="BZ61">
        <v>0</v>
      </c>
      <c r="CA61">
        <v>0</v>
      </c>
      <c r="CB61" t="s">
        <v>6</v>
      </c>
      <c r="CE61">
        <v>0</v>
      </c>
      <c r="CF61">
        <v>0</v>
      </c>
      <c r="CG61">
        <v>0</v>
      </c>
      <c r="CM61">
        <v>0</v>
      </c>
      <c r="CN61" t="s">
        <v>6</v>
      </c>
      <c r="CO61">
        <v>0</v>
      </c>
      <c r="CP61">
        <f t="shared" si="75"/>
        <v>183</v>
      </c>
      <c r="CQ61">
        <f t="shared" si="76"/>
        <v>84234.653999999995</v>
      </c>
      <c r="CR61">
        <f t="shared" si="77"/>
        <v>0</v>
      </c>
      <c r="CS61">
        <f t="shared" si="78"/>
        <v>0</v>
      </c>
      <c r="CT61">
        <f t="shared" si="79"/>
        <v>0</v>
      </c>
      <c r="CU61">
        <f t="shared" si="80"/>
        <v>0</v>
      </c>
      <c r="CV61">
        <f t="shared" si="81"/>
        <v>0</v>
      </c>
      <c r="CW61">
        <f t="shared" si="82"/>
        <v>0</v>
      </c>
      <c r="CX61">
        <f t="shared" si="83"/>
        <v>0</v>
      </c>
      <c r="CY61">
        <f>(S61+R61)*(BZ61/100)</f>
        <v>0</v>
      </c>
      <c r="CZ61">
        <f>(S61+R61)*(CA61/100)</f>
        <v>0</v>
      </c>
      <c r="DC61" t="s">
        <v>6</v>
      </c>
      <c r="DD61" t="s">
        <v>6</v>
      </c>
      <c r="DE61" t="s">
        <v>6</v>
      </c>
      <c r="DF61" t="s">
        <v>6</v>
      </c>
      <c r="DG61" t="s">
        <v>6</v>
      </c>
      <c r="DH61" t="s">
        <v>6</v>
      </c>
      <c r="DI61" t="s">
        <v>6</v>
      </c>
      <c r="DJ61" t="s">
        <v>6</v>
      </c>
      <c r="DK61" t="s">
        <v>6</v>
      </c>
      <c r="DL61" t="s">
        <v>6</v>
      </c>
      <c r="DM61" t="s">
        <v>6</v>
      </c>
      <c r="DN61">
        <v>0</v>
      </c>
      <c r="DO61">
        <v>0</v>
      </c>
      <c r="DP61">
        <v>1</v>
      </c>
      <c r="DQ61">
        <v>1</v>
      </c>
      <c r="DU61">
        <v>1009</v>
      </c>
      <c r="DV61" t="s">
        <v>33</v>
      </c>
      <c r="DW61" t="e">
        <f>'2.Лок.смета.и.Акт'!#REF!</f>
        <v>#REF!</v>
      </c>
      <c r="DX61">
        <v>1000</v>
      </c>
      <c r="DZ61" t="s">
        <v>6</v>
      </c>
      <c r="EA61" t="s">
        <v>6</v>
      </c>
      <c r="EB61" t="s">
        <v>6</v>
      </c>
      <c r="EC61" t="s">
        <v>6</v>
      </c>
      <c r="EE61">
        <v>54938783</v>
      </c>
      <c r="EF61">
        <v>22</v>
      </c>
      <c r="EG61" t="s">
        <v>57</v>
      </c>
      <c r="EH61">
        <v>0</v>
      </c>
      <c r="EI61" t="s">
        <v>6</v>
      </c>
      <c r="EJ61">
        <v>1</v>
      </c>
      <c r="EK61">
        <v>500003</v>
      </c>
      <c r="EL61" t="s">
        <v>58</v>
      </c>
      <c r="EM61" t="s">
        <v>59</v>
      </c>
      <c r="EO61" t="s">
        <v>6</v>
      </c>
      <c r="EQ61">
        <v>0</v>
      </c>
      <c r="ER61">
        <v>80392</v>
      </c>
      <c r="ES61">
        <v>11142.150000000001</v>
      </c>
      <c r="ET61">
        <v>0</v>
      </c>
      <c r="EU61">
        <v>0</v>
      </c>
      <c r="EV61">
        <v>0</v>
      </c>
      <c r="EW61">
        <v>0</v>
      </c>
      <c r="EX61">
        <v>0</v>
      </c>
      <c r="EZ61">
        <v>5</v>
      </c>
      <c r="FC61">
        <v>0</v>
      </c>
      <c r="FD61">
        <v>18</v>
      </c>
      <c r="FF61">
        <v>80392</v>
      </c>
      <c r="FQ61">
        <v>0</v>
      </c>
      <c r="FR61">
        <f t="shared" si="84"/>
        <v>0</v>
      </c>
      <c r="FS61">
        <v>0</v>
      </c>
      <c r="FX61">
        <v>0</v>
      </c>
      <c r="FY61">
        <v>0</v>
      </c>
      <c r="GA61" t="s">
        <v>120</v>
      </c>
      <c r="GD61">
        <v>1</v>
      </c>
      <c r="GF61">
        <v>772407484</v>
      </c>
      <c r="GG61">
        <v>2</v>
      </c>
      <c r="GH61">
        <v>3</v>
      </c>
      <c r="GI61">
        <v>5</v>
      </c>
      <c r="GJ61">
        <v>0</v>
      </c>
      <c r="GK61">
        <v>0</v>
      </c>
      <c r="GL61">
        <f t="shared" si="85"/>
        <v>0</v>
      </c>
      <c r="GM61">
        <f t="shared" si="86"/>
        <v>183</v>
      </c>
      <c r="GN61">
        <f t="shared" si="87"/>
        <v>183</v>
      </c>
      <c r="GO61">
        <f t="shared" si="88"/>
        <v>0</v>
      </c>
      <c r="GP61">
        <f t="shared" si="89"/>
        <v>0</v>
      </c>
      <c r="GR61">
        <v>1</v>
      </c>
      <c r="GS61">
        <v>1</v>
      </c>
      <c r="GT61">
        <v>0</v>
      </c>
      <c r="GU61" t="s">
        <v>6</v>
      </c>
      <c r="GV61">
        <f t="shared" si="90"/>
        <v>0</v>
      </c>
      <c r="GW61">
        <v>1</v>
      </c>
      <c r="GX61">
        <f t="shared" si="91"/>
        <v>0</v>
      </c>
      <c r="HA61">
        <v>0</v>
      </c>
      <c r="HB61">
        <v>0</v>
      </c>
      <c r="HC61">
        <f t="shared" si="92"/>
        <v>0</v>
      </c>
      <c r="HE61" t="s">
        <v>39</v>
      </c>
      <c r="HF61" t="s">
        <v>61</v>
      </c>
      <c r="HM61" t="s">
        <v>6</v>
      </c>
      <c r="HN61" t="s">
        <v>6</v>
      </c>
      <c r="HO61" t="s">
        <v>6</v>
      </c>
      <c r="HP61" t="s">
        <v>6</v>
      </c>
      <c r="HQ61" t="s">
        <v>6</v>
      </c>
      <c r="IF61">
        <v>-1</v>
      </c>
      <c r="IK61">
        <v>0</v>
      </c>
    </row>
    <row r="62" spans="1:255" x14ac:dyDescent="0.2">
      <c r="A62" s="2">
        <v>17</v>
      </c>
      <c r="B62" s="2">
        <v>1</v>
      </c>
      <c r="C62" s="2">
        <f>ROW(SmtRes!A79)</f>
        <v>79</v>
      </c>
      <c r="D62" s="2">
        <f>ROW(EtalonRes!A65)</f>
        <v>65</v>
      </c>
      <c r="E62" s="2" t="s">
        <v>121</v>
      </c>
      <c r="F62" s="2" t="s">
        <v>122</v>
      </c>
      <c r="G62" s="2" t="s">
        <v>123</v>
      </c>
      <c r="H62" s="2" t="s">
        <v>21</v>
      </c>
      <c r="I62" s="2">
        <f>'2.Лок.смета.и.Акт'!E28</f>
        <v>4.4124999999999996</v>
      </c>
      <c r="J62" s="2">
        <v>0</v>
      </c>
      <c r="K62" s="2">
        <v>17.649999999999999</v>
      </c>
      <c r="L62" s="2"/>
      <c r="M62" s="2"/>
      <c r="N62" s="2"/>
      <c r="O62" s="2">
        <f t="shared" si="61"/>
        <v>1337</v>
      </c>
      <c r="P62" s="2">
        <f t="shared" si="62"/>
        <v>0</v>
      </c>
      <c r="Q62" s="2">
        <f t="shared" si="63"/>
        <v>1140</v>
      </c>
      <c r="R62" s="2">
        <f t="shared" si="64"/>
        <v>132</v>
      </c>
      <c r="S62" s="2">
        <f t="shared" si="65"/>
        <v>197</v>
      </c>
      <c r="T62" s="2">
        <f t="shared" si="66"/>
        <v>0</v>
      </c>
      <c r="U62" s="2">
        <f t="shared" si="67"/>
        <v>22.65598125</v>
      </c>
      <c r="V62" s="2">
        <f t="shared" si="68"/>
        <v>9.6863200000000003</v>
      </c>
      <c r="W62" s="2">
        <f t="shared" si="69"/>
        <v>0</v>
      </c>
      <c r="X62" s="2">
        <f t="shared" si="70"/>
        <v>395</v>
      </c>
      <c r="Y62" s="2">
        <f t="shared" si="71"/>
        <v>253</v>
      </c>
      <c r="Z62" s="2"/>
      <c r="AA62" s="2">
        <v>86326987</v>
      </c>
      <c r="AB62" s="2">
        <f t="shared" si="72"/>
        <v>303.16000000000003</v>
      </c>
      <c r="AC62" s="2">
        <f>ROUND((ES62+(SUM(SmtRes!BC67:'SmtRes'!BC79)+SUM(EtalonRes!AL59:'EtalonRes'!AL65))),2)</f>
        <v>0</v>
      </c>
      <c r="AD62" s="2">
        <f>ROUND(((((ET62*1.12)+(SUM(SmtRes!BD67:'SmtRes'!BD79)+SUM(EtalonRes!AM59:'EtalonRes'!AM65)))-((EU62*1.12)+(SUM(SmtRes!BE67:'SmtRes'!BE79)+SUM(EtalonRes!AN59:'EtalonRes'!AN65))))+AE62),2)</f>
        <v>258.44</v>
      </c>
      <c r="AE62" s="2">
        <f>ROUND(((EU62*1.12)+(SUM(SmtRes!BE67:'SmtRes'!BE79)+SUM(EtalonRes!AN59:'EtalonRes'!AN65))),2)</f>
        <v>29.88</v>
      </c>
      <c r="AF62" s="2">
        <f>ROUND(((EV62*1.05)),2)</f>
        <v>44.72</v>
      </c>
      <c r="AG62" s="2">
        <f t="shared" si="73"/>
        <v>0</v>
      </c>
      <c r="AH62" s="2">
        <f>((EW62*1.05))</f>
        <v>5.1345000000000001</v>
      </c>
      <c r="AI62" s="2">
        <f>((EX62*1.12))</f>
        <v>2.1952000000000003</v>
      </c>
      <c r="AJ62" s="2">
        <f t="shared" si="74"/>
        <v>0</v>
      </c>
      <c r="AK62" s="2">
        <v>233.52</v>
      </c>
      <c r="AL62" s="2">
        <v>7.12</v>
      </c>
      <c r="AM62" s="2">
        <v>183.81</v>
      </c>
      <c r="AN62" s="2">
        <v>26.68</v>
      </c>
      <c r="AO62" s="2">
        <v>42.59</v>
      </c>
      <c r="AP62" s="2">
        <v>0</v>
      </c>
      <c r="AQ62" s="2">
        <v>4.8899999999999997</v>
      </c>
      <c r="AR62" s="2">
        <v>1.96</v>
      </c>
      <c r="AS62" s="2">
        <v>0</v>
      </c>
      <c r="AT62" s="2">
        <v>120</v>
      </c>
      <c r="AU62" s="2">
        <v>77</v>
      </c>
      <c r="AV62" s="2">
        <v>1</v>
      </c>
      <c r="AW62" s="2">
        <v>1</v>
      </c>
      <c r="AX62" s="2"/>
      <c r="AY62" s="2"/>
      <c r="AZ62" s="2">
        <v>1</v>
      </c>
      <c r="BA62" s="2">
        <v>1</v>
      </c>
      <c r="BB62" s="2">
        <v>1</v>
      </c>
      <c r="BC62" s="2">
        <v>1</v>
      </c>
      <c r="BD62" s="2" t="s">
        <v>6</v>
      </c>
      <c r="BE62" s="2" t="s">
        <v>6</v>
      </c>
      <c r="BF62" s="2" t="s">
        <v>6</v>
      </c>
      <c r="BG62" s="2" t="s">
        <v>6</v>
      </c>
      <c r="BH62" s="2">
        <v>0</v>
      </c>
      <c r="BI62" s="2">
        <v>1</v>
      </c>
      <c r="BJ62" s="2" t="s">
        <v>124</v>
      </c>
      <c r="BK62" s="2"/>
      <c r="BL62" s="2"/>
      <c r="BM62" s="2">
        <v>6002</v>
      </c>
      <c r="BN62" s="2">
        <v>0</v>
      </c>
      <c r="BO62" s="2" t="s">
        <v>6</v>
      </c>
      <c r="BP62" s="2">
        <v>0</v>
      </c>
      <c r="BQ62" s="2">
        <v>1</v>
      </c>
      <c r="BR62" s="2">
        <v>0</v>
      </c>
      <c r="BS62" s="2">
        <v>1</v>
      </c>
      <c r="BT62" s="2">
        <v>1</v>
      </c>
      <c r="BU62" s="2">
        <v>1</v>
      </c>
      <c r="BV62" s="2">
        <v>1</v>
      </c>
      <c r="BW62" s="2">
        <v>1</v>
      </c>
      <c r="BX62" s="2">
        <v>1</v>
      </c>
      <c r="BY62" s="2" t="s">
        <v>6</v>
      </c>
      <c r="BZ62" s="2">
        <v>120</v>
      </c>
      <c r="CA62" s="2">
        <v>77</v>
      </c>
      <c r="CB62" s="2" t="s">
        <v>6</v>
      </c>
      <c r="CC62" s="2"/>
      <c r="CD62" s="2"/>
      <c r="CE62" s="2">
        <v>0</v>
      </c>
      <c r="CF62" s="2">
        <v>0</v>
      </c>
      <c r="CG62" s="2">
        <v>0</v>
      </c>
      <c r="CH62" s="2"/>
      <c r="CI62" s="2"/>
      <c r="CJ62" s="2"/>
      <c r="CK62" s="2"/>
      <c r="CL62" s="2"/>
      <c r="CM62" s="2">
        <v>0</v>
      </c>
      <c r="CN62" s="2" t="s">
        <v>23</v>
      </c>
      <c r="CO62" s="2">
        <v>0</v>
      </c>
      <c r="CP62" s="2">
        <f t="shared" si="75"/>
        <v>1337</v>
      </c>
      <c r="CQ62" s="2">
        <f t="shared" si="76"/>
        <v>0</v>
      </c>
      <c r="CR62" s="2">
        <f t="shared" si="77"/>
        <v>258.44</v>
      </c>
      <c r="CS62" s="2">
        <f t="shared" si="78"/>
        <v>29.88</v>
      </c>
      <c r="CT62" s="2">
        <f t="shared" si="79"/>
        <v>44.72</v>
      </c>
      <c r="CU62" s="2">
        <f t="shared" si="80"/>
        <v>0</v>
      </c>
      <c r="CV62" s="2">
        <f t="shared" si="81"/>
        <v>5.1345000000000001</v>
      </c>
      <c r="CW62" s="2">
        <f t="shared" si="82"/>
        <v>2.1952000000000003</v>
      </c>
      <c r="CX62" s="2">
        <f t="shared" si="83"/>
        <v>0</v>
      </c>
      <c r="CY62" s="2">
        <f>(((S62+(R62*IF(0,0,1)))*AT62)/100)</f>
        <v>394.8</v>
      </c>
      <c r="CZ62" s="2">
        <f>(((S62+(R62*IF(0,0,1)))*AU62)/100)</f>
        <v>253.33</v>
      </c>
      <c r="DA62" s="2"/>
      <c r="DB62" s="2"/>
      <c r="DC62" s="2" t="s">
        <v>6</v>
      </c>
      <c r="DD62" s="2" t="s">
        <v>6</v>
      </c>
      <c r="DE62" s="2" t="s">
        <v>24</v>
      </c>
      <c r="DF62" s="2" t="s">
        <v>24</v>
      </c>
      <c r="DG62" s="2" t="s">
        <v>25</v>
      </c>
      <c r="DH62" s="2" t="s">
        <v>6</v>
      </c>
      <c r="DI62" s="2" t="s">
        <v>25</v>
      </c>
      <c r="DJ62" s="2" t="s">
        <v>24</v>
      </c>
      <c r="DK62" s="2" t="s">
        <v>6</v>
      </c>
      <c r="DL62" s="2" t="s">
        <v>6</v>
      </c>
      <c r="DM62" s="2" t="s">
        <v>6</v>
      </c>
      <c r="DN62" s="2">
        <v>0</v>
      </c>
      <c r="DO62" s="2">
        <v>0</v>
      </c>
      <c r="DP62" s="2">
        <v>1</v>
      </c>
      <c r="DQ62" s="2">
        <v>1</v>
      </c>
      <c r="DR62" s="2"/>
      <c r="DS62" s="2"/>
      <c r="DT62" s="2"/>
      <c r="DU62" s="2">
        <v>1013</v>
      </c>
      <c r="DV62" s="2" t="s">
        <v>21</v>
      </c>
      <c r="DW62" s="2" t="s">
        <v>21</v>
      </c>
      <c r="DX62" s="2">
        <v>1</v>
      </c>
      <c r="DY62" s="2"/>
      <c r="DZ62" s="2" t="s">
        <v>6</v>
      </c>
      <c r="EA62" s="2" t="s">
        <v>6</v>
      </c>
      <c r="EB62" s="2" t="s">
        <v>6</v>
      </c>
      <c r="EC62" s="2" t="s">
        <v>6</v>
      </c>
      <c r="ED62" s="2"/>
      <c r="EE62" s="2">
        <v>54938592</v>
      </c>
      <c r="EF62" s="2">
        <v>1</v>
      </c>
      <c r="EG62" s="2" t="s">
        <v>26</v>
      </c>
      <c r="EH62" s="2">
        <v>0</v>
      </c>
      <c r="EI62" s="2" t="s">
        <v>6</v>
      </c>
      <c r="EJ62" s="2">
        <v>1</v>
      </c>
      <c r="EK62" s="2">
        <v>6002</v>
      </c>
      <c r="EL62" s="2" t="s">
        <v>27</v>
      </c>
      <c r="EM62" s="2" t="s">
        <v>28</v>
      </c>
      <c r="EN62" s="2"/>
      <c r="EO62" s="2" t="s">
        <v>29</v>
      </c>
      <c r="EP62" s="2"/>
      <c r="EQ62" s="2">
        <v>2228224</v>
      </c>
      <c r="ER62" s="2">
        <v>233.52</v>
      </c>
      <c r="ES62" s="2">
        <v>7.12</v>
      </c>
      <c r="ET62" s="2">
        <v>183.81</v>
      </c>
      <c r="EU62" s="2">
        <v>26.68</v>
      </c>
      <c r="EV62" s="2">
        <v>42.59</v>
      </c>
      <c r="EW62" s="2">
        <v>4.8899999999999997</v>
      </c>
      <c r="EX62" s="2">
        <v>1.96</v>
      </c>
      <c r="EY62" s="2">
        <v>1</v>
      </c>
      <c r="EZ62" s="2"/>
      <c r="FA62" s="2"/>
      <c r="FB62" s="2"/>
      <c r="FC62" s="2"/>
      <c r="FD62" s="2"/>
      <c r="FE62" s="2"/>
      <c r="FF62" s="2"/>
      <c r="FG62" s="2"/>
      <c r="FH62" s="2"/>
      <c r="FI62" s="2"/>
      <c r="FJ62" s="2"/>
      <c r="FK62" s="2"/>
      <c r="FL62" s="2"/>
      <c r="FM62" s="2"/>
      <c r="FN62" s="2"/>
      <c r="FO62" s="2"/>
      <c r="FP62" s="2"/>
      <c r="FQ62" s="2">
        <v>0</v>
      </c>
      <c r="FR62" s="2">
        <f t="shared" si="84"/>
        <v>0</v>
      </c>
      <c r="FS62" s="2">
        <v>0</v>
      </c>
      <c r="FT62" s="2"/>
      <c r="FU62" s="2"/>
      <c r="FV62" s="2"/>
      <c r="FW62" s="2"/>
      <c r="FX62" s="2">
        <v>120</v>
      </c>
      <c r="FY62" s="2">
        <v>77</v>
      </c>
      <c r="FZ62" s="2"/>
      <c r="GA62" s="2" t="s">
        <v>6</v>
      </c>
      <c r="GB62" s="2"/>
      <c r="GC62" s="2"/>
      <c r="GD62" s="2">
        <v>1</v>
      </c>
      <c r="GE62" s="2"/>
      <c r="GF62" s="2">
        <v>-443537949</v>
      </c>
      <c r="GG62" s="2">
        <v>2</v>
      </c>
      <c r="GH62" s="2">
        <v>1</v>
      </c>
      <c r="GI62" s="2">
        <v>-2</v>
      </c>
      <c r="GJ62" s="2">
        <v>0</v>
      </c>
      <c r="GK62" s="2">
        <v>0</v>
      </c>
      <c r="GL62" s="2">
        <f t="shared" si="85"/>
        <v>0</v>
      </c>
      <c r="GM62" s="2">
        <f t="shared" si="86"/>
        <v>1985</v>
      </c>
      <c r="GN62" s="2">
        <f t="shared" si="87"/>
        <v>1985</v>
      </c>
      <c r="GO62" s="2">
        <f t="shared" si="88"/>
        <v>0</v>
      </c>
      <c r="GP62" s="2">
        <f t="shared" si="89"/>
        <v>0</v>
      </c>
      <c r="GQ62" s="2"/>
      <c r="GR62" s="2">
        <v>0</v>
      </c>
      <c r="GS62" s="2">
        <v>3</v>
      </c>
      <c r="GT62" s="2">
        <v>0</v>
      </c>
      <c r="GU62" s="2" t="s">
        <v>6</v>
      </c>
      <c r="GV62" s="2">
        <f t="shared" si="90"/>
        <v>0</v>
      </c>
      <c r="GW62" s="2">
        <v>1</v>
      </c>
      <c r="GX62" s="2">
        <f t="shared" si="91"/>
        <v>0</v>
      </c>
      <c r="GY62" s="2"/>
      <c r="GZ62" s="2"/>
      <c r="HA62" s="2">
        <v>0</v>
      </c>
      <c r="HB62" s="2">
        <v>0</v>
      </c>
      <c r="HC62" s="2">
        <f t="shared" si="92"/>
        <v>0</v>
      </c>
      <c r="HD62" s="2"/>
      <c r="HE62" s="2" t="s">
        <v>6</v>
      </c>
      <c r="HF62" s="2" t="s">
        <v>6</v>
      </c>
      <c r="HG62" s="2"/>
      <c r="HH62" s="2"/>
      <c r="HI62" s="2"/>
      <c r="HJ62" s="2"/>
      <c r="HK62" s="2"/>
      <c r="HL62" s="2"/>
      <c r="HM62" s="2" t="s">
        <v>6</v>
      </c>
      <c r="HN62" s="2" t="s">
        <v>6</v>
      </c>
      <c r="HO62" s="2" t="s">
        <v>6</v>
      </c>
      <c r="HP62" s="2" t="s">
        <v>6</v>
      </c>
      <c r="HQ62" s="2" t="s">
        <v>6</v>
      </c>
      <c r="HR62" s="2"/>
      <c r="HS62" s="2"/>
      <c r="HT62" s="2"/>
      <c r="HU62" s="2"/>
      <c r="HV62" s="2"/>
      <c r="HW62" s="2"/>
      <c r="HX62" s="2"/>
      <c r="HY62" s="2"/>
      <c r="HZ62" s="2"/>
      <c r="IA62" s="2"/>
      <c r="IB62" s="2"/>
      <c r="IC62" s="2"/>
      <c r="ID62" s="2"/>
      <c r="IE62" s="2"/>
      <c r="IF62" s="2">
        <v>-1</v>
      </c>
      <c r="IG62" s="2"/>
      <c r="IH62" s="2"/>
      <c r="II62" s="2"/>
      <c r="IJ62" s="2"/>
      <c r="IK62" s="2">
        <v>0</v>
      </c>
      <c r="IL62" s="2"/>
      <c r="IM62" s="2"/>
      <c r="IN62" s="2"/>
      <c r="IO62" s="2"/>
      <c r="IP62" s="2"/>
      <c r="IQ62" s="2"/>
      <c r="IR62" s="2"/>
      <c r="IS62" s="2"/>
      <c r="IT62" s="2"/>
      <c r="IU62" s="2"/>
    </row>
    <row r="63" spans="1:255" x14ac:dyDescent="0.2">
      <c r="A63">
        <v>17</v>
      </c>
      <c r="B63">
        <v>1</v>
      </c>
      <c r="C63">
        <f>ROW(SmtRes!A92)</f>
        <v>92</v>
      </c>
      <c r="D63">
        <f>ROW(EtalonRes!A72)</f>
        <v>72</v>
      </c>
      <c r="E63" t="s">
        <v>121</v>
      </c>
      <c r="F63" t="s">
        <v>122</v>
      </c>
      <c r="G63" t="s">
        <v>123</v>
      </c>
      <c r="H63" t="s">
        <v>21</v>
      </c>
      <c r="I63">
        <f>'2.Лок.смета.и.Акт'!E28</f>
        <v>4.4124999999999996</v>
      </c>
      <c r="J63">
        <v>0</v>
      </c>
      <c r="K63">
        <v>17.649999999999999</v>
      </c>
      <c r="O63">
        <f t="shared" si="61"/>
        <v>17723</v>
      </c>
      <c r="P63">
        <f t="shared" si="62"/>
        <v>0</v>
      </c>
      <c r="Q63">
        <f t="shared" si="63"/>
        <v>10605</v>
      </c>
      <c r="R63">
        <f t="shared" si="64"/>
        <v>2611</v>
      </c>
      <c r="S63">
        <f t="shared" si="65"/>
        <v>7118</v>
      </c>
      <c r="T63">
        <f t="shared" si="66"/>
        <v>0</v>
      </c>
      <c r="U63" t="e">
        <f t="shared" si="67"/>
        <v>#REF!</v>
      </c>
      <c r="V63">
        <f t="shared" si="68"/>
        <v>9.6863200000000003</v>
      </c>
      <c r="W63">
        <f t="shared" si="69"/>
        <v>0</v>
      </c>
      <c r="X63" t="e">
        <f t="shared" si="70"/>
        <v>#REF!</v>
      </c>
      <c r="Y63" t="e">
        <f t="shared" si="71"/>
        <v>#REF!</v>
      </c>
      <c r="AA63">
        <v>86326988</v>
      </c>
      <c r="AB63">
        <f t="shared" si="72"/>
        <v>303.16000000000003</v>
      </c>
      <c r="AC63">
        <f>ROUND((ES63+(SUM(SmtRes!BC80:'SmtRes'!BC92)+SUM(EtalonRes!AL66:'EtalonRes'!AL72))),2)</f>
        <v>0</v>
      </c>
      <c r="AD63">
        <f>ROUND(((((ET63*1.12)+(SUM(SmtRes!BD80:'SmtRes'!BD92)+SUM(EtalonRes!AM66:'EtalonRes'!AM72)))-((EU63*1.12)+(SUM(SmtRes!BE80:'SmtRes'!BE92)+SUM(EtalonRes!AN66:'EtalonRes'!AN72))))+AE63),2)</f>
        <v>258.44</v>
      </c>
      <c r="AE63">
        <f>ROUND(((EU63*1.12)+(SUM(SmtRes!BE80:'SmtRes'!BE92)+SUM(EtalonRes!AN66:'EtalonRes'!AN72))),2)</f>
        <v>29.88</v>
      </c>
      <c r="AF63">
        <f>ROUND(((EV63*1.05)),2)</f>
        <v>44.72</v>
      </c>
      <c r="AG63">
        <f t="shared" si="73"/>
        <v>0</v>
      </c>
      <c r="AH63" t="e">
        <f>((EW63*1.05))</f>
        <v>#REF!</v>
      </c>
      <c r="AI63">
        <f>((EX63*1.12))</f>
        <v>2.1952000000000003</v>
      </c>
      <c r="AJ63">
        <f t="shared" si="74"/>
        <v>0</v>
      </c>
      <c r="AK63">
        <f>AL63+AM63+AO63</f>
        <v>233.52</v>
      </c>
      <c r="AL63">
        <v>7.12</v>
      </c>
      <c r="AM63" s="75">
        <f>'1.Лок.смета.и.Акт'!F118</f>
        <v>183.81</v>
      </c>
      <c r="AN63" s="75">
        <f>'1.Лок.смета.и.Акт'!F119</f>
        <v>26.68</v>
      </c>
      <c r="AO63" s="75">
        <f>'1.Лок.смета.и.Акт'!F117</f>
        <v>42.59</v>
      </c>
      <c r="AP63">
        <v>0</v>
      </c>
      <c r="AQ63" t="e">
        <f>'2.Лок.смета.и.Акт'!#REF!</f>
        <v>#REF!</v>
      </c>
      <c r="AR63">
        <v>1.96</v>
      </c>
      <c r="AS63">
        <v>0</v>
      </c>
      <c r="AT63">
        <v>114</v>
      </c>
      <c r="AU63">
        <v>65</v>
      </c>
      <c r="AV63">
        <v>1</v>
      </c>
      <c r="AW63">
        <v>1</v>
      </c>
      <c r="AZ63">
        <v>1</v>
      </c>
      <c r="BA63">
        <f>'1.Лок.смета.и.Акт'!J117</f>
        <v>36.07</v>
      </c>
      <c r="BB63">
        <f>'1.Лок.смета.и.Акт'!J118</f>
        <v>9.3000000000000007</v>
      </c>
      <c r="BC63">
        <v>7.56</v>
      </c>
      <c r="BD63" t="s">
        <v>6</v>
      </c>
      <c r="BE63" t="s">
        <v>6</v>
      </c>
      <c r="BF63" t="s">
        <v>6</v>
      </c>
      <c r="BG63" t="s">
        <v>6</v>
      </c>
      <c r="BH63">
        <v>0</v>
      </c>
      <c r="BI63">
        <v>1</v>
      </c>
      <c r="BJ63" t="s">
        <v>124</v>
      </c>
      <c r="BM63">
        <v>6002</v>
      </c>
      <c r="BN63">
        <v>0</v>
      </c>
      <c r="BO63" t="s">
        <v>122</v>
      </c>
      <c r="BP63">
        <v>1</v>
      </c>
      <c r="BQ63">
        <v>1</v>
      </c>
      <c r="BR63">
        <v>0</v>
      </c>
      <c r="BS63">
        <f>'1.Лок.смета.и.Акт'!J119</f>
        <v>19.8</v>
      </c>
      <c r="BT63">
        <v>1</v>
      </c>
      <c r="BU63">
        <v>1</v>
      </c>
      <c r="BV63">
        <v>1</v>
      </c>
      <c r="BW63">
        <v>1</v>
      </c>
      <c r="BX63">
        <v>1</v>
      </c>
      <c r="BY63" t="s">
        <v>6</v>
      </c>
      <c r="BZ63" t="e">
        <f>'2.Лок.смета.и.Акт'!#REF!</f>
        <v>#REF!</v>
      </c>
      <c r="CA63" t="e">
        <f>'2.Лок.смета.и.Акт'!#REF!</f>
        <v>#REF!</v>
      </c>
      <c r="CB63" t="s">
        <v>6</v>
      </c>
      <c r="CE63">
        <v>0</v>
      </c>
      <c r="CF63">
        <v>0</v>
      </c>
      <c r="CG63">
        <v>0</v>
      </c>
      <c r="CM63">
        <v>0</v>
      </c>
      <c r="CN63" t="s">
        <v>23</v>
      </c>
      <c r="CO63">
        <v>0</v>
      </c>
      <c r="CP63">
        <f t="shared" si="75"/>
        <v>17723</v>
      </c>
      <c r="CQ63">
        <f t="shared" si="76"/>
        <v>0</v>
      </c>
      <c r="CR63">
        <f t="shared" si="77"/>
        <v>2403.4920000000002</v>
      </c>
      <c r="CS63">
        <f t="shared" si="78"/>
        <v>591.62400000000002</v>
      </c>
      <c r="CT63">
        <f t="shared" si="79"/>
        <v>1613.0504000000001</v>
      </c>
      <c r="CU63">
        <f t="shared" si="80"/>
        <v>0</v>
      </c>
      <c r="CV63" t="e">
        <f t="shared" si="81"/>
        <v>#REF!</v>
      </c>
      <c r="CW63">
        <f t="shared" si="82"/>
        <v>2.1952000000000003</v>
      </c>
      <c r="CX63">
        <f t="shared" si="83"/>
        <v>0</v>
      </c>
      <c r="CY63" t="e">
        <f>(S63+R63)*(BZ63/100)</f>
        <v>#REF!</v>
      </c>
      <c r="CZ63" t="e">
        <f>(S63+R63)*(CA63/100)</f>
        <v>#REF!</v>
      </c>
      <c r="DC63" t="s">
        <v>6</v>
      </c>
      <c r="DD63" t="s">
        <v>6</v>
      </c>
      <c r="DE63" t="s">
        <v>24</v>
      </c>
      <c r="DF63" t="s">
        <v>24</v>
      </c>
      <c r="DG63" t="s">
        <v>25</v>
      </c>
      <c r="DH63" t="s">
        <v>6</v>
      </c>
      <c r="DI63" t="s">
        <v>25</v>
      </c>
      <c r="DJ63" t="s">
        <v>24</v>
      </c>
      <c r="DK63" t="s">
        <v>6</v>
      </c>
      <c r="DL63" t="s">
        <v>6</v>
      </c>
      <c r="DM63" t="s">
        <v>6</v>
      </c>
      <c r="DN63">
        <f>'1.Лок.смета.и.Акт'!E120</f>
        <v>120</v>
      </c>
      <c r="DO63">
        <f>'1.Лок.смета.и.Акт'!E121</f>
        <v>77</v>
      </c>
      <c r="DP63">
        <v>1</v>
      </c>
      <c r="DQ63">
        <v>1</v>
      </c>
      <c r="DU63">
        <v>1013</v>
      </c>
      <c r="DV63" t="s">
        <v>21</v>
      </c>
      <c r="DW63" t="str">
        <f>'2.Лок.смета.и.Акт'!D28</f>
        <v>10 м2 конструкций</v>
      </c>
      <c r="DX63">
        <v>1</v>
      </c>
      <c r="DZ63" t="s">
        <v>6</v>
      </c>
      <c r="EA63" t="s">
        <v>6</v>
      </c>
      <c r="EB63" t="s">
        <v>6</v>
      </c>
      <c r="EC63" t="s">
        <v>6</v>
      </c>
      <c r="EE63">
        <v>54938592</v>
      </c>
      <c r="EF63">
        <v>1</v>
      </c>
      <c r="EG63" t="s">
        <v>26</v>
      </c>
      <c r="EH63">
        <v>0</v>
      </c>
      <c r="EI63" t="s">
        <v>6</v>
      </c>
      <c r="EJ63">
        <v>1</v>
      </c>
      <c r="EK63">
        <v>6002</v>
      </c>
      <c r="EL63" t="s">
        <v>27</v>
      </c>
      <c r="EM63" t="s">
        <v>28</v>
      </c>
      <c r="EO63" t="s">
        <v>29</v>
      </c>
      <c r="EQ63">
        <v>2228224</v>
      </c>
      <c r="ER63">
        <f>ES63+ET63+EV63</f>
        <v>233.52</v>
      </c>
      <c r="ES63">
        <v>7.12</v>
      </c>
      <c r="ET63" s="75">
        <f>'1.Лок.смета.и.Акт'!F118</f>
        <v>183.81</v>
      </c>
      <c r="EU63" s="75">
        <f>'1.Лок.смета.и.Акт'!F119</f>
        <v>26.68</v>
      </c>
      <c r="EV63" s="75">
        <f>'1.Лок.смета.и.Акт'!F117</f>
        <v>42.59</v>
      </c>
      <c r="EW63" t="e">
        <f>'2.Лок.смета.и.Акт'!#REF!</f>
        <v>#REF!</v>
      </c>
      <c r="EX63">
        <v>1.96</v>
      </c>
      <c r="EY63">
        <v>1</v>
      </c>
      <c r="FQ63">
        <v>0</v>
      </c>
      <c r="FR63">
        <f t="shared" si="84"/>
        <v>0</v>
      </c>
      <c r="FS63">
        <v>0</v>
      </c>
      <c r="FX63">
        <v>120</v>
      </c>
      <c r="FY63">
        <v>77</v>
      </c>
      <c r="GA63" t="s">
        <v>6</v>
      </c>
      <c r="GD63">
        <v>1</v>
      </c>
      <c r="GF63">
        <v>-443537949</v>
      </c>
      <c r="GG63">
        <v>2</v>
      </c>
      <c r="GH63">
        <v>1</v>
      </c>
      <c r="GI63">
        <v>2</v>
      </c>
      <c r="GJ63">
        <v>0</v>
      </c>
      <c r="GK63">
        <v>0</v>
      </c>
      <c r="GL63">
        <f t="shared" si="85"/>
        <v>0</v>
      </c>
      <c r="GM63" t="e">
        <f t="shared" si="86"/>
        <v>#REF!</v>
      </c>
      <c r="GN63" t="e">
        <f t="shared" si="87"/>
        <v>#REF!</v>
      </c>
      <c r="GO63">
        <f t="shared" si="88"/>
        <v>0</v>
      </c>
      <c r="GP63">
        <f t="shared" si="89"/>
        <v>0</v>
      </c>
      <c r="GR63">
        <v>0</v>
      </c>
      <c r="GS63">
        <v>3</v>
      </c>
      <c r="GT63">
        <v>0</v>
      </c>
      <c r="GU63" t="s">
        <v>6</v>
      </c>
      <c r="GV63">
        <f t="shared" si="90"/>
        <v>0</v>
      </c>
      <c r="GW63">
        <v>1003.4</v>
      </c>
      <c r="GX63">
        <f t="shared" si="91"/>
        <v>0</v>
      </c>
      <c r="HA63">
        <v>0</v>
      </c>
      <c r="HB63">
        <v>0</v>
      </c>
      <c r="HC63">
        <f t="shared" si="92"/>
        <v>0</v>
      </c>
      <c r="HE63" t="s">
        <v>6</v>
      </c>
      <c r="HF63" t="s">
        <v>6</v>
      </c>
      <c r="HM63" t="s">
        <v>6</v>
      </c>
      <c r="HN63" t="s">
        <v>6</v>
      </c>
      <c r="HO63" t="s">
        <v>6</v>
      </c>
      <c r="HP63" t="s">
        <v>6</v>
      </c>
      <c r="HQ63" t="s">
        <v>6</v>
      </c>
      <c r="IF63">
        <v>-1</v>
      </c>
      <c r="IK63">
        <v>0</v>
      </c>
    </row>
    <row r="64" spans="1:255" x14ac:dyDescent="0.2">
      <c r="A64" s="2">
        <v>18</v>
      </c>
      <c r="B64" s="2">
        <v>1</v>
      </c>
      <c r="C64" s="2">
        <v>71</v>
      </c>
      <c r="D64" s="2"/>
      <c r="E64" s="2" t="s">
        <v>125</v>
      </c>
      <c r="F64" s="2" t="s">
        <v>71</v>
      </c>
      <c r="G64" s="2" t="s">
        <v>72</v>
      </c>
      <c r="H64" s="2" t="s">
        <v>33</v>
      </c>
      <c r="I64" s="2">
        <f>I62*J64</f>
        <v>1.85325E-2</v>
      </c>
      <c r="J64" s="226">
        <f>'5.Ведомость_списания'!F44</f>
        <v>4.2000000000000006E-3</v>
      </c>
      <c r="K64" s="2">
        <v>4.1999999999999997E-3</v>
      </c>
      <c r="L64" s="2"/>
      <c r="M64" s="2"/>
      <c r="N64" s="2"/>
      <c r="O64" s="2">
        <f t="shared" si="61"/>
        <v>31</v>
      </c>
      <c r="P64" s="2">
        <f t="shared" si="62"/>
        <v>31</v>
      </c>
      <c r="Q64" s="2">
        <f t="shared" si="63"/>
        <v>0</v>
      </c>
      <c r="R64" s="2">
        <f t="shared" si="64"/>
        <v>0</v>
      </c>
      <c r="S64" s="2">
        <f t="shared" si="65"/>
        <v>0</v>
      </c>
      <c r="T64" s="2">
        <f t="shared" si="66"/>
        <v>0</v>
      </c>
      <c r="U64" s="2">
        <f t="shared" si="67"/>
        <v>0</v>
      </c>
      <c r="V64" s="2">
        <f t="shared" si="68"/>
        <v>0</v>
      </c>
      <c r="W64" s="2">
        <f t="shared" si="69"/>
        <v>1</v>
      </c>
      <c r="X64" s="2">
        <f t="shared" si="70"/>
        <v>0</v>
      </c>
      <c r="Y64" s="2">
        <f t="shared" si="71"/>
        <v>0</v>
      </c>
      <c r="Z64" s="2"/>
      <c r="AA64" s="2">
        <v>86326987</v>
      </c>
      <c r="AB64" s="2">
        <f t="shared" si="72"/>
        <v>1696.01</v>
      </c>
      <c r="AC64" s="2">
        <f t="shared" ref="AC64:AC83" si="93">ROUND((ES64),2)</f>
        <v>1696.01</v>
      </c>
      <c r="AD64" s="2">
        <f>ROUND((((ET64)-(EU64))+AE64),2)</f>
        <v>0</v>
      </c>
      <c r="AE64" s="2">
        <f t="shared" ref="AE64:AE83" si="94">ROUND((EU64),2)</f>
        <v>0</v>
      </c>
      <c r="AF64" s="2">
        <f t="shared" ref="AF64:AF83" si="95">ROUND((EV64),2)</f>
        <v>0</v>
      </c>
      <c r="AG64" s="2">
        <f t="shared" si="73"/>
        <v>0</v>
      </c>
      <c r="AH64" s="2">
        <f t="shared" ref="AH64:AH83" si="96">(EW64)</f>
        <v>0</v>
      </c>
      <c r="AI64" s="2">
        <f t="shared" ref="AI64:AI83" si="97">(EX64)</f>
        <v>0</v>
      </c>
      <c r="AJ64" s="2">
        <f t="shared" si="74"/>
        <v>44.58</v>
      </c>
      <c r="AK64" s="2">
        <v>1696.01</v>
      </c>
      <c r="AL64" s="110">
        <f>'1.Лок.смета.и.Акт'!F123</f>
        <v>1696.01</v>
      </c>
      <c r="AM64" s="2">
        <v>0</v>
      </c>
      <c r="AN64" s="2">
        <v>0</v>
      </c>
      <c r="AO64" s="2">
        <v>0</v>
      </c>
      <c r="AP64" s="2">
        <v>0</v>
      </c>
      <c r="AQ64" s="2">
        <v>0</v>
      </c>
      <c r="AR64" s="2">
        <v>0</v>
      </c>
      <c r="AS64" s="2">
        <v>44.58</v>
      </c>
      <c r="AT64" s="2">
        <v>0</v>
      </c>
      <c r="AU64" s="2">
        <v>0</v>
      </c>
      <c r="AV64" s="2">
        <v>1</v>
      </c>
      <c r="AW64" s="2">
        <v>1</v>
      </c>
      <c r="AX64" s="2"/>
      <c r="AY64" s="2"/>
      <c r="AZ64" s="2">
        <v>1</v>
      </c>
      <c r="BA64" s="2">
        <v>1</v>
      </c>
      <c r="BB64" s="2">
        <v>1</v>
      </c>
      <c r="BC64" s="2">
        <v>1</v>
      </c>
      <c r="BD64" s="2" t="s">
        <v>6</v>
      </c>
      <c r="BE64" s="2" t="s">
        <v>6</v>
      </c>
      <c r="BF64" s="2" t="s">
        <v>6</v>
      </c>
      <c r="BG64" s="2" t="s">
        <v>6</v>
      </c>
      <c r="BH64" s="2">
        <v>3</v>
      </c>
      <c r="BI64" s="2">
        <v>1</v>
      </c>
      <c r="BJ64" s="2" t="s">
        <v>73</v>
      </c>
      <c r="BK64" s="2"/>
      <c r="BL64" s="2"/>
      <c r="BM64" s="2">
        <v>500001</v>
      </c>
      <c r="BN64" s="2">
        <v>0</v>
      </c>
      <c r="BO64" s="2" t="s">
        <v>6</v>
      </c>
      <c r="BP64" s="2">
        <v>0</v>
      </c>
      <c r="BQ64" s="2">
        <v>20</v>
      </c>
      <c r="BR64" s="2">
        <v>0</v>
      </c>
      <c r="BS64" s="2">
        <v>1</v>
      </c>
      <c r="BT64" s="2">
        <v>1</v>
      </c>
      <c r="BU64" s="2">
        <v>1</v>
      </c>
      <c r="BV64" s="2">
        <v>1</v>
      </c>
      <c r="BW64" s="2">
        <v>1</v>
      </c>
      <c r="BX64" s="2">
        <v>1</v>
      </c>
      <c r="BY64" s="2" t="s">
        <v>6</v>
      </c>
      <c r="BZ64" s="2">
        <v>0</v>
      </c>
      <c r="CA64" s="2">
        <v>0</v>
      </c>
      <c r="CB64" s="2" t="s">
        <v>6</v>
      </c>
      <c r="CC64" s="2"/>
      <c r="CD64" s="2"/>
      <c r="CE64" s="2">
        <v>0</v>
      </c>
      <c r="CF64" s="2">
        <v>0</v>
      </c>
      <c r="CG64" s="2">
        <v>0</v>
      </c>
      <c r="CH64" s="2"/>
      <c r="CI64" s="2"/>
      <c r="CJ64" s="2"/>
      <c r="CK64" s="2"/>
      <c r="CL64" s="2"/>
      <c r="CM64" s="2">
        <v>0</v>
      </c>
      <c r="CN64" s="2" t="s">
        <v>6</v>
      </c>
      <c r="CO64" s="2">
        <v>0</v>
      </c>
      <c r="CP64" s="2">
        <f t="shared" si="75"/>
        <v>31</v>
      </c>
      <c r="CQ64" s="2">
        <f t="shared" si="76"/>
        <v>1696.01</v>
      </c>
      <c r="CR64" s="2">
        <f t="shared" si="77"/>
        <v>0</v>
      </c>
      <c r="CS64" s="2">
        <f t="shared" si="78"/>
        <v>0</v>
      </c>
      <c r="CT64" s="2">
        <f t="shared" si="79"/>
        <v>0</v>
      </c>
      <c r="CU64" s="2">
        <f t="shared" si="80"/>
        <v>0</v>
      </c>
      <c r="CV64" s="2">
        <f t="shared" si="81"/>
        <v>0</v>
      </c>
      <c r="CW64" s="2">
        <f t="shared" si="82"/>
        <v>0</v>
      </c>
      <c r="CX64" s="2">
        <f t="shared" si="83"/>
        <v>44.58</v>
      </c>
      <c r="CY64" s="2">
        <f>(((S64+(R64*IF(0,0,1)))*AT64)/100)</f>
        <v>0</v>
      </c>
      <c r="CZ64" s="2">
        <f>(((S64+(R64*IF(0,0,1)))*AU64)/100)</f>
        <v>0</v>
      </c>
      <c r="DA64" s="2"/>
      <c r="DB64" s="2"/>
      <c r="DC64" s="2" t="s">
        <v>6</v>
      </c>
      <c r="DD64" s="2" t="s">
        <v>6</v>
      </c>
      <c r="DE64" s="2" t="s">
        <v>6</v>
      </c>
      <c r="DF64" s="2" t="s">
        <v>6</v>
      </c>
      <c r="DG64" s="2" t="s">
        <v>6</v>
      </c>
      <c r="DH64" s="2" t="s">
        <v>6</v>
      </c>
      <c r="DI64" s="2" t="s">
        <v>6</v>
      </c>
      <c r="DJ64" s="2" t="s">
        <v>6</v>
      </c>
      <c r="DK64" s="2" t="s">
        <v>6</v>
      </c>
      <c r="DL64" s="2" t="s">
        <v>6</v>
      </c>
      <c r="DM64" s="2" t="s">
        <v>6</v>
      </c>
      <c r="DN64" s="2">
        <v>0</v>
      </c>
      <c r="DO64" s="2">
        <v>0</v>
      </c>
      <c r="DP64" s="2">
        <v>1</v>
      </c>
      <c r="DQ64" s="2">
        <v>1</v>
      </c>
      <c r="DR64" s="2"/>
      <c r="DS64" s="2"/>
      <c r="DT64" s="2"/>
      <c r="DU64" s="2">
        <v>1009</v>
      </c>
      <c r="DV64" s="2" t="s">
        <v>33</v>
      </c>
      <c r="DW64" s="2" t="s">
        <v>33</v>
      </c>
      <c r="DX64" s="2">
        <v>1000</v>
      </c>
      <c r="DY64" s="2"/>
      <c r="DZ64" s="2" t="s">
        <v>6</v>
      </c>
      <c r="EA64" s="2" t="s">
        <v>6</v>
      </c>
      <c r="EB64" s="2" t="s">
        <v>6</v>
      </c>
      <c r="EC64" s="2" t="s">
        <v>6</v>
      </c>
      <c r="ED64" s="2"/>
      <c r="EE64" s="2">
        <v>54938781</v>
      </c>
      <c r="EF64" s="2">
        <v>20</v>
      </c>
      <c r="EG64" s="2" t="s">
        <v>35</v>
      </c>
      <c r="EH64" s="2">
        <v>0</v>
      </c>
      <c r="EI64" s="2" t="s">
        <v>6</v>
      </c>
      <c r="EJ64" s="2">
        <v>1</v>
      </c>
      <c r="EK64" s="2">
        <v>500001</v>
      </c>
      <c r="EL64" s="2" t="s">
        <v>36</v>
      </c>
      <c r="EM64" s="2" t="s">
        <v>37</v>
      </c>
      <c r="EN64" s="2"/>
      <c r="EO64" s="2" t="s">
        <v>6</v>
      </c>
      <c r="EP64" s="2"/>
      <c r="EQ64" s="2">
        <v>0</v>
      </c>
      <c r="ER64" s="2">
        <v>1696.01</v>
      </c>
      <c r="ES64" s="110">
        <f>'1.Лок.смета.и.Акт'!F123</f>
        <v>1696.01</v>
      </c>
      <c r="ET64" s="2">
        <v>0</v>
      </c>
      <c r="EU64" s="2">
        <v>0</v>
      </c>
      <c r="EV64" s="2">
        <v>0</v>
      </c>
      <c r="EW64" s="2">
        <v>0</v>
      </c>
      <c r="EX64" s="2">
        <v>0</v>
      </c>
      <c r="EY64" s="2"/>
      <c r="EZ64" s="2"/>
      <c r="FA64" s="2"/>
      <c r="FB64" s="2"/>
      <c r="FC64" s="2"/>
      <c r="FD64" s="2"/>
      <c r="FE64" s="2"/>
      <c r="FF64" s="2"/>
      <c r="FG64" s="2"/>
      <c r="FH64" s="2"/>
      <c r="FI64" s="2"/>
      <c r="FJ64" s="2"/>
      <c r="FK64" s="2"/>
      <c r="FL64" s="2"/>
      <c r="FM64" s="2"/>
      <c r="FN64" s="2"/>
      <c r="FO64" s="2"/>
      <c r="FP64" s="2"/>
      <c r="FQ64" s="2">
        <v>0</v>
      </c>
      <c r="FR64" s="2">
        <f t="shared" si="84"/>
        <v>0</v>
      </c>
      <c r="FS64" s="2">
        <v>0</v>
      </c>
      <c r="FT64" s="2"/>
      <c r="FU64" s="2"/>
      <c r="FV64" s="2"/>
      <c r="FW64" s="2"/>
      <c r="FX64" s="2">
        <v>0</v>
      </c>
      <c r="FY64" s="2">
        <v>0</v>
      </c>
      <c r="FZ64" s="2"/>
      <c r="GA64" s="2" t="s">
        <v>6</v>
      </c>
      <c r="GB64" s="2"/>
      <c r="GC64" s="2"/>
      <c r="GD64" s="2">
        <v>1</v>
      </c>
      <c r="GE64" s="2"/>
      <c r="GF64" s="2">
        <v>-81122142</v>
      </c>
      <c r="GG64" s="2">
        <v>2</v>
      </c>
      <c r="GH64" s="2">
        <v>0</v>
      </c>
      <c r="GI64" s="2">
        <v>-2</v>
      </c>
      <c r="GJ64" s="2">
        <v>0</v>
      </c>
      <c r="GK64" s="2">
        <v>0</v>
      </c>
      <c r="GL64" s="2">
        <f t="shared" si="85"/>
        <v>0</v>
      </c>
      <c r="GM64" s="2">
        <f t="shared" si="86"/>
        <v>31</v>
      </c>
      <c r="GN64" s="2">
        <f t="shared" si="87"/>
        <v>31</v>
      </c>
      <c r="GO64" s="2">
        <f t="shared" si="88"/>
        <v>0</v>
      </c>
      <c r="GP64" s="2">
        <f t="shared" si="89"/>
        <v>0</v>
      </c>
      <c r="GQ64" s="2"/>
      <c r="GR64" s="2">
        <v>0</v>
      </c>
      <c r="GS64" s="2">
        <v>3</v>
      </c>
      <c r="GT64" s="2">
        <v>0</v>
      </c>
      <c r="GU64" s="2" t="s">
        <v>6</v>
      </c>
      <c r="GV64" s="2">
        <f t="shared" si="90"/>
        <v>0</v>
      </c>
      <c r="GW64" s="2">
        <v>1</v>
      </c>
      <c r="GX64" s="2">
        <f t="shared" si="91"/>
        <v>0</v>
      </c>
      <c r="GY64" s="2"/>
      <c r="GZ64" s="2"/>
      <c r="HA64" s="2">
        <v>0</v>
      </c>
      <c r="HB64" s="2">
        <v>0</v>
      </c>
      <c r="HC64" s="2">
        <f t="shared" si="92"/>
        <v>0</v>
      </c>
      <c r="HD64" s="2"/>
      <c r="HE64" s="2" t="s">
        <v>6</v>
      </c>
      <c r="HF64" s="2" t="s">
        <v>6</v>
      </c>
      <c r="HG64" s="2"/>
      <c r="HH64" s="2"/>
      <c r="HI64" s="2"/>
      <c r="HJ64" s="2"/>
      <c r="HK64" s="2"/>
      <c r="HL64" s="2"/>
      <c r="HM64" s="2" t="s">
        <v>6</v>
      </c>
      <c r="HN64" s="2" t="s">
        <v>6</v>
      </c>
      <c r="HO64" s="2" t="s">
        <v>6</v>
      </c>
      <c r="HP64" s="2" t="s">
        <v>6</v>
      </c>
      <c r="HQ64" s="2" t="s">
        <v>6</v>
      </c>
      <c r="HR64" s="2"/>
      <c r="HS64" s="2"/>
      <c r="HT64" s="2"/>
      <c r="HU64" s="2"/>
      <c r="HV64" s="2"/>
      <c r="HW64" s="2"/>
      <c r="HX64" s="2"/>
      <c r="HY64" s="2"/>
      <c r="HZ64" s="2"/>
      <c r="IA64" s="2"/>
      <c r="IB64" s="2"/>
      <c r="IC64" s="2"/>
      <c r="ID64" s="2"/>
      <c r="IE64" s="2"/>
      <c r="IF64" s="2">
        <v>-1</v>
      </c>
      <c r="IG64" s="2"/>
      <c r="IH64" s="2"/>
      <c r="II64" s="2"/>
      <c r="IJ64" s="2"/>
      <c r="IK64" s="2">
        <v>0</v>
      </c>
      <c r="IL64" s="2"/>
      <c r="IM64" s="2"/>
      <c r="IN64" s="2"/>
      <c r="IO64" s="2"/>
      <c r="IP64" s="2"/>
      <c r="IQ64" s="2"/>
      <c r="IR64" s="2"/>
      <c r="IS64" s="2"/>
      <c r="IT64" s="2"/>
      <c r="IU64" s="2"/>
    </row>
    <row r="65" spans="1:255" x14ac:dyDescent="0.2">
      <c r="A65">
        <v>18</v>
      </c>
      <c r="B65">
        <v>1</v>
      </c>
      <c r="C65">
        <v>84</v>
      </c>
      <c r="E65" t="s">
        <v>125</v>
      </c>
      <c r="F65" t="e">
        <f>'2.Лок.смета.и.Акт'!#REF!</f>
        <v>#REF!</v>
      </c>
      <c r="G65" t="s">
        <v>72</v>
      </c>
      <c r="H65" t="s">
        <v>33</v>
      </c>
      <c r="I65">
        <f>I63*J65</f>
        <v>1.85325E-2</v>
      </c>
      <c r="J65">
        <v>4.2000000000000006E-3</v>
      </c>
      <c r="K65">
        <v>4.1999999999999997E-3</v>
      </c>
      <c r="O65">
        <f t="shared" si="61"/>
        <v>1622</v>
      </c>
      <c r="P65">
        <f t="shared" si="62"/>
        <v>1622</v>
      </c>
      <c r="Q65">
        <f t="shared" si="63"/>
        <v>0</v>
      </c>
      <c r="R65">
        <f t="shared" si="64"/>
        <v>0</v>
      </c>
      <c r="S65">
        <f t="shared" si="65"/>
        <v>0</v>
      </c>
      <c r="T65">
        <f t="shared" si="66"/>
        <v>0</v>
      </c>
      <c r="U65">
        <f t="shared" si="67"/>
        <v>0</v>
      </c>
      <c r="V65">
        <f t="shared" si="68"/>
        <v>0</v>
      </c>
      <c r="W65">
        <f t="shared" si="69"/>
        <v>1</v>
      </c>
      <c r="X65">
        <f t="shared" si="70"/>
        <v>0</v>
      </c>
      <c r="Y65">
        <f t="shared" si="71"/>
        <v>0</v>
      </c>
      <c r="AA65">
        <v>86326988</v>
      </c>
      <c r="AB65">
        <f t="shared" si="72"/>
        <v>11576.19</v>
      </c>
      <c r="AC65">
        <f t="shared" si="93"/>
        <v>11576.19</v>
      </c>
      <c r="AD65">
        <f>ROUND((((ET65)-(EU65))+AE65),2)</f>
        <v>0</v>
      </c>
      <c r="AE65">
        <f t="shared" si="94"/>
        <v>0</v>
      </c>
      <c r="AF65">
        <f t="shared" si="95"/>
        <v>0</v>
      </c>
      <c r="AG65">
        <f t="shared" si="73"/>
        <v>0</v>
      </c>
      <c r="AH65">
        <f t="shared" si="96"/>
        <v>0</v>
      </c>
      <c r="AI65">
        <f t="shared" si="97"/>
        <v>0</v>
      </c>
      <c r="AJ65">
        <f t="shared" si="74"/>
        <v>44.58</v>
      </c>
      <c r="AK65">
        <v>11576.19</v>
      </c>
      <c r="AL65">
        <v>11576.19</v>
      </c>
      <c r="AM65">
        <v>0</v>
      </c>
      <c r="AN65">
        <v>0</v>
      </c>
      <c r="AO65">
        <v>0</v>
      </c>
      <c r="AP65">
        <v>0</v>
      </c>
      <c r="AQ65">
        <v>0</v>
      </c>
      <c r="AR65">
        <v>0</v>
      </c>
      <c r="AS65">
        <v>44.58</v>
      </c>
      <c r="AT65">
        <v>0</v>
      </c>
      <c r="AU65">
        <v>0</v>
      </c>
      <c r="AV65">
        <v>1</v>
      </c>
      <c r="AW65">
        <v>1</v>
      </c>
      <c r="AZ65">
        <v>1</v>
      </c>
      <c r="BA65">
        <v>1</v>
      </c>
      <c r="BB65">
        <v>1</v>
      </c>
      <c r="BC65">
        <v>7.56</v>
      </c>
      <c r="BD65" t="s">
        <v>6</v>
      </c>
      <c r="BE65" t="s">
        <v>6</v>
      </c>
      <c r="BF65" t="s">
        <v>6</v>
      </c>
      <c r="BG65" t="s">
        <v>6</v>
      </c>
      <c r="BH65">
        <v>3</v>
      </c>
      <c r="BI65">
        <v>1</v>
      </c>
      <c r="BJ65" t="s">
        <v>73</v>
      </c>
      <c r="BM65">
        <v>500001</v>
      </c>
      <c r="BN65">
        <v>0</v>
      </c>
      <c r="BO65" t="s">
        <v>6</v>
      </c>
      <c r="BP65">
        <v>0</v>
      </c>
      <c r="BQ65">
        <v>20</v>
      </c>
      <c r="BR65">
        <v>0</v>
      </c>
      <c r="BS65">
        <v>1</v>
      </c>
      <c r="BT65">
        <v>1</v>
      </c>
      <c r="BU65">
        <v>1</v>
      </c>
      <c r="BV65">
        <v>1</v>
      </c>
      <c r="BW65">
        <v>1</v>
      </c>
      <c r="BX65">
        <v>1</v>
      </c>
      <c r="BY65" t="s">
        <v>6</v>
      </c>
      <c r="BZ65">
        <v>0</v>
      </c>
      <c r="CA65">
        <v>0</v>
      </c>
      <c r="CB65" t="s">
        <v>6</v>
      </c>
      <c r="CE65">
        <v>0</v>
      </c>
      <c r="CF65">
        <v>0</v>
      </c>
      <c r="CG65">
        <v>0</v>
      </c>
      <c r="CM65">
        <v>0</v>
      </c>
      <c r="CN65" t="s">
        <v>6</v>
      </c>
      <c r="CO65">
        <v>0</v>
      </c>
      <c r="CP65">
        <f t="shared" si="75"/>
        <v>1622</v>
      </c>
      <c r="CQ65">
        <f t="shared" si="76"/>
        <v>87515.996400000004</v>
      </c>
      <c r="CR65">
        <f t="shared" si="77"/>
        <v>0</v>
      </c>
      <c r="CS65">
        <f t="shared" si="78"/>
        <v>0</v>
      </c>
      <c r="CT65">
        <f t="shared" si="79"/>
        <v>0</v>
      </c>
      <c r="CU65">
        <f t="shared" si="80"/>
        <v>0</v>
      </c>
      <c r="CV65">
        <f t="shared" si="81"/>
        <v>0</v>
      </c>
      <c r="CW65">
        <f t="shared" si="82"/>
        <v>0</v>
      </c>
      <c r="CX65">
        <f t="shared" si="83"/>
        <v>44.58</v>
      </c>
      <c r="CY65">
        <f>(S65+R65)*(BZ65/100)</f>
        <v>0</v>
      </c>
      <c r="CZ65">
        <f>(S65+R65)*(CA65/100)</f>
        <v>0</v>
      </c>
      <c r="DC65" t="s">
        <v>6</v>
      </c>
      <c r="DD65" t="s">
        <v>6</v>
      </c>
      <c r="DE65" t="s">
        <v>6</v>
      </c>
      <c r="DF65" t="s">
        <v>6</v>
      </c>
      <c r="DG65" t="s">
        <v>6</v>
      </c>
      <c r="DH65" t="s">
        <v>6</v>
      </c>
      <c r="DI65" t="s">
        <v>6</v>
      </c>
      <c r="DJ65" t="s">
        <v>6</v>
      </c>
      <c r="DK65" t="s">
        <v>6</v>
      </c>
      <c r="DL65" t="s">
        <v>6</v>
      </c>
      <c r="DM65" t="s">
        <v>6</v>
      </c>
      <c r="DN65">
        <v>0</v>
      </c>
      <c r="DO65">
        <v>0</v>
      </c>
      <c r="DP65">
        <v>1</v>
      </c>
      <c r="DQ65">
        <v>1</v>
      </c>
      <c r="DU65">
        <v>1009</v>
      </c>
      <c r="DV65" t="s">
        <v>33</v>
      </c>
      <c r="DW65" t="e">
        <f>'2.Лок.смета.и.Акт'!#REF!</f>
        <v>#REF!</v>
      </c>
      <c r="DX65">
        <v>1000</v>
      </c>
      <c r="DZ65" t="s">
        <v>6</v>
      </c>
      <c r="EA65" t="s">
        <v>6</v>
      </c>
      <c r="EB65" t="s">
        <v>6</v>
      </c>
      <c r="EC65" t="s">
        <v>6</v>
      </c>
      <c r="EE65">
        <v>54938781</v>
      </c>
      <c r="EF65">
        <v>20</v>
      </c>
      <c r="EG65" t="s">
        <v>35</v>
      </c>
      <c r="EH65">
        <v>0</v>
      </c>
      <c r="EI65" t="s">
        <v>6</v>
      </c>
      <c r="EJ65">
        <v>1</v>
      </c>
      <c r="EK65">
        <v>500001</v>
      </c>
      <c r="EL65" t="s">
        <v>36</v>
      </c>
      <c r="EM65" t="s">
        <v>37</v>
      </c>
      <c r="EO65" t="s">
        <v>6</v>
      </c>
      <c r="EQ65">
        <v>0</v>
      </c>
      <c r="ER65">
        <v>82500</v>
      </c>
      <c r="ES65">
        <v>11576.19</v>
      </c>
      <c r="ET65">
        <v>0</v>
      </c>
      <c r="EU65">
        <v>0</v>
      </c>
      <c r="EV65">
        <v>0</v>
      </c>
      <c r="EW65">
        <v>0</v>
      </c>
      <c r="EX65">
        <v>0</v>
      </c>
      <c r="EZ65">
        <v>5</v>
      </c>
      <c r="FC65">
        <v>0</v>
      </c>
      <c r="FD65">
        <v>18</v>
      </c>
      <c r="FF65">
        <v>82500</v>
      </c>
      <c r="FQ65">
        <v>0</v>
      </c>
      <c r="FR65">
        <f t="shared" si="84"/>
        <v>0</v>
      </c>
      <c r="FS65">
        <v>0</v>
      </c>
      <c r="FX65">
        <v>0</v>
      </c>
      <c r="FY65">
        <v>0</v>
      </c>
      <c r="GA65" t="s">
        <v>74</v>
      </c>
      <c r="GD65">
        <v>1</v>
      </c>
      <c r="GF65">
        <v>-81122142</v>
      </c>
      <c r="GG65">
        <v>2</v>
      </c>
      <c r="GH65">
        <v>3</v>
      </c>
      <c r="GI65">
        <v>5</v>
      </c>
      <c r="GJ65">
        <v>0</v>
      </c>
      <c r="GK65">
        <v>0</v>
      </c>
      <c r="GL65">
        <f t="shared" si="85"/>
        <v>0</v>
      </c>
      <c r="GM65">
        <f t="shared" si="86"/>
        <v>1622</v>
      </c>
      <c r="GN65">
        <f t="shared" si="87"/>
        <v>1622</v>
      </c>
      <c r="GO65">
        <f t="shared" si="88"/>
        <v>0</v>
      </c>
      <c r="GP65">
        <f t="shared" si="89"/>
        <v>0</v>
      </c>
      <c r="GR65">
        <v>1</v>
      </c>
      <c r="GS65">
        <v>1</v>
      </c>
      <c r="GT65">
        <v>0</v>
      </c>
      <c r="GU65" t="s">
        <v>6</v>
      </c>
      <c r="GV65">
        <f t="shared" si="90"/>
        <v>0</v>
      </c>
      <c r="GW65">
        <v>1</v>
      </c>
      <c r="GX65">
        <f t="shared" si="91"/>
        <v>0</v>
      </c>
      <c r="HA65">
        <v>0</v>
      </c>
      <c r="HB65">
        <v>0</v>
      </c>
      <c r="HC65">
        <f t="shared" si="92"/>
        <v>0</v>
      </c>
      <c r="HE65" t="s">
        <v>39</v>
      </c>
      <c r="HF65" t="s">
        <v>40</v>
      </c>
      <c r="HM65" t="s">
        <v>6</v>
      </c>
      <c r="HN65" t="s">
        <v>6</v>
      </c>
      <c r="HO65" t="s">
        <v>6</v>
      </c>
      <c r="HP65" t="s">
        <v>6</v>
      </c>
      <c r="HQ65" t="s">
        <v>6</v>
      </c>
      <c r="IF65">
        <v>-1</v>
      </c>
      <c r="IK65">
        <v>0</v>
      </c>
    </row>
    <row r="66" spans="1:255" x14ac:dyDescent="0.2">
      <c r="A66" s="2">
        <v>18</v>
      </c>
      <c r="B66" s="2">
        <v>1</v>
      </c>
      <c r="C66" s="2">
        <v>75</v>
      </c>
      <c r="D66" s="2"/>
      <c r="E66" s="2" t="s">
        <v>126</v>
      </c>
      <c r="F66" s="2" t="s">
        <v>76</v>
      </c>
      <c r="G66" s="2" t="s">
        <v>77</v>
      </c>
      <c r="H66" s="2" t="s">
        <v>78</v>
      </c>
      <c r="I66" s="2">
        <f>I62*J66</f>
        <v>11.75</v>
      </c>
      <c r="J66" s="226">
        <f>'5.Ведомость_списания'!F45</f>
        <v>2.6628895184135981</v>
      </c>
      <c r="K66" s="2">
        <v>2.6628894999999999</v>
      </c>
      <c r="L66" s="2"/>
      <c r="M66" s="2"/>
      <c r="N66" s="2"/>
      <c r="O66" s="2">
        <f t="shared" si="61"/>
        <v>1029</v>
      </c>
      <c r="P66" s="2">
        <f t="shared" si="62"/>
        <v>1029</v>
      </c>
      <c r="Q66" s="2">
        <f t="shared" si="63"/>
        <v>0</v>
      </c>
      <c r="R66" s="2">
        <f t="shared" si="64"/>
        <v>0</v>
      </c>
      <c r="S66" s="2">
        <f t="shared" si="65"/>
        <v>0</v>
      </c>
      <c r="T66" s="2">
        <f t="shared" si="66"/>
        <v>0</v>
      </c>
      <c r="U66" s="2">
        <f t="shared" si="67"/>
        <v>0</v>
      </c>
      <c r="V66" s="2">
        <f t="shared" si="68"/>
        <v>0</v>
      </c>
      <c r="W66" s="2">
        <f t="shared" si="69"/>
        <v>0</v>
      </c>
      <c r="X66" s="2">
        <f t="shared" si="70"/>
        <v>0</v>
      </c>
      <c r="Y66" s="2">
        <f t="shared" si="71"/>
        <v>0</v>
      </c>
      <c r="Z66" s="2"/>
      <c r="AA66" s="2">
        <v>86326987</v>
      </c>
      <c r="AB66" s="2">
        <f t="shared" si="72"/>
        <v>87.58</v>
      </c>
      <c r="AC66" s="2">
        <f t="shared" si="93"/>
        <v>87.58</v>
      </c>
      <c r="AD66" s="2">
        <f>ROUND((ET66),2)</f>
        <v>0</v>
      </c>
      <c r="AE66" s="2">
        <f t="shared" si="94"/>
        <v>0</v>
      </c>
      <c r="AF66" s="2">
        <f t="shared" si="95"/>
        <v>0</v>
      </c>
      <c r="AG66" s="2">
        <f t="shared" si="73"/>
        <v>0</v>
      </c>
      <c r="AH66" s="2">
        <f t="shared" si="96"/>
        <v>0</v>
      </c>
      <c r="AI66" s="2">
        <f t="shared" si="97"/>
        <v>0</v>
      </c>
      <c r="AJ66" s="2">
        <f t="shared" si="74"/>
        <v>0</v>
      </c>
      <c r="AK66" s="2">
        <v>87.58</v>
      </c>
      <c r="AL66" s="110">
        <f>'1.Лок.смета.и.Акт'!F125</f>
        <v>87.58</v>
      </c>
      <c r="AM66" s="2">
        <v>0</v>
      </c>
      <c r="AN66" s="2">
        <v>0</v>
      </c>
      <c r="AO66" s="2">
        <v>0</v>
      </c>
      <c r="AP66" s="2">
        <v>0</v>
      </c>
      <c r="AQ66" s="2">
        <v>0</v>
      </c>
      <c r="AR66" s="2">
        <v>0</v>
      </c>
      <c r="AS66" s="2">
        <v>0</v>
      </c>
      <c r="AT66" s="2">
        <v>0</v>
      </c>
      <c r="AU66" s="2">
        <v>0</v>
      </c>
      <c r="AV66" s="2">
        <v>1</v>
      </c>
      <c r="AW66" s="2">
        <v>1</v>
      </c>
      <c r="AX66" s="2"/>
      <c r="AY66" s="2"/>
      <c r="AZ66" s="2">
        <v>1</v>
      </c>
      <c r="BA66" s="2">
        <v>1</v>
      </c>
      <c r="BB66" s="2">
        <v>1</v>
      </c>
      <c r="BC66" s="2">
        <v>1</v>
      </c>
      <c r="BD66" s="2" t="s">
        <v>6</v>
      </c>
      <c r="BE66" s="2" t="s">
        <v>6</v>
      </c>
      <c r="BF66" s="2" t="s">
        <v>6</v>
      </c>
      <c r="BG66" s="2" t="s">
        <v>6</v>
      </c>
      <c r="BH66" s="2">
        <v>3</v>
      </c>
      <c r="BI66" s="2">
        <v>1</v>
      </c>
      <c r="BJ66" s="2" t="s">
        <v>79</v>
      </c>
      <c r="BK66" s="2"/>
      <c r="BL66" s="2"/>
      <c r="BM66" s="2">
        <v>3101</v>
      </c>
      <c r="BN66" s="2">
        <v>0</v>
      </c>
      <c r="BO66" s="2" t="s">
        <v>6</v>
      </c>
      <c r="BP66" s="2">
        <v>0</v>
      </c>
      <c r="BQ66" s="2">
        <v>0</v>
      </c>
      <c r="BR66" s="2">
        <v>0</v>
      </c>
      <c r="BS66" s="2">
        <v>1</v>
      </c>
      <c r="BT66" s="2">
        <v>1</v>
      </c>
      <c r="BU66" s="2">
        <v>1</v>
      </c>
      <c r="BV66" s="2">
        <v>1</v>
      </c>
      <c r="BW66" s="2">
        <v>1</v>
      </c>
      <c r="BX66" s="2">
        <v>1</v>
      </c>
      <c r="BY66" s="2" t="s">
        <v>6</v>
      </c>
      <c r="BZ66" s="2">
        <v>0</v>
      </c>
      <c r="CA66" s="2">
        <v>0</v>
      </c>
      <c r="CB66" s="2" t="s">
        <v>6</v>
      </c>
      <c r="CC66" s="2"/>
      <c r="CD66" s="2"/>
      <c r="CE66" s="2">
        <v>0</v>
      </c>
      <c r="CF66" s="2">
        <v>0</v>
      </c>
      <c r="CG66" s="2">
        <v>0</v>
      </c>
      <c r="CH66" s="2"/>
      <c r="CI66" s="2"/>
      <c r="CJ66" s="2"/>
      <c r="CK66" s="2"/>
      <c r="CL66" s="2"/>
      <c r="CM66" s="2">
        <v>0</v>
      </c>
      <c r="CN66" s="2" t="s">
        <v>6</v>
      </c>
      <c r="CO66" s="2">
        <v>0</v>
      </c>
      <c r="CP66" s="2">
        <f t="shared" si="75"/>
        <v>1029</v>
      </c>
      <c r="CQ66" s="2">
        <f t="shared" si="76"/>
        <v>87.58</v>
      </c>
      <c r="CR66" s="2">
        <f t="shared" si="77"/>
        <v>0</v>
      </c>
      <c r="CS66" s="2">
        <f t="shared" si="78"/>
        <v>0</v>
      </c>
      <c r="CT66" s="2">
        <f t="shared" si="79"/>
        <v>0</v>
      </c>
      <c r="CU66" s="2">
        <f t="shared" si="80"/>
        <v>0</v>
      </c>
      <c r="CV66" s="2">
        <f t="shared" si="81"/>
        <v>0</v>
      </c>
      <c r="CW66" s="2">
        <f t="shared" si="82"/>
        <v>0</v>
      </c>
      <c r="CX66" s="2">
        <f t="shared" si="83"/>
        <v>0</v>
      </c>
      <c r="CY66" s="2">
        <f>0</f>
        <v>0</v>
      </c>
      <c r="CZ66" s="2">
        <f>0</f>
        <v>0</v>
      </c>
      <c r="DA66" s="2"/>
      <c r="DB66" s="2"/>
      <c r="DC66" s="2" t="s">
        <v>6</v>
      </c>
      <c r="DD66" s="2" t="s">
        <v>6</v>
      </c>
      <c r="DE66" s="2" t="s">
        <v>6</v>
      </c>
      <c r="DF66" s="2" t="s">
        <v>6</v>
      </c>
      <c r="DG66" s="2" t="s">
        <v>6</v>
      </c>
      <c r="DH66" s="2" t="s">
        <v>6</v>
      </c>
      <c r="DI66" s="2" t="s">
        <v>6</v>
      </c>
      <c r="DJ66" s="2" t="s">
        <v>6</v>
      </c>
      <c r="DK66" s="2" t="s">
        <v>6</v>
      </c>
      <c r="DL66" s="2" t="s">
        <v>6</v>
      </c>
      <c r="DM66" s="2" t="s">
        <v>6</v>
      </c>
      <c r="DN66" s="2">
        <v>0</v>
      </c>
      <c r="DO66" s="2">
        <v>0</v>
      </c>
      <c r="DP66" s="2">
        <v>1</v>
      </c>
      <c r="DQ66" s="2">
        <v>1</v>
      </c>
      <c r="DR66" s="2"/>
      <c r="DS66" s="2"/>
      <c r="DT66" s="2"/>
      <c r="DU66" s="2">
        <v>1013</v>
      </c>
      <c r="DV66" s="2" t="s">
        <v>78</v>
      </c>
      <c r="DW66" s="2" t="s">
        <v>78</v>
      </c>
      <c r="DX66" s="2">
        <v>1</v>
      </c>
      <c r="DY66" s="2"/>
      <c r="DZ66" s="2" t="s">
        <v>6</v>
      </c>
      <c r="EA66" s="2" t="s">
        <v>6</v>
      </c>
      <c r="EB66" s="2" t="s">
        <v>6</v>
      </c>
      <c r="EC66" s="2" t="s">
        <v>6</v>
      </c>
      <c r="ED66" s="2"/>
      <c r="EE66" s="2">
        <v>0</v>
      </c>
      <c r="EF66" s="2">
        <v>0</v>
      </c>
      <c r="EG66" s="2" t="s">
        <v>6</v>
      </c>
      <c r="EH66" s="2">
        <v>0</v>
      </c>
      <c r="EI66" s="2" t="s">
        <v>6</v>
      </c>
      <c r="EJ66" s="2">
        <v>0</v>
      </c>
      <c r="EK66" s="2">
        <v>3101</v>
      </c>
      <c r="EL66" s="2" t="s">
        <v>6</v>
      </c>
      <c r="EM66" s="2" t="s">
        <v>6</v>
      </c>
      <c r="EN66" s="2"/>
      <c r="EO66" s="2" t="s">
        <v>6</v>
      </c>
      <c r="EP66" s="2"/>
      <c r="EQ66" s="2">
        <v>0</v>
      </c>
      <c r="ER66" s="2">
        <v>87.58</v>
      </c>
      <c r="ES66" s="110">
        <f>'1.Лок.смета.и.Акт'!F125</f>
        <v>87.58</v>
      </c>
      <c r="ET66" s="2">
        <v>0</v>
      </c>
      <c r="EU66" s="2">
        <v>0</v>
      </c>
      <c r="EV66" s="2">
        <v>0</v>
      </c>
      <c r="EW66" s="2">
        <v>0</v>
      </c>
      <c r="EX66" s="2">
        <v>0</v>
      </c>
      <c r="EY66" s="2"/>
      <c r="EZ66" s="2"/>
      <c r="FA66" s="2"/>
      <c r="FB66" s="2"/>
      <c r="FC66" s="2"/>
      <c r="FD66" s="2"/>
      <c r="FE66" s="2"/>
      <c r="FF66" s="2"/>
      <c r="FG66" s="2"/>
      <c r="FH66" s="2"/>
      <c r="FI66" s="2"/>
      <c r="FJ66" s="2"/>
      <c r="FK66" s="2"/>
      <c r="FL66" s="2"/>
      <c r="FM66" s="2"/>
      <c r="FN66" s="2"/>
      <c r="FO66" s="2"/>
      <c r="FP66" s="2"/>
      <c r="FQ66" s="2">
        <v>0</v>
      </c>
      <c r="FR66" s="2">
        <f t="shared" si="84"/>
        <v>0</v>
      </c>
      <c r="FS66" s="2">
        <v>0</v>
      </c>
      <c r="FT66" s="2"/>
      <c r="FU66" s="2"/>
      <c r="FV66" s="2"/>
      <c r="FW66" s="2"/>
      <c r="FX66" s="2">
        <v>0</v>
      </c>
      <c r="FY66" s="2">
        <v>0</v>
      </c>
      <c r="FZ66" s="2"/>
      <c r="GA66" s="2" t="s">
        <v>6</v>
      </c>
      <c r="GB66" s="2"/>
      <c r="GC66" s="2"/>
      <c r="GD66" s="2">
        <v>1</v>
      </c>
      <c r="GE66" s="2"/>
      <c r="GF66" s="2">
        <v>813644265</v>
      </c>
      <c r="GG66" s="2">
        <v>2</v>
      </c>
      <c r="GH66" s="2">
        <v>1</v>
      </c>
      <c r="GI66" s="2">
        <v>-2</v>
      </c>
      <c r="GJ66" s="2">
        <v>0</v>
      </c>
      <c r="GK66" s="2">
        <v>0</v>
      </c>
      <c r="GL66" s="2">
        <f t="shared" si="85"/>
        <v>0</v>
      </c>
      <c r="GM66" s="2">
        <f t="shared" si="86"/>
        <v>1029</v>
      </c>
      <c r="GN66" s="2">
        <f t="shared" si="87"/>
        <v>1029</v>
      </c>
      <c r="GO66" s="2">
        <f t="shared" si="88"/>
        <v>0</v>
      </c>
      <c r="GP66" s="2">
        <f t="shared" si="89"/>
        <v>0</v>
      </c>
      <c r="GQ66" s="2"/>
      <c r="GR66" s="2">
        <v>0</v>
      </c>
      <c r="GS66" s="2">
        <v>3</v>
      </c>
      <c r="GT66" s="2">
        <v>0</v>
      </c>
      <c r="GU66" s="2" t="s">
        <v>6</v>
      </c>
      <c r="GV66" s="2">
        <f t="shared" si="90"/>
        <v>0</v>
      </c>
      <c r="GW66" s="2">
        <v>1</v>
      </c>
      <c r="GX66" s="2">
        <f t="shared" si="91"/>
        <v>0</v>
      </c>
      <c r="GY66" s="2"/>
      <c r="GZ66" s="2"/>
      <c r="HA66" s="2">
        <v>0</v>
      </c>
      <c r="HB66" s="2">
        <v>0</v>
      </c>
      <c r="HC66" s="2">
        <f t="shared" si="92"/>
        <v>0</v>
      </c>
      <c r="HD66" s="2"/>
      <c r="HE66" s="2" t="s">
        <v>6</v>
      </c>
      <c r="HF66" s="2" t="s">
        <v>6</v>
      </c>
      <c r="HG66" s="2"/>
      <c r="HH66" s="2"/>
      <c r="HI66" s="2"/>
      <c r="HJ66" s="2"/>
      <c r="HK66" s="2"/>
      <c r="HL66" s="2"/>
      <c r="HM66" s="2" t="s">
        <v>6</v>
      </c>
      <c r="HN66" s="2" t="s">
        <v>6</v>
      </c>
      <c r="HO66" s="2" t="s">
        <v>6</v>
      </c>
      <c r="HP66" s="2" t="s">
        <v>6</v>
      </c>
      <c r="HQ66" s="2" t="s">
        <v>6</v>
      </c>
      <c r="HR66" s="2"/>
      <c r="HS66" s="2"/>
      <c r="HT66" s="2"/>
      <c r="HU66" s="2"/>
      <c r="HV66" s="2"/>
      <c r="HW66" s="2"/>
      <c r="HX66" s="2"/>
      <c r="HY66" s="2"/>
      <c r="HZ66" s="2"/>
      <c r="IA66" s="2"/>
      <c r="IB66" s="2"/>
      <c r="IC66" s="2"/>
      <c r="ID66" s="2"/>
      <c r="IE66" s="2"/>
      <c r="IF66" s="2">
        <v>-1</v>
      </c>
      <c r="IG66" s="2"/>
      <c r="IH66" s="2"/>
      <c r="II66" s="2"/>
      <c r="IJ66" s="2"/>
      <c r="IK66" s="2">
        <v>0</v>
      </c>
      <c r="IL66" s="2"/>
      <c r="IM66" s="2"/>
      <c r="IN66" s="2"/>
      <c r="IO66" s="2"/>
      <c r="IP66" s="2"/>
      <c r="IQ66" s="2"/>
      <c r="IR66" s="2"/>
      <c r="IS66" s="2"/>
      <c r="IT66" s="2"/>
      <c r="IU66" s="2"/>
    </row>
    <row r="67" spans="1:255" x14ac:dyDescent="0.2">
      <c r="A67">
        <v>18</v>
      </c>
      <c r="B67">
        <v>1</v>
      </c>
      <c r="C67">
        <v>88</v>
      </c>
      <c r="E67" t="s">
        <v>126</v>
      </c>
      <c r="F67" t="e">
        <f>'2.Лок.смета.и.Акт'!#REF!</f>
        <v>#REF!</v>
      </c>
      <c r="G67" t="s">
        <v>77</v>
      </c>
      <c r="H67" t="s">
        <v>78</v>
      </c>
      <c r="I67">
        <f>I63*J67</f>
        <v>11.75</v>
      </c>
      <c r="J67">
        <v>2.6628895184135981</v>
      </c>
      <c r="K67">
        <v>2.6628894999999999</v>
      </c>
      <c r="O67">
        <f t="shared" si="61"/>
        <v>4105</v>
      </c>
      <c r="P67">
        <f t="shared" si="62"/>
        <v>4105</v>
      </c>
      <c r="Q67">
        <f t="shared" si="63"/>
        <v>0</v>
      </c>
      <c r="R67">
        <f t="shared" si="64"/>
        <v>0</v>
      </c>
      <c r="S67">
        <f t="shared" si="65"/>
        <v>0</v>
      </c>
      <c r="T67">
        <f t="shared" si="66"/>
        <v>0</v>
      </c>
      <c r="U67">
        <f t="shared" si="67"/>
        <v>0</v>
      </c>
      <c r="V67">
        <f t="shared" si="68"/>
        <v>0</v>
      </c>
      <c r="W67">
        <f t="shared" si="69"/>
        <v>0</v>
      </c>
      <c r="X67">
        <f t="shared" si="70"/>
        <v>0</v>
      </c>
      <c r="Y67">
        <f t="shared" si="71"/>
        <v>0</v>
      </c>
      <c r="AA67">
        <v>86326988</v>
      </c>
      <c r="AB67">
        <f t="shared" si="72"/>
        <v>46.21</v>
      </c>
      <c r="AC67">
        <f t="shared" si="93"/>
        <v>46.21</v>
      </c>
      <c r="AD67">
        <f>ROUND((ET67),2)</f>
        <v>0</v>
      </c>
      <c r="AE67">
        <f t="shared" si="94"/>
        <v>0</v>
      </c>
      <c r="AF67">
        <f t="shared" si="95"/>
        <v>0</v>
      </c>
      <c r="AG67">
        <f t="shared" si="73"/>
        <v>0</v>
      </c>
      <c r="AH67">
        <f t="shared" si="96"/>
        <v>0</v>
      </c>
      <c r="AI67">
        <f t="shared" si="97"/>
        <v>0</v>
      </c>
      <c r="AJ67">
        <f t="shared" si="74"/>
        <v>0</v>
      </c>
      <c r="AK67">
        <v>46.21</v>
      </c>
      <c r="AL67">
        <v>46.21</v>
      </c>
      <c r="AM67">
        <v>0</v>
      </c>
      <c r="AN67">
        <v>0</v>
      </c>
      <c r="AO67">
        <v>0</v>
      </c>
      <c r="AP67">
        <v>0</v>
      </c>
      <c r="AQ67">
        <v>0</v>
      </c>
      <c r="AR67">
        <v>0</v>
      </c>
      <c r="AS67">
        <v>0</v>
      </c>
      <c r="AT67">
        <v>0</v>
      </c>
      <c r="AU67">
        <v>0</v>
      </c>
      <c r="AV67">
        <v>1</v>
      </c>
      <c r="AW67">
        <v>1</v>
      </c>
      <c r="AZ67">
        <v>1</v>
      </c>
      <c r="BA67">
        <v>1</v>
      </c>
      <c r="BB67">
        <v>1</v>
      </c>
      <c r="BC67">
        <v>7.56</v>
      </c>
      <c r="BD67" t="s">
        <v>6</v>
      </c>
      <c r="BE67" t="s">
        <v>6</v>
      </c>
      <c r="BF67" t="s">
        <v>6</v>
      </c>
      <c r="BG67" t="s">
        <v>6</v>
      </c>
      <c r="BH67">
        <v>3</v>
      </c>
      <c r="BI67">
        <v>1</v>
      </c>
      <c r="BJ67" t="s">
        <v>79</v>
      </c>
      <c r="BM67">
        <v>3101</v>
      </c>
      <c r="BN67">
        <v>0</v>
      </c>
      <c r="BO67" t="s">
        <v>6</v>
      </c>
      <c r="BP67">
        <v>0</v>
      </c>
      <c r="BQ67">
        <v>0</v>
      </c>
      <c r="BR67">
        <v>0</v>
      </c>
      <c r="BS67">
        <v>1</v>
      </c>
      <c r="BT67">
        <v>1</v>
      </c>
      <c r="BU67">
        <v>1</v>
      </c>
      <c r="BV67">
        <v>1</v>
      </c>
      <c r="BW67">
        <v>1</v>
      </c>
      <c r="BX67">
        <v>1</v>
      </c>
      <c r="BY67" t="s">
        <v>6</v>
      </c>
      <c r="BZ67">
        <v>0</v>
      </c>
      <c r="CA67">
        <v>0</v>
      </c>
      <c r="CB67" t="s">
        <v>6</v>
      </c>
      <c r="CE67">
        <v>0</v>
      </c>
      <c r="CF67">
        <v>0</v>
      </c>
      <c r="CG67">
        <v>0</v>
      </c>
      <c r="CM67">
        <v>0</v>
      </c>
      <c r="CN67" t="s">
        <v>6</v>
      </c>
      <c r="CO67">
        <v>0</v>
      </c>
      <c r="CP67">
        <f t="shared" si="75"/>
        <v>4105</v>
      </c>
      <c r="CQ67">
        <f t="shared" si="76"/>
        <v>349.3476</v>
      </c>
      <c r="CR67">
        <f t="shared" si="77"/>
        <v>0</v>
      </c>
      <c r="CS67">
        <f t="shared" si="78"/>
        <v>0</v>
      </c>
      <c r="CT67">
        <f t="shared" si="79"/>
        <v>0</v>
      </c>
      <c r="CU67">
        <f t="shared" si="80"/>
        <v>0</v>
      </c>
      <c r="CV67">
        <f t="shared" si="81"/>
        <v>0</v>
      </c>
      <c r="CW67">
        <f t="shared" si="82"/>
        <v>0</v>
      </c>
      <c r="CX67">
        <f t="shared" si="83"/>
        <v>0</v>
      </c>
      <c r="CY67">
        <f>(S67+R67)*(BZ67/100)</f>
        <v>0</v>
      </c>
      <c r="CZ67">
        <f>(S67+R67)*(CA67/100)</f>
        <v>0</v>
      </c>
      <c r="DC67" t="s">
        <v>6</v>
      </c>
      <c r="DD67" t="s">
        <v>6</v>
      </c>
      <c r="DE67" t="s">
        <v>6</v>
      </c>
      <c r="DF67" t="s">
        <v>6</v>
      </c>
      <c r="DG67" t="s">
        <v>6</v>
      </c>
      <c r="DH67" t="s">
        <v>6</v>
      </c>
      <c r="DI67" t="s">
        <v>6</v>
      </c>
      <c r="DJ67" t="s">
        <v>6</v>
      </c>
      <c r="DK67" t="s">
        <v>6</v>
      </c>
      <c r="DL67" t="s">
        <v>6</v>
      </c>
      <c r="DM67" t="s">
        <v>6</v>
      </c>
      <c r="DN67">
        <v>0</v>
      </c>
      <c r="DO67">
        <v>0</v>
      </c>
      <c r="DP67">
        <v>1</v>
      </c>
      <c r="DQ67">
        <v>1</v>
      </c>
      <c r="DU67">
        <v>1013</v>
      </c>
      <c r="DV67" t="s">
        <v>78</v>
      </c>
      <c r="DW67" t="e">
        <f>'2.Лок.смета.и.Акт'!#REF!</f>
        <v>#REF!</v>
      </c>
      <c r="DX67">
        <v>1</v>
      </c>
      <c r="DZ67" t="s">
        <v>6</v>
      </c>
      <c r="EA67" t="s">
        <v>6</v>
      </c>
      <c r="EB67" t="s">
        <v>6</v>
      </c>
      <c r="EC67" t="s">
        <v>6</v>
      </c>
      <c r="EE67">
        <v>0</v>
      </c>
      <c r="EF67">
        <v>0</v>
      </c>
      <c r="EG67" t="s">
        <v>6</v>
      </c>
      <c r="EH67">
        <v>0</v>
      </c>
      <c r="EI67" t="s">
        <v>6</v>
      </c>
      <c r="EJ67">
        <v>0</v>
      </c>
      <c r="EK67">
        <v>3101</v>
      </c>
      <c r="EL67" t="s">
        <v>6</v>
      </c>
      <c r="EM67" t="s">
        <v>6</v>
      </c>
      <c r="EO67" t="s">
        <v>6</v>
      </c>
      <c r="EQ67">
        <v>0</v>
      </c>
      <c r="ER67">
        <v>333.45</v>
      </c>
      <c r="ES67">
        <v>46.21</v>
      </c>
      <c r="ET67">
        <v>0</v>
      </c>
      <c r="EU67">
        <v>0</v>
      </c>
      <c r="EV67">
        <v>0</v>
      </c>
      <c r="EW67">
        <v>0</v>
      </c>
      <c r="EX67">
        <v>0</v>
      </c>
      <c r="EZ67">
        <v>5</v>
      </c>
      <c r="FC67">
        <v>0</v>
      </c>
      <c r="FD67">
        <v>18</v>
      </c>
      <c r="FF67">
        <v>333.45</v>
      </c>
      <c r="FQ67">
        <v>0</v>
      </c>
      <c r="FR67">
        <f t="shared" si="84"/>
        <v>0</v>
      </c>
      <c r="FS67">
        <v>0</v>
      </c>
      <c r="FX67">
        <v>0</v>
      </c>
      <c r="FY67">
        <v>0</v>
      </c>
      <c r="GA67" t="s">
        <v>80</v>
      </c>
      <c r="GD67">
        <v>1</v>
      </c>
      <c r="GF67">
        <v>813644265</v>
      </c>
      <c r="GG67">
        <v>2</v>
      </c>
      <c r="GH67">
        <v>3</v>
      </c>
      <c r="GI67">
        <v>5</v>
      </c>
      <c r="GJ67">
        <v>0</v>
      </c>
      <c r="GK67">
        <v>0</v>
      </c>
      <c r="GL67">
        <f t="shared" si="85"/>
        <v>0</v>
      </c>
      <c r="GM67">
        <f t="shared" si="86"/>
        <v>4105</v>
      </c>
      <c r="GN67">
        <f t="shared" si="87"/>
        <v>4105</v>
      </c>
      <c r="GO67">
        <f t="shared" si="88"/>
        <v>0</v>
      </c>
      <c r="GP67">
        <f t="shared" si="89"/>
        <v>0</v>
      </c>
      <c r="GR67">
        <v>1</v>
      </c>
      <c r="GS67">
        <v>1</v>
      </c>
      <c r="GT67">
        <v>0</v>
      </c>
      <c r="GU67" t="s">
        <v>6</v>
      </c>
      <c r="GV67">
        <f t="shared" si="90"/>
        <v>0</v>
      </c>
      <c r="GW67">
        <v>1</v>
      </c>
      <c r="GX67">
        <f t="shared" si="91"/>
        <v>0</v>
      </c>
      <c r="HA67">
        <v>0</v>
      </c>
      <c r="HB67">
        <v>0</v>
      </c>
      <c r="HC67">
        <f t="shared" si="92"/>
        <v>0</v>
      </c>
      <c r="HE67" t="s">
        <v>39</v>
      </c>
      <c r="HF67" t="s">
        <v>61</v>
      </c>
      <c r="HM67" t="s">
        <v>6</v>
      </c>
      <c r="HN67" t="s">
        <v>6</v>
      </c>
      <c r="HO67" t="s">
        <v>6</v>
      </c>
      <c r="HP67" t="s">
        <v>6</v>
      </c>
      <c r="HQ67" t="s">
        <v>6</v>
      </c>
      <c r="IF67">
        <v>-1</v>
      </c>
      <c r="IK67">
        <v>0</v>
      </c>
    </row>
    <row r="68" spans="1:255" x14ac:dyDescent="0.2">
      <c r="A68" s="2">
        <v>18</v>
      </c>
      <c r="B68" s="2">
        <v>1</v>
      </c>
      <c r="C68" s="2">
        <v>76</v>
      </c>
      <c r="D68" s="2"/>
      <c r="E68" s="2" t="s">
        <v>127</v>
      </c>
      <c r="F68" s="2" t="s">
        <v>82</v>
      </c>
      <c r="G68" s="2" t="s">
        <v>83</v>
      </c>
      <c r="H68" s="2" t="s">
        <v>78</v>
      </c>
      <c r="I68" s="2">
        <f>I62*J68</f>
        <v>11.75</v>
      </c>
      <c r="J68" s="226">
        <f>'5.Ведомость_списания'!F46</f>
        <v>2.6628895184135981</v>
      </c>
      <c r="K68" s="2">
        <v>2.6628894999999999</v>
      </c>
      <c r="L68" s="2"/>
      <c r="M68" s="2"/>
      <c r="N68" s="2"/>
      <c r="O68" s="2">
        <f t="shared" si="61"/>
        <v>665</v>
      </c>
      <c r="P68" s="2">
        <f t="shared" si="62"/>
        <v>665</v>
      </c>
      <c r="Q68" s="2">
        <f t="shared" si="63"/>
        <v>0</v>
      </c>
      <c r="R68" s="2">
        <f t="shared" si="64"/>
        <v>0</v>
      </c>
      <c r="S68" s="2">
        <f t="shared" si="65"/>
        <v>0</v>
      </c>
      <c r="T68" s="2">
        <f t="shared" si="66"/>
        <v>0</v>
      </c>
      <c r="U68" s="2">
        <f t="shared" si="67"/>
        <v>0</v>
      </c>
      <c r="V68" s="2">
        <f t="shared" si="68"/>
        <v>0</v>
      </c>
      <c r="W68" s="2">
        <f t="shared" si="69"/>
        <v>0</v>
      </c>
      <c r="X68" s="2">
        <f t="shared" si="70"/>
        <v>0</v>
      </c>
      <c r="Y68" s="2">
        <f t="shared" si="71"/>
        <v>0</v>
      </c>
      <c r="Z68" s="2"/>
      <c r="AA68" s="2">
        <v>86326987</v>
      </c>
      <c r="AB68" s="2">
        <f t="shared" si="72"/>
        <v>56.57</v>
      </c>
      <c r="AC68" s="2">
        <f t="shared" si="93"/>
        <v>56.57</v>
      </c>
      <c r="AD68" s="2">
        <f>ROUND((ET68),2)</f>
        <v>0</v>
      </c>
      <c r="AE68" s="2">
        <f t="shared" si="94"/>
        <v>0</v>
      </c>
      <c r="AF68" s="2">
        <f t="shared" si="95"/>
        <v>0</v>
      </c>
      <c r="AG68" s="2">
        <f t="shared" si="73"/>
        <v>0</v>
      </c>
      <c r="AH68" s="2">
        <f t="shared" si="96"/>
        <v>0</v>
      </c>
      <c r="AI68" s="2">
        <f t="shared" si="97"/>
        <v>0</v>
      </c>
      <c r="AJ68" s="2">
        <f t="shared" si="74"/>
        <v>0</v>
      </c>
      <c r="AK68" s="2">
        <v>56.57</v>
      </c>
      <c r="AL68" s="110">
        <f>'1.Лок.смета.и.Акт'!F127</f>
        <v>56.57</v>
      </c>
      <c r="AM68" s="2">
        <v>0</v>
      </c>
      <c r="AN68" s="2">
        <v>0</v>
      </c>
      <c r="AO68" s="2">
        <v>0</v>
      </c>
      <c r="AP68" s="2">
        <v>0</v>
      </c>
      <c r="AQ68" s="2">
        <v>0</v>
      </c>
      <c r="AR68" s="2">
        <v>0</v>
      </c>
      <c r="AS68" s="2">
        <v>0</v>
      </c>
      <c r="AT68" s="2">
        <v>0</v>
      </c>
      <c r="AU68" s="2">
        <v>0</v>
      </c>
      <c r="AV68" s="2">
        <v>1</v>
      </c>
      <c r="AW68" s="2">
        <v>1</v>
      </c>
      <c r="AX68" s="2"/>
      <c r="AY68" s="2"/>
      <c r="AZ68" s="2">
        <v>1</v>
      </c>
      <c r="BA68" s="2">
        <v>1</v>
      </c>
      <c r="BB68" s="2">
        <v>1</v>
      </c>
      <c r="BC68" s="2">
        <v>1</v>
      </c>
      <c r="BD68" s="2" t="s">
        <v>6</v>
      </c>
      <c r="BE68" s="2" t="s">
        <v>6</v>
      </c>
      <c r="BF68" s="2" t="s">
        <v>6</v>
      </c>
      <c r="BG68" s="2" t="s">
        <v>6</v>
      </c>
      <c r="BH68" s="2">
        <v>3</v>
      </c>
      <c r="BI68" s="2">
        <v>1</v>
      </c>
      <c r="BJ68" s="2" t="s">
        <v>84</v>
      </c>
      <c r="BK68" s="2"/>
      <c r="BL68" s="2"/>
      <c r="BM68" s="2">
        <v>3101</v>
      </c>
      <c r="BN68" s="2">
        <v>0</v>
      </c>
      <c r="BO68" s="2" t="s">
        <v>6</v>
      </c>
      <c r="BP68" s="2">
        <v>0</v>
      </c>
      <c r="BQ68" s="2">
        <v>0</v>
      </c>
      <c r="BR68" s="2">
        <v>0</v>
      </c>
      <c r="BS68" s="2">
        <v>1</v>
      </c>
      <c r="BT68" s="2">
        <v>1</v>
      </c>
      <c r="BU68" s="2">
        <v>1</v>
      </c>
      <c r="BV68" s="2">
        <v>1</v>
      </c>
      <c r="BW68" s="2">
        <v>1</v>
      </c>
      <c r="BX68" s="2">
        <v>1</v>
      </c>
      <c r="BY68" s="2" t="s">
        <v>6</v>
      </c>
      <c r="BZ68" s="2">
        <v>0</v>
      </c>
      <c r="CA68" s="2">
        <v>0</v>
      </c>
      <c r="CB68" s="2" t="s">
        <v>6</v>
      </c>
      <c r="CC68" s="2"/>
      <c r="CD68" s="2"/>
      <c r="CE68" s="2">
        <v>0</v>
      </c>
      <c r="CF68" s="2">
        <v>0</v>
      </c>
      <c r="CG68" s="2">
        <v>0</v>
      </c>
      <c r="CH68" s="2"/>
      <c r="CI68" s="2"/>
      <c r="CJ68" s="2"/>
      <c r="CK68" s="2"/>
      <c r="CL68" s="2"/>
      <c r="CM68" s="2">
        <v>0</v>
      </c>
      <c r="CN68" s="2" t="s">
        <v>6</v>
      </c>
      <c r="CO68" s="2">
        <v>0</v>
      </c>
      <c r="CP68" s="2">
        <f t="shared" si="75"/>
        <v>665</v>
      </c>
      <c r="CQ68" s="2">
        <f t="shared" si="76"/>
        <v>56.57</v>
      </c>
      <c r="CR68" s="2">
        <f t="shared" si="77"/>
        <v>0</v>
      </c>
      <c r="CS68" s="2">
        <f t="shared" si="78"/>
        <v>0</v>
      </c>
      <c r="CT68" s="2">
        <f t="shared" si="79"/>
        <v>0</v>
      </c>
      <c r="CU68" s="2">
        <f t="shared" si="80"/>
        <v>0</v>
      </c>
      <c r="CV68" s="2">
        <f t="shared" si="81"/>
        <v>0</v>
      </c>
      <c r="CW68" s="2">
        <f t="shared" si="82"/>
        <v>0</v>
      </c>
      <c r="CX68" s="2">
        <f t="shared" si="83"/>
        <v>0</v>
      </c>
      <c r="CY68" s="2">
        <f>0</f>
        <v>0</v>
      </c>
      <c r="CZ68" s="2">
        <f>0</f>
        <v>0</v>
      </c>
      <c r="DA68" s="2"/>
      <c r="DB68" s="2"/>
      <c r="DC68" s="2" t="s">
        <v>6</v>
      </c>
      <c r="DD68" s="2" t="s">
        <v>6</v>
      </c>
      <c r="DE68" s="2" t="s">
        <v>6</v>
      </c>
      <c r="DF68" s="2" t="s">
        <v>6</v>
      </c>
      <c r="DG68" s="2" t="s">
        <v>6</v>
      </c>
      <c r="DH68" s="2" t="s">
        <v>6</v>
      </c>
      <c r="DI68" s="2" t="s">
        <v>6</v>
      </c>
      <c r="DJ68" s="2" t="s">
        <v>6</v>
      </c>
      <c r="DK68" s="2" t="s">
        <v>6</v>
      </c>
      <c r="DL68" s="2" t="s">
        <v>6</v>
      </c>
      <c r="DM68" s="2" t="s">
        <v>6</v>
      </c>
      <c r="DN68" s="2">
        <v>0</v>
      </c>
      <c r="DO68" s="2">
        <v>0</v>
      </c>
      <c r="DP68" s="2">
        <v>1</v>
      </c>
      <c r="DQ68" s="2">
        <v>1</v>
      </c>
      <c r="DR68" s="2"/>
      <c r="DS68" s="2"/>
      <c r="DT68" s="2"/>
      <c r="DU68" s="2">
        <v>1013</v>
      </c>
      <c r="DV68" s="2" t="s">
        <v>78</v>
      </c>
      <c r="DW68" s="2" t="s">
        <v>78</v>
      </c>
      <c r="DX68" s="2">
        <v>1</v>
      </c>
      <c r="DY68" s="2"/>
      <c r="DZ68" s="2" t="s">
        <v>6</v>
      </c>
      <c r="EA68" s="2" t="s">
        <v>6</v>
      </c>
      <c r="EB68" s="2" t="s">
        <v>6</v>
      </c>
      <c r="EC68" s="2" t="s">
        <v>6</v>
      </c>
      <c r="ED68" s="2"/>
      <c r="EE68" s="2">
        <v>0</v>
      </c>
      <c r="EF68" s="2">
        <v>0</v>
      </c>
      <c r="EG68" s="2" t="s">
        <v>6</v>
      </c>
      <c r="EH68" s="2">
        <v>0</v>
      </c>
      <c r="EI68" s="2" t="s">
        <v>6</v>
      </c>
      <c r="EJ68" s="2">
        <v>0</v>
      </c>
      <c r="EK68" s="2">
        <v>3101</v>
      </c>
      <c r="EL68" s="2" t="s">
        <v>6</v>
      </c>
      <c r="EM68" s="2" t="s">
        <v>6</v>
      </c>
      <c r="EN68" s="2"/>
      <c r="EO68" s="2" t="s">
        <v>6</v>
      </c>
      <c r="EP68" s="2"/>
      <c r="EQ68" s="2">
        <v>0</v>
      </c>
      <c r="ER68" s="2">
        <v>56.57</v>
      </c>
      <c r="ES68" s="110">
        <f>'1.Лок.смета.и.Акт'!F127</f>
        <v>56.57</v>
      </c>
      <c r="ET68" s="2">
        <v>0</v>
      </c>
      <c r="EU68" s="2">
        <v>0</v>
      </c>
      <c r="EV68" s="2">
        <v>0</v>
      </c>
      <c r="EW68" s="2">
        <v>0</v>
      </c>
      <c r="EX68" s="2">
        <v>0</v>
      </c>
      <c r="EY68" s="2"/>
      <c r="EZ68" s="2"/>
      <c r="FA68" s="2"/>
      <c r="FB68" s="2"/>
      <c r="FC68" s="2"/>
      <c r="FD68" s="2"/>
      <c r="FE68" s="2"/>
      <c r="FF68" s="2"/>
      <c r="FG68" s="2"/>
      <c r="FH68" s="2"/>
      <c r="FI68" s="2"/>
      <c r="FJ68" s="2"/>
      <c r="FK68" s="2"/>
      <c r="FL68" s="2"/>
      <c r="FM68" s="2"/>
      <c r="FN68" s="2"/>
      <c r="FO68" s="2"/>
      <c r="FP68" s="2"/>
      <c r="FQ68" s="2">
        <v>0</v>
      </c>
      <c r="FR68" s="2">
        <f t="shared" si="84"/>
        <v>0</v>
      </c>
      <c r="FS68" s="2">
        <v>0</v>
      </c>
      <c r="FT68" s="2"/>
      <c r="FU68" s="2"/>
      <c r="FV68" s="2"/>
      <c r="FW68" s="2"/>
      <c r="FX68" s="2">
        <v>0</v>
      </c>
      <c r="FY68" s="2">
        <v>0</v>
      </c>
      <c r="FZ68" s="2"/>
      <c r="GA68" s="2" t="s">
        <v>6</v>
      </c>
      <c r="GB68" s="2"/>
      <c r="GC68" s="2"/>
      <c r="GD68" s="2">
        <v>1</v>
      </c>
      <c r="GE68" s="2"/>
      <c r="GF68" s="2">
        <v>1913149582</v>
      </c>
      <c r="GG68" s="2">
        <v>2</v>
      </c>
      <c r="GH68" s="2">
        <v>1</v>
      </c>
      <c r="GI68" s="2">
        <v>-2</v>
      </c>
      <c r="GJ68" s="2">
        <v>0</v>
      </c>
      <c r="GK68" s="2">
        <v>0</v>
      </c>
      <c r="GL68" s="2">
        <f t="shared" si="85"/>
        <v>0</v>
      </c>
      <c r="GM68" s="2">
        <f t="shared" si="86"/>
        <v>665</v>
      </c>
      <c r="GN68" s="2">
        <f t="shared" si="87"/>
        <v>665</v>
      </c>
      <c r="GO68" s="2">
        <f t="shared" si="88"/>
        <v>0</v>
      </c>
      <c r="GP68" s="2">
        <f t="shared" si="89"/>
        <v>0</v>
      </c>
      <c r="GQ68" s="2"/>
      <c r="GR68" s="2">
        <v>0</v>
      </c>
      <c r="GS68" s="2">
        <v>3</v>
      </c>
      <c r="GT68" s="2">
        <v>0</v>
      </c>
      <c r="GU68" s="2" t="s">
        <v>6</v>
      </c>
      <c r="GV68" s="2">
        <f t="shared" si="90"/>
        <v>0</v>
      </c>
      <c r="GW68" s="2">
        <v>1</v>
      </c>
      <c r="GX68" s="2">
        <f t="shared" si="91"/>
        <v>0</v>
      </c>
      <c r="GY68" s="2"/>
      <c r="GZ68" s="2"/>
      <c r="HA68" s="2">
        <v>0</v>
      </c>
      <c r="HB68" s="2">
        <v>0</v>
      </c>
      <c r="HC68" s="2">
        <f t="shared" si="92"/>
        <v>0</v>
      </c>
      <c r="HD68" s="2"/>
      <c r="HE68" s="2" t="s">
        <v>6</v>
      </c>
      <c r="HF68" s="2" t="s">
        <v>6</v>
      </c>
      <c r="HG68" s="2"/>
      <c r="HH68" s="2"/>
      <c r="HI68" s="2"/>
      <c r="HJ68" s="2"/>
      <c r="HK68" s="2"/>
      <c r="HL68" s="2"/>
      <c r="HM68" s="2" t="s">
        <v>6</v>
      </c>
      <c r="HN68" s="2" t="s">
        <v>6</v>
      </c>
      <c r="HO68" s="2" t="s">
        <v>6</v>
      </c>
      <c r="HP68" s="2" t="s">
        <v>6</v>
      </c>
      <c r="HQ68" s="2" t="s">
        <v>6</v>
      </c>
      <c r="HR68" s="2"/>
      <c r="HS68" s="2"/>
      <c r="HT68" s="2"/>
      <c r="HU68" s="2"/>
      <c r="HV68" s="2"/>
      <c r="HW68" s="2"/>
      <c r="HX68" s="2"/>
      <c r="HY68" s="2"/>
      <c r="HZ68" s="2"/>
      <c r="IA68" s="2"/>
      <c r="IB68" s="2"/>
      <c r="IC68" s="2"/>
      <c r="ID68" s="2"/>
      <c r="IE68" s="2"/>
      <c r="IF68" s="2">
        <v>-1</v>
      </c>
      <c r="IG68" s="2"/>
      <c r="IH68" s="2"/>
      <c r="II68" s="2"/>
      <c r="IJ68" s="2"/>
      <c r="IK68" s="2">
        <v>0</v>
      </c>
      <c r="IL68" s="2"/>
      <c r="IM68" s="2"/>
      <c r="IN68" s="2"/>
      <c r="IO68" s="2"/>
      <c r="IP68" s="2"/>
      <c r="IQ68" s="2"/>
      <c r="IR68" s="2"/>
      <c r="IS68" s="2"/>
      <c r="IT68" s="2"/>
      <c r="IU68" s="2"/>
    </row>
    <row r="69" spans="1:255" x14ac:dyDescent="0.2">
      <c r="A69">
        <v>18</v>
      </c>
      <c r="B69">
        <v>1</v>
      </c>
      <c r="C69">
        <v>89</v>
      </c>
      <c r="E69" t="s">
        <v>127</v>
      </c>
      <c r="F69" t="e">
        <f>'2.Лок.смета.и.Акт'!#REF!</f>
        <v>#REF!</v>
      </c>
      <c r="G69" t="s">
        <v>83</v>
      </c>
      <c r="H69" t="s">
        <v>78</v>
      </c>
      <c r="I69">
        <f>I63*J69</f>
        <v>11.75</v>
      </c>
      <c r="J69">
        <v>2.6628895184135981</v>
      </c>
      <c r="K69">
        <v>2.6628894999999999</v>
      </c>
      <c r="O69">
        <f t="shared" si="61"/>
        <v>2684</v>
      </c>
      <c r="P69">
        <f t="shared" si="62"/>
        <v>2684</v>
      </c>
      <c r="Q69">
        <f t="shared" si="63"/>
        <v>0</v>
      </c>
      <c r="R69">
        <f t="shared" si="64"/>
        <v>0</v>
      </c>
      <c r="S69">
        <f t="shared" si="65"/>
        <v>0</v>
      </c>
      <c r="T69">
        <f t="shared" si="66"/>
        <v>0</v>
      </c>
      <c r="U69">
        <f t="shared" si="67"/>
        <v>0</v>
      </c>
      <c r="V69">
        <f t="shared" si="68"/>
        <v>0</v>
      </c>
      <c r="W69">
        <f t="shared" si="69"/>
        <v>0</v>
      </c>
      <c r="X69">
        <f t="shared" si="70"/>
        <v>0</v>
      </c>
      <c r="Y69">
        <f t="shared" si="71"/>
        <v>0</v>
      </c>
      <c r="AA69">
        <v>86326988</v>
      </c>
      <c r="AB69">
        <f t="shared" si="72"/>
        <v>30.22</v>
      </c>
      <c r="AC69">
        <f t="shared" si="93"/>
        <v>30.22</v>
      </c>
      <c r="AD69">
        <f>ROUND((ET69),2)</f>
        <v>0</v>
      </c>
      <c r="AE69">
        <f t="shared" si="94"/>
        <v>0</v>
      </c>
      <c r="AF69">
        <f t="shared" si="95"/>
        <v>0</v>
      </c>
      <c r="AG69">
        <f t="shared" si="73"/>
        <v>0</v>
      </c>
      <c r="AH69">
        <f t="shared" si="96"/>
        <v>0</v>
      </c>
      <c r="AI69">
        <f t="shared" si="97"/>
        <v>0</v>
      </c>
      <c r="AJ69">
        <f t="shared" si="74"/>
        <v>0</v>
      </c>
      <c r="AK69">
        <v>30.22</v>
      </c>
      <c r="AL69">
        <v>30.22</v>
      </c>
      <c r="AM69">
        <v>0</v>
      </c>
      <c r="AN69">
        <v>0</v>
      </c>
      <c r="AO69">
        <v>0</v>
      </c>
      <c r="AP69">
        <v>0</v>
      </c>
      <c r="AQ69">
        <v>0</v>
      </c>
      <c r="AR69">
        <v>0</v>
      </c>
      <c r="AS69">
        <v>0</v>
      </c>
      <c r="AT69">
        <v>0</v>
      </c>
      <c r="AU69">
        <v>0</v>
      </c>
      <c r="AV69">
        <v>1</v>
      </c>
      <c r="AW69">
        <v>1</v>
      </c>
      <c r="AZ69">
        <v>1</v>
      </c>
      <c r="BA69">
        <v>1</v>
      </c>
      <c r="BB69">
        <v>1</v>
      </c>
      <c r="BC69">
        <v>7.56</v>
      </c>
      <c r="BD69" t="s">
        <v>6</v>
      </c>
      <c r="BE69" t="s">
        <v>6</v>
      </c>
      <c r="BF69" t="s">
        <v>6</v>
      </c>
      <c r="BG69" t="s">
        <v>6</v>
      </c>
      <c r="BH69">
        <v>3</v>
      </c>
      <c r="BI69">
        <v>1</v>
      </c>
      <c r="BJ69" t="s">
        <v>84</v>
      </c>
      <c r="BM69">
        <v>3101</v>
      </c>
      <c r="BN69">
        <v>0</v>
      </c>
      <c r="BO69" t="s">
        <v>6</v>
      </c>
      <c r="BP69">
        <v>0</v>
      </c>
      <c r="BQ69">
        <v>0</v>
      </c>
      <c r="BR69">
        <v>0</v>
      </c>
      <c r="BS69">
        <v>1</v>
      </c>
      <c r="BT69">
        <v>1</v>
      </c>
      <c r="BU69">
        <v>1</v>
      </c>
      <c r="BV69">
        <v>1</v>
      </c>
      <c r="BW69">
        <v>1</v>
      </c>
      <c r="BX69">
        <v>1</v>
      </c>
      <c r="BY69" t="s">
        <v>6</v>
      </c>
      <c r="BZ69">
        <v>0</v>
      </c>
      <c r="CA69">
        <v>0</v>
      </c>
      <c r="CB69" t="s">
        <v>6</v>
      </c>
      <c r="CE69">
        <v>0</v>
      </c>
      <c r="CF69">
        <v>0</v>
      </c>
      <c r="CG69">
        <v>0</v>
      </c>
      <c r="CM69">
        <v>0</v>
      </c>
      <c r="CN69" t="s">
        <v>6</v>
      </c>
      <c r="CO69">
        <v>0</v>
      </c>
      <c r="CP69">
        <f t="shared" si="75"/>
        <v>2684</v>
      </c>
      <c r="CQ69">
        <f t="shared" si="76"/>
        <v>228.46319999999997</v>
      </c>
      <c r="CR69">
        <f t="shared" si="77"/>
        <v>0</v>
      </c>
      <c r="CS69">
        <f t="shared" si="78"/>
        <v>0</v>
      </c>
      <c r="CT69">
        <f t="shared" si="79"/>
        <v>0</v>
      </c>
      <c r="CU69">
        <f t="shared" si="80"/>
        <v>0</v>
      </c>
      <c r="CV69">
        <f t="shared" si="81"/>
        <v>0</v>
      </c>
      <c r="CW69">
        <f t="shared" si="82"/>
        <v>0</v>
      </c>
      <c r="CX69">
        <f t="shared" si="83"/>
        <v>0</v>
      </c>
      <c r="CY69">
        <f>(S69+R69)*(BZ69/100)</f>
        <v>0</v>
      </c>
      <c r="CZ69">
        <f>(S69+R69)*(CA69/100)</f>
        <v>0</v>
      </c>
      <c r="DC69" t="s">
        <v>6</v>
      </c>
      <c r="DD69" t="s">
        <v>6</v>
      </c>
      <c r="DE69" t="s">
        <v>6</v>
      </c>
      <c r="DF69" t="s">
        <v>6</v>
      </c>
      <c r="DG69" t="s">
        <v>6</v>
      </c>
      <c r="DH69" t="s">
        <v>6</v>
      </c>
      <c r="DI69" t="s">
        <v>6</v>
      </c>
      <c r="DJ69" t="s">
        <v>6</v>
      </c>
      <c r="DK69" t="s">
        <v>6</v>
      </c>
      <c r="DL69" t="s">
        <v>6</v>
      </c>
      <c r="DM69" t="s">
        <v>6</v>
      </c>
      <c r="DN69">
        <v>0</v>
      </c>
      <c r="DO69">
        <v>0</v>
      </c>
      <c r="DP69">
        <v>1</v>
      </c>
      <c r="DQ69">
        <v>1</v>
      </c>
      <c r="DU69">
        <v>1013</v>
      </c>
      <c r="DV69" t="s">
        <v>78</v>
      </c>
      <c r="DW69" t="e">
        <f>'2.Лок.смета.и.Акт'!#REF!</f>
        <v>#REF!</v>
      </c>
      <c r="DX69">
        <v>1</v>
      </c>
      <c r="DZ69" t="s">
        <v>6</v>
      </c>
      <c r="EA69" t="s">
        <v>6</v>
      </c>
      <c r="EB69" t="s">
        <v>6</v>
      </c>
      <c r="EC69" t="s">
        <v>6</v>
      </c>
      <c r="EE69">
        <v>0</v>
      </c>
      <c r="EF69">
        <v>0</v>
      </c>
      <c r="EG69" t="s">
        <v>6</v>
      </c>
      <c r="EH69">
        <v>0</v>
      </c>
      <c r="EI69" t="s">
        <v>6</v>
      </c>
      <c r="EJ69">
        <v>0</v>
      </c>
      <c r="EK69">
        <v>3101</v>
      </c>
      <c r="EL69" t="s">
        <v>6</v>
      </c>
      <c r="EM69" t="s">
        <v>6</v>
      </c>
      <c r="EO69" t="s">
        <v>6</v>
      </c>
      <c r="EQ69">
        <v>0</v>
      </c>
      <c r="ER69">
        <v>215.4</v>
      </c>
      <c r="ES69">
        <v>30.22</v>
      </c>
      <c r="ET69">
        <v>0</v>
      </c>
      <c r="EU69">
        <v>0</v>
      </c>
      <c r="EV69">
        <v>0</v>
      </c>
      <c r="EW69">
        <v>0</v>
      </c>
      <c r="EX69">
        <v>0</v>
      </c>
      <c r="EZ69">
        <v>5</v>
      </c>
      <c r="FC69">
        <v>0</v>
      </c>
      <c r="FD69">
        <v>18</v>
      </c>
      <c r="FF69">
        <v>215.4</v>
      </c>
      <c r="FQ69">
        <v>0</v>
      </c>
      <c r="FR69">
        <f t="shared" si="84"/>
        <v>0</v>
      </c>
      <c r="FS69">
        <v>0</v>
      </c>
      <c r="FX69">
        <v>0</v>
      </c>
      <c r="FY69">
        <v>0</v>
      </c>
      <c r="GA69" t="s">
        <v>85</v>
      </c>
      <c r="GD69">
        <v>1</v>
      </c>
      <c r="GF69">
        <v>1913149582</v>
      </c>
      <c r="GG69">
        <v>2</v>
      </c>
      <c r="GH69">
        <v>3</v>
      </c>
      <c r="GI69">
        <v>5</v>
      </c>
      <c r="GJ69">
        <v>0</v>
      </c>
      <c r="GK69">
        <v>0</v>
      </c>
      <c r="GL69">
        <f t="shared" si="85"/>
        <v>0</v>
      </c>
      <c r="GM69">
        <f t="shared" si="86"/>
        <v>2684</v>
      </c>
      <c r="GN69">
        <f t="shared" si="87"/>
        <v>2684</v>
      </c>
      <c r="GO69">
        <f t="shared" si="88"/>
        <v>0</v>
      </c>
      <c r="GP69">
        <f t="shared" si="89"/>
        <v>0</v>
      </c>
      <c r="GR69">
        <v>1</v>
      </c>
      <c r="GS69">
        <v>1</v>
      </c>
      <c r="GT69">
        <v>0</v>
      </c>
      <c r="GU69" t="s">
        <v>6</v>
      </c>
      <c r="GV69">
        <f t="shared" si="90"/>
        <v>0</v>
      </c>
      <c r="GW69">
        <v>1</v>
      </c>
      <c r="GX69">
        <f t="shared" si="91"/>
        <v>0</v>
      </c>
      <c r="HA69">
        <v>0</v>
      </c>
      <c r="HB69">
        <v>0</v>
      </c>
      <c r="HC69">
        <f t="shared" si="92"/>
        <v>0</v>
      </c>
      <c r="HE69" t="s">
        <v>39</v>
      </c>
      <c r="HF69" t="s">
        <v>40</v>
      </c>
      <c r="HM69" t="s">
        <v>6</v>
      </c>
      <c r="HN69" t="s">
        <v>6</v>
      </c>
      <c r="HO69" t="s">
        <v>6</v>
      </c>
      <c r="HP69" t="s">
        <v>6</v>
      </c>
      <c r="HQ69" t="s">
        <v>6</v>
      </c>
      <c r="IF69">
        <v>-1</v>
      </c>
      <c r="IK69">
        <v>0</v>
      </c>
    </row>
    <row r="70" spans="1:255" x14ac:dyDescent="0.2">
      <c r="A70" s="2">
        <v>18</v>
      </c>
      <c r="B70" s="2">
        <v>1</v>
      </c>
      <c r="C70" s="2">
        <v>79</v>
      </c>
      <c r="D70" s="2"/>
      <c r="E70" s="2" t="s">
        <v>128</v>
      </c>
      <c r="F70" s="2" t="s">
        <v>87</v>
      </c>
      <c r="G70" s="2" t="s">
        <v>88</v>
      </c>
      <c r="H70" s="2" t="s">
        <v>44</v>
      </c>
      <c r="I70" s="2">
        <f>I62*J70</f>
        <v>11.926250000000001</v>
      </c>
      <c r="J70" s="226">
        <f>'5.Ведомость_списания'!F47</f>
        <v>2.702832861189802</v>
      </c>
      <c r="K70" s="2">
        <v>2.70283286</v>
      </c>
      <c r="L70" s="2"/>
      <c r="M70" s="2"/>
      <c r="N70" s="2"/>
      <c r="O70" s="2">
        <f t="shared" si="61"/>
        <v>10481</v>
      </c>
      <c r="P70" s="2">
        <f t="shared" si="62"/>
        <v>10481</v>
      </c>
      <c r="Q70" s="2">
        <f t="shared" si="63"/>
        <v>0</v>
      </c>
      <c r="R70" s="2">
        <f t="shared" si="64"/>
        <v>0</v>
      </c>
      <c r="S70" s="2">
        <f t="shared" si="65"/>
        <v>0</v>
      </c>
      <c r="T70" s="2">
        <f t="shared" si="66"/>
        <v>0</v>
      </c>
      <c r="U70" s="2">
        <f t="shared" si="67"/>
        <v>0</v>
      </c>
      <c r="V70" s="2">
        <f t="shared" si="68"/>
        <v>0</v>
      </c>
      <c r="W70" s="2">
        <f t="shared" si="69"/>
        <v>0</v>
      </c>
      <c r="X70" s="2">
        <f t="shared" si="70"/>
        <v>0</v>
      </c>
      <c r="Y70" s="2">
        <f t="shared" si="71"/>
        <v>0</v>
      </c>
      <c r="Z70" s="2"/>
      <c r="AA70" s="2">
        <v>86326987</v>
      </c>
      <c r="AB70" s="2">
        <f t="shared" si="72"/>
        <v>878.79</v>
      </c>
      <c r="AC70" s="2">
        <f t="shared" si="93"/>
        <v>878.79</v>
      </c>
      <c r="AD70" s="2">
        <f>ROUND((((ET70)-(EU70))+AE70),2)</f>
        <v>0</v>
      </c>
      <c r="AE70" s="2">
        <f t="shared" si="94"/>
        <v>0</v>
      </c>
      <c r="AF70" s="2">
        <f t="shared" si="95"/>
        <v>0</v>
      </c>
      <c r="AG70" s="2">
        <f t="shared" si="73"/>
        <v>0</v>
      </c>
      <c r="AH70" s="2">
        <f t="shared" si="96"/>
        <v>0</v>
      </c>
      <c r="AI70" s="2">
        <f t="shared" si="97"/>
        <v>0</v>
      </c>
      <c r="AJ70" s="2">
        <f t="shared" si="74"/>
        <v>0</v>
      </c>
      <c r="AK70" s="2">
        <v>878.79</v>
      </c>
      <c r="AL70" s="110">
        <f>'1.Лок.смета.и.Акт'!F129</f>
        <v>878.79</v>
      </c>
      <c r="AM70" s="2">
        <v>0</v>
      </c>
      <c r="AN70" s="2">
        <v>0</v>
      </c>
      <c r="AO70" s="2">
        <v>0</v>
      </c>
      <c r="AP70" s="2">
        <v>0</v>
      </c>
      <c r="AQ70" s="2">
        <v>0</v>
      </c>
      <c r="AR70" s="2">
        <v>0</v>
      </c>
      <c r="AS70" s="2">
        <v>0</v>
      </c>
      <c r="AT70" s="2">
        <v>0</v>
      </c>
      <c r="AU70" s="2">
        <v>0</v>
      </c>
      <c r="AV70" s="2">
        <v>1</v>
      </c>
      <c r="AW70" s="2">
        <v>1</v>
      </c>
      <c r="AX70" s="2"/>
      <c r="AY70" s="2"/>
      <c r="AZ70" s="2">
        <v>1</v>
      </c>
      <c r="BA70" s="2">
        <v>1</v>
      </c>
      <c r="BB70" s="2">
        <v>1</v>
      </c>
      <c r="BC70" s="2">
        <v>1</v>
      </c>
      <c r="BD70" s="2" t="s">
        <v>6</v>
      </c>
      <c r="BE70" s="2" t="s">
        <v>6</v>
      </c>
      <c r="BF70" s="2" t="s">
        <v>6</v>
      </c>
      <c r="BG70" s="2" t="s">
        <v>6</v>
      </c>
      <c r="BH70" s="2">
        <v>3</v>
      </c>
      <c r="BI70" s="2">
        <v>1</v>
      </c>
      <c r="BJ70" s="2" t="s">
        <v>89</v>
      </c>
      <c r="BK70" s="2"/>
      <c r="BL70" s="2"/>
      <c r="BM70" s="2">
        <v>500003</v>
      </c>
      <c r="BN70" s="2">
        <v>0</v>
      </c>
      <c r="BO70" s="2" t="s">
        <v>6</v>
      </c>
      <c r="BP70" s="2">
        <v>0</v>
      </c>
      <c r="BQ70" s="2">
        <v>22</v>
      </c>
      <c r="BR70" s="2">
        <v>0</v>
      </c>
      <c r="BS70" s="2">
        <v>1</v>
      </c>
      <c r="BT70" s="2">
        <v>1</v>
      </c>
      <c r="BU70" s="2">
        <v>1</v>
      </c>
      <c r="BV70" s="2">
        <v>1</v>
      </c>
      <c r="BW70" s="2">
        <v>1</v>
      </c>
      <c r="BX70" s="2">
        <v>1</v>
      </c>
      <c r="BY70" s="2" t="s">
        <v>6</v>
      </c>
      <c r="BZ70" s="2">
        <v>0</v>
      </c>
      <c r="CA70" s="2">
        <v>0</v>
      </c>
      <c r="CB70" s="2" t="s">
        <v>6</v>
      </c>
      <c r="CC70" s="2"/>
      <c r="CD70" s="2"/>
      <c r="CE70" s="2">
        <v>0</v>
      </c>
      <c r="CF70" s="2">
        <v>0</v>
      </c>
      <c r="CG70" s="2">
        <v>0</v>
      </c>
      <c r="CH70" s="2"/>
      <c r="CI70" s="2"/>
      <c r="CJ70" s="2"/>
      <c r="CK70" s="2"/>
      <c r="CL70" s="2"/>
      <c r="CM70" s="2">
        <v>0</v>
      </c>
      <c r="CN70" s="2" t="s">
        <v>6</v>
      </c>
      <c r="CO70" s="2">
        <v>0</v>
      </c>
      <c r="CP70" s="2">
        <f t="shared" si="75"/>
        <v>10481</v>
      </c>
      <c r="CQ70" s="2">
        <f t="shared" si="76"/>
        <v>878.79</v>
      </c>
      <c r="CR70" s="2">
        <f t="shared" si="77"/>
        <v>0</v>
      </c>
      <c r="CS70" s="2">
        <f t="shared" si="78"/>
        <v>0</v>
      </c>
      <c r="CT70" s="2">
        <f t="shared" si="79"/>
        <v>0</v>
      </c>
      <c r="CU70" s="2">
        <f t="shared" si="80"/>
        <v>0</v>
      </c>
      <c r="CV70" s="2">
        <f t="shared" si="81"/>
        <v>0</v>
      </c>
      <c r="CW70" s="2">
        <f t="shared" si="82"/>
        <v>0</v>
      </c>
      <c r="CX70" s="2">
        <f t="shared" si="83"/>
        <v>0</v>
      </c>
      <c r="CY70" s="2">
        <f>(((S70+(R70*IF(0,0,1)))*AT70)/100)</f>
        <v>0</v>
      </c>
      <c r="CZ70" s="2">
        <f>(((S70+(R70*IF(0,0,1)))*AU70)/100)</f>
        <v>0</v>
      </c>
      <c r="DA70" s="2"/>
      <c r="DB70" s="2"/>
      <c r="DC70" s="2" t="s">
        <v>6</v>
      </c>
      <c r="DD70" s="2" t="s">
        <v>6</v>
      </c>
      <c r="DE70" s="2" t="s">
        <v>6</v>
      </c>
      <c r="DF70" s="2" t="s">
        <v>6</v>
      </c>
      <c r="DG70" s="2" t="s">
        <v>6</v>
      </c>
      <c r="DH70" s="2" t="s">
        <v>6</v>
      </c>
      <c r="DI70" s="2" t="s">
        <v>6</v>
      </c>
      <c r="DJ70" s="2" t="s">
        <v>6</v>
      </c>
      <c r="DK70" s="2" t="s">
        <v>6</v>
      </c>
      <c r="DL70" s="2" t="s">
        <v>6</v>
      </c>
      <c r="DM70" s="2" t="s">
        <v>6</v>
      </c>
      <c r="DN70" s="2">
        <v>0</v>
      </c>
      <c r="DO70" s="2">
        <v>0</v>
      </c>
      <c r="DP70" s="2">
        <v>1</v>
      </c>
      <c r="DQ70" s="2">
        <v>1</v>
      </c>
      <c r="DR70" s="2"/>
      <c r="DS70" s="2"/>
      <c r="DT70" s="2"/>
      <c r="DU70" s="2">
        <v>1007</v>
      </c>
      <c r="DV70" s="2" t="s">
        <v>44</v>
      </c>
      <c r="DW70" s="2" t="s">
        <v>44</v>
      </c>
      <c r="DX70" s="2">
        <v>1</v>
      </c>
      <c r="DY70" s="2"/>
      <c r="DZ70" s="2" t="s">
        <v>6</v>
      </c>
      <c r="EA70" s="2" t="s">
        <v>6</v>
      </c>
      <c r="EB70" s="2" t="s">
        <v>6</v>
      </c>
      <c r="EC70" s="2" t="s">
        <v>6</v>
      </c>
      <c r="ED70" s="2"/>
      <c r="EE70" s="2">
        <v>54938783</v>
      </c>
      <c r="EF70" s="2">
        <v>22</v>
      </c>
      <c r="EG70" s="2" t="s">
        <v>57</v>
      </c>
      <c r="EH70" s="2">
        <v>0</v>
      </c>
      <c r="EI70" s="2" t="s">
        <v>6</v>
      </c>
      <c r="EJ70" s="2">
        <v>1</v>
      </c>
      <c r="EK70" s="2">
        <v>500003</v>
      </c>
      <c r="EL70" s="2" t="s">
        <v>58</v>
      </c>
      <c r="EM70" s="2" t="s">
        <v>59</v>
      </c>
      <c r="EN70" s="2"/>
      <c r="EO70" s="2" t="s">
        <v>6</v>
      </c>
      <c r="EP70" s="2"/>
      <c r="EQ70" s="2">
        <v>0</v>
      </c>
      <c r="ER70" s="2">
        <v>878.79</v>
      </c>
      <c r="ES70" s="110">
        <f>'1.Лок.смета.и.Акт'!F129</f>
        <v>878.79</v>
      </c>
      <c r="ET70" s="2">
        <v>0</v>
      </c>
      <c r="EU70" s="2">
        <v>0</v>
      </c>
      <c r="EV70" s="2">
        <v>0</v>
      </c>
      <c r="EW70" s="2">
        <v>0</v>
      </c>
      <c r="EX70" s="2">
        <v>0</v>
      </c>
      <c r="EY70" s="2"/>
      <c r="EZ70" s="2"/>
      <c r="FA70" s="2"/>
      <c r="FB70" s="2"/>
      <c r="FC70" s="2"/>
      <c r="FD70" s="2"/>
      <c r="FE70" s="2"/>
      <c r="FF70" s="2"/>
      <c r="FG70" s="2"/>
      <c r="FH70" s="2"/>
      <c r="FI70" s="2"/>
      <c r="FJ70" s="2"/>
      <c r="FK70" s="2"/>
      <c r="FL70" s="2"/>
      <c r="FM70" s="2"/>
      <c r="FN70" s="2"/>
      <c r="FO70" s="2"/>
      <c r="FP70" s="2"/>
      <c r="FQ70" s="2">
        <v>0</v>
      </c>
      <c r="FR70" s="2">
        <f t="shared" si="84"/>
        <v>0</v>
      </c>
      <c r="FS70" s="2">
        <v>0</v>
      </c>
      <c r="FT70" s="2"/>
      <c r="FU70" s="2"/>
      <c r="FV70" s="2"/>
      <c r="FW70" s="2"/>
      <c r="FX70" s="2">
        <v>0</v>
      </c>
      <c r="FY70" s="2">
        <v>0</v>
      </c>
      <c r="FZ70" s="2"/>
      <c r="GA70" s="2" t="s">
        <v>6</v>
      </c>
      <c r="GB70" s="2"/>
      <c r="GC70" s="2"/>
      <c r="GD70" s="2">
        <v>1</v>
      </c>
      <c r="GE70" s="2"/>
      <c r="GF70" s="2">
        <v>-183216560</v>
      </c>
      <c r="GG70" s="2">
        <v>2</v>
      </c>
      <c r="GH70" s="2">
        <v>2</v>
      </c>
      <c r="GI70" s="2">
        <v>-2</v>
      </c>
      <c r="GJ70" s="2">
        <v>0</v>
      </c>
      <c r="GK70" s="2">
        <v>0</v>
      </c>
      <c r="GL70" s="2">
        <f t="shared" si="85"/>
        <v>0</v>
      </c>
      <c r="GM70" s="2">
        <f t="shared" si="86"/>
        <v>10481</v>
      </c>
      <c r="GN70" s="2">
        <f t="shared" si="87"/>
        <v>10481</v>
      </c>
      <c r="GO70" s="2">
        <f t="shared" si="88"/>
        <v>0</v>
      </c>
      <c r="GP70" s="2">
        <f t="shared" si="89"/>
        <v>0</v>
      </c>
      <c r="GQ70" s="2"/>
      <c r="GR70" s="2">
        <v>0</v>
      </c>
      <c r="GS70" s="2">
        <v>2</v>
      </c>
      <c r="GT70" s="2">
        <v>0</v>
      </c>
      <c r="GU70" s="2" t="s">
        <v>6</v>
      </c>
      <c r="GV70" s="2">
        <f t="shared" si="90"/>
        <v>0</v>
      </c>
      <c r="GW70" s="2">
        <v>1</v>
      </c>
      <c r="GX70" s="2">
        <f t="shared" si="91"/>
        <v>0</v>
      </c>
      <c r="GY70" s="2"/>
      <c r="GZ70" s="2"/>
      <c r="HA70" s="2">
        <v>0</v>
      </c>
      <c r="HB70" s="2">
        <v>0</v>
      </c>
      <c r="HC70" s="2">
        <f t="shared" si="92"/>
        <v>0</v>
      </c>
      <c r="HD70" s="2"/>
      <c r="HE70" s="2" t="s">
        <v>6</v>
      </c>
      <c r="HF70" s="2" t="s">
        <v>6</v>
      </c>
      <c r="HG70" s="2"/>
      <c r="HH70" s="2"/>
      <c r="HI70" s="2"/>
      <c r="HJ70" s="2"/>
      <c r="HK70" s="2"/>
      <c r="HL70" s="2"/>
      <c r="HM70" s="2" t="s">
        <v>6</v>
      </c>
      <c r="HN70" s="2" t="s">
        <v>6</v>
      </c>
      <c r="HO70" s="2" t="s">
        <v>6</v>
      </c>
      <c r="HP70" s="2" t="s">
        <v>6</v>
      </c>
      <c r="HQ70" s="2" t="s">
        <v>6</v>
      </c>
      <c r="HR70" s="2"/>
      <c r="HS70" s="2"/>
      <c r="HT70" s="2"/>
      <c r="HU70" s="2"/>
      <c r="HV70" s="2"/>
      <c r="HW70" s="2"/>
      <c r="HX70" s="2"/>
      <c r="HY70" s="2"/>
      <c r="HZ70" s="2"/>
      <c r="IA70" s="2"/>
      <c r="IB70" s="2"/>
      <c r="IC70" s="2"/>
      <c r="ID70" s="2"/>
      <c r="IE70" s="2"/>
      <c r="IF70" s="2">
        <v>-1</v>
      </c>
      <c r="IG70" s="2"/>
      <c r="IH70" s="2"/>
      <c r="II70" s="2"/>
      <c r="IJ70" s="2"/>
      <c r="IK70" s="2">
        <v>0</v>
      </c>
      <c r="IL70" s="2"/>
      <c r="IM70" s="2"/>
      <c r="IN70" s="2"/>
      <c r="IO70" s="2"/>
      <c r="IP70" s="2"/>
      <c r="IQ70" s="2"/>
      <c r="IR70" s="2"/>
      <c r="IS70" s="2"/>
      <c r="IT70" s="2"/>
      <c r="IU70" s="2"/>
    </row>
    <row r="71" spans="1:255" x14ac:dyDescent="0.2">
      <c r="A71">
        <v>18</v>
      </c>
      <c r="B71">
        <v>1</v>
      </c>
      <c r="C71">
        <v>92</v>
      </c>
      <c r="E71" t="s">
        <v>128</v>
      </c>
      <c r="F71" t="e">
        <f>'2.Лок.смета.и.Акт'!#REF!</f>
        <v>#REF!</v>
      </c>
      <c r="G71" t="s">
        <v>88</v>
      </c>
      <c r="H71" t="s">
        <v>44</v>
      </c>
      <c r="I71">
        <f>I63*J71</f>
        <v>11.926250000000001</v>
      </c>
      <c r="J71">
        <v>2.702832861189802</v>
      </c>
      <c r="K71">
        <v>2.70283286</v>
      </c>
      <c r="O71">
        <f t="shared" si="61"/>
        <v>87908</v>
      </c>
      <c r="P71">
        <f t="shared" si="62"/>
        <v>87908</v>
      </c>
      <c r="Q71">
        <f t="shared" si="63"/>
        <v>0</v>
      </c>
      <c r="R71">
        <f t="shared" si="64"/>
        <v>0</v>
      </c>
      <c r="S71">
        <f t="shared" si="65"/>
        <v>0</v>
      </c>
      <c r="T71">
        <f t="shared" si="66"/>
        <v>0</v>
      </c>
      <c r="U71">
        <f t="shared" si="67"/>
        <v>0</v>
      </c>
      <c r="V71">
        <f t="shared" si="68"/>
        <v>0</v>
      </c>
      <c r="W71">
        <f t="shared" si="69"/>
        <v>0</v>
      </c>
      <c r="X71">
        <f t="shared" si="70"/>
        <v>0</v>
      </c>
      <c r="Y71">
        <f t="shared" si="71"/>
        <v>0</v>
      </c>
      <c r="AA71">
        <v>86326988</v>
      </c>
      <c r="AB71">
        <f t="shared" si="72"/>
        <v>975</v>
      </c>
      <c r="AC71">
        <f t="shared" si="93"/>
        <v>975</v>
      </c>
      <c r="AD71">
        <f>ROUND((((ET71)-(EU71))+AE71),2)</f>
        <v>0</v>
      </c>
      <c r="AE71">
        <f t="shared" si="94"/>
        <v>0</v>
      </c>
      <c r="AF71">
        <f t="shared" si="95"/>
        <v>0</v>
      </c>
      <c r="AG71">
        <f t="shared" si="73"/>
        <v>0</v>
      </c>
      <c r="AH71">
        <f t="shared" si="96"/>
        <v>0</v>
      </c>
      <c r="AI71">
        <f t="shared" si="97"/>
        <v>0</v>
      </c>
      <c r="AJ71">
        <f t="shared" si="74"/>
        <v>0</v>
      </c>
      <c r="AK71">
        <v>975</v>
      </c>
      <c r="AL71">
        <v>975</v>
      </c>
      <c r="AM71">
        <v>0</v>
      </c>
      <c r="AN71">
        <v>0</v>
      </c>
      <c r="AO71">
        <v>0</v>
      </c>
      <c r="AP71">
        <v>0</v>
      </c>
      <c r="AQ71">
        <v>0</v>
      </c>
      <c r="AR71">
        <v>0</v>
      </c>
      <c r="AS71">
        <v>0</v>
      </c>
      <c r="AT71">
        <v>0</v>
      </c>
      <c r="AU71">
        <v>0</v>
      </c>
      <c r="AV71">
        <v>1</v>
      </c>
      <c r="AW71">
        <v>1</v>
      </c>
      <c r="AZ71">
        <v>1</v>
      </c>
      <c r="BA71">
        <v>1</v>
      </c>
      <c r="BB71">
        <v>1</v>
      </c>
      <c r="BC71">
        <v>7.56</v>
      </c>
      <c r="BD71" t="s">
        <v>6</v>
      </c>
      <c r="BE71" t="s">
        <v>6</v>
      </c>
      <c r="BF71" t="s">
        <v>6</v>
      </c>
      <c r="BG71" t="s">
        <v>6</v>
      </c>
      <c r="BH71">
        <v>3</v>
      </c>
      <c r="BI71">
        <v>1</v>
      </c>
      <c r="BJ71" t="s">
        <v>89</v>
      </c>
      <c r="BM71">
        <v>500003</v>
      </c>
      <c r="BN71">
        <v>0</v>
      </c>
      <c r="BO71" t="s">
        <v>6</v>
      </c>
      <c r="BP71">
        <v>0</v>
      </c>
      <c r="BQ71">
        <v>22</v>
      </c>
      <c r="BR71">
        <v>0</v>
      </c>
      <c r="BS71">
        <v>1</v>
      </c>
      <c r="BT71">
        <v>1</v>
      </c>
      <c r="BU71">
        <v>1</v>
      </c>
      <c r="BV71">
        <v>1</v>
      </c>
      <c r="BW71">
        <v>1</v>
      </c>
      <c r="BX71">
        <v>1</v>
      </c>
      <c r="BY71" t="s">
        <v>6</v>
      </c>
      <c r="BZ71">
        <v>0</v>
      </c>
      <c r="CA71">
        <v>0</v>
      </c>
      <c r="CB71" t="s">
        <v>6</v>
      </c>
      <c r="CE71">
        <v>0</v>
      </c>
      <c r="CF71">
        <v>0</v>
      </c>
      <c r="CG71">
        <v>0</v>
      </c>
      <c r="CM71">
        <v>0</v>
      </c>
      <c r="CN71" t="s">
        <v>6</v>
      </c>
      <c r="CO71">
        <v>0</v>
      </c>
      <c r="CP71">
        <f t="shared" si="75"/>
        <v>87908</v>
      </c>
      <c r="CQ71">
        <f t="shared" si="76"/>
        <v>7371</v>
      </c>
      <c r="CR71">
        <f t="shared" si="77"/>
        <v>0</v>
      </c>
      <c r="CS71">
        <f t="shared" si="78"/>
        <v>0</v>
      </c>
      <c r="CT71">
        <f t="shared" si="79"/>
        <v>0</v>
      </c>
      <c r="CU71">
        <f t="shared" si="80"/>
        <v>0</v>
      </c>
      <c r="CV71">
        <f t="shared" si="81"/>
        <v>0</v>
      </c>
      <c r="CW71">
        <f t="shared" si="82"/>
        <v>0</v>
      </c>
      <c r="CX71">
        <f t="shared" si="83"/>
        <v>0</v>
      </c>
      <c r="CY71">
        <f>(S71+R71)*(BZ71/100)</f>
        <v>0</v>
      </c>
      <c r="CZ71">
        <f>(S71+R71)*(CA71/100)</f>
        <v>0</v>
      </c>
      <c r="DC71" t="s">
        <v>6</v>
      </c>
      <c r="DD71" t="s">
        <v>6</v>
      </c>
      <c r="DE71" t="s">
        <v>6</v>
      </c>
      <c r="DF71" t="s">
        <v>6</v>
      </c>
      <c r="DG71" t="s">
        <v>6</v>
      </c>
      <c r="DH71" t="s">
        <v>6</v>
      </c>
      <c r="DI71" t="s">
        <v>6</v>
      </c>
      <c r="DJ71" t="s">
        <v>6</v>
      </c>
      <c r="DK71" t="s">
        <v>6</v>
      </c>
      <c r="DL71" t="s">
        <v>6</v>
      </c>
      <c r="DM71" t="s">
        <v>6</v>
      </c>
      <c r="DN71">
        <v>0</v>
      </c>
      <c r="DO71">
        <v>0</v>
      </c>
      <c r="DP71">
        <v>1</v>
      </c>
      <c r="DQ71">
        <v>1</v>
      </c>
      <c r="DU71">
        <v>1007</v>
      </c>
      <c r="DV71" t="s">
        <v>44</v>
      </c>
      <c r="DW71" t="e">
        <f>'2.Лок.смета.и.Акт'!#REF!</f>
        <v>#REF!</v>
      </c>
      <c r="DX71">
        <v>1</v>
      </c>
      <c r="DZ71" t="s">
        <v>6</v>
      </c>
      <c r="EA71" t="s">
        <v>6</v>
      </c>
      <c r="EB71" t="s">
        <v>6</v>
      </c>
      <c r="EC71" t="s">
        <v>6</v>
      </c>
      <c r="EE71">
        <v>54938783</v>
      </c>
      <c r="EF71">
        <v>22</v>
      </c>
      <c r="EG71" t="s">
        <v>57</v>
      </c>
      <c r="EH71">
        <v>0</v>
      </c>
      <c r="EI71" t="s">
        <v>6</v>
      </c>
      <c r="EJ71">
        <v>1</v>
      </c>
      <c r="EK71">
        <v>500003</v>
      </c>
      <c r="EL71" t="s">
        <v>58</v>
      </c>
      <c r="EM71" t="s">
        <v>59</v>
      </c>
      <c r="EO71" t="s">
        <v>6</v>
      </c>
      <c r="EQ71">
        <v>0</v>
      </c>
      <c r="ER71">
        <v>6948.56</v>
      </c>
      <c r="ES71">
        <v>975</v>
      </c>
      <c r="ET71">
        <v>0</v>
      </c>
      <c r="EU71">
        <v>0</v>
      </c>
      <c r="EV71">
        <v>0</v>
      </c>
      <c r="EW71">
        <v>0</v>
      </c>
      <c r="EX71">
        <v>0</v>
      </c>
      <c r="EZ71">
        <v>5</v>
      </c>
      <c r="FC71">
        <v>0</v>
      </c>
      <c r="FD71">
        <v>18</v>
      </c>
      <c r="FF71">
        <v>6948.56</v>
      </c>
      <c r="FQ71">
        <v>0</v>
      </c>
      <c r="FR71">
        <f t="shared" si="84"/>
        <v>0</v>
      </c>
      <c r="FS71">
        <v>0</v>
      </c>
      <c r="FX71">
        <v>0</v>
      </c>
      <c r="FY71">
        <v>0</v>
      </c>
      <c r="GA71" t="s">
        <v>90</v>
      </c>
      <c r="GD71">
        <v>1</v>
      </c>
      <c r="GF71">
        <v>-183216560</v>
      </c>
      <c r="GG71">
        <v>2</v>
      </c>
      <c r="GH71">
        <v>3</v>
      </c>
      <c r="GI71">
        <v>5</v>
      </c>
      <c r="GJ71">
        <v>0</v>
      </c>
      <c r="GK71">
        <v>0</v>
      </c>
      <c r="GL71">
        <f t="shared" si="85"/>
        <v>0</v>
      </c>
      <c r="GM71">
        <f t="shared" si="86"/>
        <v>87908</v>
      </c>
      <c r="GN71">
        <f t="shared" si="87"/>
        <v>87908</v>
      </c>
      <c r="GO71">
        <f t="shared" si="88"/>
        <v>0</v>
      </c>
      <c r="GP71">
        <f t="shared" si="89"/>
        <v>0</v>
      </c>
      <c r="GR71">
        <v>1</v>
      </c>
      <c r="GS71">
        <v>1</v>
      </c>
      <c r="GT71">
        <v>0</v>
      </c>
      <c r="GU71" t="s">
        <v>6</v>
      </c>
      <c r="GV71">
        <f t="shared" si="90"/>
        <v>0</v>
      </c>
      <c r="GW71">
        <v>1</v>
      </c>
      <c r="GX71">
        <f t="shared" si="91"/>
        <v>0</v>
      </c>
      <c r="HA71">
        <v>0</v>
      </c>
      <c r="HB71">
        <v>0</v>
      </c>
      <c r="HC71">
        <f t="shared" si="92"/>
        <v>0</v>
      </c>
      <c r="HE71" t="s">
        <v>39</v>
      </c>
      <c r="HF71" t="s">
        <v>40</v>
      </c>
      <c r="HM71" t="s">
        <v>6</v>
      </c>
      <c r="HN71" t="s">
        <v>6</v>
      </c>
      <c r="HO71" t="s">
        <v>6</v>
      </c>
      <c r="HP71" t="s">
        <v>6</v>
      </c>
      <c r="HQ71" t="s">
        <v>6</v>
      </c>
      <c r="IF71">
        <v>-1</v>
      </c>
      <c r="IK71">
        <v>0</v>
      </c>
    </row>
    <row r="72" spans="1:255" x14ac:dyDescent="0.2">
      <c r="A72" s="2">
        <v>18</v>
      </c>
      <c r="B72" s="2">
        <v>1</v>
      </c>
      <c r="C72" s="2">
        <v>77</v>
      </c>
      <c r="D72" s="2"/>
      <c r="E72" s="2" t="s">
        <v>129</v>
      </c>
      <c r="F72" s="2" t="s">
        <v>92</v>
      </c>
      <c r="G72" s="2" t="s">
        <v>93</v>
      </c>
      <c r="H72" s="2" t="s">
        <v>94</v>
      </c>
      <c r="I72" s="2">
        <f>I62*J72</f>
        <v>23.774550000000001</v>
      </c>
      <c r="J72" s="226">
        <f>'5.Ведомость_списания'!F48</f>
        <v>5.3880000000000008</v>
      </c>
      <c r="K72" s="2">
        <v>5.3879999999999999</v>
      </c>
      <c r="L72" s="2"/>
      <c r="M72" s="2"/>
      <c r="N72" s="2"/>
      <c r="O72" s="2">
        <f t="shared" si="61"/>
        <v>112</v>
      </c>
      <c r="P72" s="2">
        <f t="shared" si="62"/>
        <v>112</v>
      </c>
      <c r="Q72" s="2">
        <f t="shared" si="63"/>
        <v>0</v>
      </c>
      <c r="R72" s="2">
        <f t="shared" si="64"/>
        <v>0</v>
      </c>
      <c r="S72" s="2">
        <f t="shared" si="65"/>
        <v>0</v>
      </c>
      <c r="T72" s="2">
        <f t="shared" si="66"/>
        <v>0</v>
      </c>
      <c r="U72" s="2">
        <f t="shared" si="67"/>
        <v>0</v>
      </c>
      <c r="V72" s="2">
        <f t="shared" si="68"/>
        <v>0</v>
      </c>
      <c r="W72" s="2">
        <f t="shared" si="69"/>
        <v>0</v>
      </c>
      <c r="X72" s="2">
        <f t="shared" si="70"/>
        <v>0</v>
      </c>
      <c r="Y72" s="2">
        <f t="shared" si="71"/>
        <v>0</v>
      </c>
      <c r="Z72" s="2"/>
      <c r="AA72" s="2">
        <v>86326987</v>
      </c>
      <c r="AB72" s="2">
        <f t="shared" si="72"/>
        <v>4.6900000000000004</v>
      </c>
      <c r="AC72" s="2">
        <f t="shared" si="93"/>
        <v>4.6900000000000004</v>
      </c>
      <c r="AD72" s="2">
        <f>ROUND((((ET72)-(EU72))+AE72),2)</f>
        <v>0</v>
      </c>
      <c r="AE72" s="2">
        <f t="shared" si="94"/>
        <v>0</v>
      </c>
      <c r="AF72" s="2">
        <f t="shared" si="95"/>
        <v>0</v>
      </c>
      <c r="AG72" s="2">
        <f t="shared" si="73"/>
        <v>0</v>
      </c>
      <c r="AH72" s="2">
        <f t="shared" si="96"/>
        <v>0</v>
      </c>
      <c r="AI72" s="2">
        <f t="shared" si="97"/>
        <v>0</v>
      </c>
      <c r="AJ72" s="2">
        <f t="shared" si="74"/>
        <v>0.01</v>
      </c>
      <c r="AK72" s="2">
        <v>4.6900000000000004</v>
      </c>
      <c r="AL72" s="110">
        <f>'1.Лок.смета.и.Акт'!F131</f>
        <v>4.6900000000000004</v>
      </c>
      <c r="AM72" s="2">
        <v>0</v>
      </c>
      <c r="AN72" s="2">
        <v>0</v>
      </c>
      <c r="AO72" s="2">
        <v>0</v>
      </c>
      <c r="AP72" s="2">
        <v>0</v>
      </c>
      <c r="AQ72" s="2">
        <v>0</v>
      </c>
      <c r="AR72" s="2">
        <v>0</v>
      </c>
      <c r="AS72" s="2">
        <v>0.01</v>
      </c>
      <c r="AT72" s="2">
        <v>0</v>
      </c>
      <c r="AU72" s="2">
        <v>0</v>
      </c>
      <c r="AV72" s="2">
        <v>1</v>
      </c>
      <c r="AW72" s="2">
        <v>1</v>
      </c>
      <c r="AX72" s="2"/>
      <c r="AY72" s="2"/>
      <c r="AZ72" s="2">
        <v>1</v>
      </c>
      <c r="BA72" s="2">
        <v>1</v>
      </c>
      <c r="BB72" s="2">
        <v>1</v>
      </c>
      <c r="BC72" s="2">
        <v>1</v>
      </c>
      <c r="BD72" s="2" t="s">
        <v>6</v>
      </c>
      <c r="BE72" s="2" t="s">
        <v>6</v>
      </c>
      <c r="BF72" s="2" t="s">
        <v>6</v>
      </c>
      <c r="BG72" s="2" t="s">
        <v>6</v>
      </c>
      <c r="BH72" s="2">
        <v>3</v>
      </c>
      <c r="BI72" s="2">
        <v>2</v>
      </c>
      <c r="BJ72" s="2" t="s">
        <v>95</v>
      </c>
      <c r="BK72" s="2"/>
      <c r="BL72" s="2"/>
      <c r="BM72" s="2">
        <v>500002</v>
      </c>
      <c r="BN72" s="2">
        <v>0</v>
      </c>
      <c r="BO72" s="2" t="s">
        <v>6</v>
      </c>
      <c r="BP72" s="2">
        <v>0</v>
      </c>
      <c r="BQ72" s="2">
        <v>21</v>
      </c>
      <c r="BR72" s="2">
        <v>0</v>
      </c>
      <c r="BS72" s="2">
        <v>1</v>
      </c>
      <c r="BT72" s="2">
        <v>1</v>
      </c>
      <c r="BU72" s="2">
        <v>1</v>
      </c>
      <c r="BV72" s="2">
        <v>1</v>
      </c>
      <c r="BW72" s="2">
        <v>1</v>
      </c>
      <c r="BX72" s="2">
        <v>1</v>
      </c>
      <c r="BY72" s="2" t="s">
        <v>6</v>
      </c>
      <c r="BZ72" s="2">
        <v>0</v>
      </c>
      <c r="CA72" s="2">
        <v>0</v>
      </c>
      <c r="CB72" s="2" t="s">
        <v>6</v>
      </c>
      <c r="CC72" s="2"/>
      <c r="CD72" s="2"/>
      <c r="CE72" s="2">
        <v>0</v>
      </c>
      <c r="CF72" s="2">
        <v>0</v>
      </c>
      <c r="CG72" s="2">
        <v>0</v>
      </c>
      <c r="CH72" s="2"/>
      <c r="CI72" s="2"/>
      <c r="CJ72" s="2"/>
      <c r="CK72" s="2"/>
      <c r="CL72" s="2"/>
      <c r="CM72" s="2">
        <v>0</v>
      </c>
      <c r="CN72" s="2" t="s">
        <v>6</v>
      </c>
      <c r="CO72" s="2">
        <v>0</v>
      </c>
      <c r="CP72" s="2">
        <f t="shared" si="75"/>
        <v>112</v>
      </c>
      <c r="CQ72" s="2">
        <f t="shared" si="76"/>
        <v>4.6900000000000004</v>
      </c>
      <c r="CR72" s="2">
        <f t="shared" si="77"/>
        <v>0</v>
      </c>
      <c r="CS72" s="2">
        <f t="shared" si="78"/>
        <v>0</v>
      </c>
      <c r="CT72" s="2">
        <f t="shared" si="79"/>
        <v>0</v>
      </c>
      <c r="CU72" s="2">
        <f t="shared" si="80"/>
        <v>0</v>
      </c>
      <c r="CV72" s="2">
        <f t="shared" si="81"/>
        <v>0</v>
      </c>
      <c r="CW72" s="2">
        <f t="shared" si="82"/>
        <v>0</v>
      </c>
      <c r="CX72" s="2">
        <f t="shared" si="83"/>
        <v>0.01</v>
      </c>
      <c r="CY72" s="2">
        <f>(((S72+(R72*IF(0,0,1)))*AT72)/100)</f>
        <v>0</v>
      </c>
      <c r="CZ72" s="2">
        <f>(((S72+(R72*IF(0,0,1)))*AU72)/100)</f>
        <v>0</v>
      </c>
      <c r="DA72" s="2"/>
      <c r="DB72" s="2"/>
      <c r="DC72" s="2" t="s">
        <v>6</v>
      </c>
      <c r="DD72" s="2" t="s">
        <v>6</v>
      </c>
      <c r="DE72" s="2" t="s">
        <v>6</v>
      </c>
      <c r="DF72" s="2" t="s">
        <v>6</v>
      </c>
      <c r="DG72" s="2" t="s">
        <v>6</v>
      </c>
      <c r="DH72" s="2" t="s">
        <v>6</v>
      </c>
      <c r="DI72" s="2" t="s">
        <v>6</v>
      </c>
      <c r="DJ72" s="2" t="s">
        <v>6</v>
      </c>
      <c r="DK72" s="2" t="s">
        <v>6</v>
      </c>
      <c r="DL72" s="2" t="s">
        <v>6</v>
      </c>
      <c r="DM72" s="2" t="s">
        <v>6</v>
      </c>
      <c r="DN72" s="2">
        <v>0</v>
      </c>
      <c r="DO72" s="2">
        <v>0</v>
      </c>
      <c r="DP72" s="2">
        <v>1</v>
      </c>
      <c r="DQ72" s="2">
        <v>1</v>
      </c>
      <c r="DR72" s="2"/>
      <c r="DS72" s="2"/>
      <c r="DT72" s="2"/>
      <c r="DU72" s="2">
        <v>1003</v>
      </c>
      <c r="DV72" s="2" t="s">
        <v>94</v>
      </c>
      <c r="DW72" s="2" t="s">
        <v>94</v>
      </c>
      <c r="DX72" s="2">
        <v>1</v>
      </c>
      <c r="DY72" s="2"/>
      <c r="DZ72" s="2" t="s">
        <v>6</v>
      </c>
      <c r="EA72" s="2" t="s">
        <v>6</v>
      </c>
      <c r="EB72" s="2" t="s">
        <v>6</v>
      </c>
      <c r="EC72" s="2" t="s">
        <v>6</v>
      </c>
      <c r="ED72" s="2"/>
      <c r="EE72" s="2">
        <v>54938782</v>
      </c>
      <c r="EF72" s="2">
        <v>21</v>
      </c>
      <c r="EG72" s="2" t="s">
        <v>96</v>
      </c>
      <c r="EH72" s="2">
        <v>0</v>
      </c>
      <c r="EI72" s="2" t="s">
        <v>6</v>
      </c>
      <c r="EJ72" s="2">
        <v>2</v>
      </c>
      <c r="EK72" s="2">
        <v>500002</v>
      </c>
      <c r="EL72" s="2" t="s">
        <v>97</v>
      </c>
      <c r="EM72" s="2" t="s">
        <v>98</v>
      </c>
      <c r="EN72" s="2"/>
      <c r="EO72" s="2" t="s">
        <v>6</v>
      </c>
      <c r="EP72" s="2"/>
      <c r="EQ72" s="2">
        <v>0</v>
      </c>
      <c r="ER72" s="2">
        <v>4.6900000000000004</v>
      </c>
      <c r="ES72" s="110">
        <f>'1.Лок.смета.и.Акт'!F131</f>
        <v>4.6900000000000004</v>
      </c>
      <c r="ET72" s="2">
        <v>0</v>
      </c>
      <c r="EU72" s="2">
        <v>0</v>
      </c>
      <c r="EV72" s="2">
        <v>0</v>
      </c>
      <c r="EW72" s="2">
        <v>0</v>
      </c>
      <c r="EX72" s="2">
        <v>0</v>
      </c>
      <c r="EY72" s="2"/>
      <c r="EZ72" s="2"/>
      <c r="FA72" s="2"/>
      <c r="FB72" s="2"/>
      <c r="FC72" s="2"/>
      <c r="FD72" s="2"/>
      <c r="FE72" s="2"/>
      <c r="FF72" s="2"/>
      <c r="FG72" s="2"/>
      <c r="FH72" s="2"/>
      <c r="FI72" s="2"/>
      <c r="FJ72" s="2"/>
      <c r="FK72" s="2"/>
      <c r="FL72" s="2"/>
      <c r="FM72" s="2"/>
      <c r="FN72" s="2"/>
      <c r="FO72" s="2"/>
      <c r="FP72" s="2"/>
      <c r="FQ72" s="2">
        <v>0</v>
      </c>
      <c r="FR72" s="2">
        <f t="shared" si="84"/>
        <v>0</v>
      </c>
      <c r="FS72" s="2">
        <v>0</v>
      </c>
      <c r="FT72" s="2"/>
      <c r="FU72" s="2"/>
      <c r="FV72" s="2"/>
      <c r="FW72" s="2"/>
      <c r="FX72" s="2">
        <v>0</v>
      </c>
      <c r="FY72" s="2">
        <v>0</v>
      </c>
      <c r="FZ72" s="2"/>
      <c r="GA72" s="2" t="s">
        <v>6</v>
      </c>
      <c r="GB72" s="2"/>
      <c r="GC72" s="2"/>
      <c r="GD72" s="2">
        <v>1</v>
      </c>
      <c r="GE72" s="2"/>
      <c r="GF72" s="2">
        <v>-1608277363</v>
      </c>
      <c r="GG72" s="2">
        <v>2</v>
      </c>
      <c r="GH72" s="2">
        <v>0</v>
      </c>
      <c r="GI72" s="2">
        <v>-2</v>
      </c>
      <c r="GJ72" s="2">
        <v>0</v>
      </c>
      <c r="GK72" s="2">
        <v>0</v>
      </c>
      <c r="GL72" s="2">
        <f t="shared" si="85"/>
        <v>0</v>
      </c>
      <c r="GM72" s="2">
        <f t="shared" si="86"/>
        <v>112</v>
      </c>
      <c r="GN72" s="2">
        <f t="shared" si="87"/>
        <v>0</v>
      </c>
      <c r="GO72" s="2">
        <f t="shared" si="88"/>
        <v>112</v>
      </c>
      <c r="GP72" s="2">
        <f t="shared" si="89"/>
        <v>0</v>
      </c>
      <c r="GQ72" s="2"/>
      <c r="GR72" s="2">
        <v>0</v>
      </c>
      <c r="GS72" s="2">
        <v>3</v>
      </c>
      <c r="GT72" s="2">
        <v>0</v>
      </c>
      <c r="GU72" s="2" t="s">
        <v>6</v>
      </c>
      <c r="GV72" s="2">
        <f t="shared" si="90"/>
        <v>0</v>
      </c>
      <c r="GW72" s="2">
        <v>1</v>
      </c>
      <c r="GX72" s="2">
        <f t="shared" si="91"/>
        <v>0</v>
      </c>
      <c r="GY72" s="2"/>
      <c r="GZ72" s="2"/>
      <c r="HA72" s="2">
        <v>0</v>
      </c>
      <c r="HB72" s="2">
        <v>0</v>
      </c>
      <c r="HC72" s="2">
        <f t="shared" si="92"/>
        <v>0</v>
      </c>
      <c r="HD72" s="2"/>
      <c r="HE72" s="2" t="s">
        <v>6</v>
      </c>
      <c r="HF72" s="2" t="s">
        <v>6</v>
      </c>
      <c r="HG72" s="2"/>
      <c r="HH72" s="2"/>
      <c r="HI72" s="2"/>
      <c r="HJ72" s="2"/>
      <c r="HK72" s="2"/>
      <c r="HL72" s="2"/>
      <c r="HM72" s="2" t="s">
        <v>6</v>
      </c>
      <c r="HN72" s="2" t="s">
        <v>6</v>
      </c>
      <c r="HO72" s="2" t="s">
        <v>6</v>
      </c>
      <c r="HP72" s="2" t="s">
        <v>6</v>
      </c>
      <c r="HQ72" s="2" t="s">
        <v>6</v>
      </c>
      <c r="HR72" s="2"/>
      <c r="HS72" s="2"/>
      <c r="HT72" s="2"/>
      <c r="HU72" s="2"/>
      <c r="HV72" s="2"/>
      <c r="HW72" s="2"/>
      <c r="HX72" s="2"/>
      <c r="HY72" s="2"/>
      <c r="HZ72" s="2"/>
      <c r="IA72" s="2"/>
      <c r="IB72" s="2"/>
      <c r="IC72" s="2"/>
      <c r="ID72" s="2"/>
      <c r="IE72" s="2"/>
      <c r="IF72" s="2">
        <v>-1</v>
      </c>
      <c r="IG72" s="2"/>
      <c r="IH72" s="2"/>
      <c r="II72" s="2"/>
      <c r="IJ72" s="2"/>
      <c r="IK72" s="2">
        <v>0</v>
      </c>
      <c r="IL72" s="2"/>
      <c r="IM72" s="2"/>
      <c r="IN72" s="2"/>
      <c r="IO72" s="2"/>
      <c r="IP72" s="2"/>
      <c r="IQ72" s="2"/>
      <c r="IR72" s="2"/>
      <c r="IS72" s="2"/>
      <c r="IT72" s="2"/>
      <c r="IU72" s="2"/>
    </row>
    <row r="73" spans="1:255" x14ac:dyDescent="0.2">
      <c r="A73">
        <v>18</v>
      </c>
      <c r="B73">
        <v>1</v>
      </c>
      <c r="C73">
        <v>90</v>
      </c>
      <c r="E73" t="s">
        <v>129</v>
      </c>
      <c r="F73" t="e">
        <f>'2.Лок.смета.и.Акт'!#REF!</f>
        <v>#REF!</v>
      </c>
      <c r="G73" t="s">
        <v>93</v>
      </c>
      <c r="H73" t="s">
        <v>94</v>
      </c>
      <c r="I73">
        <f>I63*J73</f>
        <v>23.774550000000001</v>
      </c>
      <c r="J73">
        <v>5.3880000000000008</v>
      </c>
      <c r="K73">
        <v>5.3879999999999999</v>
      </c>
      <c r="O73">
        <f t="shared" si="61"/>
        <v>769</v>
      </c>
      <c r="P73">
        <f t="shared" si="62"/>
        <v>769</v>
      </c>
      <c r="Q73">
        <f t="shared" si="63"/>
        <v>0</v>
      </c>
      <c r="R73">
        <f t="shared" si="64"/>
        <v>0</v>
      </c>
      <c r="S73">
        <f t="shared" si="65"/>
        <v>0</v>
      </c>
      <c r="T73">
        <f t="shared" si="66"/>
        <v>0</v>
      </c>
      <c r="U73">
        <f t="shared" si="67"/>
        <v>0</v>
      </c>
      <c r="V73">
        <f t="shared" si="68"/>
        <v>0</v>
      </c>
      <c r="W73">
        <f t="shared" si="69"/>
        <v>0</v>
      </c>
      <c r="X73">
        <f t="shared" si="70"/>
        <v>0</v>
      </c>
      <c r="Y73">
        <f t="shared" si="71"/>
        <v>0</v>
      </c>
      <c r="AA73">
        <v>86326988</v>
      </c>
      <c r="AB73">
        <f t="shared" si="72"/>
        <v>4.28</v>
      </c>
      <c r="AC73">
        <f t="shared" si="93"/>
        <v>4.28</v>
      </c>
      <c r="AD73">
        <f>ROUND((((ET73)-(EU73))+AE73),2)</f>
        <v>0</v>
      </c>
      <c r="AE73">
        <f t="shared" si="94"/>
        <v>0</v>
      </c>
      <c r="AF73">
        <f t="shared" si="95"/>
        <v>0</v>
      </c>
      <c r="AG73">
        <f t="shared" si="73"/>
        <v>0</v>
      </c>
      <c r="AH73">
        <f t="shared" si="96"/>
        <v>0</v>
      </c>
      <c r="AI73">
        <f t="shared" si="97"/>
        <v>0</v>
      </c>
      <c r="AJ73">
        <f t="shared" si="74"/>
        <v>0.01</v>
      </c>
      <c r="AK73">
        <v>4.28</v>
      </c>
      <c r="AL73">
        <v>4.28</v>
      </c>
      <c r="AM73">
        <v>0</v>
      </c>
      <c r="AN73">
        <v>0</v>
      </c>
      <c r="AO73">
        <v>0</v>
      </c>
      <c r="AP73">
        <v>0</v>
      </c>
      <c r="AQ73">
        <v>0</v>
      </c>
      <c r="AR73">
        <v>0</v>
      </c>
      <c r="AS73">
        <v>0.01</v>
      </c>
      <c r="AT73">
        <v>0</v>
      </c>
      <c r="AU73">
        <v>0</v>
      </c>
      <c r="AV73">
        <v>1</v>
      </c>
      <c r="AW73">
        <v>1</v>
      </c>
      <c r="AZ73">
        <v>1</v>
      </c>
      <c r="BA73">
        <v>1</v>
      </c>
      <c r="BB73">
        <v>1</v>
      </c>
      <c r="BC73">
        <v>7.56</v>
      </c>
      <c r="BD73" t="s">
        <v>6</v>
      </c>
      <c r="BE73" t="s">
        <v>6</v>
      </c>
      <c r="BF73" t="s">
        <v>6</v>
      </c>
      <c r="BG73" t="s">
        <v>6</v>
      </c>
      <c r="BH73">
        <v>3</v>
      </c>
      <c r="BI73">
        <v>2</v>
      </c>
      <c r="BJ73" t="s">
        <v>95</v>
      </c>
      <c r="BM73">
        <v>500002</v>
      </c>
      <c r="BN73">
        <v>0</v>
      </c>
      <c r="BO73" t="s">
        <v>6</v>
      </c>
      <c r="BP73">
        <v>0</v>
      </c>
      <c r="BQ73">
        <v>21</v>
      </c>
      <c r="BR73">
        <v>0</v>
      </c>
      <c r="BS73">
        <v>1</v>
      </c>
      <c r="BT73">
        <v>1</v>
      </c>
      <c r="BU73">
        <v>1</v>
      </c>
      <c r="BV73">
        <v>1</v>
      </c>
      <c r="BW73">
        <v>1</v>
      </c>
      <c r="BX73">
        <v>1</v>
      </c>
      <c r="BY73" t="s">
        <v>6</v>
      </c>
      <c r="BZ73">
        <v>0</v>
      </c>
      <c r="CA73">
        <v>0</v>
      </c>
      <c r="CB73" t="s">
        <v>6</v>
      </c>
      <c r="CE73">
        <v>0</v>
      </c>
      <c r="CF73">
        <v>0</v>
      </c>
      <c r="CG73">
        <v>0</v>
      </c>
      <c r="CM73">
        <v>0</v>
      </c>
      <c r="CN73" t="s">
        <v>6</v>
      </c>
      <c r="CO73">
        <v>0</v>
      </c>
      <c r="CP73">
        <f t="shared" si="75"/>
        <v>769</v>
      </c>
      <c r="CQ73">
        <f t="shared" si="76"/>
        <v>32.3568</v>
      </c>
      <c r="CR73">
        <f t="shared" si="77"/>
        <v>0</v>
      </c>
      <c r="CS73">
        <f t="shared" si="78"/>
        <v>0</v>
      </c>
      <c r="CT73">
        <f t="shared" si="79"/>
        <v>0</v>
      </c>
      <c r="CU73">
        <f t="shared" si="80"/>
        <v>0</v>
      </c>
      <c r="CV73">
        <f t="shared" si="81"/>
        <v>0</v>
      </c>
      <c r="CW73">
        <f t="shared" si="82"/>
        <v>0</v>
      </c>
      <c r="CX73">
        <f t="shared" si="83"/>
        <v>0.01</v>
      </c>
      <c r="CY73">
        <f>(S73+R73)*(BZ73/100)</f>
        <v>0</v>
      </c>
      <c r="CZ73">
        <f>(S73+R73)*(CA73/100)</f>
        <v>0</v>
      </c>
      <c r="DC73" t="s">
        <v>6</v>
      </c>
      <c r="DD73" t="s">
        <v>6</v>
      </c>
      <c r="DE73" t="s">
        <v>6</v>
      </c>
      <c r="DF73" t="s">
        <v>6</v>
      </c>
      <c r="DG73" t="s">
        <v>6</v>
      </c>
      <c r="DH73" t="s">
        <v>6</v>
      </c>
      <c r="DI73" t="s">
        <v>6</v>
      </c>
      <c r="DJ73" t="s">
        <v>6</v>
      </c>
      <c r="DK73" t="s">
        <v>6</v>
      </c>
      <c r="DL73" t="s">
        <v>6</v>
      </c>
      <c r="DM73" t="s">
        <v>6</v>
      </c>
      <c r="DN73">
        <v>0</v>
      </c>
      <c r="DO73">
        <v>0</v>
      </c>
      <c r="DP73">
        <v>1</v>
      </c>
      <c r="DQ73">
        <v>1</v>
      </c>
      <c r="DU73">
        <v>1003</v>
      </c>
      <c r="DV73" t="s">
        <v>94</v>
      </c>
      <c r="DW73" t="e">
        <f>'2.Лок.смета.и.Акт'!#REF!</f>
        <v>#REF!</v>
      </c>
      <c r="DX73">
        <v>1</v>
      </c>
      <c r="DZ73" t="s">
        <v>6</v>
      </c>
      <c r="EA73" t="s">
        <v>6</v>
      </c>
      <c r="EB73" t="s">
        <v>6</v>
      </c>
      <c r="EC73" t="s">
        <v>6</v>
      </c>
      <c r="EE73">
        <v>54938782</v>
      </c>
      <c r="EF73">
        <v>21</v>
      </c>
      <c r="EG73" t="s">
        <v>96</v>
      </c>
      <c r="EH73">
        <v>0</v>
      </c>
      <c r="EI73" t="s">
        <v>6</v>
      </c>
      <c r="EJ73">
        <v>2</v>
      </c>
      <c r="EK73">
        <v>500002</v>
      </c>
      <c r="EL73" t="s">
        <v>97</v>
      </c>
      <c r="EM73" t="s">
        <v>98</v>
      </c>
      <c r="EO73" t="s">
        <v>6</v>
      </c>
      <c r="EQ73">
        <v>0</v>
      </c>
      <c r="ER73">
        <v>30.51</v>
      </c>
      <c r="ES73">
        <v>4.28</v>
      </c>
      <c r="ET73">
        <v>0</v>
      </c>
      <c r="EU73">
        <v>0</v>
      </c>
      <c r="EV73">
        <v>0</v>
      </c>
      <c r="EW73">
        <v>0</v>
      </c>
      <c r="EX73">
        <v>0</v>
      </c>
      <c r="EZ73">
        <v>5</v>
      </c>
      <c r="FC73">
        <v>0</v>
      </c>
      <c r="FD73">
        <v>18</v>
      </c>
      <c r="FF73">
        <v>30.51</v>
      </c>
      <c r="FQ73">
        <v>0</v>
      </c>
      <c r="FR73">
        <f t="shared" si="84"/>
        <v>0</v>
      </c>
      <c r="FS73">
        <v>0</v>
      </c>
      <c r="FX73">
        <v>0</v>
      </c>
      <c r="FY73">
        <v>0</v>
      </c>
      <c r="GA73" t="s">
        <v>99</v>
      </c>
      <c r="GD73">
        <v>1</v>
      </c>
      <c r="GF73">
        <v>-1608277363</v>
      </c>
      <c r="GG73">
        <v>2</v>
      </c>
      <c r="GH73">
        <v>3</v>
      </c>
      <c r="GI73">
        <v>5</v>
      </c>
      <c r="GJ73">
        <v>0</v>
      </c>
      <c r="GK73">
        <v>0</v>
      </c>
      <c r="GL73">
        <f t="shared" si="85"/>
        <v>0</v>
      </c>
      <c r="GM73">
        <f t="shared" si="86"/>
        <v>769</v>
      </c>
      <c r="GN73">
        <f t="shared" si="87"/>
        <v>0</v>
      </c>
      <c r="GO73">
        <f t="shared" si="88"/>
        <v>769</v>
      </c>
      <c r="GP73">
        <f t="shared" si="89"/>
        <v>0</v>
      </c>
      <c r="GR73">
        <v>1</v>
      </c>
      <c r="GS73">
        <v>1</v>
      </c>
      <c r="GT73">
        <v>0</v>
      </c>
      <c r="GU73" t="s">
        <v>6</v>
      </c>
      <c r="GV73">
        <f t="shared" si="90"/>
        <v>0</v>
      </c>
      <c r="GW73">
        <v>1</v>
      </c>
      <c r="GX73">
        <f t="shared" si="91"/>
        <v>0</v>
      </c>
      <c r="HA73">
        <v>0</v>
      </c>
      <c r="HB73">
        <v>0</v>
      </c>
      <c r="HC73">
        <f t="shared" si="92"/>
        <v>0</v>
      </c>
      <c r="HE73" t="s">
        <v>39</v>
      </c>
      <c r="HF73" t="s">
        <v>40</v>
      </c>
      <c r="HM73" t="s">
        <v>6</v>
      </c>
      <c r="HN73" t="s">
        <v>6</v>
      </c>
      <c r="HO73" t="s">
        <v>6</v>
      </c>
      <c r="HP73" t="s">
        <v>6</v>
      </c>
      <c r="HQ73" t="s">
        <v>6</v>
      </c>
      <c r="IF73">
        <v>-1</v>
      </c>
      <c r="IK73">
        <v>0</v>
      </c>
    </row>
    <row r="74" spans="1:255" x14ac:dyDescent="0.2">
      <c r="A74" s="2">
        <v>18</v>
      </c>
      <c r="B74" s="2">
        <v>1</v>
      </c>
      <c r="C74" s="2">
        <v>74</v>
      </c>
      <c r="D74" s="2"/>
      <c r="E74" s="2" t="s">
        <v>130</v>
      </c>
      <c r="F74" s="2" t="s">
        <v>101</v>
      </c>
      <c r="G74" s="2" t="s">
        <v>102</v>
      </c>
      <c r="H74" s="2" t="s">
        <v>103</v>
      </c>
      <c r="I74" s="2">
        <f>I62*J74</f>
        <v>101.4875</v>
      </c>
      <c r="J74" s="226">
        <f>'5.Ведомость_списания'!F49</f>
        <v>23</v>
      </c>
      <c r="K74" s="2">
        <v>23</v>
      </c>
      <c r="L74" s="2"/>
      <c r="M74" s="2"/>
      <c r="N74" s="2"/>
      <c r="O74" s="2">
        <f t="shared" si="61"/>
        <v>24</v>
      </c>
      <c r="P74" s="2">
        <f t="shared" si="62"/>
        <v>24</v>
      </c>
      <c r="Q74" s="2">
        <f t="shared" si="63"/>
        <v>0</v>
      </c>
      <c r="R74" s="2">
        <f t="shared" si="64"/>
        <v>0</v>
      </c>
      <c r="S74" s="2">
        <f t="shared" si="65"/>
        <v>0</v>
      </c>
      <c r="T74" s="2">
        <f t="shared" si="66"/>
        <v>0</v>
      </c>
      <c r="U74" s="2">
        <f t="shared" si="67"/>
        <v>0</v>
      </c>
      <c r="V74" s="2">
        <f t="shared" si="68"/>
        <v>0</v>
      </c>
      <c r="W74" s="2">
        <f t="shared" si="69"/>
        <v>0</v>
      </c>
      <c r="X74" s="2">
        <f t="shared" si="70"/>
        <v>0</v>
      </c>
      <c r="Y74" s="2">
        <f t="shared" si="71"/>
        <v>0</v>
      </c>
      <c r="Z74" s="2"/>
      <c r="AA74" s="2">
        <v>86326987</v>
      </c>
      <c r="AB74" s="2">
        <f t="shared" si="72"/>
        <v>0.24</v>
      </c>
      <c r="AC74" s="2">
        <f t="shared" si="93"/>
        <v>0.24</v>
      </c>
      <c r="AD74" s="2">
        <f t="shared" ref="AD74:AD79" si="98">ROUND((ET74),2)</f>
        <v>0</v>
      </c>
      <c r="AE74" s="2">
        <f t="shared" si="94"/>
        <v>0</v>
      </c>
      <c r="AF74" s="2">
        <f t="shared" si="95"/>
        <v>0</v>
      </c>
      <c r="AG74" s="2">
        <f t="shared" si="73"/>
        <v>0</v>
      </c>
      <c r="AH74" s="2">
        <f t="shared" si="96"/>
        <v>0</v>
      </c>
      <c r="AI74" s="2">
        <f t="shared" si="97"/>
        <v>0</v>
      </c>
      <c r="AJ74" s="2">
        <f t="shared" si="74"/>
        <v>0</v>
      </c>
      <c r="AK74" s="2">
        <v>0.24</v>
      </c>
      <c r="AL74" s="110">
        <f>'1.Лок.смета.и.Акт'!F133</f>
        <v>0.24</v>
      </c>
      <c r="AM74" s="2">
        <v>0</v>
      </c>
      <c r="AN74" s="2">
        <v>0</v>
      </c>
      <c r="AO74" s="2">
        <v>0</v>
      </c>
      <c r="AP74" s="2">
        <v>0</v>
      </c>
      <c r="AQ74" s="2">
        <v>0</v>
      </c>
      <c r="AR74" s="2">
        <v>0</v>
      </c>
      <c r="AS74" s="2">
        <v>0</v>
      </c>
      <c r="AT74" s="2">
        <v>0</v>
      </c>
      <c r="AU74" s="2">
        <v>0</v>
      </c>
      <c r="AV74" s="2">
        <v>1</v>
      </c>
      <c r="AW74" s="2">
        <v>1</v>
      </c>
      <c r="AX74" s="2"/>
      <c r="AY74" s="2"/>
      <c r="AZ74" s="2">
        <v>1</v>
      </c>
      <c r="BA74" s="2">
        <v>1</v>
      </c>
      <c r="BB74" s="2">
        <v>1</v>
      </c>
      <c r="BC74" s="2">
        <v>1</v>
      </c>
      <c r="BD74" s="2" t="s">
        <v>6</v>
      </c>
      <c r="BE74" s="2" t="s">
        <v>6</v>
      </c>
      <c r="BF74" s="2" t="s">
        <v>6</v>
      </c>
      <c r="BG74" s="2" t="s">
        <v>6</v>
      </c>
      <c r="BH74" s="2">
        <v>3</v>
      </c>
      <c r="BI74" s="2">
        <v>1</v>
      </c>
      <c r="BJ74" s="2" t="s">
        <v>104</v>
      </c>
      <c r="BK74" s="2"/>
      <c r="BL74" s="2"/>
      <c r="BM74" s="2">
        <v>3101</v>
      </c>
      <c r="BN74" s="2">
        <v>0</v>
      </c>
      <c r="BO74" s="2" t="s">
        <v>6</v>
      </c>
      <c r="BP74" s="2">
        <v>0</v>
      </c>
      <c r="BQ74" s="2">
        <v>0</v>
      </c>
      <c r="BR74" s="2">
        <v>0</v>
      </c>
      <c r="BS74" s="2">
        <v>1</v>
      </c>
      <c r="BT74" s="2">
        <v>1</v>
      </c>
      <c r="BU74" s="2">
        <v>1</v>
      </c>
      <c r="BV74" s="2">
        <v>1</v>
      </c>
      <c r="BW74" s="2">
        <v>1</v>
      </c>
      <c r="BX74" s="2">
        <v>1</v>
      </c>
      <c r="BY74" s="2" t="s">
        <v>6</v>
      </c>
      <c r="BZ74" s="2">
        <v>0</v>
      </c>
      <c r="CA74" s="2">
        <v>0</v>
      </c>
      <c r="CB74" s="2" t="s">
        <v>6</v>
      </c>
      <c r="CC74" s="2"/>
      <c r="CD74" s="2"/>
      <c r="CE74" s="2">
        <v>0</v>
      </c>
      <c r="CF74" s="2">
        <v>0</v>
      </c>
      <c r="CG74" s="2">
        <v>0</v>
      </c>
      <c r="CH74" s="2"/>
      <c r="CI74" s="2"/>
      <c r="CJ74" s="2"/>
      <c r="CK74" s="2"/>
      <c r="CL74" s="2"/>
      <c r="CM74" s="2">
        <v>0</v>
      </c>
      <c r="CN74" s="2" t="s">
        <v>6</v>
      </c>
      <c r="CO74" s="2">
        <v>0</v>
      </c>
      <c r="CP74" s="2">
        <f t="shared" si="75"/>
        <v>24</v>
      </c>
      <c r="CQ74" s="2">
        <f t="shared" si="76"/>
        <v>0.24</v>
      </c>
      <c r="CR74" s="2">
        <f t="shared" si="77"/>
        <v>0</v>
      </c>
      <c r="CS74" s="2">
        <f t="shared" si="78"/>
        <v>0</v>
      </c>
      <c r="CT74" s="2">
        <f t="shared" si="79"/>
        <v>0</v>
      </c>
      <c r="CU74" s="2">
        <f t="shared" si="80"/>
        <v>0</v>
      </c>
      <c r="CV74" s="2">
        <f t="shared" si="81"/>
        <v>0</v>
      </c>
      <c r="CW74" s="2">
        <f t="shared" si="82"/>
        <v>0</v>
      </c>
      <c r="CX74" s="2">
        <f t="shared" si="83"/>
        <v>0</v>
      </c>
      <c r="CY74" s="2">
        <f>0</f>
        <v>0</v>
      </c>
      <c r="CZ74" s="2">
        <f>0</f>
        <v>0</v>
      </c>
      <c r="DA74" s="2"/>
      <c r="DB74" s="2"/>
      <c r="DC74" s="2" t="s">
        <v>6</v>
      </c>
      <c r="DD74" s="2" t="s">
        <v>6</v>
      </c>
      <c r="DE74" s="2" t="s">
        <v>6</v>
      </c>
      <c r="DF74" s="2" t="s">
        <v>6</v>
      </c>
      <c r="DG74" s="2" t="s">
        <v>6</v>
      </c>
      <c r="DH74" s="2" t="s">
        <v>6</v>
      </c>
      <c r="DI74" s="2" t="s">
        <v>6</v>
      </c>
      <c r="DJ74" s="2" t="s">
        <v>6</v>
      </c>
      <c r="DK74" s="2" t="s">
        <v>6</v>
      </c>
      <c r="DL74" s="2" t="s">
        <v>6</v>
      </c>
      <c r="DM74" s="2" t="s">
        <v>6</v>
      </c>
      <c r="DN74" s="2">
        <v>0</v>
      </c>
      <c r="DO74" s="2">
        <v>0</v>
      </c>
      <c r="DP74" s="2">
        <v>1</v>
      </c>
      <c r="DQ74" s="2">
        <v>1</v>
      </c>
      <c r="DR74" s="2"/>
      <c r="DS74" s="2"/>
      <c r="DT74" s="2"/>
      <c r="DU74" s="2">
        <v>1013</v>
      </c>
      <c r="DV74" s="2" t="s">
        <v>103</v>
      </c>
      <c r="DW74" s="2" t="s">
        <v>103</v>
      </c>
      <c r="DX74" s="2">
        <v>1</v>
      </c>
      <c r="DY74" s="2"/>
      <c r="DZ74" s="2" t="s">
        <v>6</v>
      </c>
      <c r="EA74" s="2" t="s">
        <v>6</v>
      </c>
      <c r="EB74" s="2" t="s">
        <v>6</v>
      </c>
      <c r="EC74" s="2" t="s">
        <v>6</v>
      </c>
      <c r="ED74" s="2"/>
      <c r="EE74" s="2">
        <v>0</v>
      </c>
      <c r="EF74" s="2">
        <v>0</v>
      </c>
      <c r="EG74" s="2" t="s">
        <v>6</v>
      </c>
      <c r="EH74" s="2">
        <v>0</v>
      </c>
      <c r="EI74" s="2" t="s">
        <v>6</v>
      </c>
      <c r="EJ74" s="2">
        <v>0</v>
      </c>
      <c r="EK74" s="2">
        <v>3101</v>
      </c>
      <c r="EL74" s="2" t="s">
        <v>6</v>
      </c>
      <c r="EM74" s="2" t="s">
        <v>6</v>
      </c>
      <c r="EN74" s="2"/>
      <c r="EO74" s="2" t="s">
        <v>6</v>
      </c>
      <c r="EP74" s="2"/>
      <c r="EQ74" s="2">
        <v>0</v>
      </c>
      <c r="ER74" s="2">
        <v>0.24</v>
      </c>
      <c r="ES74" s="110">
        <f>'1.Лок.смета.и.Акт'!F133</f>
        <v>0.24</v>
      </c>
      <c r="ET74" s="2">
        <v>0</v>
      </c>
      <c r="EU74" s="2">
        <v>0</v>
      </c>
      <c r="EV74" s="2">
        <v>0</v>
      </c>
      <c r="EW74" s="2">
        <v>0</v>
      </c>
      <c r="EX74" s="2">
        <v>0</v>
      </c>
      <c r="EY74" s="2"/>
      <c r="EZ74" s="2"/>
      <c r="FA74" s="2"/>
      <c r="FB74" s="2"/>
      <c r="FC74" s="2"/>
      <c r="FD74" s="2"/>
      <c r="FE74" s="2"/>
      <c r="FF74" s="2"/>
      <c r="FG74" s="2"/>
      <c r="FH74" s="2"/>
      <c r="FI74" s="2"/>
      <c r="FJ74" s="2"/>
      <c r="FK74" s="2"/>
      <c r="FL74" s="2"/>
      <c r="FM74" s="2"/>
      <c r="FN74" s="2"/>
      <c r="FO74" s="2"/>
      <c r="FP74" s="2"/>
      <c r="FQ74" s="2">
        <v>0</v>
      </c>
      <c r="FR74" s="2">
        <f t="shared" si="84"/>
        <v>0</v>
      </c>
      <c r="FS74" s="2">
        <v>0</v>
      </c>
      <c r="FT74" s="2"/>
      <c r="FU74" s="2"/>
      <c r="FV74" s="2"/>
      <c r="FW74" s="2"/>
      <c r="FX74" s="2">
        <v>0</v>
      </c>
      <c r="FY74" s="2">
        <v>0</v>
      </c>
      <c r="FZ74" s="2"/>
      <c r="GA74" s="2" t="s">
        <v>6</v>
      </c>
      <c r="GB74" s="2"/>
      <c r="GC74" s="2"/>
      <c r="GD74" s="2">
        <v>1</v>
      </c>
      <c r="GE74" s="2"/>
      <c r="GF74" s="2">
        <v>-504018761</v>
      </c>
      <c r="GG74" s="2">
        <v>2</v>
      </c>
      <c r="GH74" s="2">
        <v>0</v>
      </c>
      <c r="GI74" s="2">
        <v>-2</v>
      </c>
      <c r="GJ74" s="2">
        <v>0</v>
      </c>
      <c r="GK74" s="2">
        <v>0</v>
      </c>
      <c r="GL74" s="2">
        <f t="shared" si="85"/>
        <v>0</v>
      </c>
      <c r="GM74" s="2">
        <f t="shared" si="86"/>
        <v>24</v>
      </c>
      <c r="GN74" s="2">
        <f t="shared" si="87"/>
        <v>24</v>
      </c>
      <c r="GO74" s="2">
        <f t="shared" si="88"/>
        <v>0</v>
      </c>
      <c r="GP74" s="2">
        <f t="shared" si="89"/>
        <v>0</v>
      </c>
      <c r="GQ74" s="2"/>
      <c r="GR74" s="2">
        <v>0</v>
      </c>
      <c r="GS74" s="2">
        <v>3</v>
      </c>
      <c r="GT74" s="2">
        <v>0</v>
      </c>
      <c r="GU74" s="2" t="s">
        <v>6</v>
      </c>
      <c r="GV74" s="2">
        <f t="shared" si="90"/>
        <v>0</v>
      </c>
      <c r="GW74" s="2">
        <v>1</v>
      </c>
      <c r="GX74" s="2">
        <f t="shared" si="91"/>
        <v>0</v>
      </c>
      <c r="GY74" s="2"/>
      <c r="GZ74" s="2"/>
      <c r="HA74" s="2">
        <v>0</v>
      </c>
      <c r="HB74" s="2">
        <v>0</v>
      </c>
      <c r="HC74" s="2">
        <f t="shared" si="92"/>
        <v>0</v>
      </c>
      <c r="HD74" s="2"/>
      <c r="HE74" s="2" t="s">
        <v>6</v>
      </c>
      <c r="HF74" s="2" t="s">
        <v>6</v>
      </c>
      <c r="HG74" s="2"/>
      <c r="HH74" s="2"/>
      <c r="HI74" s="2"/>
      <c r="HJ74" s="2"/>
      <c r="HK74" s="2"/>
      <c r="HL74" s="2"/>
      <c r="HM74" s="2" t="s">
        <v>6</v>
      </c>
      <c r="HN74" s="2" t="s">
        <v>6</v>
      </c>
      <c r="HO74" s="2" t="s">
        <v>6</v>
      </c>
      <c r="HP74" s="2" t="s">
        <v>6</v>
      </c>
      <c r="HQ74" s="2" t="s">
        <v>6</v>
      </c>
      <c r="HR74" s="2"/>
      <c r="HS74" s="2"/>
      <c r="HT74" s="2"/>
      <c r="HU74" s="2"/>
      <c r="HV74" s="2"/>
      <c r="HW74" s="2"/>
      <c r="HX74" s="2"/>
      <c r="HY74" s="2"/>
      <c r="HZ74" s="2"/>
      <c r="IA74" s="2"/>
      <c r="IB74" s="2"/>
      <c r="IC74" s="2"/>
      <c r="ID74" s="2"/>
      <c r="IE74" s="2"/>
      <c r="IF74" s="2">
        <v>-1</v>
      </c>
      <c r="IG74" s="2"/>
      <c r="IH74" s="2"/>
      <c r="II74" s="2"/>
      <c r="IJ74" s="2"/>
      <c r="IK74" s="2">
        <v>0</v>
      </c>
      <c r="IL74" s="2"/>
      <c r="IM74" s="2"/>
      <c r="IN74" s="2"/>
      <c r="IO74" s="2"/>
      <c r="IP74" s="2"/>
      <c r="IQ74" s="2"/>
      <c r="IR74" s="2"/>
      <c r="IS74" s="2"/>
      <c r="IT74" s="2"/>
      <c r="IU74" s="2"/>
    </row>
    <row r="75" spans="1:255" x14ac:dyDescent="0.2">
      <c r="A75">
        <v>18</v>
      </c>
      <c r="B75">
        <v>1</v>
      </c>
      <c r="C75">
        <v>87</v>
      </c>
      <c r="E75" t="s">
        <v>130</v>
      </c>
      <c r="F75" t="e">
        <f>'2.Лок.смета.и.Акт'!#REF!</f>
        <v>#REF!</v>
      </c>
      <c r="G75" t="s">
        <v>102</v>
      </c>
      <c r="H75" t="s">
        <v>103</v>
      </c>
      <c r="I75">
        <f>I63*J75</f>
        <v>101.4875</v>
      </c>
      <c r="J75">
        <v>23</v>
      </c>
      <c r="K75">
        <v>23</v>
      </c>
      <c r="O75">
        <f t="shared" si="61"/>
        <v>123</v>
      </c>
      <c r="P75">
        <f t="shared" si="62"/>
        <v>123</v>
      </c>
      <c r="Q75">
        <f t="shared" si="63"/>
        <v>0</v>
      </c>
      <c r="R75">
        <f t="shared" si="64"/>
        <v>0</v>
      </c>
      <c r="S75">
        <f t="shared" si="65"/>
        <v>0</v>
      </c>
      <c r="T75">
        <f t="shared" si="66"/>
        <v>0</v>
      </c>
      <c r="U75">
        <f t="shared" si="67"/>
        <v>0</v>
      </c>
      <c r="V75">
        <f t="shared" si="68"/>
        <v>0</v>
      </c>
      <c r="W75">
        <f t="shared" si="69"/>
        <v>0</v>
      </c>
      <c r="X75">
        <f t="shared" si="70"/>
        <v>0</v>
      </c>
      <c r="Y75">
        <f t="shared" si="71"/>
        <v>0</v>
      </c>
      <c r="AA75">
        <v>86326988</v>
      </c>
      <c r="AB75">
        <f t="shared" si="72"/>
        <v>0.16</v>
      </c>
      <c r="AC75">
        <f t="shared" si="93"/>
        <v>0.16</v>
      </c>
      <c r="AD75">
        <f t="shared" si="98"/>
        <v>0</v>
      </c>
      <c r="AE75">
        <f t="shared" si="94"/>
        <v>0</v>
      </c>
      <c r="AF75">
        <f t="shared" si="95"/>
        <v>0</v>
      </c>
      <c r="AG75">
        <f t="shared" si="73"/>
        <v>0</v>
      </c>
      <c r="AH75">
        <f t="shared" si="96"/>
        <v>0</v>
      </c>
      <c r="AI75">
        <f t="shared" si="97"/>
        <v>0</v>
      </c>
      <c r="AJ75">
        <f t="shared" si="74"/>
        <v>0</v>
      </c>
      <c r="AK75">
        <v>0.16</v>
      </c>
      <c r="AL75">
        <v>0.16</v>
      </c>
      <c r="AM75">
        <v>0</v>
      </c>
      <c r="AN75">
        <v>0</v>
      </c>
      <c r="AO75">
        <v>0</v>
      </c>
      <c r="AP75">
        <v>0</v>
      </c>
      <c r="AQ75">
        <v>0</v>
      </c>
      <c r="AR75">
        <v>0</v>
      </c>
      <c r="AS75">
        <v>0</v>
      </c>
      <c r="AT75">
        <v>0</v>
      </c>
      <c r="AU75">
        <v>0</v>
      </c>
      <c r="AV75">
        <v>1</v>
      </c>
      <c r="AW75">
        <v>1</v>
      </c>
      <c r="AZ75">
        <v>1</v>
      </c>
      <c r="BA75">
        <v>1</v>
      </c>
      <c r="BB75">
        <v>1</v>
      </c>
      <c r="BC75">
        <v>7.56</v>
      </c>
      <c r="BD75" t="s">
        <v>6</v>
      </c>
      <c r="BE75" t="s">
        <v>6</v>
      </c>
      <c r="BF75" t="s">
        <v>6</v>
      </c>
      <c r="BG75" t="s">
        <v>6</v>
      </c>
      <c r="BH75">
        <v>3</v>
      </c>
      <c r="BI75">
        <v>1</v>
      </c>
      <c r="BJ75" t="s">
        <v>104</v>
      </c>
      <c r="BM75">
        <v>3101</v>
      </c>
      <c r="BN75">
        <v>0</v>
      </c>
      <c r="BO75" t="s">
        <v>6</v>
      </c>
      <c r="BP75">
        <v>0</v>
      </c>
      <c r="BQ75">
        <v>0</v>
      </c>
      <c r="BR75">
        <v>0</v>
      </c>
      <c r="BS75">
        <v>1</v>
      </c>
      <c r="BT75">
        <v>1</v>
      </c>
      <c r="BU75">
        <v>1</v>
      </c>
      <c r="BV75">
        <v>1</v>
      </c>
      <c r="BW75">
        <v>1</v>
      </c>
      <c r="BX75">
        <v>1</v>
      </c>
      <c r="BY75" t="s">
        <v>6</v>
      </c>
      <c r="BZ75">
        <v>0</v>
      </c>
      <c r="CA75">
        <v>0</v>
      </c>
      <c r="CB75" t="s">
        <v>6</v>
      </c>
      <c r="CE75">
        <v>0</v>
      </c>
      <c r="CF75">
        <v>0</v>
      </c>
      <c r="CG75">
        <v>0</v>
      </c>
      <c r="CM75">
        <v>0</v>
      </c>
      <c r="CN75" t="s">
        <v>6</v>
      </c>
      <c r="CO75">
        <v>0</v>
      </c>
      <c r="CP75">
        <f t="shared" si="75"/>
        <v>123</v>
      </c>
      <c r="CQ75">
        <f t="shared" si="76"/>
        <v>1.2096</v>
      </c>
      <c r="CR75">
        <f t="shared" si="77"/>
        <v>0</v>
      </c>
      <c r="CS75">
        <f t="shared" si="78"/>
        <v>0</v>
      </c>
      <c r="CT75">
        <f t="shared" si="79"/>
        <v>0</v>
      </c>
      <c r="CU75">
        <f t="shared" si="80"/>
        <v>0</v>
      </c>
      <c r="CV75">
        <f t="shared" si="81"/>
        <v>0</v>
      </c>
      <c r="CW75">
        <f t="shared" si="82"/>
        <v>0</v>
      </c>
      <c r="CX75">
        <f t="shared" si="83"/>
        <v>0</v>
      </c>
      <c r="CY75">
        <f>(S75+R75)*(BZ75/100)</f>
        <v>0</v>
      </c>
      <c r="CZ75">
        <f>(S75+R75)*(CA75/100)</f>
        <v>0</v>
      </c>
      <c r="DC75" t="s">
        <v>6</v>
      </c>
      <c r="DD75" t="s">
        <v>6</v>
      </c>
      <c r="DE75" t="s">
        <v>6</v>
      </c>
      <c r="DF75" t="s">
        <v>6</v>
      </c>
      <c r="DG75" t="s">
        <v>6</v>
      </c>
      <c r="DH75" t="s">
        <v>6</v>
      </c>
      <c r="DI75" t="s">
        <v>6</v>
      </c>
      <c r="DJ75" t="s">
        <v>6</v>
      </c>
      <c r="DK75" t="s">
        <v>6</v>
      </c>
      <c r="DL75" t="s">
        <v>6</v>
      </c>
      <c r="DM75" t="s">
        <v>6</v>
      </c>
      <c r="DN75">
        <v>0</v>
      </c>
      <c r="DO75">
        <v>0</v>
      </c>
      <c r="DP75">
        <v>1</v>
      </c>
      <c r="DQ75">
        <v>1</v>
      </c>
      <c r="DU75">
        <v>1013</v>
      </c>
      <c r="DV75" t="s">
        <v>103</v>
      </c>
      <c r="DW75" t="e">
        <f>'2.Лок.смета.и.Акт'!#REF!</f>
        <v>#REF!</v>
      </c>
      <c r="DX75">
        <v>1</v>
      </c>
      <c r="DZ75" t="s">
        <v>6</v>
      </c>
      <c r="EA75" t="s">
        <v>6</v>
      </c>
      <c r="EB75" t="s">
        <v>6</v>
      </c>
      <c r="EC75" t="s">
        <v>6</v>
      </c>
      <c r="EE75">
        <v>0</v>
      </c>
      <c r="EF75">
        <v>0</v>
      </c>
      <c r="EG75" t="s">
        <v>6</v>
      </c>
      <c r="EH75">
        <v>0</v>
      </c>
      <c r="EI75" t="s">
        <v>6</v>
      </c>
      <c r="EJ75">
        <v>0</v>
      </c>
      <c r="EK75">
        <v>3101</v>
      </c>
      <c r="EL75" t="s">
        <v>6</v>
      </c>
      <c r="EM75" t="s">
        <v>6</v>
      </c>
      <c r="EO75" t="s">
        <v>6</v>
      </c>
      <c r="EQ75">
        <v>0</v>
      </c>
      <c r="ER75">
        <v>1.1299999999999999</v>
      </c>
      <c r="ES75">
        <v>0.16</v>
      </c>
      <c r="ET75">
        <v>0</v>
      </c>
      <c r="EU75">
        <v>0</v>
      </c>
      <c r="EV75">
        <v>0</v>
      </c>
      <c r="EW75">
        <v>0</v>
      </c>
      <c r="EX75">
        <v>0</v>
      </c>
      <c r="EZ75">
        <v>5</v>
      </c>
      <c r="FC75">
        <v>0</v>
      </c>
      <c r="FD75">
        <v>18</v>
      </c>
      <c r="FF75">
        <v>1.1299999999999999</v>
      </c>
      <c r="FQ75">
        <v>0</v>
      </c>
      <c r="FR75">
        <f t="shared" si="84"/>
        <v>0</v>
      </c>
      <c r="FS75">
        <v>0</v>
      </c>
      <c r="FX75">
        <v>0</v>
      </c>
      <c r="FY75">
        <v>0</v>
      </c>
      <c r="GA75" t="s">
        <v>105</v>
      </c>
      <c r="GD75">
        <v>1</v>
      </c>
      <c r="GF75">
        <v>-504018761</v>
      </c>
      <c r="GG75">
        <v>2</v>
      </c>
      <c r="GH75">
        <v>3</v>
      </c>
      <c r="GI75">
        <v>5</v>
      </c>
      <c r="GJ75">
        <v>0</v>
      </c>
      <c r="GK75">
        <v>0</v>
      </c>
      <c r="GL75">
        <f t="shared" si="85"/>
        <v>0</v>
      </c>
      <c r="GM75">
        <f t="shared" si="86"/>
        <v>123</v>
      </c>
      <c r="GN75">
        <f t="shared" si="87"/>
        <v>123</v>
      </c>
      <c r="GO75">
        <f t="shared" si="88"/>
        <v>0</v>
      </c>
      <c r="GP75">
        <f t="shared" si="89"/>
        <v>0</v>
      </c>
      <c r="GR75">
        <v>1</v>
      </c>
      <c r="GS75">
        <v>1</v>
      </c>
      <c r="GT75">
        <v>0</v>
      </c>
      <c r="GU75" t="s">
        <v>6</v>
      </c>
      <c r="GV75">
        <f t="shared" si="90"/>
        <v>0</v>
      </c>
      <c r="GW75">
        <v>1</v>
      </c>
      <c r="GX75">
        <f t="shared" si="91"/>
        <v>0</v>
      </c>
      <c r="HA75">
        <v>0</v>
      </c>
      <c r="HB75">
        <v>0</v>
      </c>
      <c r="HC75">
        <f t="shared" si="92"/>
        <v>0</v>
      </c>
      <c r="HE75" t="s">
        <v>39</v>
      </c>
      <c r="HF75" t="s">
        <v>40</v>
      </c>
      <c r="HM75" t="s">
        <v>6</v>
      </c>
      <c r="HN75" t="s">
        <v>6</v>
      </c>
      <c r="HO75" t="s">
        <v>6</v>
      </c>
      <c r="HP75" t="s">
        <v>6</v>
      </c>
      <c r="HQ75" t="s">
        <v>6</v>
      </c>
      <c r="IF75">
        <v>-1</v>
      </c>
      <c r="IK75">
        <v>0</v>
      </c>
    </row>
    <row r="76" spans="1:255" x14ac:dyDescent="0.2">
      <c r="A76" s="2">
        <v>18</v>
      </c>
      <c r="B76" s="2">
        <v>1</v>
      </c>
      <c r="C76" s="2">
        <v>72</v>
      </c>
      <c r="D76" s="2"/>
      <c r="E76" s="2" t="s">
        <v>131</v>
      </c>
      <c r="F76" s="2" t="s">
        <v>107</v>
      </c>
      <c r="G76" s="2" t="s">
        <v>108</v>
      </c>
      <c r="H76" s="2" t="s">
        <v>103</v>
      </c>
      <c r="I76" s="2">
        <f>I62*J76</f>
        <v>52.95</v>
      </c>
      <c r="J76" s="226">
        <f>'5.Ведомость_списания'!F50</f>
        <v>12.000000000000002</v>
      </c>
      <c r="K76" s="2">
        <v>12</v>
      </c>
      <c r="L76" s="2"/>
      <c r="M76" s="2"/>
      <c r="N76" s="2"/>
      <c r="O76" s="2">
        <f t="shared" si="61"/>
        <v>13</v>
      </c>
      <c r="P76" s="2">
        <f t="shared" si="62"/>
        <v>13</v>
      </c>
      <c r="Q76" s="2">
        <f t="shared" si="63"/>
        <v>0</v>
      </c>
      <c r="R76" s="2">
        <f t="shared" si="64"/>
        <v>0</v>
      </c>
      <c r="S76" s="2">
        <f t="shared" si="65"/>
        <v>0</v>
      </c>
      <c r="T76" s="2">
        <f t="shared" si="66"/>
        <v>0</v>
      </c>
      <c r="U76" s="2">
        <f t="shared" si="67"/>
        <v>0</v>
      </c>
      <c r="V76" s="2">
        <f t="shared" si="68"/>
        <v>0</v>
      </c>
      <c r="W76" s="2">
        <f t="shared" si="69"/>
        <v>0</v>
      </c>
      <c r="X76" s="2">
        <f t="shared" si="70"/>
        <v>0</v>
      </c>
      <c r="Y76" s="2">
        <f t="shared" si="71"/>
        <v>0</v>
      </c>
      <c r="Z76" s="2"/>
      <c r="AA76" s="2">
        <v>86326987</v>
      </c>
      <c r="AB76" s="2">
        <f t="shared" si="72"/>
        <v>0.24</v>
      </c>
      <c r="AC76" s="2">
        <f t="shared" si="93"/>
        <v>0.24</v>
      </c>
      <c r="AD76" s="2">
        <f t="shared" si="98"/>
        <v>0</v>
      </c>
      <c r="AE76" s="2">
        <f t="shared" si="94"/>
        <v>0</v>
      </c>
      <c r="AF76" s="2">
        <f t="shared" si="95"/>
        <v>0</v>
      </c>
      <c r="AG76" s="2">
        <f t="shared" si="73"/>
        <v>0</v>
      </c>
      <c r="AH76" s="2">
        <f t="shared" si="96"/>
        <v>0</v>
      </c>
      <c r="AI76" s="2">
        <f t="shared" si="97"/>
        <v>0</v>
      </c>
      <c r="AJ76" s="2">
        <f t="shared" si="74"/>
        <v>0</v>
      </c>
      <c r="AK76" s="2">
        <v>0.24</v>
      </c>
      <c r="AL76" s="110">
        <f>'1.Лок.смета.и.Акт'!F135</f>
        <v>0.24</v>
      </c>
      <c r="AM76" s="2">
        <v>0</v>
      </c>
      <c r="AN76" s="2">
        <v>0</v>
      </c>
      <c r="AO76" s="2">
        <v>0</v>
      </c>
      <c r="AP76" s="2">
        <v>0</v>
      </c>
      <c r="AQ76" s="2">
        <v>0</v>
      </c>
      <c r="AR76" s="2">
        <v>0</v>
      </c>
      <c r="AS76" s="2">
        <v>0</v>
      </c>
      <c r="AT76" s="2">
        <v>0</v>
      </c>
      <c r="AU76" s="2">
        <v>0</v>
      </c>
      <c r="AV76" s="2">
        <v>1</v>
      </c>
      <c r="AW76" s="2">
        <v>1</v>
      </c>
      <c r="AX76" s="2"/>
      <c r="AY76" s="2"/>
      <c r="AZ76" s="2">
        <v>1</v>
      </c>
      <c r="BA76" s="2">
        <v>1</v>
      </c>
      <c r="BB76" s="2">
        <v>1</v>
      </c>
      <c r="BC76" s="2">
        <v>1</v>
      </c>
      <c r="BD76" s="2" t="s">
        <v>6</v>
      </c>
      <c r="BE76" s="2" t="s">
        <v>6</v>
      </c>
      <c r="BF76" s="2" t="s">
        <v>6</v>
      </c>
      <c r="BG76" s="2" t="s">
        <v>6</v>
      </c>
      <c r="BH76" s="2">
        <v>3</v>
      </c>
      <c r="BI76" s="2">
        <v>1</v>
      </c>
      <c r="BJ76" s="2" t="s">
        <v>109</v>
      </c>
      <c r="BK76" s="2"/>
      <c r="BL76" s="2"/>
      <c r="BM76" s="2">
        <v>3101</v>
      </c>
      <c r="BN76" s="2">
        <v>0</v>
      </c>
      <c r="BO76" s="2" t="s">
        <v>6</v>
      </c>
      <c r="BP76" s="2">
        <v>0</v>
      </c>
      <c r="BQ76" s="2">
        <v>0</v>
      </c>
      <c r="BR76" s="2">
        <v>0</v>
      </c>
      <c r="BS76" s="2">
        <v>1</v>
      </c>
      <c r="BT76" s="2">
        <v>1</v>
      </c>
      <c r="BU76" s="2">
        <v>1</v>
      </c>
      <c r="BV76" s="2">
        <v>1</v>
      </c>
      <c r="BW76" s="2">
        <v>1</v>
      </c>
      <c r="BX76" s="2">
        <v>1</v>
      </c>
      <c r="BY76" s="2" t="s">
        <v>6</v>
      </c>
      <c r="BZ76" s="2">
        <v>0</v>
      </c>
      <c r="CA76" s="2">
        <v>0</v>
      </c>
      <c r="CB76" s="2" t="s">
        <v>6</v>
      </c>
      <c r="CC76" s="2"/>
      <c r="CD76" s="2"/>
      <c r="CE76" s="2">
        <v>0</v>
      </c>
      <c r="CF76" s="2">
        <v>0</v>
      </c>
      <c r="CG76" s="2">
        <v>0</v>
      </c>
      <c r="CH76" s="2"/>
      <c r="CI76" s="2"/>
      <c r="CJ76" s="2"/>
      <c r="CK76" s="2"/>
      <c r="CL76" s="2"/>
      <c r="CM76" s="2">
        <v>0</v>
      </c>
      <c r="CN76" s="2" t="s">
        <v>6</v>
      </c>
      <c r="CO76" s="2">
        <v>0</v>
      </c>
      <c r="CP76" s="2">
        <f t="shared" si="75"/>
        <v>13</v>
      </c>
      <c r="CQ76" s="2">
        <f t="shared" si="76"/>
        <v>0.24</v>
      </c>
      <c r="CR76" s="2">
        <f t="shared" si="77"/>
        <v>0</v>
      </c>
      <c r="CS76" s="2">
        <f t="shared" si="78"/>
        <v>0</v>
      </c>
      <c r="CT76" s="2">
        <f t="shared" si="79"/>
        <v>0</v>
      </c>
      <c r="CU76" s="2">
        <f t="shared" si="80"/>
        <v>0</v>
      </c>
      <c r="CV76" s="2">
        <f t="shared" si="81"/>
        <v>0</v>
      </c>
      <c r="CW76" s="2">
        <f t="shared" si="82"/>
        <v>0</v>
      </c>
      <c r="CX76" s="2">
        <f t="shared" si="83"/>
        <v>0</v>
      </c>
      <c r="CY76" s="2">
        <f>0</f>
        <v>0</v>
      </c>
      <c r="CZ76" s="2">
        <f>0</f>
        <v>0</v>
      </c>
      <c r="DA76" s="2"/>
      <c r="DB76" s="2"/>
      <c r="DC76" s="2" t="s">
        <v>6</v>
      </c>
      <c r="DD76" s="2" t="s">
        <v>6</v>
      </c>
      <c r="DE76" s="2" t="s">
        <v>6</v>
      </c>
      <c r="DF76" s="2" t="s">
        <v>6</v>
      </c>
      <c r="DG76" s="2" t="s">
        <v>6</v>
      </c>
      <c r="DH76" s="2" t="s">
        <v>6</v>
      </c>
      <c r="DI76" s="2" t="s">
        <v>6</v>
      </c>
      <c r="DJ76" s="2" t="s">
        <v>6</v>
      </c>
      <c r="DK76" s="2" t="s">
        <v>6</v>
      </c>
      <c r="DL76" s="2" t="s">
        <v>6</v>
      </c>
      <c r="DM76" s="2" t="s">
        <v>6</v>
      </c>
      <c r="DN76" s="2">
        <v>0</v>
      </c>
      <c r="DO76" s="2">
        <v>0</v>
      </c>
      <c r="DP76" s="2">
        <v>1</v>
      </c>
      <c r="DQ76" s="2">
        <v>1</v>
      </c>
      <c r="DR76" s="2"/>
      <c r="DS76" s="2"/>
      <c r="DT76" s="2"/>
      <c r="DU76" s="2">
        <v>1013</v>
      </c>
      <c r="DV76" s="2" t="s">
        <v>103</v>
      </c>
      <c r="DW76" s="2" t="s">
        <v>103</v>
      </c>
      <c r="DX76" s="2">
        <v>1</v>
      </c>
      <c r="DY76" s="2"/>
      <c r="DZ76" s="2" t="s">
        <v>6</v>
      </c>
      <c r="EA76" s="2" t="s">
        <v>6</v>
      </c>
      <c r="EB76" s="2" t="s">
        <v>6</v>
      </c>
      <c r="EC76" s="2" t="s">
        <v>6</v>
      </c>
      <c r="ED76" s="2"/>
      <c r="EE76" s="2">
        <v>0</v>
      </c>
      <c r="EF76" s="2">
        <v>0</v>
      </c>
      <c r="EG76" s="2" t="s">
        <v>6</v>
      </c>
      <c r="EH76" s="2">
        <v>0</v>
      </c>
      <c r="EI76" s="2" t="s">
        <v>6</v>
      </c>
      <c r="EJ76" s="2">
        <v>0</v>
      </c>
      <c r="EK76" s="2">
        <v>3101</v>
      </c>
      <c r="EL76" s="2" t="s">
        <v>6</v>
      </c>
      <c r="EM76" s="2" t="s">
        <v>6</v>
      </c>
      <c r="EN76" s="2"/>
      <c r="EO76" s="2" t="s">
        <v>6</v>
      </c>
      <c r="EP76" s="2"/>
      <c r="EQ76" s="2">
        <v>0</v>
      </c>
      <c r="ER76" s="2">
        <v>0.24</v>
      </c>
      <c r="ES76" s="110">
        <f>'1.Лок.смета.и.Акт'!F135</f>
        <v>0.24</v>
      </c>
      <c r="ET76" s="2">
        <v>0</v>
      </c>
      <c r="EU76" s="2">
        <v>0</v>
      </c>
      <c r="EV76" s="2">
        <v>0</v>
      </c>
      <c r="EW76" s="2">
        <v>0</v>
      </c>
      <c r="EX76" s="2">
        <v>0</v>
      </c>
      <c r="EY76" s="2"/>
      <c r="EZ76" s="2"/>
      <c r="FA76" s="2"/>
      <c r="FB76" s="2"/>
      <c r="FC76" s="2"/>
      <c r="FD76" s="2"/>
      <c r="FE76" s="2"/>
      <c r="FF76" s="2"/>
      <c r="FG76" s="2"/>
      <c r="FH76" s="2"/>
      <c r="FI76" s="2"/>
      <c r="FJ76" s="2"/>
      <c r="FK76" s="2"/>
      <c r="FL76" s="2"/>
      <c r="FM76" s="2"/>
      <c r="FN76" s="2"/>
      <c r="FO76" s="2"/>
      <c r="FP76" s="2"/>
      <c r="FQ76" s="2">
        <v>0</v>
      </c>
      <c r="FR76" s="2">
        <f t="shared" si="84"/>
        <v>0</v>
      </c>
      <c r="FS76" s="2">
        <v>0</v>
      </c>
      <c r="FT76" s="2"/>
      <c r="FU76" s="2"/>
      <c r="FV76" s="2"/>
      <c r="FW76" s="2"/>
      <c r="FX76" s="2">
        <v>0</v>
      </c>
      <c r="FY76" s="2">
        <v>0</v>
      </c>
      <c r="FZ76" s="2"/>
      <c r="GA76" s="2" t="s">
        <v>6</v>
      </c>
      <c r="GB76" s="2"/>
      <c r="GC76" s="2"/>
      <c r="GD76" s="2">
        <v>1</v>
      </c>
      <c r="GE76" s="2"/>
      <c r="GF76" s="2">
        <v>-1648273723</v>
      </c>
      <c r="GG76" s="2">
        <v>2</v>
      </c>
      <c r="GH76" s="2">
        <v>1</v>
      </c>
      <c r="GI76" s="2">
        <v>-2</v>
      </c>
      <c r="GJ76" s="2">
        <v>0</v>
      </c>
      <c r="GK76" s="2">
        <v>0</v>
      </c>
      <c r="GL76" s="2">
        <f t="shared" si="85"/>
        <v>0</v>
      </c>
      <c r="GM76" s="2">
        <f t="shared" si="86"/>
        <v>13</v>
      </c>
      <c r="GN76" s="2">
        <f t="shared" si="87"/>
        <v>13</v>
      </c>
      <c r="GO76" s="2">
        <f t="shared" si="88"/>
        <v>0</v>
      </c>
      <c r="GP76" s="2">
        <f t="shared" si="89"/>
        <v>0</v>
      </c>
      <c r="GQ76" s="2"/>
      <c r="GR76" s="2">
        <v>0</v>
      </c>
      <c r="GS76" s="2">
        <v>3</v>
      </c>
      <c r="GT76" s="2">
        <v>0</v>
      </c>
      <c r="GU76" s="2" t="s">
        <v>6</v>
      </c>
      <c r="GV76" s="2">
        <f t="shared" si="90"/>
        <v>0</v>
      </c>
      <c r="GW76" s="2">
        <v>1</v>
      </c>
      <c r="GX76" s="2">
        <f t="shared" si="91"/>
        <v>0</v>
      </c>
      <c r="GY76" s="2"/>
      <c r="GZ76" s="2"/>
      <c r="HA76" s="2">
        <v>0</v>
      </c>
      <c r="HB76" s="2">
        <v>0</v>
      </c>
      <c r="HC76" s="2">
        <f t="shared" si="92"/>
        <v>0</v>
      </c>
      <c r="HD76" s="2"/>
      <c r="HE76" s="2" t="s">
        <v>6</v>
      </c>
      <c r="HF76" s="2" t="s">
        <v>6</v>
      </c>
      <c r="HG76" s="2"/>
      <c r="HH76" s="2"/>
      <c r="HI76" s="2"/>
      <c r="HJ76" s="2"/>
      <c r="HK76" s="2"/>
      <c r="HL76" s="2"/>
      <c r="HM76" s="2" t="s">
        <v>6</v>
      </c>
      <c r="HN76" s="2" t="s">
        <v>6</v>
      </c>
      <c r="HO76" s="2" t="s">
        <v>6</v>
      </c>
      <c r="HP76" s="2" t="s">
        <v>6</v>
      </c>
      <c r="HQ76" s="2" t="s">
        <v>6</v>
      </c>
      <c r="HR76" s="2"/>
      <c r="HS76" s="2"/>
      <c r="HT76" s="2"/>
      <c r="HU76" s="2"/>
      <c r="HV76" s="2"/>
      <c r="HW76" s="2"/>
      <c r="HX76" s="2"/>
      <c r="HY76" s="2"/>
      <c r="HZ76" s="2"/>
      <c r="IA76" s="2"/>
      <c r="IB76" s="2"/>
      <c r="IC76" s="2"/>
      <c r="ID76" s="2"/>
      <c r="IE76" s="2"/>
      <c r="IF76" s="2">
        <v>-1</v>
      </c>
      <c r="IG76" s="2"/>
      <c r="IH76" s="2"/>
      <c r="II76" s="2"/>
      <c r="IJ76" s="2"/>
      <c r="IK76" s="2">
        <v>0</v>
      </c>
      <c r="IL76" s="2"/>
      <c r="IM76" s="2"/>
      <c r="IN76" s="2"/>
      <c r="IO76" s="2"/>
      <c r="IP76" s="2"/>
      <c r="IQ76" s="2"/>
      <c r="IR76" s="2"/>
      <c r="IS76" s="2"/>
      <c r="IT76" s="2"/>
      <c r="IU76" s="2"/>
    </row>
    <row r="77" spans="1:255" x14ac:dyDescent="0.2">
      <c r="A77">
        <v>18</v>
      </c>
      <c r="B77">
        <v>1</v>
      </c>
      <c r="C77">
        <v>85</v>
      </c>
      <c r="E77" t="s">
        <v>131</v>
      </c>
      <c r="F77" t="e">
        <f>'2.Лок.смета.и.Акт'!#REF!</f>
        <v>#REF!</v>
      </c>
      <c r="G77" t="s">
        <v>108</v>
      </c>
      <c r="H77" t="s">
        <v>103</v>
      </c>
      <c r="I77">
        <f>I63*J77</f>
        <v>52.95</v>
      </c>
      <c r="J77">
        <v>12.000000000000002</v>
      </c>
      <c r="K77">
        <v>12</v>
      </c>
      <c r="O77">
        <f t="shared" si="61"/>
        <v>32</v>
      </c>
      <c r="P77">
        <f t="shared" si="62"/>
        <v>32</v>
      </c>
      <c r="Q77">
        <f t="shared" si="63"/>
        <v>0</v>
      </c>
      <c r="R77">
        <f t="shared" si="64"/>
        <v>0</v>
      </c>
      <c r="S77">
        <f t="shared" si="65"/>
        <v>0</v>
      </c>
      <c r="T77">
        <f t="shared" si="66"/>
        <v>0</v>
      </c>
      <c r="U77">
        <f t="shared" si="67"/>
        <v>0</v>
      </c>
      <c r="V77">
        <f t="shared" si="68"/>
        <v>0</v>
      </c>
      <c r="W77">
        <f t="shared" si="69"/>
        <v>0</v>
      </c>
      <c r="X77">
        <f t="shared" si="70"/>
        <v>0</v>
      </c>
      <c r="Y77">
        <f t="shared" si="71"/>
        <v>0</v>
      </c>
      <c r="AA77">
        <v>86326988</v>
      </c>
      <c r="AB77">
        <f t="shared" si="72"/>
        <v>0.08</v>
      </c>
      <c r="AC77">
        <f t="shared" si="93"/>
        <v>0.08</v>
      </c>
      <c r="AD77">
        <f t="shared" si="98"/>
        <v>0</v>
      </c>
      <c r="AE77">
        <f t="shared" si="94"/>
        <v>0</v>
      </c>
      <c r="AF77">
        <f t="shared" si="95"/>
        <v>0</v>
      </c>
      <c r="AG77">
        <f t="shared" si="73"/>
        <v>0</v>
      </c>
      <c r="AH77">
        <f t="shared" si="96"/>
        <v>0</v>
      </c>
      <c r="AI77">
        <f t="shared" si="97"/>
        <v>0</v>
      </c>
      <c r="AJ77">
        <f t="shared" si="74"/>
        <v>0</v>
      </c>
      <c r="AK77">
        <v>0.08</v>
      </c>
      <c r="AL77">
        <v>0.08</v>
      </c>
      <c r="AM77">
        <v>0</v>
      </c>
      <c r="AN77">
        <v>0</v>
      </c>
      <c r="AO77">
        <v>0</v>
      </c>
      <c r="AP77">
        <v>0</v>
      </c>
      <c r="AQ77">
        <v>0</v>
      </c>
      <c r="AR77">
        <v>0</v>
      </c>
      <c r="AS77">
        <v>0</v>
      </c>
      <c r="AT77">
        <v>0</v>
      </c>
      <c r="AU77">
        <v>0</v>
      </c>
      <c r="AV77">
        <v>1</v>
      </c>
      <c r="AW77">
        <v>1</v>
      </c>
      <c r="AZ77">
        <v>1</v>
      </c>
      <c r="BA77">
        <v>1</v>
      </c>
      <c r="BB77">
        <v>1</v>
      </c>
      <c r="BC77">
        <v>7.56</v>
      </c>
      <c r="BD77" t="s">
        <v>6</v>
      </c>
      <c r="BE77" t="s">
        <v>6</v>
      </c>
      <c r="BF77" t="s">
        <v>6</v>
      </c>
      <c r="BG77" t="s">
        <v>6</v>
      </c>
      <c r="BH77">
        <v>3</v>
      </c>
      <c r="BI77">
        <v>1</v>
      </c>
      <c r="BJ77" t="s">
        <v>109</v>
      </c>
      <c r="BM77">
        <v>3101</v>
      </c>
      <c r="BN77">
        <v>0</v>
      </c>
      <c r="BO77" t="s">
        <v>6</v>
      </c>
      <c r="BP77">
        <v>0</v>
      </c>
      <c r="BQ77">
        <v>0</v>
      </c>
      <c r="BR77">
        <v>0</v>
      </c>
      <c r="BS77">
        <v>1</v>
      </c>
      <c r="BT77">
        <v>1</v>
      </c>
      <c r="BU77">
        <v>1</v>
      </c>
      <c r="BV77">
        <v>1</v>
      </c>
      <c r="BW77">
        <v>1</v>
      </c>
      <c r="BX77">
        <v>1</v>
      </c>
      <c r="BY77" t="s">
        <v>6</v>
      </c>
      <c r="BZ77">
        <v>0</v>
      </c>
      <c r="CA77">
        <v>0</v>
      </c>
      <c r="CB77" t="s">
        <v>6</v>
      </c>
      <c r="CE77">
        <v>0</v>
      </c>
      <c r="CF77">
        <v>0</v>
      </c>
      <c r="CG77">
        <v>0</v>
      </c>
      <c r="CM77">
        <v>0</v>
      </c>
      <c r="CN77" t="s">
        <v>6</v>
      </c>
      <c r="CO77">
        <v>0</v>
      </c>
      <c r="CP77">
        <f t="shared" si="75"/>
        <v>32</v>
      </c>
      <c r="CQ77">
        <f t="shared" si="76"/>
        <v>0.6048</v>
      </c>
      <c r="CR77">
        <f t="shared" si="77"/>
        <v>0</v>
      </c>
      <c r="CS77">
        <f t="shared" si="78"/>
        <v>0</v>
      </c>
      <c r="CT77">
        <f t="shared" si="79"/>
        <v>0</v>
      </c>
      <c r="CU77">
        <f t="shared" si="80"/>
        <v>0</v>
      </c>
      <c r="CV77">
        <f t="shared" si="81"/>
        <v>0</v>
      </c>
      <c r="CW77">
        <f t="shared" si="82"/>
        <v>0</v>
      </c>
      <c r="CX77">
        <f t="shared" si="83"/>
        <v>0</v>
      </c>
      <c r="CY77">
        <f>(S77+R77)*(BZ77/100)</f>
        <v>0</v>
      </c>
      <c r="CZ77">
        <f>(S77+R77)*(CA77/100)</f>
        <v>0</v>
      </c>
      <c r="DC77" t="s">
        <v>6</v>
      </c>
      <c r="DD77" t="s">
        <v>6</v>
      </c>
      <c r="DE77" t="s">
        <v>6</v>
      </c>
      <c r="DF77" t="s">
        <v>6</v>
      </c>
      <c r="DG77" t="s">
        <v>6</v>
      </c>
      <c r="DH77" t="s">
        <v>6</v>
      </c>
      <c r="DI77" t="s">
        <v>6</v>
      </c>
      <c r="DJ77" t="s">
        <v>6</v>
      </c>
      <c r="DK77" t="s">
        <v>6</v>
      </c>
      <c r="DL77" t="s">
        <v>6</v>
      </c>
      <c r="DM77" t="s">
        <v>6</v>
      </c>
      <c r="DN77">
        <v>0</v>
      </c>
      <c r="DO77">
        <v>0</v>
      </c>
      <c r="DP77">
        <v>1</v>
      </c>
      <c r="DQ77">
        <v>1</v>
      </c>
      <c r="DU77">
        <v>1013</v>
      </c>
      <c r="DV77" t="s">
        <v>103</v>
      </c>
      <c r="DW77" t="e">
        <f>'2.Лок.смета.и.Акт'!#REF!</f>
        <v>#REF!</v>
      </c>
      <c r="DX77">
        <v>1</v>
      </c>
      <c r="DZ77" t="s">
        <v>6</v>
      </c>
      <c r="EA77" t="s">
        <v>6</v>
      </c>
      <c r="EB77" t="s">
        <v>6</v>
      </c>
      <c r="EC77" t="s">
        <v>6</v>
      </c>
      <c r="EE77">
        <v>0</v>
      </c>
      <c r="EF77">
        <v>0</v>
      </c>
      <c r="EG77" t="s">
        <v>6</v>
      </c>
      <c r="EH77">
        <v>0</v>
      </c>
      <c r="EI77" t="s">
        <v>6</v>
      </c>
      <c r="EJ77">
        <v>0</v>
      </c>
      <c r="EK77">
        <v>3101</v>
      </c>
      <c r="EL77" t="s">
        <v>6</v>
      </c>
      <c r="EM77" t="s">
        <v>6</v>
      </c>
      <c r="EO77" t="s">
        <v>6</v>
      </c>
      <c r="EQ77">
        <v>0</v>
      </c>
      <c r="ER77">
        <v>0.62</v>
      </c>
      <c r="ES77">
        <v>0.08</v>
      </c>
      <c r="ET77">
        <v>0</v>
      </c>
      <c r="EU77">
        <v>0</v>
      </c>
      <c r="EV77">
        <v>0</v>
      </c>
      <c r="EW77">
        <v>0</v>
      </c>
      <c r="EX77">
        <v>0</v>
      </c>
      <c r="EZ77">
        <v>5</v>
      </c>
      <c r="FC77">
        <v>0</v>
      </c>
      <c r="FD77">
        <v>18</v>
      </c>
      <c r="FF77">
        <v>0.62</v>
      </c>
      <c r="FQ77">
        <v>0</v>
      </c>
      <c r="FR77">
        <f t="shared" si="84"/>
        <v>0</v>
      </c>
      <c r="FS77">
        <v>0</v>
      </c>
      <c r="FX77">
        <v>0</v>
      </c>
      <c r="FY77">
        <v>0</v>
      </c>
      <c r="GA77" t="s">
        <v>110</v>
      </c>
      <c r="GD77">
        <v>1</v>
      </c>
      <c r="GF77">
        <v>-1648273723</v>
      </c>
      <c r="GG77">
        <v>2</v>
      </c>
      <c r="GH77">
        <v>3</v>
      </c>
      <c r="GI77">
        <v>5</v>
      </c>
      <c r="GJ77">
        <v>0</v>
      </c>
      <c r="GK77">
        <v>0</v>
      </c>
      <c r="GL77">
        <f t="shared" si="85"/>
        <v>0</v>
      </c>
      <c r="GM77">
        <f t="shared" si="86"/>
        <v>32</v>
      </c>
      <c r="GN77">
        <f t="shared" si="87"/>
        <v>32</v>
      </c>
      <c r="GO77">
        <f t="shared" si="88"/>
        <v>0</v>
      </c>
      <c r="GP77">
        <f t="shared" si="89"/>
        <v>0</v>
      </c>
      <c r="GR77">
        <v>1</v>
      </c>
      <c r="GS77">
        <v>1</v>
      </c>
      <c r="GT77">
        <v>0</v>
      </c>
      <c r="GU77" t="s">
        <v>6</v>
      </c>
      <c r="GV77">
        <f t="shared" si="90"/>
        <v>0</v>
      </c>
      <c r="GW77">
        <v>1</v>
      </c>
      <c r="GX77">
        <f t="shared" si="91"/>
        <v>0</v>
      </c>
      <c r="HA77">
        <v>0</v>
      </c>
      <c r="HB77">
        <v>0</v>
      </c>
      <c r="HC77">
        <f t="shared" si="92"/>
        <v>0</v>
      </c>
      <c r="HE77" t="s">
        <v>39</v>
      </c>
      <c r="HF77" t="s">
        <v>40</v>
      </c>
      <c r="HM77" t="s">
        <v>6</v>
      </c>
      <c r="HN77" t="s">
        <v>6</v>
      </c>
      <c r="HO77" t="s">
        <v>6</v>
      </c>
      <c r="HP77" t="s">
        <v>6</v>
      </c>
      <c r="HQ77" t="s">
        <v>6</v>
      </c>
      <c r="IF77">
        <v>-1</v>
      </c>
      <c r="IK77">
        <v>0</v>
      </c>
    </row>
    <row r="78" spans="1:255" x14ac:dyDescent="0.2">
      <c r="A78" s="2">
        <v>18</v>
      </c>
      <c r="B78" s="2">
        <v>1</v>
      </c>
      <c r="C78" s="2">
        <v>73</v>
      </c>
      <c r="D78" s="2"/>
      <c r="E78" s="2" t="s">
        <v>132</v>
      </c>
      <c r="F78" s="2" t="s">
        <v>112</v>
      </c>
      <c r="G78" s="2" t="s">
        <v>113</v>
      </c>
      <c r="H78" s="2" t="s">
        <v>103</v>
      </c>
      <c r="I78" s="2">
        <f>I62*J78</f>
        <v>52.95</v>
      </c>
      <c r="J78" s="226">
        <f>'5.Ведомость_списания'!F51</f>
        <v>12.000000000000002</v>
      </c>
      <c r="K78" s="2">
        <v>12</v>
      </c>
      <c r="L78" s="2"/>
      <c r="M78" s="2"/>
      <c r="N78" s="2"/>
      <c r="O78" s="2">
        <f t="shared" si="61"/>
        <v>16</v>
      </c>
      <c r="P78" s="2">
        <f t="shared" si="62"/>
        <v>16</v>
      </c>
      <c r="Q78" s="2">
        <f t="shared" si="63"/>
        <v>0</v>
      </c>
      <c r="R78" s="2">
        <f t="shared" si="64"/>
        <v>0</v>
      </c>
      <c r="S78" s="2">
        <f t="shared" si="65"/>
        <v>0</v>
      </c>
      <c r="T78" s="2">
        <f t="shared" si="66"/>
        <v>0</v>
      </c>
      <c r="U78" s="2">
        <f t="shared" si="67"/>
        <v>0</v>
      </c>
      <c r="V78" s="2">
        <f t="shared" si="68"/>
        <v>0</v>
      </c>
      <c r="W78" s="2">
        <f t="shared" si="69"/>
        <v>0</v>
      </c>
      <c r="X78" s="2">
        <f t="shared" si="70"/>
        <v>0</v>
      </c>
      <c r="Y78" s="2">
        <f t="shared" si="71"/>
        <v>0</v>
      </c>
      <c r="Z78" s="2"/>
      <c r="AA78" s="2">
        <v>86326987</v>
      </c>
      <c r="AB78" s="2">
        <f t="shared" si="72"/>
        <v>0.3</v>
      </c>
      <c r="AC78" s="2">
        <f t="shared" si="93"/>
        <v>0.3</v>
      </c>
      <c r="AD78" s="2">
        <f t="shared" si="98"/>
        <v>0</v>
      </c>
      <c r="AE78" s="2">
        <f t="shared" si="94"/>
        <v>0</v>
      </c>
      <c r="AF78" s="2">
        <f t="shared" si="95"/>
        <v>0</v>
      </c>
      <c r="AG78" s="2">
        <f t="shared" si="73"/>
        <v>0</v>
      </c>
      <c r="AH78" s="2">
        <f t="shared" si="96"/>
        <v>0</v>
      </c>
      <c r="AI78" s="2">
        <f t="shared" si="97"/>
        <v>0</v>
      </c>
      <c r="AJ78" s="2">
        <f t="shared" si="74"/>
        <v>0</v>
      </c>
      <c r="AK78" s="2">
        <v>0.3</v>
      </c>
      <c r="AL78" s="110">
        <f>'1.Лок.смета.и.Акт'!F137</f>
        <v>0.3</v>
      </c>
      <c r="AM78" s="2">
        <v>0</v>
      </c>
      <c r="AN78" s="2">
        <v>0</v>
      </c>
      <c r="AO78" s="2">
        <v>0</v>
      </c>
      <c r="AP78" s="2">
        <v>0</v>
      </c>
      <c r="AQ78" s="2">
        <v>0</v>
      </c>
      <c r="AR78" s="2">
        <v>0</v>
      </c>
      <c r="AS78" s="2">
        <v>0</v>
      </c>
      <c r="AT78" s="2">
        <v>0</v>
      </c>
      <c r="AU78" s="2">
        <v>0</v>
      </c>
      <c r="AV78" s="2">
        <v>1</v>
      </c>
      <c r="AW78" s="2">
        <v>1</v>
      </c>
      <c r="AX78" s="2"/>
      <c r="AY78" s="2"/>
      <c r="AZ78" s="2">
        <v>1</v>
      </c>
      <c r="BA78" s="2">
        <v>1</v>
      </c>
      <c r="BB78" s="2">
        <v>1</v>
      </c>
      <c r="BC78" s="2">
        <v>1</v>
      </c>
      <c r="BD78" s="2" t="s">
        <v>6</v>
      </c>
      <c r="BE78" s="2" t="s">
        <v>6</v>
      </c>
      <c r="BF78" s="2" t="s">
        <v>6</v>
      </c>
      <c r="BG78" s="2" t="s">
        <v>6</v>
      </c>
      <c r="BH78" s="2">
        <v>3</v>
      </c>
      <c r="BI78" s="2">
        <v>1</v>
      </c>
      <c r="BJ78" s="2" t="s">
        <v>114</v>
      </c>
      <c r="BK78" s="2"/>
      <c r="BL78" s="2"/>
      <c r="BM78" s="2">
        <v>3101</v>
      </c>
      <c r="BN78" s="2">
        <v>0</v>
      </c>
      <c r="BO78" s="2" t="s">
        <v>6</v>
      </c>
      <c r="BP78" s="2">
        <v>0</v>
      </c>
      <c r="BQ78" s="2">
        <v>0</v>
      </c>
      <c r="BR78" s="2">
        <v>0</v>
      </c>
      <c r="BS78" s="2">
        <v>1</v>
      </c>
      <c r="BT78" s="2">
        <v>1</v>
      </c>
      <c r="BU78" s="2">
        <v>1</v>
      </c>
      <c r="BV78" s="2">
        <v>1</v>
      </c>
      <c r="BW78" s="2">
        <v>1</v>
      </c>
      <c r="BX78" s="2">
        <v>1</v>
      </c>
      <c r="BY78" s="2" t="s">
        <v>6</v>
      </c>
      <c r="BZ78" s="2">
        <v>0</v>
      </c>
      <c r="CA78" s="2">
        <v>0</v>
      </c>
      <c r="CB78" s="2" t="s">
        <v>6</v>
      </c>
      <c r="CC78" s="2"/>
      <c r="CD78" s="2"/>
      <c r="CE78" s="2">
        <v>0</v>
      </c>
      <c r="CF78" s="2">
        <v>0</v>
      </c>
      <c r="CG78" s="2">
        <v>0</v>
      </c>
      <c r="CH78" s="2"/>
      <c r="CI78" s="2"/>
      <c r="CJ78" s="2"/>
      <c r="CK78" s="2"/>
      <c r="CL78" s="2"/>
      <c r="CM78" s="2">
        <v>0</v>
      </c>
      <c r="CN78" s="2" t="s">
        <v>6</v>
      </c>
      <c r="CO78" s="2">
        <v>0</v>
      </c>
      <c r="CP78" s="2">
        <f t="shared" si="75"/>
        <v>16</v>
      </c>
      <c r="CQ78" s="2">
        <f t="shared" si="76"/>
        <v>0.3</v>
      </c>
      <c r="CR78" s="2">
        <f t="shared" si="77"/>
        <v>0</v>
      </c>
      <c r="CS78" s="2">
        <f t="shared" si="78"/>
        <v>0</v>
      </c>
      <c r="CT78" s="2">
        <f t="shared" si="79"/>
        <v>0</v>
      </c>
      <c r="CU78" s="2">
        <f t="shared" si="80"/>
        <v>0</v>
      </c>
      <c r="CV78" s="2">
        <f t="shared" si="81"/>
        <v>0</v>
      </c>
      <c r="CW78" s="2">
        <f t="shared" si="82"/>
        <v>0</v>
      </c>
      <c r="CX78" s="2">
        <f t="shared" si="83"/>
        <v>0</v>
      </c>
      <c r="CY78" s="2">
        <f>0</f>
        <v>0</v>
      </c>
      <c r="CZ78" s="2">
        <f>0</f>
        <v>0</v>
      </c>
      <c r="DA78" s="2"/>
      <c r="DB78" s="2"/>
      <c r="DC78" s="2" t="s">
        <v>6</v>
      </c>
      <c r="DD78" s="2" t="s">
        <v>6</v>
      </c>
      <c r="DE78" s="2" t="s">
        <v>6</v>
      </c>
      <c r="DF78" s="2" t="s">
        <v>6</v>
      </c>
      <c r="DG78" s="2" t="s">
        <v>6</v>
      </c>
      <c r="DH78" s="2" t="s">
        <v>6</v>
      </c>
      <c r="DI78" s="2" t="s">
        <v>6</v>
      </c>
      <c r="DJ78" s="2" t="s">
        <v>6</v>
      </c>
      <c r="DK78" s="2" t="s">
        <v>6</v>
      </c>
      <c r="DL78" s="2" t="s">
        <v>6</v>
      </c>
      <c r="DM78" s="2" t="s">
        <v>6</v>
      </c>
      <c r="DN78" s="2">
        <v>0</v>
      </c>
      <c r="DO78" s="2">
        <v>0</v>
      </c>
      <c r="DP78" s="2">
        <v>1</v>
      </c>
      <c r="DQ78" s="2">
        <v>1</v>
      </c>
      <c r="DR78" s="2"/>
      <c r="DS78" s="2"/>
      <c r="DT78" s="2"/>
      <c r="DU78" s="2">
        <v>1013</v>
      </c>
      <c r="DV78" s="2" t="s">
        <v>103</v>
      </c>
      <c r="DW78" s="2" t="s">
        <v>103</v>
      </c>
      <c r="DX78" s="2">
        <v>1</v>
      </c>
      <c r="DY78" s="2"/>
      <c r="DZ78" s="2" t="s">
        <v>6</v>
      </c>
      <c r="EA78" s="2" t="s">
        <v>6</v>
      </c>
      <c r="EB78" s="2" t="s">
        <v>6</v>
      </c>
      <c r="EC78" s="2" t="s">
        <v>6</v>
      </c>
      <c r="ED78" s="2"/>
      <c r="EE78" s="2">
        <v>0</v>
      </c>
      <c r="EF78" s="2">
        <v>0</v>
      </c>
      <c r="EG78" s="2" t="s">
        <v>6</v>
      </c>
      <c r="EH78" s="2">
        <v>0</v>
      </c>
      <c r="EI78" s="2" t="s">
        <v>6</v>
      </c>
      <c r="EJ78" s="2">
        <v>0</v>
      </c>
      <c r="EK78" s="2">
        <v>3101</v>
      </c>
      <c r="EL78" s="2" t="s">
        <v>6</v>
      </c>
      <c r="EM78" s="2" t="s">
        <v>6</v>
      </c>
      <c r="EN78" s="2"/>
      <c r="EO78" s="2" t="s">
        <v>6</v>
      </c>
      <c r="EP78" s="2"/>
      <c r="EQ78" s="2">
        <v>0</v>
      </c>
      <c r="ER78" s="2">
        <v>0.3</v>
      </c>
      <c r="ES78" s="110">
        <f>'1.Лок.смета.и.Акт'!F137</f>
        <v>0.3</v>
      </c>
      <c r="ET78" s="2">
        <v>0</v>
      </c>
      <c r="EU78" s="2">
        <v>0</v>
      </c>
      <c r="EV78" s="2">
        <v>0</v>
      </c>
      <c r="EW78" s="2">
        <v>0</v>
      </c>
      <c r="EX78" s="2">
        <v>0</v>
      </c>
      <c r="EY78" s="2"/>
      <c r="EZ78" s="2"/>
      <c r="FA78" s="2"/>
      <c r="FB78" s="2"/>
      <c r="FC78" s="2"/>
      <c r="FD78" s="2"/>
      <c r="FE78" s="2"/>
      <c r="FF78" s="2"/>
      <c r="FG78" s="2"/>
      <c r="FH78" s="2"/>
      <c r="FI78" s="2"/>
      <c r="FJ78" s="2"/>
      <c r="FK78" s="2"/>
      <c r="FL78" s="2"/>
      <c r="FM78" s="2"/>
      <c r="FN78" s="2"/>
      <c r="FO78" s="2"/>
      <c r="FP78" s="2"/>
      <c r="FQ78" s="2">
        <v>0</v>
      </c>
      <c r="FR78" s="2">
        <f t="shared" si="84"/>
        <v>0</v>
      </c>
      <c r="FS78" s="2">
        <v>0</v>
      </c>
      <c r="FT78" s="2"/>
      <c r="FU78" s="2"/>
      <c r="FV78" s="2"/>
      <c r="FW78" s="2"/>
      <c r="FX78" s="2">
        <v>0</v>
      </c>
      <c r="FY78" s="2">
        <v>0</v>
      </c>
      <c r="FZ78" s="2"/>
      <c r="GA78" s="2" t="s">
        <v>6</v>
      </c>
      <c r="GB78" s="2"/>
      <c r="GC78" s="2"/>
      <c r="GD78" s="2">
        <v>1</v>
      </c>
      <c r="GE78" s="2"/>
      <c r="GF78" s="2">
        <v>1900494391</v>
      </c>
      <c r="GG78" s="2">
        <v>2</v>
      </c>
      <c r="GH78" s="2">
        <v>0</v>
      </c>
      <c r="GI78" s="2">
        <v>-2</v>
      </c>
      <c r="GJ78" s="2">
        <v>0</v>
      </c>
      <c r="GK78" s="2">
        <v>0</v>
      </c>
      <c r="GL78" s="2">
        <f t="shared" si="85"/>
        <v>0</v>
      </c>
      <c r="GM78" s="2">
        <f t="shared" si="86"/>
        <v>16</v>
      </c>
      <c r="GN78" s="2">
        <f t="shared" si="87"/>
        <v>16</v>
      </c>
      <c r="GO78" s="2">
        <f t="shared" si="88"/>
        <v>0</v>
      </c>
      <c r="GP78" s="2">
        <f t="shared" si="89"/>
        <v>0</v>
      </c>
      <c r="GQ78" s="2"/>
      <c r="GR78" s="2">
        <v>0</v>
      </c>
      <c r="GS78" s="2">
        <v>3</v>
      </c>
      <c r="GT78" s="2">
        <v>0</v>
      </c>
      <c r="GU78" s="2" t="s">
        <v>6</v>
      </c>
      <c r="GV78" s="2">
        <f t="shared" si="90"/>
        <v>0</v>
      </c>
      <c r="GW78" s="2">
        <v>1</v>
      </c>
      <c r="GX78" s="2">
        <f t="shared" si="91"/>
        <v>0</v>
      </c>
      <c r="GY78" s="2"/>
      <c r="GZ78" s="2"/>
      <c r="HA78" s="2">
        <v>0</v>
      </c>
      <c r="HB78" s="2">
        <v>0</v>
      </c>
      <c r="HC78" s="2">
        <f t="shared" si="92"/>
        <v>0</v>
      </c>
      <c r="HD78" s="2"/>
      <c r="HE78" s="2" t="s">
        <v>6</v>
      </c>
      <c r="HF78" s="2" t="s">
        <v>6</v>
      </c>
      <c r="HG78" s="2"/>
      <c r="HH78" s="2"/>
      <c r="HI78" s="2"/>
      <c r="HJ78" s="2"/>
      <c r="HK78" s="2"/>
      <c r="HL78" s="2"/>
      <c r="HM78" s="2" t="s">
        <v>6</v>
      </c>
      <c r="HN78" s="2" t="s">
        <v>6</v>
      </c>
      <c r="HO78" s="2" t="s">
        <v>6</v>
      </c>
      <c r="HP78" s="2" t="s">
        <v>6</v>
      </c>
      <c r="HQ78" s="2" t="s">
        <v>6</v>
      </c>
      <c r="HR78" s="2"/>
      <c r="HS78" s="2"/>
      <c r="HT78" s="2"/>
      <c r="HU78" s="2"/>
      <c r="HV78" s="2"/>
      <c r="HW78" s="2"/>
      <c r="HX78" s="2"/>
      <c r="HY78" s="2"/>
      <c r="HZ78" s="2"/>
      <c r="IA78" s="2"/>
      <c r="IB78" s="2"/>
      <c r="IC78" s="2"/>
      <c r="ID78" s="2"/>
      <c r="IE78" s="2"/>
      <c r="IF78" s="2">
        <v>-1</v>
      </c>
      <c r="IG78" s="2"/>
      <c r="IH78" s="2"/>
      <c r="II78" s="2"/>
      <c r="IJ78" s="2"/>
      <c r="IK78" s="2">
        <v>0</v>
      </c>
      <c r="IL78" s="2"/>
      <c r="IM78" s="2"/>
      <c r="IN78" s="2"/>
      <c r="IO78" s="2"/>
      <c r="IP78" s="2"/>
      <c r="IQ78" s="2"/>
      <c r="IR78" s="2"/>
      <c r="IS78" s="2"/>
      <c r="IT78" s="2"/>
      <c r="IU78" s="2"/>
    </row>
    <row r="79" spans="1:255" x14ac:dyDescent="0.2">
      <c r="A79">
        <v>18</v>
      </c>
      <c r="B79">
        <v>1</v>
      </c>
      <c r="C79">
        <v>86</v>
      </c>
      <c r="E79" t="s">
        <v>132</v>
      </c>
      <c r="F79" t="e">
        <f>'2.Лок.смета.и.Акт'!#REF!</f>
        <v>#REF!</v>
      </c>
      <c r="G79" t="s">
        <v>113</v>
      </c>
      <c r="H79" t="s">
        <v>103</v>
      </c>
      <c r="I79">
        <f>I63*J79</f>
        <v>52.95</v>
      </c>
      <c r="J79">
        <v>12.000000000000002</v>
      </c>
      <c r="K79">
        <v>12</v>
      </c>
      <c r="O79">
        <f t="shared" si="61"/>
        <v>56</v>
      </c>
      <c r="P79">
        <f t="shared" si="62"/>
        <v>56</v>
      </c>
      <c r="Q79">
        <f t="shared" si="63"/>
        <v>0</v>
      </c>
      <c r="R79">
        <f t="shared" si="64"/>
        <v>0</v>
      </c>
      <c r="S79">
        <f t="shared" si="65"/>
        <v>0</v>
      </c>
      <c r="T79">
        <f t="shared" si="66"/>
        <v>0</v>
      </c>
      <c r="U79">
        <f t="shared" si="67"/>
        <v>0</v>
      </c>
      <c r="V79">
        <f t="shared" si="68"/>
        <v>0</v>
      </c>
      <c r="W79">
        <f t="shared" si="69"/>
        <v>0</v>
      </c>
      <c r="X79">
        <f t="shared" si="70"/>
        <v>0</v>
      </c>
      <c r="Y79">
        <f t="shared" si="71"/>
        <v>0</v>
      </c>
      <c r="AA79">
        <v>86326988</v>
      </c>
      <c r="AB79">
        <f t="shared" si="72"/>
        <v>0.14000000000000001</v>
      </c>
      <c r="AC79">
        <f t="shared" si="93"/>
        <v>0.14000000000000001</v>
      </c>
      <c r="AD79">
        <f t="shared" si="98"/>
        <v>0</v>
      </c>
      <c r="AE79">
        <f t="shared" si="94"/>
        <v>0</v>
      </c>
      <c r="AF79">
        <f t="shared" si="95"/>
        <v>0</v>
      </c>
      <c r="AG79">
        <f t="shared" si="73"/>
        <v>0</v>
      </c>
      <c r="AH79">
        <f t="shared" si="96"/>
        <v>0</v>
      </c>
      <c r="AI79">
        <f t="shared" si="97"/>
        <v>0</v>
      </c>
      <c r="AJ79">
        <f t="shared" si="74"/>
        <v>0</v>
      </c>
      <c r="AK79">
        <v>0.14000000000000001</v>
      </c>
      <c r="AL79">
        <v>0.14000000000000001</v>
      </c>
      <c r="AM79">
        <v>0</v>
      </c>
      <c r="AN79">
        <v>0</v>
      </c>
      <c r="AO79">
        <v>0</v>
      </c>
      <c r="AP79">
        <v>0</v>
      </c>
      <c r="AQ79">
        <v>0</v>
      </c>
      <c r="AR79">
        <v>0</v>
      </c>
      <c r="AS79">
        <v>0</v>
      </c>
      <c r="AT79">
        <v>0</v>
      </c>
      <c r="AU79">
        <v>0</v>
      </c>
      <c r="AV79">
        <v>1</v>
      </c>
      <c r="AW79">
        <v>1</v>
      </c>
      <c r="AZ79">
        <v>1</v>
      </c>
      <c r="BA79">
        <v>1</v>
      </c>
      <c r="BB79">
        <v>1</v>
      </c>
      <c r="BC79">
        <v>7.56</v>
      </c>
      <c r="BD79" t="s">
        <v>6</v>
      </c>
      <c r="BE79" t="s">
        <v>6</v>
      </c>
      <c r="BF79" t="s">
        <v>6</v>
      </c>
      <c r="BG79" t="s">
        <v>6</v>
      </c>
      <c r="BH79">
        <v>3</v>
      </c>
      <c r="BI79">
        <v>1</v>
      </c>
      <c r="BJ79" t="s">
        <v>114</v>
      </c>
      <c r="BM79">
        <v>3101</v>
      </c>
      <c r="BN79">
        <v>0</v>
      </c>
      <c r="BO79" t="s">
        <v>6</v>
      </c>
      <c r="BP79">
        <v>0</v>
      </c>
      <c r="BQ79">
        <v>0</v>
      </c>
      <c r="BR79">
        <v>0</v>
      </c>
      <c r="BS79">
        <v>1</v>
      </c>
      <c r="BT79">
        <v>1</v>
      </c>
      <c r="BU79">
        <v>1</v>
      </c>
      <c r="BV79">
        <v>1</v>
      </c>
      <c r="BW79">
        <v>1</v>
      </c>
      <c r="BX79">
        <v>1</v>
      </c>
      <c r="BY79" t="s">
        <v>6</v>
      </c>
      <c r="BZ79">
        <v>0</v>
      </c>
      <c r="CA79">
        <v>0</v>
      </c>
      <c r="CB79" t="s">
        <v>6</v>
      </c>
      <c r="CE79">
        <v>0</v>
      </c>
      <c r="CF79">
        <v>0</v>
      </c>
      <c r="CG79">
        <v>0</v>
      </c>
      <c r="CM79">
        <v>0</v>
      </c>
      <c r="CN79" t="s">
        <v>6</v>
      </c>
      <c r="CO79">
        <v>0</v>
      </c>
      <c r="CP79">
        <f t="shared" si="75"/>
        <v>56</v>
      </c>
      <c r="CQ79">
        <f t="shared" si="76"/>
        <v>1.0584</v>
      </c>
      <c r="CR79">
        <f t="shared" si="77"/>
        <v>0</v>
      </c>
      <c r="CS79">
        <f t="shared" si="78"/>
        <v>0</v>
      </c>
      <c r="CT79">
        <f t="shared" si="79"/>
        <v>0</v>
      </c>
      <c r="CU79">
        <f t="shared" si="80"/>
        <v>0</v>
      </c>
      <c r="CV79">
        <f t="shared" si="81"/>
        <v>0</v>
      </c>
      <c r="CW79">
        <f t="shared" si="82"/>
        <v>0</v>
      </c>
      <c r="CX79">
        <f t="shared" si="83"/>
        <v>0</v>
      </c>
      <c r="CY79">
        <f>(S79+R79)*(BZ79/100)</f>
        <v>0</v>
      </c>
      <c r="CZ79">
        <f>(S79+R79)*(CA79/100)</f>
        <v>0</v>
      </c>
      <c r="DC79" t="s">
        <v>6</v>
      </c>
      <c r="DD79" t="s">
        <v>6</v>
      </c>
      <c r="DE79" t="s">
        <v>6</v>
      </c>
      <c r="DF79" t="s">
        <v>6</v>
      </c>
      <c r="DG79" t="s">
        <v>6</v>
      </c>
      <c r="DH79" t="s">
        <v>6</v>
      </c>
      <c r="DI79" t="s">
        <v>6</v>
      </c>
      <c r="DJ79" t="s">
        <v>6</v>
      </c>
      <c r="DK79" t="s">
        <v>6</v>
      </c>
      <c r="DL79" t="s">
        <v>6</v>
      </c>
      <c r="DM79" t="s">
        <v>6</v>
      </c>
      <c r="DN79">
        <v>0</v>
      </c>
      <c r="DO79">
        <v>0</v>
      </c>
      <c r="DP79">
        <v>1</v>
      </c>
      <c r="DQ79">
        <v>1</v>
      </c>
      <c r="DU79">
        <v>1013</v>
      </c>
      <c r="DV79" t="s">
        <v>103</v>
      </c>
      <c r="DW79" t="e">
        <f>'2.Лок.смета.и.Акт'!#REF!</f>
        <v>#REF!</v>
      </c>
      <c r="DX79">
        <v>1</v>
      </c>
      <c r="DZ79" t="s">
        <v>6</v>
      </c>
      <c r="EA79" t="s">
        <v>6</v>
      </c>
      <c r="EB79" t="s">
        <v>6</v>
      </c>
      <c r="EC79" t="s">
        <v>6</v>
      </c>
      <c r="EE79">
        <v>0</v>
      </c>
      <c r="EF79">
        <v>0</v>
      </c>
      <c r="EG79" t="s">
        <v>6</v>
      </c>
      <c r="EH79">
        <v>0</v>
      </c>
      <c r="EI79" t="s">
        <v>6</v>
      </c>
      <c r="EJ79">
        <v>0</v>
      </c>
      <c r="EK79">
        <v>3101</v>
      </c>
      <c r="EL79" t="s">
        <v>6</v>
      </c>
      <c r="EM79" t="s">
        <v>6</v>
      </c>
      <c r="EO79" t="s">
        <v>6</v>
      </c>
      <c r="EQ79">
        <v>0</v>
      </c>
      <c r="ER79">
        <v>1.02</v>
      </c>
      <c r="ES79">
        <v>0.14000000000000001</v>
      </c>
      <c r="ET79">
        <v>0</v>
      </c>
      <c r="EU79">
        <v>0</v>
      </c>
      <c r="EV79">
        <v>0</v>
      </c>
      <c r="EW79">
        <v>0</v>
      </c>
      <c r="EX79">
        <v>0</v>
      </c>
      <c r="EZ79">
        <v>5</v>
      </c>
      <c r="FC79">
        <v>0</v>
      </c>
      <c r="FD79">
        <v>18</v>
      </c>
      <c r="FF79">
        <v>1.02</v>
      </c>
      <c r="FQ79">
        <v>0</v>
      </c>
      <c r="FR79">
        <f t="shared" si="84"/>
        <v>0</v>
      </c>
      <c r="FS79">
        <v>0</v>
      </c>
      <c r="FX79">
        <v>0</v>
      </c>
      <c r="FY79">
        <v>0</v>
      </c>
      <c r="GA79" t="s">
        <v>115</v>
      </c>
      <c r="GD79">
        <v>1</v>
      </c>
      <c r="GF79">
        <v>1900494391</v>
      </c>
      <c r="GG79">
        <v>2</v>
      </c>
      <c r="GH79">
        <v>3</v>
      </c>
      <c r="GI79">
        <v>5</v>
      </c>
      <c r="GJ79">
        <v>0</v>
      </c>
      <c r="GK79">
        <v>0</v>
      </c>
      <c r="GL79">
        <f t="shared" si="85"/>
        <v>0</v>
      </c>
      <c r="GM79">
        <f t="shared" si="86"/>
        <v>56</v>
      </c>
      <c r="GN79">
        <f t="shared" si="87"/>
        <v>56</v>
      </c>
      <c r="GO79">
        <f t="shared" si="88"/>
        <v>0</v>
      </c>
      <c r="GP79">
        <f t="shared" si="89"/>
        <v>0</v>
      </c>
      <c r="GR79">
        <v>1</v>
      </c>
      <c r="GS79">
        <v>1</v>
      </c>
      <c r="GT79">
        <v>0</v>
      </c>
      <c r="GU79" t="s">
        <v>6</v>
      </c>
      <c r="GV79">
        <f t="shared" si="90"/>
        <v>0</v>
      </c>
      <c r="GW79">
        <v>1</v>
      </c>
      <c r="GX79">
        <f t="shared" si="91"/>
        <v>0</v>
      </c>
      <c r="HA79">
        <v>0</v>
      </c>
      <c r="HB79">
        <v>0</v>
      </c>
      <c r="HC79">
        <f t="shared" si="92"/>
        <v>0</v>
      </c>
      <c r="HE79" t="s">
        <v>39</v>
      </c>
      <c r="HF79" t="s">
        <v>40</v>
      </c>
      <c r="HM79" t="s">
        <v>6</v>
      </c>
      <c r="HN79" t="s">
        <v>6</v>
      </c>
      <c r="HO79" t="s">
        <v>6</v>
      </c>
      <c r="HP79" t="s">
        <v>6</v>
      </c>
      <c r="HQ79" t="s">
        <v>6</v>
      </c>
      <c r="IF79">
        <v>-1</v>
      </c>
      <c r="IK79">
        <v>0</v>
      </c>
    </row>
    <row r="80" spans="1:255" x14ac:dyDescent="0.2">
      <c r="A80" s="2">
        <v>18</v>
      </c>
      <c r="B80" s="2">
        <v>1</v>
      </c>
      <c r="C80" s="2">
        <v>78</v>
      </c>
      <c r="D80" s="2"/>
      <c r="E80" s="2" t="s">
        <v>133</v>
      </c>
      <c r="F80" s="2" t="s">
        <v>117</v>
      </c>
      <c r="G80" s="2" t="s">
        <v>118</v>
      </c>
      <c r="H80" s="2" t="s">
        <v>33</v>
      </c>
      <c r="I80" s="2">
        <f>I62*J80</f>
        <v>4.1962500000000003E-3</v>
      </c>
      <c r="J80" s="226">
        <f>'5.Ведомость_списания'!F52</f>
        <v>9.5099150141643072E-4</v>
      </c>
      <c r="K80" s="2">
        <v>9.5100000000000002E-4</v>
      </c>
      <c r="L80" s="2"/>
      <c r="M80" s="2"/>
      <c r="N80" s="2"/>
      <c r="O80" s="2">
        <f t="shared" si="61"/>
        <v>45</v>
      </c>
      <c r="P80" s="2">
        <f t="shared" si="62"/>
        <v>45</v>
      </c>
      <c r="Q80" s="2">
        <f t="shared" si="63"/>
        <v>0</v>
      </c>
      <c r="R80" s="2">
        <f t="shared" si="64"/>
        <v>0</v>
      </c>
      <c r="S80" s="2">
        <f t="shared" si="65"/>
        <v>0</v>
      </c>
      <c r="T80" s="2">
        <f t="shared" si="66"/>
        <v>0</v>
      </c>
      <c r="U80" s="2">
        <f t="shared" si="67"/>
        <v>0</v>
      </c>
      <c r="V80" s="2">
        <f t="shared" si="68"/>
        <v>0</v>
      </c>
      <c r="W80" s="2">
        <f t="shared" si="69"/>
        <v>0</v>
      </c>
      <c r="X80" s="2">
        <f t="shared" si="70"/>
        <v>0</v>
      </c>
      <c r="Y80" s="2">
        <f t="shared" si="71"/>
        <v>0</v>
      </c>
      <c r="Z80" s="2"/>
      <c r="AA80" s="2">
        <v>86326987</v>
      </c>
      <c r="AB80" s="2">
        <f t="shared" si="72"/>
        <v>10633.86</v>
      </c>
      <c r="AC80" s="2">
        <f t="shared" si="93"/>
        <v>10633.86</v>
      </c>
      <c r="AD80" s="2">
        <f>ROUND((((ET80)-(EU80))+AE80),2)</f>
        <v>0</v>
      </c>
      <c r="AE80" s="2">
        <f t="shared" si="94"/>
        <v>0</v>
      </c>
      <c r="AF80" s="2">
        <f t="shared" si="95"/>
        <v>0</v>
      </c>
      <c r="AG80" s="2">
        <f t="shared" si="73"/>
        <v>0</v>
      </c>
      <c r="AH80" s="2">
        <f t="shared" si="96"/>
        <v>0</v>
      </c>
      <c r="AI80" s="2">
        <f t="shared" si="97"/>
        <v>0</v>
      </c>
      <c r="AJ80" s="2">
        <f t="shared" si="74"/>
        <v>0</v>
      </c>
      <c r="AK80" s="2">
        <v>10633.86</v>
      </c>
      <c r="AL80" s="110">
        <f>'1.Лок.смета.и.Акт'!F139</f>
        <v>10633.86</v>
      </c>
      <c r="AM80" s="2">
        <v>0</v>
      </c>
      <c r="AN80" s="2">
        <v>0</v>
      </c>
      <c r="AO80" s="2">
        <v>0</v>
      </c>
      <c r="AP80" s="2">
        <v>0</v>
      </c>
      <c r="AQ80" s="2">
        <v>0</v>
      </c>
      <c r="AR80" s="2">
        <v>0</v>
      </c>
      <c r="AS80" s="2">
        <v>0</v>
      </c>
      <c r="AT80" s="2">
        <v>0</v>
      </c>
      <c r="AU80" s="2">
        <v>0</v>
      </c>
      <c r="AV80" s="2">
        <v>1</v>
      </c>
      <c r="AW80" s="2">
        <v>1</v>
      </c>
      <c r="AX80" s="2"/>
      <c r="AY80" s="2"/>
      <c r="AZ80" s="2">
        <v>1</v>
      </c>
      <c r="BA80" s="2">
        <v>1</v>
      </c>
      <c r="BB80" s="2">
        <v>1</v>
      </c>
      <c r="BC80" s="2">
        <v>1</v>
      </c>
      <c r="BD80" s="2" t="s">
        <v>6</v>
      </c>
      <c r="BE80" s="2" t="s">
        <v>6</v>
      </c>
      <c r="BF80" s="2" t="s">
        <v>6</v>
      </c>
      <c r="BG80" s="2" t="s">
        <v>6</v>
      </c>
      <c r="BH80" s="2">
        <v>3</v>
      </c>
      <c r="BI80" s="2">
        <v>1</v>
      </c>
      <c r="BJ80" s="2" t="s">
        <v>119</v>
      </c>
      <c r="BK80" s="2"/>
      <c r="BL80" s="2"/>
      <c r="BM80" s="2">
        <v>500003</v>
      </c>
      <c r="BN80" s="2">
        <v>0</v>
      </c>
      <c r="BO80" s="2" t="s">
        <v>6</v>
      </c>
      <c r="BP80" s="2">
        <v>0</v>
      </c>
      <c r="BQ80" s="2">
        <v>22</v>
      </c>
      <c r="BR80" s="2">
        <v>0</v>
      </c>
      <c r="BS80" s="2">
        <v>1</v>
      </c>
      <c r="BT80" s="2">
        <v>1</v>
      </c>
      <c r="BU80" s="2">
        <v>1</v>
      </c>
      <c r="BV80" s="2">
        <v>1</v>
      </c>
      <c r="BW80" s="2">
        <v>1</v>
      </c>
      <c r="BX80" s="2">
        <v>1</v>
      </c>
      <c r="BY80" s="2" t="s">
        <v>6</v>
      </c>
      <c r="BZ80" s="2">
        <v>0</v>
      </c>
      <c r="CA80" s="2">
        <v>0</v>
      </c>
      <c r="CB80" s="2" t="s">
        <v>6</v>
      </c>
      <c r="CC80" s="2"/>
      <c r="CD80" s="2"/>
      <c r="CE80" s="2">
        <v>0</v>
      </c>
      <c r="CF80" s="2">
        <v>0</v>
      </c>
      <c r="CG80" s="2">
        <v>0</v>
      </c>
      <c r="CH80" s="2"/>
      <c r="CI80" s="2"/>
      <c r="CJ80" s="2"/>
      <c r="CK80" s="2"/>
      <c r="CL80" s="2"/>
      <c r="CM80" s="2">
        <v>0</v>
      </c>
      <c r="CN80" s="2" t="s">
        <v>6</v>
      </c>
      <c r="CO80" s="2">
        <v>0</v>
      </c>
      <c r="CP80" s="2">
        <f t="shared" si="75"/>
        <v>45</v>
      </c>
      <c r="CQ80" s="2">
        <f t="shared" si="76"/>
        <v>10633.86</v>
      </c>
      <c r="CR80" s="2">
        <f t="shared" si="77"/>
        <v>0</v>
      </c>
      <c r="CS80" s="2">
        <f t="shared" si="78"/>
        <v>0</v>
      </c>
      <c r="CT80" s="2">
        <f t="shared" si="79"/>
        <v>0</v>
      </c>
      <c r="CU80" s="2">
        <f t="shared" si="80"/>
        <v>0</v>
      </c>
      <c r="CV80" s="2">
        <f t="shared" si="81"/>
        <v>0</v>
      </c>
      <c r="CW80" s="2">
        <f t="shared" si="82"/>
        <v>0</v>
      </c>
      <c r="CX80" s="2">
        <f t="shared" si="83"/>
        <v>0</v>
      </c>
      <c r="CY80" s="2">
        <f>(((S80+(R80*IF(0,0,1)))*AT80)/100)</f>
        <v>0</v>
      </c>
      <c r="CZ80" s="2">
        <f>(((S80+(R80*IF(0,0,1)))*AU80)/100)</f>
        <v>0</v>
      </c>
      <c r="DA80" s="2"/>
      <c r="DB80" s="2"/>
      <c r="DC80" s="2" t="s">
        <v>6</v>
      </c>
      <c r="DD80" s="2" t="s">
        <v>6</v>
      </c>
      <c r="DE80" s="2" t="s">
        <v>6</v>
      </c>
      <c r="DF80" s="2" t="s">
        <v>6</v>
      </c>
      <c r="DG80" s="2" t="s">
        <v>6</v>
      </c>
      <c r="DH80" s="2" t="s">
        <v>6</v>
      </c>
      <c r="DI80" s="2" t="s">
        <v>6</v>
      </c>
      <c r="DJ80" s="2" t="s">
        <v>6</v>
      </c>
      <c r="DK80" s="2" t="s">
        <v>6</v>
      </c>
      <c r="DL80" s="2" t="s">
        <v>6</v>
      </c>
      <c r="DM80" s="2" t="s">
        <v>6</v>
      </c>
      <c r="DN80" s="2">
        <v>0</v>
      </c>
      <c r="DO80" s="2">
        <v>0</v>
      </c>
      <c r="DP80" s="2">
        <v>1</v>
      </c>
      <c r="DQ80" s="2">
        <v>1</v>
      </c>
      <c r="DR80" s="2"/>
      <c r="DS80" s="2"/>
      <c r="DT80" s="2"/>
      <c r="DU80" s="2">
        <v>1009</v>
      </c>
      <c r="DV80" s="2" t="s">
        <v>33</v>
      </c>
      <c r="DW80" s="2" t="s">
        <v>33</v>
      </c>
      <c r="DX80" s="2">
        <v>1000</v>
      </c>
      <c r="DY80" s="2"/>
      <c r="DZ80" s="2" t="s">
        <v>6</v>
      </c>
      <c r="EA80" s="2" t="s">
        <v>6</v>
      </c>
      <c r="EB80" s="2" t="s">
        <v>6</v>
      </c>
      <c r="EC80" s="2" t="s">
        <v>6</v>
      </c>
      <c r="ED80" s="2"/>
      <c r="EE80" s="2">
        <v>54938783</v>
      </c>
      <c r="EF80" s="2">
        <v>22</v>
      </c>
      <c r="EG80" s="2" t="s">
        <v>57</v>
      </c>
      <c r="EH80" s="2">
        <v>0</v>
      </c>
      <c r="EI80" s="2" t="s">
        <v>6</v>
      </c>
      <c r="EJ80" s="2">
        <v>1</v>
      </c>
      <c r="EK80" s="2">
        <v>500003</v>
      </c>
      <c r="EL80" s="2" t="s">
        <v>58</v>
      </c>
      <c r="EM80" s="2" t="s">
        <v>59</v>
      </c>
      <c r="EN80" s="2"/>
      <c r="EO80" s="2" t="s">
        <v>6</v>
      </c>
      <c r="EP80" s="2"/>
      <c r="EQ80" s="2">
        <v>0</v>
      </c>
      <c r="ER80" s="2">
        <v>10633.86</v>
      </c>
      <c r="ES80" s="110">
        <f>'1.Лок.смета.и.Акт'!F139</f>
        <v>10633.86</v>
      </c>
      <c r="ET80" s="2">
        <v>0</v>
      </c>
      <c r="EU80" s="2">
        <v>0</v>
      </c>
      <c r="EV80" s="2">
        <v>0</v>
      </c>
      <c r="EW80" s="2">
        <v>0</v>
      </c>
      <c r="EX80" s="2">
        <v>0</v>
      </c>
      <c r="EY80" s="2"/>
      <c r="EZ80" s="2"/>
      <c r="FA80" s="2"/>
      <c r="FB80" s="2"/>
      <c r="FC80" s="2"/>
      <c r="FD80" s="2"/>
      <c r="FE80" s="2"/>
      <c r="FF80" s="2"/>
      <c r="FG80" s="2"/>
      <c r="FH80" s="2"/>
      <c r="FI80" s="2"/>
      <c r="FJ80" s="2"/>
      <c r="FK80" s="2"/>
      <c r="FL80" s="2"/>
      <c r="FM80" s="2"/>
      <c r="FN80" s="2"/>
      <c r="FO80" s="2"/>
      <c r="FP80" s="2"/>
      <c r="FQ80" s="2">
        <v>0</v>
      </c>
      <c r="FR80" s="2">
        <f t="shared" si="84"/>
        <v>0</v>
      </c>
      <c r="FS80" s="2">
        <v>0</v>
      </c>
      <c r="FT80" s="2"/>
      <c r="FU80" s="2"/>
      <c r="FV80" s="2"/>
      <c r="FW80" s="2"/>
      <c r="FX80" s="2">
        <v>0</v>
      </c>
      <c r="FY80" s="2">
        <v>0</v>
      </c>
      <c r="FZ80" s="2"/>
      <c r="GA80" s="2" t="s">
        <v>6</v>
      </c>
      <c r="GB80" s="2"/>
      <c r="GC80" s="2"/>
      <c r="GD80" s="2">
        <v>1</v>
      </c>
      <c r="GE80" s="2"/>
      <c r="GF80" s="2">
        <v>772407484</v>
      </c>
      <c r="GG80" s="2">
        <v>2</v>
      </c>
      <c r="GH80" s="2">
        <v>2</v>
      </c>
      <c r="GI80" s="2">
        <v>-2</v>
      </c>
      <c r="GJ80" s="2">
        <v>0</v>
      </c>
      <c r="GK80" s="2">
        <v>0</v>
      </c>
      <c r="GL80" s="2">
        <f t="shared" si="85"/>
        <v>0</v>
      </c>
      <c r="GM80" s="2">
        <f t="shared" si="86"/>
        <v>45</v>
      </c>
      <c r="GN80" s="2">
        <f t="shared" si="87"/>
        <v>45</v>
      </c>
      <c r="GO80" s="2">
        <f t="shared" si="88"/>
        <v>0</v>
      </c>
      <c r="GP80" s="2">
        <f t="shared" si="89"/>
        <v>0</v>
      </c>
      <c r="GQ80" s="2"/>
      <c r="GR80" s="2">
        <v>0</v>
      </c>
      <c r="GS80" s="2">
        <v>2</v>
      </c>
      <c r="GT80" s="2">
        <v>0</v>
      </c>
      <c r="GU80" s="2" t="s">
        <v>6</v>
      </c>
      <c r="GV80" s="2">
        <f t="shared" si="90"/>
        <v>0</v>
      </c>
      <c r="GW80" s="2">
        <v>1</v>
      </c>
      <c r="GX80" s="2">
        <f t="shared" si="91"/>
        <v>0</v>
      </c>
      <c r="GY80" s="2"/>
      <c r="GZ80" s="2"/>
      <c r="HA80" s="2">
        <v>0</v>
      </c>
      <c r="HB80" s="2">
        <v>0</v>
      </c>
      <c r="HC80" s="2">
        <f t="shared" si="92"/>
        <v>0</v>
      </c>
      <c r="HD80" s="2"/>
      <c r="HE80" s="2" t="s">
        <v>6</v>
      </c>
      <c r="HF80" s="2" t="s">
        <v>6</v>
      </c>
      <c r="HG80" s="2"/>
      <c r="HH80" s="2"/>
      <c r="HI80" s="2"/>
      <c r="HJ80" s="2"/>
      <c r="HK80" s="2"/>
      <c r="HL80" s="2"/>
      <c r="HM80" s="2" t="s">
        <v>6</v>
      </c>
      <c r="HN80" s="2" t="s">
        <v>6</v>
      </c>
      <c r="HO80" s="2" t="s">
        <v>6</v>
      </c>
      <c r="HP80" s="2" t="s">
        <v>6</v>
      </c>
      <c r="HQ80" s="2" t="s">
        <v>6</v>
      </c>
      <c r="HR80" s="2"/>
      <c r="HS80" s="2"/>
      <c r="HT80" s="2"/>
      <c r="HU80" s="2"/>
      <c r="HV80" s="2"/>
      <c r="HW80" s="2"/>
      <c r="HX80" s="2"/>
      <c r="HY80" s="2"/>
      <c r="HZ80" s="2"/>
      <c r="IA80" s="2"/>
      <c r="IB80" s="2"/>
      <c r="IC80" s="2"/>
      <c r="ID80" s="2"/>
      <c r="IE80" s="2"/>
      <c r="IF80" s="2">
        <v>-1</v>
      </c>
      <c r="IG80" s="2"/>
      <c r="IH80" s="2"/>
      <c r="II80" s="2"/>
      <c r="IJ80" s="2"/>
      <c r="IK80" s="2">
        <v>0</v>
      </c>
      <c r="IL80" s="2"/>
      <c r="IM80" s="2"/>
      <c r="IN80" s="2"/>
      <c r="IO80" s="2"/>
      <c r="IP80" s="2"/>
      <c r="IQ80" s="2"/>
      <c r="IR80" s="2"/>
      <c r="IS80" s="2"/>
      <c r="IT80" s="2"/>
      <c r="IU80" s="2"/>
    </row>
    <row r="81" spans="1:255" x14ac:dyDescent="0.2">
      <c r="A81">
        <v>18</v>
      </c>
      <c r="B81">
        <v>1</v>
      </c>
      <c r="C81">
        <v>91</v>
      </c>
      <c r="E81" t="s">
        <v>133</v>
      </c>
      <c r="F81" t="e">
        <f>'2.Лок.смета.и.Акт'!#REF!</f>
        <v>#REF!</v>
      </c>
      <c r="G81" t="s">
        <v>118</v>
      </c>
      <c r="H81" t="s">
        <v>33</v>
      </c>
      <c r="I81">
        <f>I63*J81</f>
        <v>4.1962500000000003E-3</v>
      </c>
      <c r="J81">
        <v>9.5099150141643072E-4</v>
      </c>
      <c r="K81">
        <v>9.5100000000000002E-4</v>
      </c>
      <c r="O81">
        <f t="shared" si="61"/>
        <v>353</v>
      </c>
      <c r="P81">
        <f t="shared" si="62"/>
        <v>353</v>
      </c>
      <c r="Q81">
        <f t="shared" si="63"/>
        <v>0</v>
      </c>
      <c r="R81">
        <f t="shared" si="64"/>
        <v>0</v>
      </c>
      <c r="S81">
        <f t="shared" si="65"/>
        <v>0</v>
      </c>
      <c r="T81">
        <f t="shared" si="66"/>
        <v>0</v>
      </c>
      <c r="U81">
        <f t="shared" si="67"/>
        <v>0</v>
      </c>
      <c r="V81">
        <f t="shared" si="68"/>
        <v>0</v>
      </c>
      <c r="W81">
        <f t="shared" si="69"/>
        <v>0</v>
      </c>
      <c r="X81">
        <f t="shared" si="70"/>
        <v>0</v>
      </c>
      <c r="Y81">
        <f t="shared" si="71"/>
        <v>0</v>
      </c>
      <c r="AA81">
        <v>86326988</v>
      </c>
      <c r="AB81">
        <f t="shared" si="72"/>
        <v>11142.15</v>
      </c>
      <c r="AC81">
        <f t="shared" si="93"/>
        <v>11142.15</v>
      </c>
      <c r="AD81">
        <f>ROUND((((ET81)-(EU81))+AE81),2)</f>
        <v>0</v>
      </c>
      <c r="AE81">
        <f t="shared" si="94"/>
        <v>0</v>
      </c>
      <c r="AF81">
        <f t="shared" si="95"/>
        <v>0</v>
      </c>
      <c r="AG81">
        <f t="shared" si="73"/>
        <v>0</v>
      </c>
      <c r="AH81">
        <f t="shared" si="96"/>
        <v>0</v>
      </c>
      <c r="AI81">
        <f t="shared" si="97"/>
        <v>0</v>
      </c>
      <c r="AJ81">
        <f t="shared" si="74"/>
        <v>0</v>
      </c>
      <c r="AK81">
        <v>11142.150000000001</v>
      </c>
      <c r="AL81">
        <v>11142.150000000001</v>
      </c>
      <c r="AM81">
        <v>0</v>
      </c>
      <c r="AN81">
        <v>0</v>
      </c>
      <c r="AO81">
        <v>0</v>
      </c>
      <c r="AP81">
        <v>0</v>
      </c>
      <c r="AQ81">
        <v>0</v>
      </c>
      <c r="AR81">
        <v>0</v>
      </c>
      <c r="AS81">
        <v>0</v>
      </c>
      <c r="AT81">
        <v>0</v>
      </c>
      <c r="AU81">
        <v>0</v>
      </c>
      <c r="AV81">
        <v>1</v>
      </c>
      <c r="AW81">
        <v>1</v>
      </c>
      <c r="AZ81">
        <v>1</v>
      </c>
      <c r="BA81">
        <v>1</v>
      </c>
      <c r="BB81">
        <v>1</v>
      </c>
      <c r="BC81">
        <v>7.56</v>
      </c>
      <c r="BD81" t="s">
        <v>6</v>
      </c>
      <c r="BE81" t="s">
        <v>6</v>
      </c>
      <c r="BF81" t="s">
        <v>6</v>
      </c>
      <c r="BG81" t="s">
        <v>6</v>
      </c>
      <c r="BH81">
        <v>3</v>
      </c>
      <c r="BI81">
        <v>1</v>
      </c>
      <c r="BJ81" t="s">
        <v>119</v>
      </c>
      <c r="BM81">
        <v>500003</v>
      </c>
      <c r="BN81">
        <v>0</v>
      </c>
      <c r="BO81" t="s">
        <v>6</v>
      </c>
      <c r="BP81">
        <v>0</v>
      </c>
      <c r="BQ81">
        <v>22</v>
      </c>
      <c r="BR81">
        <v>0</v>
      </c>
      <c r="BS81">
        <v>1</v>
      </c>
      <c r="BT81">
        <v>1</v>
      </c>
      <c r="BU81">
        <v>1</v>
      </c>
      <c r="BV81">
        <v>1</v>
      </c>
      <c r="BW81">
        <v>1</v>
      </c>
      <c r="BX81">
        <v>1</v>
      </c>
      <c r="BY81" t="s">
        <v>6</v>
      </c>
      <c r="BZ81">
        <v>0</v>
      </c>
      <c r="CA81">
        <v>0</v>
      </c>
      <c r="CB81" t="s">
        <v>6</v>
      </c>
      <c r="CE81">
        <v>0</v>
      </c>
      <c r="CF81">
        <v>0</v>
      </c>
      <c r="CG81">
        <v>0</v>
      </c>
      <c r="CM81">
        <v>0</v>
      </c>
      <c r="CN81" t="s">
        <v>6</v>
      </c>
      <c r="CO81">
        <v>0</v>
      </c>
      <c r="CP81">
        <f t="shared" si="75"/>
        <v>353</v>
      </c>
      <c r="CQ81">
        <f t="shared" si="76"/>
        <v>84234.653999999995</v>
      </c>
      <c r="CR81">
        <f t="shared" si="77"/>
        <v>0</v>
      </c>
      <c r="CS81">
        <f t="shared" si="78"/>
        <v>0</v>
      </c>
      <c r="CT81">
        <f t="shared" si="79"/>
        <v>0</v>
      </c>
      <c r="CU81">
        <f t="shared" si="80"/>
        <v>0</v>
      </c>
      <c r="CV81">
        <f t="shared" si="81"/>
        <v>0</v>
      </c>
      <c r="CW81">
        <f t="shared" si="82"/>
        <v>0</v>
      </c>
      <c r="CX81">
        <f t="shared" si="83"/>
        <v>0</v>
      </c>
      <c r="CY81">
        <f>(S81+R81)*(BZ81/100)</f>
        <v>0</v>
      </c>
      <c r="CZ81">
        <f>(S81+R81)*(CA81/100)</f>
        <v>0</v>
      </c>
      <c r="DC81" t="s">
        <v>6</v>
      </c>
      <c r="DD81" t="s">
        <v>6</v>
      </c>
      <c r="DE81" t="s">
        <v>6</v>
      </c>
      <c r="DF81" t="s">
        <v>6</v>
      </c>
      <c r="DG81" t="s">
        <v>6</v>
      </c>
      <c r="DH81" t="s">
        <v>6</v>
      </c>
      <c r="DI81" t="s">
        <v>6</v>
      </c>
      <c r="DJ81" t="s">
        <v>6</v>
      </c>
      <c r="DK81" t="s">
        <v>6</v>
      </c>
      <c r="DL81" t="s">
        <v>6</v>
      </c>
      <c r="DM81" t="s">
        <v>6</v>
      </c>
      <c r="DN81">
        <v>0</v>
      </c>
      <c r="DO81">
        <v>0</v>
      </c>
      <c r="DP81">
        <v>1</v>
      </c>
      <c r="DQ81">
        <v>1</v>
      </c>
      <c r="DU81">
        <v>1009</v>
      </c>
      <c r="DV81" t="s">
        <v>33</v>
      </c>
      <c r="DW81" t="e">
        <f>'2.Лок.смета.и.Акт'!#REF!</f>
        <v>#REF!</v>
      </c>
      <c r="DX81">
        <v>1000</v>
      </c>
      <c r="DZ81" t="s">
        <v>6</v>
      </c>
      <c r="EA81" t="s">
        <v>6</v>
      </c>
      <c r="EB81" t="s">
        <v>6</v>
      </c>
      <c r="EC81" t="s">
        <v>6</v>
      </c>
      <c r="EE81">
        <v>54938783</v>
      </c>
      <c r="EF81">
        <v>22</v>
      </c>
      <c r="EG81" t="s">
        <v>57</v>
      </c>
      <c r="EH81">
        <v>0</v>
      </c>
      <c r="EI81" t="s">
        <v>6</v>
      </c>
      <c r="EJ81">
        <v>1</v>
      </c>
      <c r="EK81">
        <v>500003</v>
      </c>
      <c r="EL81" t="s">
        <v>58</v>
      </c>
      <c r="EM81" t="s">
        <v>59</v>
      </c>
      <c r="EO81" t="s">
        <v>6</v>
      </c>
      <c r="EQ81">
        <v>0</v>
      </c>
      <c r="ER81">
        <v>80392</v>
      </c>
      <c r="ES81">
        <v>11142.150000000001</v>
      </c>
      <c r="ET81">
        <v>0</v>
      </c>
      <c r="EU81">
        <v>0</v>
      </c>
      <c r="EV81">
        <v>0</v>
      </c>
      <c r="EW81">
        <v>0</v>
      </c>
      <c r="EX81">
        <v>0</v>
      </c>
      <c r="EZ81">
        <v>5</v>
      </c>
      <c r="FC81">
        <v>0</v>
      </c>
      <c r="FD81">
        <v>18</v>
      </c>
      <c r="FF81">
        <v>80392</v>
      </c>
      <c r="FQ81">
        <v>0</v>
      </c>
      <c r="FR81">
        <f t="shared" si="84"/>
        <v>0</v>
      </c>
      <c r="FS81">
        <v>0</v>
      </c>
      <c r="FX81">
        <v>0</v>
      </c>
      <c r="FY81">
        <v>0</v>
      </c>
      <c r="GA81" t="s">
        <v>120</v>
      </c>
      <c r="GD81">
        <v>1</v>
      </c>
      <c r="GF81">
        <v>772407484</v>
      </c>
      <c r="GG81">
        <v>2</v>
      </c>
      <c r="GH81">
        <v>3</v>
      </c>
      <c r="GI81">
        <v>5</v>
      </c>
      <c r="GJ81">
        <v>0</v>
      </c>
      <c r="GK81">
        <v>0</v>
      </c>
      <c r="GL81">
        <f t="shared" si="85"/>
        <v>0</v>
      </c>
      <c r="GM81">
        <f t="shared" si="86"/>
        <v>353</v>
      </c>
      <c r="GN81">
        <f t="shared" si="87"/>
        <v>353</v>
      </c>
      <c r="GO81">
        <f t="shared" si="88"/>
        <v>0</v>
      </c>
      <c r="GP81">
        <f t="shared" si="89"/>
        <v>0</v>
      </c>
      <c r="GR81">
        <v>1</v>
      </c>
      <c r="GS81">
        <v>1</v>
      </c>
      <c r="GT81">
        <v>0</v>
      </c>
      <c r="GU81" t="s">
        <v>6</v>
      </c>
      <c r="GV81">
        <f t="shared" si="90"/>
        <v>0</v>
      </c>
      <c r="GW81">
        <v>1</v>
      </c>
      <c r="GX81">
        <f t="shared" si="91"/>
        <v>0</v>
      </c>
      <c r="HA81">
        <v>0</v>
      </c>
      <c r="HB81">
        <v>0</v>
      </c>
      <c r="HC81">
        <f t="shared" si="92"/>
        <v>0</v>
      </c>
      <c r="HE81" t="s">
        <v>39</v>
      </c>
      <c r="HF81" t="s">
        <v>61</v>
      </c>
      <c r="HM81" t="s">
        <v>6</v>
      </c>
      <c r="HN81" t="s">
        <v>6</v>
      </c>
      <c r="HO81" t="s">
        <v>6</v>
      </c>
      <c r="HP81" t="s">
        <v>6</v>
      </c>
      <c r="HQ81" t="s">
        <v>6</v>
      </c>
      <c r="IF81">
        <v>-1</v>
      </c>
      <c r="IK81">
        <v>0</v>
      </c>
    </row>
    <row r="82" spans="1:255" x14ac:dyDescent="0.2">
      <c r="A82" s="2">
        <v>17</v>
      </c>
      <c r="B82" s="2">
        <v>1</v>
      </c>
      <c r="C82" s="2"/>
      <c r="D82" s="2"/>
      <c r="E82" s="2" t="s">
        <v>134</v>
      </c>
      <c r="F82" s="2" t="s">
        <v>135</v>
      </c>
      <c r="G82" s="2" t="s">
        <v>136</v>
      </c>
      <c r="H82" s="2" t="s">
        <v>137</v>
      </c>
      <c r="I82" s="2" t="e">
        <f>'2.Лок.смета.и.Акт'!#REF!</f>
        <v>#REF!</v>
      </c>
      <c r="J82" s="2">
        <v>0</v>
      </c>
      <c r="K82" s="2">
        <v>22.64</v>
      </c>
      <c r="L82" s="2"/>
      <c r="M82" s="2"/>
      <c r="N82" s="2"/>
      <c r="O82" s="2" t="e">
        <f t="shared" si="61"/>
        <v>#REF!</v>
      </c>
      <c r="P82" s="2" t="e">
        <f t="shared" si="62"/>
        <v>#REF!</v>
      </c>
      <c r="Q82" s="2" t="e">
        <f t="shared" si="63"/>
        <v>#REF!</v>
      </c>
      <c r="R82" s="2" t="e">
        <f t="shared" si="64"/>
        <v>#REF!</v>
      </c>
      <c r="S82" s="2" t="e">
        <f t="shared" si="65"/>
        <v>#REF!</v>
      </c>
      <c r="T82" s="2" t="e">
        <f t="shared" si="66"/>
        <v>#REF!</v>
      </c>
      <c r="U82" s="2" t="e">
        <f t="shared" si="67"/>
        <v>#REF!</v>
      </c>
      <c r="V82" s="2" t="e">
        <f t="shared" si="68"/>
        <v>#REF!</v>
      </c>
      <c r="W82" s="2" t="e">
        <f t="shared" si="69"/>
        <v>#REF!</v>
      </c>
      <c r="X82" s="2" t="e">
        <f t="shared" si="70"/>
        <v>#REF!</v>
      </c>
      <c r="Y82" s="2" t="e">
        <f t="shared" si="71"/>
        <v>#REF!</v>
      </c>
      <c r="Z82" s="2"/>
      <c r="AA82" s="2">
        <v>86326987</v>
      </c>
      <c r="AB82" s="2">
        <f t="shared" si="72"/>
        <v>105.9</v>
      </c>
      <c r="AC82" s="2">
        <f t="shared" si="93"/>
        <v>0</v>
      </c>
      <c r="AD82" s="2">
        <f>ROUND((((ET82)-(EU82))+AE82),2)</f>
        <v>105.9</v>
      </c>
      <c r="AE82" s="2">
        <f t="shared" si="94"/>
        <v>11.69</v>
      </c>
      <c r="AF82" s="2">
        <f t="shared" si="95"/>
        <v>0</v>
      </c>
      <c r="AG82" s="2">
        <f t="shared" si="73"/>
        <v>0</v>
      </c>
      <c r="AH82" s="2">
        <f t="shared" si="96"/>
        <v>0</v>
      </c>
      <c r="AI82" s="2">
        <f t="shared" si="97"/>
        <v>1</v>
      </c>
      <c r="AJ82" s="2">
        <f t="shared" si="74"/>
        <v>0</v>
      </c>
      <c r="AK82" s="2">
        <v>105.9</v>
      </c>
      <c r="AL82" s="2">
        <v>0</v>
      </c>
      <c r="AM82" s="2">
        <v>105.9</v>
      </c>
      <c r="AN82" s="2">
        <v>11.69</v>
      </c>
      <c r="AO82" s="2">
        <v>0</v>
      </c>
      <c r="AP82" s="2">
        <v>0</v>
      </c>
      <c r="AQ82" s="2">
        <v>0</v>
      </c>
      <c r="AR82" s="2">
        <v>1</v>
      </c>
      <c r="AS82" s="2">
        <v>0</v>
      </c>
      <c r="AT82" s="2">
        <v>0</v>
      </c>
      <c r="AU82" s="2">
        <v>0</v>
      </c>
      <c r="AV82" s="2">
        <v>1</v>
      </c>
      <c r="AW82" s="2">
        <v>1</v>
      </c>
      <c r="AX82" s="2"/>
      <c r="AY82" s="2"/>
      <c r="AZ82" s="2">
        <v>1</v>
      </c>
      <c r="BA82" s="2">
        <v>1</v>
      </c>
      <c r="BB82" s="2">
        <v>1</v>
      </c>
      <c r="BC82" s="2">
        <v>1</v>
      </c>
      <c r="BD82" s="2" t="s">
        <v>6</v>
      </c>
      <c r="BE82" s="2" t="s">
        <v>6</v>
      </c>
      <c r="BF82" s="2" t="s">
        <v>6</v>
      </c>
      <c r="BG82" s="2" t="s">
        <v>6</v>
      </c>
      <c r="BH82" s="2">
        <v>2</v>
      </c>
      <c r="BI82" s="2">
        <v>1</v>
      </c>
      <c r="BJ82" s="2" t="s">
        <v>138</v>
      </c>
      <c r="BK82" s="2"/>
      <c r="BL82" s="2"/>
      <c r="BM82" s="2">
        <v>400001</v>
      </c>
      <c r="BN82" s="2">
        <v>0</v>
      </c>
      <c r="BO82" s="2" t="s">
        <v>6</v>
      </c>
      <c r="BP82" s="2">
        <v>0</v>
      </c>
      <c r="BQ82" s="2">
        <v>10</v>
      </c>
      <c r="BR82" s="2">
        <v>0</v>
      </c>
      <c r="BS82" s="2">
        <v>1</v>
      </c>
      <c r="BT82" s="2">
        <v>1</v>
      </c>
      <c r="BU82" s="2">
        <v>1</v>
      </c>
      <c r="BV82" s="2">
        <v>1</v>
      </c>
      <c r="BW82" s="2">
        <v>1</v>
      </c>
      <c r="BX82" s="2">
        <v>1</v>
      </c>
      <c r="BY82" s="2" t="s">
        <v>6</v>
      </c>
      <c r="BZ82" s="2">
        <v>0</v>
      </c>
      <c r="CA82" s="2">
        <v>0</v>
      </c>
      <c r="CB82" s="2" t="s">
        <v>6</v>
      </c>
      <c r="CC82" s="2"/>
      <c r="CD82" s="2"/>
      <c r="CE82" s="2">
        <v>0</v>
      </c>
      <c r="CF82" s="2">
        <v>0</v>
      </c>
      <c r="CG82" s="2">
        <v>0</v>
      </c>
      <c r="CH82" s="2"/>
      <c r="CI82" s="2"/>
      <c r="CJ82" s="2"/>
      <c r="CK82" s="2"/>
      <c r="CL82" s="2"/>
      <c r="CM82" s="2">
        <v>0</v>
      </c>
      <c r="CN82" s="2" t="s">
        <v>6</v>
      </c>
      <c r="CO82" s="2">
        <v>0</v>
      </c>
      <c r="CP82" s="2" t="e">
        <f t="shared" si="75"/>
        <v>#REF!</v>
      </c>
      <c r="CQ82" s="2">
        <f t="shared" si="76"/>
        <v>0</v>
      </c>
      <c r="CR82" s="2">
        <f t="shared" si="77"/>
        <v>105.9</v>
      </c>
      <c r="CS82" s="2">
        <f t="shared" si="78"/>
        <v>11.69</v>
      </c>
      <c r="CT82" s="2">
        <f t="shared" si="79"/>
        <v>0</v>
      </c>
      <c r="CU82" s="2">
        <f t="shared" si="80"/>
        <v>0</v>
      </c>
      <c r="CV82" s="2">
        <f t="shared" si="81"/>
        <v>0</v>
      </c>
      <c r="CW82" s="2">
        <f t="shared" si="82"/>
        <v>1</v>
      </c>
      <c r="CX82" s="2">
        <f t="shared" si="83"/>
        <v>0</v>
      </c>
      <c r="CY82" s="2" t="e">
        <f>(((S82+(R82*IF(0,0,1)))*AT82)/100)</f>
        <v>#REF!</v>
      </c>
      <c r="CZ82" s="2" t="e">
        <f>(((S82+(R82*IF(0,0,1)))*AU82)/100)</f>
        <v>#REF!</v>
      </c>
      <c r="DA82" s="2"/>
      <c r="DB82" s="2"/>
      <c r="DC82" s="2" t="s">
        <v>6</v>
      </c>
      <c r="DD82" s="2" t="s">
        <v>6</v>
      </c>
      <c r="DE82" s="2" t="s">
        <v>6</v>
      </c>
      <c r="DF82" s="2" t="s">
        <v>6</v>
      </c>
      <c r="DG82" s="2" t="s">
        <v>6</v>
      </c>
      <c r="DH82" s="2" t="s">
        <v>6</v>
      </c>
      <c r="DI82" s="2" t="s">
        <v>6</v>
      </c>
      <c r="DJ82" s="2" t="s">
        <v>6</v>
      </c>
      <c r="DK82" s="2" t="s">
        <v>6</v>
      </c>
      <c r="DL82" s="2" t="s">
        <v>6</v>
      </c>
      <c r="DM82" s="2" t="s">
        <v>6</v>
      </c>
      <c r="DN82" s="2">
        <v>0</v>
      </c>
      <c r="DO82" s="2">
        <v>0</v>
      </c>
      <c r="DP82" s="2">
        <v>1</v>
      </c>
      <c r="DQ82" s="2">
        <v>1</v>
      </c>
      <c r="DR82" s="2"/>
      <c r="DS82" s="2"/>
      <c r="DT82" s="2"/>
      <c r="DU82" s="2">
        <v>1011</v>
      </c>
      <c r="DV82" s="2" t="s">
        <v>137</v>
      </c>
      <c r="DW82" s="2" t="s">
        <v>137</v>
      </c>
      <c r="DX82" s="2">
        <v>1</v>
      </c>
      <c r="DY82" s="2"/>
      <c r="DZ82" s="2" t="s">
        <v>6</v>
      </c>
      <c r="EA82" s="2" t="s">
        <v>6</v>
      </c>
      <c r="EB82" s="2" t="s">
        <v>6</v>
      </c>
      <c r="EC82" s="2" t="s">
        <v>6</v>
      </c>
      <c r="ED82" s="2"/>
      <c r="EE82" s="2">
        <v>54938780</v>
      </c>
      <c r="EF82" s="2">
        <v>10</v>
      </c>
      <c r="EG82" s="2" t="s">
        <v>139</v>
      </c>
      <c r="EH82" s="2">
        <v>0</v>
      </c>
      <c r="EI82" s="2" t="s">
        <v>6</v>
      </c>
      <c r="EJ82" s="2">
        <v>1</v>
      </c>
      <c r="EK82" s="2">
        <v>400001</v>
      </c>
      <c r="EL82" s="2" t="s">
        <v>140</v>
      </c>
      <c r="EM82" s="2" t="s">
        <v>141</v>
      </c>
      <c r="EN82" s="2"/>
      <c r="EO82" s="2" t="s">
        <v>6</v>
      </c>
      <c r="EP82" s="2"/>
      <c r="EQ82" s="2">
        <v>2228224</v>
      </c>
      <c r="ER82" s="2">
        <v>105.9</v>
      </c>
      <c r="ES82" s="2">
        <v>0</v>
      </c>
      <c r="ET82" s="2">
        <v>105.9</v>
      </c>
      <c r="EU82" s="2">
        <v>11.69</v>
      </c>
      <c r="EV82" s="2">
        <v>0</v>
      </c>
      <c r="EW82" s="2">
        <v>0</v>
      </c>
      <c r="EX82" s="2">
        <v>1</v>
      </c>
      <c r="EY82" s="2">
        <v>0</v>
      </c>
      <c r="EZ82" s="2"/>
      <c r="FA82" s="2"/>
      <c r="FB82" s="2"/>
      <c r="FC82" s="2"/>
      <c r="FD82" s="2"/>
      <c r="FE82" s="2"/>
      <c r="FF82" s="2"/>
      <c r="FG82" s="2"/>
      <c r="FH82" s="2"/>
      <c r="FI82" s="2"/>
      <c r="FJ82" s="2"/>
      <c r="FK82" s="2"/>
      <c r="FL82" s="2"/>
      <c r="FM82" s="2"/>
      <c r="FN82" s="2"/>
      <c r="FO82" s="2"/>
      <c r="FP82" s="2"/>
      <c r="FQ82" s="2">
        <v>0</v>
      </c>
      <c r="FR82" s="2">
        <f t="shared" si="84"/>
        <v>0</v>
      </c>
      <c r="FS82" s="2">
        <v>0</v>
      </c>
      <c r="FT82" s="2"/>
      <c r="FU82" s="2"/>
      <c r="FV82" s="2"/>
      <c r="FW82" s="2"/>
      <c r="FX82" s="2">
        <v>0</v>
      </c>
      <c r="FY82" s="2">
        <v>0</v>
      </c>
      <c r="FZ82" s="2"/>
      <c r="GA82" s="2" t="s">
        <v>6</v>
      </c>
      <c r="GB82" s="2"/>
      <c r="GC82" s="2"/>
      <c r="GD82" s="2">
        <v>1</v>
      </c>
      <c r="GE82" s="2"/>
      <c r="GF82" s="2">
        <v>-450777769</v>
      </c>
      <c r="GG82" s="2">
        <v>2</v>
      </c>
      <c r="GH82" s="2">
        <v>1</v>
      </c>
      <c r="GI82" s="2">
        <v>-2</v>
      </c>
      <c r="GJ82" s="2">
        <v>0</v>
      </c>
      <c r="GK82" s="2">
        <v>0</v>
      </c>
      <c r="GL82" s="2">
        <f t="shared" si="85"/>
        <v>0</v>
      </c>
      <c r="GM82" s="2" t="e">
        <f t="shared" si="86"/>
        <v>#REF!</v>
      </c>
      <c r="GN82" s="2" t="e">
        <f t="shared" si="87"/>
        <v>#REF!</v>
      </c>
      <c r="GO82" s="2">
        <f t="shared" si="88"/>
        <v>0</v>
      </c>
      <c r="GP82" s="2">
        <f t="shared" si="89"/>
        <v>0</v>
      </c>
      <c r="GQ82" s="2"/>
      <c r="GR82" s="2">
        <v>0</v>
      </c>
      <c r="GS82" s="2">
        <v>3</v>
      </c>
      <c r="GT82" s="2">
        <v>0</v>
      </c>
      <c r="GU82" s="2" t="s">
        <v>6</v>
      </c>
      <c r="GV82" s="2">
        <f t="shared" si="90"/>
        <v>0</v>
      </c>
      <c r="GW82" s="2">
        <v>1</v>
      </c>
      <c r="GX82" s="2" t="e">
        <f t="shared" si="91"/>
        <v>#REF!</v>
      </c>
      <c r="GY82" s="2"/>
      <c r="GZ82" s="2"/>
      <c r="HA82" s="2">
        <v>0</v>
      </c>
      <c r="HB82" s="2">
        <v>0</v>
      </c>
      <c r="HC82" s="2">
        <f t="shared" si="92"/>
        <v>0</v>
      </c>
      <c r="HD82" s="2"/>
      <c r="HE82" s="2" t="s">
        <v>6</v>
      </c>
      <c r="HF82" s="2" t="s">
        <v>6</v>
      </c>
      <c r="HG82" s="2"/>
      <c r="HH82" s="2"/>
      <c r="HI82" s="2"/>
      <c r="HJ82" s="2"/>
      <c r="HK82" s="2"/>
      <c r="HL82" s="2"/>
      <c r="HM82" s="2" t="s">
        <v>6</v>
      </c>
      <c r="HN82" s="2" t="s">
        <v>6</v>
      </c>
      <c r="HO82" s="2" t="s">
        <v>6</v>
      </c>
      <c r="HP82" s="2" t="s">
        <v>6</v>
      </c>
      <c r="HQ82" s="2" t="s">
        <v>6</v>
      </c>
      <c r="HR82" s="2"/>
      <c r="HS82" s="2"/>
      <c r="HT82" s="2"/>
      <c r="HU82" s="2"/>
      <c r="HV82" s="2"/>
      <c r="HW82" s="2"/>
      <c r="HX82" s="2"/>
      <c r="HY82" s="2"/>
      <c r="HZ82" s="2"/>
      <c r="IA82" s="2"/>
      <c r="IB82" s="2"/>
      <c r="IC82" s="2"/>
      <c r="ID82" s="2"/>
      <c r="IE82" s="2"/>
      <c r="IF82" s="2">
        <v>-1</v>
      </c>
      <c r="IG82" s="2"/>
      <c r="IH82" s="2"/>
      <c r="II82" s="2"/>
      <c r="IJ82" s="2"/>
      <c r="IK82" s="2">
        <v>0</v>
      </c>
      <c r="IL82" s="2"/>
      <c r="IM82" s="2"/>
      <c r="IN82" s="2"/>
      <c r="IO82" s="2"/>
      <c r="IP82" s="2"/>
      <c r="IQ82" s="2"/>
      <c r="IR82" s="2"/>
      <c r="IS82" s="2"/>
      <c r="IT82" s="2"/>
      <c r="IU82" s="2"/>
    </row>
    <row r="83" spans="1:255" x14ac:dyDescent="0.2">
      <c r="A83">
        <v>17</v>
      </c>
      <c r="B83">
        <v>1</v>
      </c>
      <c r="E83" t="s">
        <v>134</v>
      </c>
      <c r="F83" t="e">
        <f>'2.Лок.смета.и.Акт'!#REF!</f>
        <v>#REF!</v>
      </c>
      <c r="G83" t="s">
        <v>136</v>
      </c>
      <c r="H83" t="s">
        <v>137</v>
      </c>
      <c r="I83" t="e">
        <f>'2.Лок.смета.и.Акт'!#REF!</f>
        <v>#REF!</v>
      </c>
      <c r="J83">
        <v>0</v>
      </c>
      <c r="K83">
        <v>22.64</v>
      </c>
      <c r="O83" t="e">
        <f t="shared" si="61"/>
        <v>#REF!</v>
      </c>
      <c r="P83" t="e">
        <f t="shared" si="62"/>
        <v>#REF!</v>
      </c>
      <c r="Q83" t="e">
        <f t="shared" si="63"/>
        <v>#REF!</v>
      </c>
      <c r="R83" t="e">
        <f t="shared" si="64"/>
        <v>#REF!</v>
      </c>
      <c r="S83" t="e">
        <f t="shared" si="65"/>
        <v>#REF!</v>
      </c>
      <c r="T83" t="e">
        <f t="shared" si="66"/>
        <v>#REF!</v>
      </c>
      <c r="U83" t="e">
        <f t="shared" si="67"/>
        <v>#REF!</v>
      </c>
      <c r="V83" t="e">
        <f t="shared" si="68"/>
        <v>#REF!</v>
      </c>
      <c r="W83" t="e">
        <f t="shared" si="69"/>
        <v>#REF!</v>
      </c>
      <c r="X83" t="e">
        <f t="shared" si="70"/>
        <v>#REF!</v>
      </c>
      <c r="Y83" t="e">
        <f t="shared" si="71"/>
        <v>#REF!</v>
      </c>
      <c r="AA83">
        <v>86326988</v>
      </c>
      <c r="AB83">
        <f t="shared" si="72"/>
        <v>105.9</v>
      </c>
      <c r="AC83">
        <f t="shared" si="93"/>
        <v>0</v>
      </c>
      <c r="AD83">
        <f>ROUND((((ET83)-(EU83))+AE83),2)</f>
        <v>105.9</v>
      </c>
      <c r="AE83">
        <f t="shared" si="94"/>
        <v>11.69</v>
      </c>
      <c r="AF83">
        <f t="shared" si="95"/>
        <v>0</v>
      </c>
      <c r="AG83">
        <f t="shared" si="73"/>
        <v>0</v>
      </c>
      <c r="AH83">
        <f t="shared" si="96"/>
        <v>0</v>
      </c>
      <c r="AI83">
        <f t="shared" si="97"/>
        <v>1</v>
      </c>
      <c r="AJ83">
        <f t="shared" si="74"/>
        <v>0</v>
      </c>
      <c r="AK83">
        <v>105.9</v>
      </c>
      <c r="AL83">
        <v>0</v>
      </c>
      <c r="AM83" s="75">
        <f>'1.Лок.смета.и.Акт'!F144</f>
        <v>105.9</v>
      </c>
      <c r="AN83">
        <v>11.69</v>
      </c>
      <c r="AO83">
        <v>0</v>
      </c>
      <c r="AP83">
        <v>0</v>
      </c>
      <c r="AQ83">
        <v>0</v>
      </c>
      <c r="AR83">
        <v>1</v>
      </c>
      <c r="AS83">
        <v>0</v>
      </c>
      <c r="AT83">
        <v>0</v>
      </c>
      <c r="AU83">
        <v>0</v>
      </c>
      <c r="AV83">
        <v>1</v>
      </c>
      <c r="AW83">
        <v>1</v>
      </c>
      <c r="AZ83">
        <v>1</v>
      </c>
      <c r="BA83">
        <v>1</v>
      </c>
      <c r="BB83">
        <f>'1.Лок.смета.и.Акт'!J144</f>
        <v>7.84</v>
      </c>
      <c r="BC83">
        <v>1</v>
      </c>
      <c r="BD83" t="s">
        <v>6</v>
      </c>
      <c r="BE83" t="s">
        <v>6</v>
      </c>
      <c r="BF83" t="s">
        <v>6</v>
      </c>
      <c r="BG83" t="s">
        <v>6</v>
      </c>
      <c r="BH83">
        <v>2</v>
      </c>
      <c r="BI83">
        <v>1</v>
      </c>
      <c r="BJ83" t="s">
        <v>138</v>
      </c>
      <c r="BM83">
        <v>400001</v>
      </c>
      <c r="BN83">
        <v>0</v>
      </c>
      <c r="BO83" t="s">
        <v>135</v>
      </c>
      <c r="BP83">
        <v>1</v>
      </c>
      <c r="BQ83">
        <v>10</v>
      </c>
      <c r="BR83">
        <v>0</v>
      </c>
      <c r="BS83">
        <v>19.8</v>
      </c>
      <c r="BT83">
        <v>1</v>
      </c>
      <c r="BU83">
        <v>1</v>
      </c>
      <c r="BV83">
        <v>1</v>
      </c>
      <c r="BW83">
        <v>1</v>
      </c>
      <c r="BX83">
        <v>1</v>
      </c>
      <c r="BY83" t="s">
        <v>6</v>
      </c>
      <c r="BZ83">
        <v>0</v>
      </c>
      <c r="CA83">
        <v>0</v>
      </c>
      <c r="CB83" t="s">
        <v>6</v>
      </c>
      <c r="CE83">
        <v>0</v>
      </c>
      <c r="CF83">
        <v>0</v>
      </c>
      <c r="CG83">
        <v>0</v>
      </c>
      <c r="CM83">
        <v>0</v>
      </c>
      <c r="CN83" t="s">
        <v>6</v>
      </c>
      <c r="CO83">
        <v>0</v>
      </c>
      <c r="CP83" t="e">
        <f t="shared" si="75"/>
        <v>#REF!</v>
      </c>
      <c r="CQ83">
        <f t="shared" si="76"/>
        <v>0</v>
      </c>
      <c r="CR83">
        <f t="shared" si="77"/>
        <v>830.25600000000009</v>
      </c>
      <c r="CS83">
        <f t="shared" si="78"/>
        <v>231.46199999999999</v>
      </c>
      <c r="CT83">
        <f t="shared" si="79"/>
        <v>0</v>
      </c>
      <c r="CU83">
        <f t="shared" si="80"/>
        <v>0</v>
      </c>
      <c r="CV83">
        <f t="shared" si="81"/>
        <v>0</v>
      </c>
      <c r="CW83">
        <f t="shared" si="82"/>
        <v>1</v>
      </c>
      <c r="CX83">
        <f t="shared" si="83"/>
        <v>0</v>
      </c>
      <c r="CY83" t="e">
        <f>(S83+R83)*(BZ83/100)</f>
        <v>#REF!</v>
      </c>
      <c r="CZ83" t="e">
        <f>(S83+R83)*(CA83/100)</f>
        <v>#REF!</v>
      </c>
      <c r="DC83" t="s">
        <v>6</v>
      </c>
      <c r="DD83" t="s">
        <v>6</v>
      </c>
      <c r="DE83" t="s">
        <v>6</v>
      </c>
      <c r="DF83" t="s">
        <v>6</v>
      </c>
      <c r="DG83" t="s">
        <v>6</v>
      </c>
      <c r="DH83" t="s">
        <v>6</v>
      </c>
      <c r="DI83" t="s">
        <v>6</v>
      </c>
      <c r="DJ83" t="s">
        <v>6</v>
      </c>
      <c r="DK83" t="s">
        <v>6</v>
      </c>
      <c r="DL83" t="s">
        <v>6</v>
      </c>
      <c r="DM83" t="s">
        <v>6</v>
      </c>
      <c r="DN83">
        <v>0</v>
      </c>
      <c r="DO83">
        <v>0</v>
      </c>
      <c r="DP83">
        <v>1</v>
      </c>
      <c r="DQ83">
        <v>1</v>
      </c>
      <c r="DU83">
        <v>1011</v>
      </c>
      <c r="DV83" t="s">
        <v>137</v>
      </c>
      <c r="DW83" t="e">
        <f>'2.Лок.смета.и.Акт'!#REF!</f>
        <v>#REF!</v>
      </c>
      <c r="DX83">
        <v>1</v>
      </c>
      <c r="DZ83" t="s">
        <v>6</v>
      </c>
      <c r="EA83" t="s">
        <v>6</v>
      </c>
      <c r="EB83" t="s">
        <v>6</v>
      </c>
      <c r="EC83" t="s">
        <v>6</v>
      </c>
      <c r="EE83">
        <v>54938780</v>
      </c>
      <c r="EF83">
        <v>10</v>
      </c>
      <c r="EG83" t="s">
        <v>139</v>
      </c>
      <c r="EH83">
        <v>0</v>
      </c>
      <c r="EI83" t="s">
        <v>6</v>
      </c>
      <c r="EJ83">
        <v>1</v>
      </c>
      <c r="EK83">
        <v>400001</v>
      </c>
      <c r="EL83" t="s">
        <v>140</v>
      </c>
      <c r="EM83" t="s">
        <v>141</v>
      </c>
      <c r="EO83" t="s">
        <v>6</v>
      </c>
      <c r="EQ83">
        <v>2228224</v>
      </c>
      <c r="ER83">
        <v>105.9</v>
      </c>
      <c r="ES83">
        <v>0</v>
      </c>
      <c r="ET83" s="75">
        <f>'1.Лок.смета.и.Акт'!F144</f>
        <v>105.9</v>
      </c>
      <c r="EU83">
        <v>11.69</v>
      </c>
      <c r="EV83">
        <v>0</v>
      </c>
      <c r="EW83">
        <v>0</v>
      </c>
      <c r="EX83">
        <v>1</v>
      </c>
      <c r="EY83">
        <v>0</v>
      </c>
      <c r="FQ83">
        <v>0</v>
      </c>
      <c r="FR83">
        <f t="shared" si="84"/>
        <v>0</v>
      </c>
      <c r="FS83">
        <v>0</v>
      </c>
      <c r="FX83">
        <v>0</v>
      </c>
      <c r="FY83">
        <v>0</v>
      </c>
      <c r="GA83" t="s">
        <v>6</v>
      </c>
      <c r="GD83">
        <v>1</v>
      </c>
      <c r="GF83">
        <v>-450777769</v>
      </c>
      <c r="GG83">
        <v>2</v>
      </c>
      <c r="GH83">
        <v>1</v>
      </c>
      <c r="GI83">
        <v>2</v>
      </c>
      <c r="GJ83">
        <v>0</v>
      </c>
      <c r="GK83">
        <v>0</v>
      </c>
      <c r="GL83">
        <f t="shared" si="85"/>
        <v>0</v>
      </c>
      <c r="GM83" t="e">
        <f t="shared" si="86"/>
        <v>#REF!</v>
      </c>
      <c r="GN83" t="e">
        <f t="shared" si="87"/>
        <v>#REF!</v>
      </c>
      <c r="GO83">
        <f t="shared" si="88"/>
        <v>0</v>
      </c>
      <c r="GP83">
        <f t="shared" si="89"/>
        <v>0</v>
      </c>
      <c r="GR83">
        <v>0</v>
      </c>
      <c r="GS83">
        <v>3</v>
      </c>
      <c r="GT83">
        <v>0</v>
      </c>
      <c r="GU83" t="s">
        <v>6</v>
      </c>
      <c r="GV83">
        <f t="shared" si="90"/>
        <v>0</v>
      </c>
      <c r="GW83">
        <v>1</v>
      </c>
      <c r="GX83" t="e">
        <f t="shared" si="91"/>
        <v>#REF!</v>
      </c>
      <c r="HA83">
        <v>0</v>
      </c>
      <c r="HB83">
        <v>0</v>
      </c>
      <c r="HC83">
        <f t="shared" si="92"/>
        <v>0</v>
      </c>
      <c r="HE83" t="s">
        <v>6</v>
      </c>
      <c r="HF83" t="s">
        <v>6</v>
      </c>
      <c r="HM83" t="s">
        <v>6</v>
      </c>
      <c r="HN83" t="s">
        <v>6</v>
      </c>
      <c r="HO83" t="s">
        <v>6</v>
      </c>
      <c r="HP83" t="s">
        <v>6</v>
      </c>
      <c r="HQ83" t="s">
        <v>6</v>
      </c>
      <c r="IF83">
        <v>-1</v>
      </c>
      <c r="IK83">
        <v>0</v>
      </c>
    </row>
    <row r="84" spans="1:255" x14ac:dyDescent="0.2">
      <c r="IF84">
        <v>-1</v>
      </c>
    </row>
    <row r="85" spans="1:255" x14ac:dyDescent="0.2">
      <c r="A85" s="3">
        <v>51</v>
      </c>
      <c r="B85" s="3">
        <f>B24</f>
        <v>1</v>
      </c>
      <c r="C85" s="3">
        <f>A24</f>
        <v>4</v>
      </c>
      <c r="D85" s="3">
        <f>ROW(A24)</f>
        <v>24</v>
      </c>
      <c r="E85" s="3"/>
      <c r="F85" s="3" t="str">
        <f>IF(F24&lt;&gt;"",F24,"")</f>
        <v>Пилоны 17-20 этажи</v>
      </c>
      <c r="G85" s="3" t="str">
        <f>IF(G24&lt;&gt;"",G24,"")</f>
        <v>Пилоны 17-20 этажи</v>
      </c>
      <c r="H85" s="3">
        <v>0</v>
      </c>
      <c r="I85" s="3"/>
      <c r="J85" s="3"/>
      <c r="K85" s="3"/>
      <c r="L85" s="3"/>
      <c r="M85" s="3"/>
      <c r="N85" s="3"/>
      <c r="O85" s="3" t="e">
        <f t="shared" ref="O85:T85" si="99">ROUND(AB85,0)</f>
        <v>#REF!</v>
      </c>
      <c r="P85" s="3" t="e">
        <f t="shared" si="99"/>
        <v>#REF!</v>
      </c>
      <c r="Q85" s="3" t="e">
        <f t="shared" si="99"/>
        <v>#REF!</v>
      </c>
      <c r="R85" s="3" t="e">
        <f t="shared" si="99"/>
        <v>#REF!</v>
      </c>
      <c r="S85" s="3" t="e">
        <f t="shared" si="99"/>
        <v>#REF!</v>
      </c>
      <c r="T85" s="3" t="e">
        <f t="shared" si="99"/>
        <v>#REF!</v>
      </c>
      <c r="U85" s="3" t="e">
        <f>AH85</f>
        <v>#REF!</v>
      </c>
      <c r="V85" s="3" t="e">
        <f>AI85</f>
        <v>#REF!</v>
      </c>
      <c r="W85" s="3" t="e">
        <f>ROUND(AJ85,0)</f>
        <v>#REF!</v>
      </c>
      <c r="X85" s="3" t="e">
        <f>ROUND(AK85,0)</f>
        <v>#REF!</v>
      </c>
      <c r="Y85" s="3" t="e">
        <f>ROUND(AL85,0)</f>
        <v>#REF!</v>
      </c>
      <c r="Z85" s="3"/>
      <c r="AA85" s="3"/>
      <c r="AB85" s="3" t="e">
        <f>ROUND(SUMIF(AA28:AA83,"=86326987",O28:O83),0)</f>
        <v>#REF!</v>
      </c>
      <c r="AC85" s="3" t="e">
        <f>ROUND(SUMIF(AA28:AA83,"=86326987",P28:P83),0)</f>
        <v>#REF!</v>
      </c>
      <c r="AD85" s="3" t="e">
        <f>ROUND(SUMIF(AA28:AA83,"=86326987",Q28:Q83),0)</f>
        <v>#REF!</v>
      </c>
      <c r="AE85" s="3" t="e">
        <f>ROUND(SUMIF(AA28:AA83,"=86326987",R28:R83),0)</f>
        <v>#REF!</v>
      </c>
      <c r="AF85" s="3" t="e">
        <f>ROUND(SUMIF(AA28:AA83,"=86326987",S28:S83),0)</f>
        <v>#REF!</v>
      </c>
      <c r="AG85" s="3" t="e">
        <f>ROUND(SUMIF(AA28:AA83,"=86326987",T28:T83),0)</f>
        <v>#REF!</v>
      </c>
      <c r="AH85" s="3" t="e">
        <f>SUMIF(AA28:AA83,"=86326987",U28:U83)</f>
        <v>#REF!</v>
      </c>
      <c r="AI85" s="3" t="e">
        <f>SUMIF(AA28:AA83,"=86326987",V28:V83)</f>
        <v>#REF!</v>
      </c>
      <c r="AJ85" s="3" t="e">
        <f>ROUND(SUMIF(AA28:AA83,"=86326987",W28:W83),0)</f>
        <v>#REF!</v>
      </c>
      <c r="AK85" s="3" t="e">
        <f>ROUND(SUMIF(AA28:AA83,"=86326987",X28:X83),0)</f>
        <v>#REF!</v>
      </c>
      <c r="AL85" s="3" t="e">
        <f>ROUND(SUMIF(AA28:AA83,"=86326987",Y28:Y83),0)</f>
        <v>#REF!</v>
      </c>
      <c r="AM85" s="3"/>
      <c r="AN85" s="3"/>
      <c r="AO85" s="3">
        <f t="shared" ref="AO85:BD85" si="100">ROUND(BX85,0)</f>
        <v>0</v>
      </c>
      <c r="AP85" s="3">
        <f t="shared" si="100"/>
        <v>0</v>
      </c>
      <c r="AQ85" s="3">
        <f t="shared" si="100"/>
        <v>0</v>
      </c>
      <c r="AR85" s="3" t="e">
        <f t="shared" si="100"/>
        <v>#REF!</v>
      </c>
      <c r="AS85" s="3" t="e">
        <f t="shared" si="100"/>
        <v>#REF!</v>
      </c>
      <c r="AT85" s="3">
        <f t="shared" si="100"/>
        <v>170</v>
      </c>
      <c r="AU85" s="3">
        <f t="shared" si="100"/>
        <v>0</v>
      </c>
      <c r="AV85" s="3" t="e">
        <f t="shared" si="100"/>
        <v>#REF!</v>
      </c>
      <c r="AW85" s="3" t="e">
        <f t="shared" si="100"/>
        <v>#REF!</v>
      </c>
      <c r="AX85" s="3">
        <f t="shared" si="100"/>
        <v>0</v>
      </c>
      <c r="AY85" s="3" t="e">
        <f t="shared" si="100"/>
        <v>#REF!</v>
      </c>
      <c r="AZ85" s="3">
        <f t="shared" si="100"/>
        <v>0</v>
      </c>
      <c r="BA85" s="3" t="e">
        <f t="shared" si="100"/>
        <v>#REF!</v>
      </c>
      <c r="BB85" s="3">
        <f t="shared" si="100"/>
        <v>0</v>
      </c>
      <c r="BC85" s="3">
        <f t="shared" si="100"/>
        <v>0</v>
      </c>
      <c r="BD85" s="3">
        <f t="shared" si="100"/>
        <v>0</v>
      </c>
      <c r="BE85" s="3"/>
      <c r="BF85" s="3"/>
      <c r="BG85" s="3"/>
      <c r="BH85" s="3"/>
      <c r="BI85" s="3"/>
      <c r="BJ85" s="3"/>
      <c r="BK85" s="3"/>
      <c r="BL85" s="3"/>
      <c r="BM85" s="3"/>
      <c r="BN85" s="3"/>
      <c r="BO85" s="3"/>
      <c r="BP85" s="3"/>
      <c r="BQ85" s="3"/>
      <c r="BR85" s="3"/>
      <c r="BS85" s="3"/>
      <c r="BT85" s="3"/>
      <c r="BU85" s="3"/>
      <c r="BV85" s="3"/>
      <c r="BW85" s="3"/>
      <c r="BX85" s="3">
        <f>ROUND(SUMIF(AA28:AA83,"=86326987",FQ28:FQ83),0)</f>
        <v>0</v>
      </c>
      <c r="BY85" s="3">
        <f>ROUND(SUMIF(AA28:AA83,"=86326987",FR28:FR83),0)</f>
        <v>0</v>
      </c>
      <c r="BZ85" s="3">
        <f>ROUND(SUMIF(AA28:AA83,"=86326987",GL28:GL83),0)</f>
        <v>0</v>
      </c>
      <c r="CA85" s="3" t="e">
        <f>ROUND(SUMIF(AA28:AA83,"=86326987",GM28:GM83),0)</f>
        <v>#REF!</v>
      </c>
      <c r="CB85" s="3" t="e">
        <f>ROUND(SUMIF(AA28:AA83,"=86326987",GN28:GN83),0)</f>
        <v>#REF!</v>
      </c>
      <c r="CC85" s="3">
        <f>ROUND(SUMIF(AA28:AA83,"=86326987",GO28:GO83),0)</f>
        <v>170</v>
      </c>
      <c r="CD85" s="3">
        <f>ROUND(SUMIF(AA28:AA83,"=86326987",GP28:GP83),0)</f>
        <v>0</v>
      </c>
      <c r="CE85" s="3" t="e">
        <f>AC85-BX85</f>
        <v>#REF!</v>
      </c>
      <c r="CF85" s="3" t="e">
        <f>AC85-BY85</f>
        <v>#REF!</v>
      </c>
      <c r="CG85" s="3">
        <f>BX85-BZ85</f>
        <v>0</v>
      </c>
      <c r="CH85" s="3" t="e">
        <f>AC85-BX85-BY85+BZ85</f>
        <v>#REF!</v>
      </c>
      <c r="CI85" s="3">
        <f>BY85-BZ85</f>
        <v>0</v>
      </c>
      <c r="CJ85" s="3" t="e">
        <f>ROUND(SUMIF(AA28:AA83,"=86326987",GX28:GX83),0)</f>
        <v>#REF!</v>
      </c>
      <c r="CK85" s="3">
        <f>ROUND(SUMIF(AA28:AA83,"=86326987",GY28:GY83),0)</f>
        <v>0</v>
      </c>
      <c r="CL85" s="3">
        <f>ROUND(SUMIF(AA28:AA83,"=86326987",GZ28:GZ83),0)</f>
        <v>0</v>
      </c>
      <c r="CM85" s="3">
        <f>ROUND(SUMIF(AA28:AA83,"=86326987",HD28:HD83),0)</f>
        <v>0</v>
      </c>
      <c r="CN85" s="3"/>
      <c r="CO85" s="3"/>
      <c r="CP85" s="3"/>
      <c r="CQ85" s="3"/>
      <c r="CR85" s="3"/>
      <c r="CS85" s="3"/>
      <c r="CT85" s="3"/>
      <c r="CU85" s="3"/>
      <c r="CV85" s="3"/>
      <c r="CW85" s="3"/>
      <c r="CX85" s="3"/>
      <c r="CY85" s="3"/>
      <c r="CZ85" s="3"/>
      <c r="DA85" s="3"/>
      <c r="DB85" s="3"/>
      <c r="DC85" s="3"/>
      <c r="DD85" s="3"/>
      <c r="DE85" s="3"/>
      <c r="DF85" s="3"/>
      <c r="DG85" s="4" t="e">
        <f t="shared" ref="DG85:DL85" si="101">ROUND(DT85,0)</f>
        <v>#REF!</v>
      </c>
      <c r="DH85" s="4" t="e">
        <f t="shared" si="101"/>
        <v>#REF!</v>
      </c>
      <c r="DI85" s="4" t="e">
        <f t="shared" si="101"/>
        <v>#REF!</v>
      </c>
      <c r="DJ85" s="4" t="e">
        <f t="shared" si="101"/>
        <v>#REF!</v>
      </c>
      <c r="DK85" s="4" t="e">
        <f t="shared" si="101"/>
        <v>#REF!</v>
      </c>
      <c r="DL85" s="4" t="e">
        <f t="shared" si="101"/>
        <v>#REF!</v>
      </c>
      <c r="DM85" s="4" t="e">
        <f>DZ85</f>
        <v>#REF!</v>
      </c>
      <c r="DN85" s="4" t="e">
        <f>EA85</f>
        <v>#REF!</v>
      </c>
      <c r="DO85" s="4" t="e">
        <f>ROUND(EB85,0)</f>
        <v>#REF!</v>
      </c>
      <c r="DP85" s="4" t="e">
        <f>ROUND(EC85,0)</f>
        <v>#REF!</v>
      </c>
      <c r="DQ85" s="4" t="e">
        <f>ROUND(ED85,0)</f>
        <v>#REF!</v>
      </c>
      <c r="DR85" s="4"/>
      <c r="DS85" s="4"/>
      <c r="DT85" s="4" t="e">
        <f>ROUND(SUMIF(AA28:AA83,"=86326988",O28:O83),0)</f>
        <v>#REF!</v>
      </c>
      <c r="DU85" s="4" t="e">
        <f>ROUND(SUMIF(AA28:AA83,"=86326988",P28:P83),0)</f>
        <v>#REF!</v>
      </c>
      <c r="DV85" s="4" t="e">
        <f>ROUND(SUMIF(AA28:AA83,"=86326988",Q28:Q83),0)</f>
        <v>#REF!</v>
      </c>
      <c r="DW85" s="4" t="e">
        <f>ROUND(SUMIF(AA28:AA83,"=86326988",R28:R83),0)</f>
        <v>#REF!</v>
      </c>
      <c r="DX85" s="4" t="e">
        <f>ROUND(SUMIF(AA28:AA83,"=86326988",S28:S83),0)</f>
        <v>#REF!</v>
      </c>
      <c r="DY85" s="4" t="e">
        <f>ROUND(SUMIF(AA28:AA83,"=86326988",T28:T83),0)</f>
        <v>#REF!</v>
      </c>
      <c r="DZ85" s="4" t="e">
        <f>SUMIF(AA28:AA83,"=86326988",U28:U83)</f>
        <v>#REF!</v>
      </c>
      <c r="EA85" s="4" t="e">
        <f>SUMIF(AA28:AA83,"=86326988",V28:V83)</f>
        <v>#REF!</v>
      </c>
      <c r="EB85" s="4" t="e">
        <f>ROUND(SUMIF(AA28:AA83,"=86326988",W28:W83),0)</f>
        <v>#REF!</v>
      </c>
      <c r="EC85" s="4" t="e">
        <f>ROUND(SUMIF(AA28:AA83,"=86326988",X28:X83),0)</f>
        <v>#REF!</v>
      </c>
      <c r="ED85" s="4" t="e">
        <f>ROUND(SUMIF(AA28:AA83,"=86326988",Y28:Y83),0)</f>
        <v>#REF!</v>
      </c>
      <c r="EE85" s="4"/>
      <c r="EF85" s="4"/>
      <c r="EG85" s="4">
        <f t="shared" ref="EG85:EV85" si="102">ROUND(FP85,0)</f>
        <v>0</v>
      </c>
      <c r="EH85" s="4">
        <f t="shared" si="102"/>
        <v>0</v>
      </c>
      <c r="EI85" s="4">
        <f t="shared" si="102"/>
        <v>0</v>
      </c>
      <c r="EJ85" s="4" t="e">
        <f t="shared" si="102"/>
        <v>#REF!</v>
      </c>
      <c r="EK85" s="4" t="e">
        <f t="shared" si="102"/>
        <v>#REF!</v>
      </c>
      <c r="EL85" s="4">
        <f t="shared" si="102"/>
        <v>1166</v>
      </c>
      <c r="EM85" s="4">
        <f t="shared" si="102"/>
        <v>0</v>
      </c>
      <c r="EN85" s="4" t="e">
        <f t="shared" si="102"/>
        <v>#REF!</v>
      </c>
      <c r="EO85" s="4" t="e">
        <f t="shared" si="102"/>
        <v>#REF!</v>
      </c>
      <c r="EP85" s="4">
        <f t="shared" si="102"/>
        <v>0</v>
      </c>
      <c r="EQ85" s="4" t="e">
        <f t="shared" si="102"/>
        <v>#REF!</v>
      </c>
      <c r="ER85" s="4">
        <f t="shared" si="102"/>
        <v>0</v>
      </c>
      <c r="ES85" s="4" t="e">
        <f t="shared" si="102"/>
        <v>#REF!</v>
      </c>
      <c r="ET85" s="4">
        <f t="shared" si="102"/>
        <v>0</v>
      </c>
      <c r="EU85" s="4">
        <f t="shared" si="102"/>
        <v>0</v>
      </c>
      <c r="EV85" s="4">
        <f t="shared" si="102"/>
        <v>0</v>
      </c>
      <c r="EW85" s="4"/>
      <c r="EX85" s="4"/>
      <c r="EY85" s="4"/>
      <c r="EZ85" s="4"/>
      <c r="FA85" s="4"/>
      <c r="FB85" s="4"/>
      <c r="FC85" s="4"/>
      <c r="FD85" s="4"/>
      <c r="FE85" s="4"/>
      <c r="FF85" s="4"/>
      <c r="FG85" s="4"/>
      <c r="FH85" s="4"/>
      <c r="FI85" s="4"/>
      <c r="FJ85" s="4"/>
      <c r="FK85" s="4"/>
      <c r="FL85" s="4"/>
      <c r="FM85" s="4"/>
      <c r="FN85" s="4"/>
      <c r="FO85" s="4"/>
      <c r="FP85" s="4">
        <f>ROUND(SUMIF(AA28:AA83,"=86326988",FQ28:FQ83),0)</f>
        <v>0</v>
      </c>
      <c r="FQ85" s="4">
        <f>ROUND(SUMIF(AA28:AA83,"=86326988",FR28:FR83),0)</f>
        <v>0</v>
      </c>
      <c r="FR85" s="4">
        <f>ROUND(SUMIF(AA28:AA83,"=86326988",GL28:GL83),0)</f>
        <v>0</v>
      </c>
      <c r="FS85" s="4" t="e">
        <f>ROUND(SUMIF(AA28:AA83,"=86326988",GM28:GM83),0)</f>
        <v>#REF!</v>
      </c>
      <c r="FT85" s="4" t="e">
        <f>ROUND(SUMIF(AA28:AA83,"=86326988",GN28:GN83),0)</f>
        <v>#REF!</v>
      </c>
      <c r="FU85" s="4">
        <f>ROUND(SUMIF(AA28:AA83,"=86326988",GO28:GO83),0)</f>
        <v>1166</v>
      </c>
      <c r="FV85" s="4">
        <f>ROUND(SUMIF(AA28:AA83,"=86326988",GP28:GP83),0)</f>
        <v>0</v>
      </c>
      <c r="FW85" s="4" t="e">
        <f>DU85-FP85</f>
        <v>#REF!</v>
      </c>
      <c r="FX85" s="4" t="e">
        <f>DU85-FQ85</f>
        <v>#REF!</v>
      </c>
      <c r="FY85" s="4">
        <f>FP85-FR85</f>
        <v>0</v>
      </c>
      <c r="FZ85" s="4" t="e">
        <f>DU85-FP85-FQ85+FR85</f>
        <v>#REF!</v>
      </c>
      <c r="GA85" s="4">
        <f>FQ85-FR85</f>
        <v>0</v>
      </c>
      <c r="GB85" s="4" t="e">
        <f>ROUND(SUMIF(AA28:AA83,"=86326988",GX28:GX83),0)</f>
        <v>#REF!</v>
      </c>
      <c r="GC85" s="4">
        <f>ROUND(SUMIF(AA28:AA83,"=86326988",GY28:GY83),0)</f>
        <v>0</v>
      </c>
      <c r="GD85" s="4">
        <f>ROUND(SUMIF(AA28:AA83,"=86326988",GZ28:GZ83),0)</f>
        <v>0</v>
      </c>
      <c r="GE85" s="4">
        <f>ROUND(SUMIF(AA28:AA83,"=86326988",HD28:HD83),0)</f>
        <v>0</v>
      </c>
      <c r="GF85" s="4"/>
      <c r="GG85" s="4"/>
      <c r="GH85" s="4"/>
      <c r="GI85" s="4"/>
      <c r="GJ85" s="4"/>
      <c r="GK85" s="4"/>
      <c r="GL85" s="4"/>
      <c r="GM85" s="4"/>
      <c r="GN85" s="4"/>
      <c r="GO85" s="4"/>
      <c r="GP85" s="4"/>
      <c r="GQ85" s="4"/>
      <c r="GR85" s="4"/>
      <c r="GS85" s="4"/>
      <c r="GT85" s="4"/>
      <c r="GU85" s="4"/>
      <c r="GV85" s="4"/>
      <c r="GW85" s="4"/>
      <c r="GX85" s="4">
        <v>0</v>
      </c>
      <c r="IF85">
        <v>-1</v>
      </c>
    </row>
    <row r="86" spans="1:255" x14ac:dyDescent="0.2">
      <c r="IF86">
        <v>-1</v>
      </c>
    </row>
    <row r="87" spans="1:255" x14ac:dyDescent="0.2">
      <c r="A87" s="5">
        <v>50</v>
      </c>
      <c r="B87" s="5">
        <v>0</v>
      </c>
      <c r="C87" s="5">
        <v>0</v>
      </c>
      <c r="D87" s="5">
        <v>1</v>
      </c>
      <c r="E87" s="5">
        <v>201</v>
      </c>
      <c r="F87" s="5" t="e">
        <f>ROUND(Source!O85,O87)</f>
        <v>#REF!</v>
      </c>
      <c r="G87" s="5" t="s">
        <v>142</v>
      </c>
      <c r="H87" s="5" t="s">
        <v>143</v>
      </c>
      <c r="I87" s="5"/>
      <c r="J87" s="5"/>
      <c r="K87" s="5">
        <v>201</v>
      </c>
      <c r="L87" s="5">
        <v>1</v>
      </c>
      <c r="M87" s="5">
        <v>3</v>
      </c>
      <c r="N87" s="5" t="s">
        <v>6</v>
      </c>
      <c r="O87" s="5">
        <v>0</v>
      </c>
      <c r="P87" s="5" t="e">
        <f>ROUND(Source!DG85,O87)</f>
        <v>#REF!</v>
      </c>
      <c r="Q87" s="5"/>
      <c r="R87" s="5"/>
      <c r="S87" s="5"/>
      <c r="T87" s="5"/>
      <c r="U87" s="5"/>
      <c r="V87" s="5"/>
      <c r="W87" s="5">
        <v>166379</v>
      </c>
      <c r="X87" s="5">
        <v>1</v>
      </c>
      <c r="Y87" s="5">
        <v>166379</v>
      </c>
      <c r="Z87" s="5">
        <v>1797627</v>
      </c>
      <c r="AA87" s="5">
        <v>1</v>
      </c>
      <c r="AB87" s="5">
        <v>1797627</v>
      </c>
      <c r="IF87">
        <v>-1</v>
      </c>
    </row>
    <row r="88" spans="1:255" x14ac:dyDescent="0.2">
      <c r="A88" s="5">
        <v>50</v>
      </c>
      <c r="B88" s="5">
        <v>0</v>
      </c>
      <c r="C88" s="5">
        <v>0</v>
      </c>
      <c r="D88" s="5">
        <v>1</v>
      </c>
      <c r="E88" s="5">
        <v>202</v>
      </c>
      <c r="F88" s="5" t="e">
        <f>ROUND(Source!P85,O88)</f>
        <v>#REF!</v>
      </c>
      <c r="G88" s="5" t="s">
        <v>144</v>
      </c>
      <c r="H88" s="5" t="s">
        <v>145</v>
      </c>
      <c r="I88" s="5"/>
      <c r="J88" s="5"/>
      <c r="K88" s="5">
        <v>202</v>
      </c>
      <c r="L88" s="5">
        <v>2</v>
      </c>
      <c r="M88" s="5">
        <v>3</v>
      </c>
      <c r="N88" s="5" t="s">
        <v>6</v>
      </c>
      <c r="O88" s="5">
        <v>0</v>
      </c>
      <c r="P88" s="5" t="e">
        <f>ROUND(Source!DH85,O88)</f>
        <v>#REF!</v>
      </c>
      <c r="Q88" s="5"/>
      <c r="R88" s="5"/>
      <c r="S88" s="5"/>
      <c r="T88" s="5"/>
      <c r="U88" s="5"/>
      <c r="V88" s="5"/>
      <c r="W88" s="5">
        <v>128406</v>
      </c>
      <c r="X88" s="5">
        <v>1</v>
      </c>
      <c r="Y88" s="5">
        <v>128406</v>
      </c>
      <c r="Z88" s="5">
        <v>1202417</v>
      </c>
      <c r="AA88" s="5">
        <v>1</v>
      </c>
      <c r="AB88" s="5">
        <v>1202417</v>
      </c>
      <c r="IF88">
        <v>-1</v>
      </c>
    </row>
    <row r="89" spans="1:255" x14ac:dyDescent="0.2">
      <c r="A89" s="5">
        <v>50</v>
      </c>
      <c r="B89" s="5">
        <v>0</v>
      </c>
      <c r="C89" s="5">
        <v>0</v>
      </c>
      <c r="D89" s="5">
        <v>1</v>
      </c>
      <c r="E89" s="5">
        <v>222</v>
      </c>
      <c r="F89" s="5">
        <f>ROUND(Source!AO85,O89)</f>
        <v>0</v>
      </c>
      <c r="G89" s="5" t="s">
        <v>146</v>
      </c>
      <c r="H89" s="5" t="s">
        <v>147</v>
      </c>
      <c r="I89" s="5"/>
      <c r="J89" s="5"/>
      <c r="K89" s="5">
        <v>222</v>
      </c>
      <c r="L89" s="5">
        <v>3</v>
      </c>
      <c r="M89" s="5">
        <v>3</v>
      </c>
      <c r="N89" s="5" t="s">
        <v>6</v>
      </c>
      <c r="O89" s="5">
        <v>0</v>
      </c>
      <c r="P89" s="5">
        <f>ROUND(Source!EG85,O89)</f>
        <v>0</v>
      </c>
      <c r="Q89" s="5"/>
      <c r="R89" s="5"/>
      <c r="S89" s="5"/>
      <c r="T89" s="5"/>
      <c r="U89" s="5"/>
      <c r="V89" s="5"/>
      <c r="W89" s="5">
        <v>0</v>
      </c>
      <c r="X89" s="5">
        <v>1</v>
      </c>
      <c r="Y89" s="5">
        <v>0</v>
      </c>
      <c r="Z89" s="5">
        <v>0</v>
      </c>
      <c r="AA89" s="5">
        <v>1</v>
      </c>
      <c r="AB89" s="5">
        <v>0</v>
      </c>
      <c r="IF89">
        <v>-1</v>
      </c>
    </row>
    <row r="90" spans="1:255" x14ac:dyDescent="0.2">
      <c r="A90" s="5">
        <v>50</v>
      </c>
      <c r="B90" s="5">
        <v>0</v>
      </c>
      <c r="C90" s="5">
        <v>0</v>
      </c>
      <c r="D90" s="5">
        <v>1</v>
      </c>
      <c r="E90" s="5">
        <v>225</v>
      </c>
      <c r="F90" s="5" t="e">
        <f>ROUND(Source!AV85,O90)</f>
        <v>#REF!</v>
      </c>
      <c r="G90" s="5" t="s">
        <v>148</v>
      </c>
      <c r="H90" s="5" t="s">
        <v>149</v>
      </c>
      <c r="I90" s="5"/>
      <c r="J90" s="5"/>
      <c r="K90" s="5">
        <v>225</v>
      </c>
      <c r="L90" s="5">
        <v>4</v>
      </c>
      <c r="M90" s="5">
        <v>3</v>
      </c>
      <c r="N90" s="5" t="s">
        <v>6</v>
      </c>
      <c r="O90" s="5">
        <v>0</v>
      </c>
      <c r="P90" s="5" t="e">
        <f>ROUND(Source!EN85,O90)</f>
        <v>#REF!</v>
      </c>
      <c r="Q90" s="5"/>
      <c r="R90" s="5"/>
      <c r="S90" s="5"/>
      <c r="T90" s="5"/>
      <c r="U90" s="5"/>
      <c r="V90" s="5"/>
      <c r="W90" s="5">
        <v>128406</v>
      </c>
      <c r="X90" s="5">
        <v>1</v>
      </c>
      <c r="Y90" s="5">
        <v>128406</v>
      </c>
      <c r="Z90" s="5">
        <v>1202417</v>
      </c>
      <c r="AA90" s="5">
        <v>1</v>
      </c>
      <c r="AB90" s="5">
        <v>1202417</v>
      </c>
      <c r="IF90">
        <v>-1</v>
      </c>
    </row>
    <row r="91" spans="1:255" x14ac:dyDescent="0.2">
      <c r="A91" s="5">
        <v>50</v>
      </c>
      <c r="B91" s="5">
        <v>0</v>
      </c>
      <c r="C91" s="5">
        <v>0</v>
      </c>
      <c r="D91" s="5">
        <v>1</v>
      </c>
      <c r="E91" s="5">
        <v>226</v>
      </c>
      <c r="F91" s="5" t="e">
        <f>ROUND(Source!AW85,O91)</f>
        <v>#REF!</v>
      </c>
      <c r="G91" s="5" t="s">
        <v>150</v>
      </c>
      <c r="H91" s="5" t="s">
        <v>151</v>
      </c>
      <c r="I91" s="5"/>
      <c r="J91" s="5"/>
      <c r="K91" s="5">
        <v>226</v>
      </c>
      <c r="L91" s="5">
        <v>5</v>
      </c>
      <c r="M91" s="5">
        <v>3</v>
      </c>
      <c r="N91" s="5" t="s">
        <v>6</v>
      </c>
      <c r="O91" s="5">
        <v>0</v>
      </c>
      <c r="P91" s="5" t="e">
        <f>ROUND(Source!EO85,O91)</f>
        <v>#REF!</v>
      </c>
      <c r="Q91" s="5"/>
      <c r="R91" s="5"/>
      <c r="S91" s="5"/>
      <c r="T91" s="5"/>
      <c r="U91" s="5"/>
      <c r="V91" s="5"/>
      <c r="W91" s="5">
        <v>128406</v>
      </c>
      <c r="X91" s="5">
        <v>1</v>
      </c>
      <c r="Y91" s="5">
        <v>128406</v>
      </c>
      <c r="Z91" s="5">
        <v>1202417</v>
      </c>
      <c r="AA91" s="5">
        <v>1</v>
      </c>
      <c r="AB91" s="5">
        <v>1202417</v>
      </c>
      <c r="IF91">
        <v>-1</v>
      </c>
    </row>
    <row r="92" spans="1:255" x14ac:dyDescent="0.2">
      <c r="A92" s="5">
        <v>50</v>
      </c>
      <c r="B92" s="5">
        <v>0</v>
      </c>
      <c r="C92" s="5">
        <v>0</v>
      </c>
      <c r="D92" s="5">
        <v>1</v>
      </c>
      <c r="E92" s="5">
        <v>227</v>
      </c>
      <c r="F92" s="5">
        <f>ROUND(Source!AX85,O92)</f>
        <v>0</v>
      </c>
      <c r="G92" s="5" t="s">
        <v>152</v>
      </c>
      <c r="H92" s="5" t="s">
        <v>153</v>
      </c>
      <c r="I92" s="5"/>
      <c r="J92" s="5"/>
      <c r="K92" s="5">
        <v>227</v>
      </c>
      <c r="L92" s="5">
        <v>6</v>
      </c>
      <c r="M92" s="5">
        <v>3</v>
      </c>
      <c r="N92" s="5" t="s">
        <v>6</v>
      </c>
      <c r="O92" s="5">
        <v>0</v>
      </c>
      <c r="P92" s="5">
        <f>ROUND(Source!EP85,O92)</f>
        <v>0</v>
      </c>
      <c r="Q92" s="5"/>
      <c r="R92" s="5"/>
      <c r="S92" s="5"/>
      <c r="T92" s="5"/>
      <c r="U92" s="5"/>
      <c r="V92" s="5"/>
      <c r="W92" s="5">
        <v>0</v>
      </c>
      <c r="X92" s="5">
        <v>1</v>
      </c>
      <c r="Y92" s="5">
        <v>0</v>
      </c>
      <c r="Z92" s="5">
        <v>0</v>
      </c>
      <c r="AA92" s="5">
        <v>1</v>
      </c>
      <c r="AB92" s="5">
        <v>0</v>
      </c>
      <c r="IF92">
        <v>-1</v>
      </c>
    </row>
    <row r="93" spans="1:255" x14ac:dyDescent="0.2">
      <c r="A93" s="5">
        <v>50</v>
      </c>
      <c r="B93" s="5">
        <v>0</v>
      </c>
      <c r="C93" s="5">
        <v>0</v>
      </c>
      <c r="D93" s="5">
        <v>1</v>
      </c>
      <c r="E93" s="5">
        <v>228</v>
      </c>
      <c r="F93" s="5" t="e">
        <f>ROUND(Source!AY85,O93)</f>
        <v>#REF!</v>
      </c>
      <c r="G93" s="5" t="s">
        <v>154</v>
      </c>
      <c r="H93" s="5" t="s">
        <v>155</v>
      </c>
      <c r="I93" s="5"/>
      <c r="J93" s="5"/>
      <c r="K93" s="5">
        <v>228</v>
      </c>
      <c r="L93" s="5">
        <v>7</v>
      </c>
      <c r="M93" s="5">
        <v>3</v>
      </c>
      <c r="N93" s="5" t="s">
        <v>6</v>
      </c>
      <c r="O93" s="5">
        <v>0</v>
      </c>
      <c r="P93" s="5" t="e">
        <f>ROUND(Source!EQ85,O93)</f>
        <v>#REF!</v>
      </c>
      <c r="Q93" s="5"/>
      <c r="R93" s="5"/>
      <c r="S93" s="5"/>
      <c r="T93" s="5"/>
      <c r="U93" s="5"/>
      <c r="V93" s="5"/>
      <c r="W93" s="5">
        <v>128406</v>
      </c>
      <c r="X93" s="5">
        <v>1</v>
      </c>
      <c r="Y93" s="5">
        <v>128406</v>
      </c>
      <c r="Z93" s="5">
        <v>1202417</v>
      </c>
      <c r="AA93" s="5">
        <v>1</v>
      </c>
      <c r="AB93" s="5">
        <v>1202417</v>
      </c>
      <c r="IF93">
        <v>-1</v>
      </c>
    </row>
    <row r="94" spans="1:255" x14ac:dyDescent="0.2">
      <c r="A94" s="5">
        <v>50</v>
      </c>
      <c r="B94" s="5">
        <v>0</v>
      </c>
      <c r="C94" s="5">
        <v>0</v>
      </c>
      <c r="D94" s="5">
        <v>1</v>
      </c>
      <c r="E94" s="5">
        <v>216</v>
      </c>
      <c r="F94" s="5">
        <f>ROUND(Source!AP85,O94)</f>
        <v>0</v>
      </c>
      <c r="G94" s="5" t="s">
        <v>156</v>
      </c>
      <c r="H94" s="5" t="s">
        <v>157</v>
      </c>
      <c r="I94" s="5"/>
      <c r="J94" s="5"/>
      <c r="K94" s="5">
        <v>216</v>
      </c>
      <c r="L94" s="5">
        <v>8</v>
      </c>
      <c r="M94" s="5">
        <v>3</v>
      </c>
      <c r="N94" s="5" t="s">
        <v>6</v>
      </c>
      <c r="O94" s="5">
        <v>0</v>
      </c>
      <c r="P94" s="5">
        <f>ROUND(Source!EH85,O94)</f>
        <v>0</v>
      </c>
      <c r="Q94" s="5"/>
      <c r="R94" s="5"/>
      <c r="S94" s="5"/>
      <c r="T94" s="5"/>
      <c r="U94" s="5"/>
      <c r="V94" s="5"/>
      <c r="W94" s="5">
        <v>0</v>
      </c>
      <c r="X94" s="5">
        <v>1</v>
      </c>
      <c r="Y94" s="5">
        <v>0</v>
      </c>
      <c r="Z94" s="5">
        <v>0</v>
      </c>
      <c r="AA94" s="5">
        <v>1</v>
      </c>
      <c r="AB94" s="5">
        <v>0</v>
      </c>
      <c r="IF94">
        <v>-1</v>
      </c>
    </row>
    <row r="95" spans="1:255" x14ac:dyDescent="0.2">
      <c r="A95" s="5">
        <v>50</v>
      </c>
      <c r="B95" s="5">
        <v>0</v>
      </c>
      <c r="C95" s="5">
        <v>0</v>
      </c>
      <c r="D95" s="5">
        <v>1</v>
      </c>
      <c r="E95" s="5">
        <v>223</v>
      </c>
      <c r="F95" s="5">
        <f>ROUND(Source!AQ85,O95)</f>
        <v>0</v>
      </c>
      <c r="G95" s="5" t="s">
        <v>158</v>
      </c>
      <c r="H95" s="5" t="s">
        <v>159</v>
      </c>
      <c r="I95" s="5"/>
      <c r="J95" s="5"/>
      <c r="K95" s="5">
        <v>223</v>
      </c>
      <c r="L95" s="5">
        <v>9</v>
      </c>
      <c r="M95" s="5">
        <v>3</v>
      </c>
      <c r="N95" s="5" t="s">
        <v>6</v>
      </c>
      <c r="O95" s="5">
        <v>0</v>
      </c>
      <c r="P95" s="5">
        <f>ROUND(Source!EI85,O95)</f>
        <v>0</v>
      </c>
      <c r="Q95" s="5"/>
      <c r="R95" s="5"/>
      <c r="S95" s="5"/>
      <c r="T95" s="5"/>
      <c r="U95" s="5"/>
      <c r="V95" s="5"/>
      <c r="W95" s="5">
        <v>0</v>
      </c>
      <c r="X95" s="5">
        <v>1</v>
      </c>
      <c r="Y95" s="5">
        <v>0</v>
      </c>
      <c r="Z95" s="5">
        <v>0</v>
      </c>
      <c r="AA95" s="5">
        <v>1</v>
      </c>
      <c r="AB95" s="5">
        <v>0</v>
      </c>
      <c r="IF95">
        <v>-1</v>
      </c>
    </row>
    <row r="96" spans="1:255" x14ac:dyDescent="0.2">
      <c r="A96" s="5">
        <v>50</v>
      </c>
      <c r="B96" s="5">
        <v>0</v>
      </c>
      <c r="C96" s="5">
        <v>0</v>
      </c>
      <c r="D96" s="5">
        <v>1</v>
      </c>
      <c r="E96" s="5">
        <v>229</v>
      </c>
      <c r="F96" s="5">
        <f>ROUND(Source!AZ85,O96)</f>
        <v>0</v>
      </c>
      <c r="G96" s="5" t="s">
        <v>160</v>
      </c>
      <c r="H96" s="5" t="s">
        <v>161</v>
      </c>
      <c r="I96" s="5"/>
      <c r="J96" s="5"/>
      <c r="K96" s="5">
        <v>229</v>
      </c>
      <c r="L96" s="5">
        <v>10</v>
      </c>
      <c r="M96" s="5">
        <v>3</v>
      </c>
      <c r="N96" s="5" t="s">
        <v>6</v>
      </c>
      <c r="O96" s="5">
        <v>0</v>
      </c>
      <c r="P96" s="5">
        <f>ROUND(Source!ER85,O96)</f>
        <v>0</v>
      </c>
      <c r="Q96" s="5"/>
      <c r="R96" s="5"/>
      <c r="S96" s="5"/>
      <c r="T96" s="5"/>
      <c r="U96" s="5"/>
      <c r="V96" s="5"/>
      <c r="W96" s="5">
        <v>0</v>
      </c>
      <c r="X96" s="5">
        <v>1</v>
      </c>
      <c r="Y96" s="5">
        <v>0</v>
      </c>
      <c r="Z96" s="5">
        <v>0</v>
      </c>
      <c r="AA96" s="5">
        <v>1</v>
      </c>
      <c r="AB96" s="5">
        <v>0</v>
      </c>
      <c r="IF96">
        <v>-1</v>
      </c>
    </row>
    <row r="97" spans="1:240" x14ac:dyDescent="0.2">
      <c r="A97" s="5">
        <v>50</v>
      </c>
      <c r="B97" s="5">
        <v>0</v>
      </c>
      <c r="C97" s="5">
        <v>0</v>
      </c>
      <c r="D97" s="5">
        <v>1</v>
      </c>
      <c r="E97" s="5">
        <v>203</v>
      </c>
      <c r="F97" s="5" t="e">
        <f>ROUND(Source!Q85,O97)</f>
        <v>#REF!</v>
      </c>
      <c r="G97" s="5" t="s">
        <v>162</v>
      </c>
      <c r="H97" s="5" t="s">
        <v>163</v>
      </c>
      <c r="I97" s="5"/>
      <c r="J97" s="5"/>
      <c r="K97" s="5">
        <v>203</v>
      </c>
      <c r="L97" s="5">
        <v>11</v>
      </c>
      <c r="M97" s="5">
        <v>3</v>
      </c>
      <c r="N97" s="5" t="s">
        <v>6</v>
      </c>
      <c r="O97" s="5">
        <v>0</v>
      </c>
      <c r="P97" s="5" t="e">
        <f>ROUND(Source!DI85,O97)</f>
        <v>#REF!</v>
      </c>
      <c r="Q97" s="5"/>
      <c r="R97" s="5"/>
      <c r="S97" s="5"/>
      <c r="T97" s="5"/>
      <c r="U97" s="5"/>
      <c r="V97" s="5"/>
      <c r="W97" s="5">
        <v>25838</v>
      </c>
      <c r="X97" s="5">
        <v>1</v>
      </c>
      <c r="Y97" s="5">
        <v>25838</v>
      </c>
      <c r="Z97" s="5">
        <v>235761</v>
      </c>
      <c r="AA97" s="5">
        <v>1</v>
      </c>
      <c r="AB97" s="5">
        <v>235761</v>
      </c>
      <c r="IF97">
        <v>-1</v>
      </c>
    </row>
    <row r="98" spans="1:240" x14ac:dyDescent="0.2">
      <c r="A98" s="5">
        <v>50</v>
      </c>
      <c r="B98" s="5">
        <v>0</v>
      </c>
      <c r="C98" s="5">
        <v>0</v>
      </c>
      <c r="D98" s="5">
        <v>1</v>
      </c>
      <c r="E98" s="5">
        <v>231</v>
      </c>
      <c r="F98" s="5">
        <f>ROUND(Source!BB85,O98)</f>
        <v>0</v>
      </c>
      <c r="G98" s="5" t="s">
        <v>164</v>
      </c>
      <c r="H98" s="5" t="s">
        <v>165</v>
      </c>
      <c r="I98" s="5"/>
      <c r="J98" s="5"/>
      <c r="K98" s="5">
        <v>231</v>
      </c>
      <c r="L98" s="5">
        <v>12</v>
      </c>
      <c r="M98" s="5">
        <v>3</v>
      </c>
      <c r="N98" s="5" t="s">
        <v>6</v>
      </c>
      <c r="O98" s="5">
        <v>0</v>
      </c>
      <c r="P98" s="5">
        <f>ROUND(Source!ET85,O98)</f>
        <v>0</v>
      </c>
      <c r="Q98" s="5"/>
      <c r="R98" s="5"/>
      <c r="S98" s="5"/>
      <c r="T98" s="5"/>
      <c r="U98" s="5"/>
      <c r="V98" s="5"/>
      <c r="W98" s="5">
        <v>0</v>
      </c>
      <c r="X98" s="5">
        <v>1</v>
      </c>
      <c r="Y98" s="5">
        <v>0</v>
      </c>
      <c r="Z98" s="5">
        <v>0</v>
      </c>
      <c r="AA98" s="5">
        <v>1</v>
      </c>
      <c r="AB98" s="5">
        <v>0</v>
      </c>
      <c r="IF98">
        <v>-1</v>
      </c>
    </row>
    <row r="99" spans="1:240" x14ac:dyDescent="0.2">
      <c r="A99" s="5">
        <v>50</v>
      </c>
      <c r="B99" s="5">
        <v>0</v>
      </c>
      <c r="C99" s="5">
        <v>0</v>
      </c>
      <c r="D99" s="5">
        <v>1</v>
      </c>
      <c r="E99" s="5">
        <v>204</v>
      </c>
      <c r="F99" s="5" t="e">
        <f>ROUND(Source!R85,O99)</f>
        <v>#REF!</v>
      </c>
      <c r="G99" s="5" t="s">
        <v>166</v>
      </c>
      <c r="H99" s="5" t="s">
        <v>167</v>
      </c>
      <c r="I99" s="5"/>
      <c r="J99" s="5"/>
      <c r="K99" s="5">
        <v>204</v>
      </c>
      <c r="L99" s="5">
        <v>13</v>
      </c>
      <c r="M99" s="5">
        <v>3</v>
      </c>
      <c r="N99" s="5" t="s">
        <v>6</v>
      </c>
      <c r="O99" s="5">
        <v>0</v>
      </c>
      <c r="P99" s="5" t="e">
        <f>ROUND(Source!DJ85,O99)</f>
        <v>#REF!</v>
      </c>
      <c r="Q99" s="5"/>
      <c r="R99" s="5"/>
      <c r="S99" s="5"/>
      <c r="T99" s="5"/>
      <c r="U99" s="5"/>
      <c r="V99" s="5"/>
      <c r="W99" s="5">
        <v>3153</v>
      </c>
      <c r="X99" s="5">
        <v>1</v>
      </c>
      <c r="Y99" s="5">
        <v>3153</v>
      </c>
      <c r="Z99" s="5">
        <v>62434</v>
      </c>
      <c r="AA99" s="5">
        <v>1</v>
      </c>
      <c r="AB99" s="5">
        <v>62434</v>
      </c>
      <c r="IF99">
        <v>-1</v>
      </c>
    </row>
    <row r="100" spans="1:240" x14ac:dyDescent="0.2">
      <c r="A100" s="5">
        <v>50</v>
      </c>
      <c r="B100" s="5">
        <v>0</v>
      </c>
      <c r="C100" s="5">
        <v>0</v>
      </c>
      <c r="D100" s="5">
        <v>1</v>
      </c>
      <c r="E100" s="5">
        <v>205</v>
      </c>
      <c r="F100" s="5" t="e">
        <f>ROUND(Source!S85,O100)</f>
        <v>#REF!</v>
      </c>
      <c r="G100" s="5" t="s">
        <v>168</v>
      </c>
      <c r="H100" s="5" t="s">
        <v>169</v>
      </c>
      <c r="I100" s="5"/>
      <c r="J100" s="5"/>
      <c r="K100" s="5">
        <v>205</v>
      </c>
      <c r="L100" s="5">
        <v>14</v>
      </c>
      <c r="M100" s="5">
        <v>3</v>
      </c>
      <c r="N100" s="5" t="s">
        <v>6</v>
      </c>
      <c r="O100" s="5">
        <v>0</v>
      </c>
      <c r="P100" s="5" t="e">
        <f>ROUND(Source!DK85,O100)</f>
        <v>#REF!</v>
      </c>
      <c r="Q100" s="5"/>
      <c r="R100" s="5"/>
      <c r="S100" s="5"/>
      <c r="T100" s="5"/>
      <c r="U100" s="5"/>
      <c r="V100" s="5"/>
      <c r="W100" s="5">
        <v>12135</v>
      </c>
      <c r="X100" s="5">
        <v>1</v>
      </c>
      <c r="Y100" s="5">
        <v>12135</v>
      </c>
      <c r="Z100" s="5">
        <v>359449</v>
      </c>
      <c r="AA100" s="5">
        <v>1</v>
      </c>
      <c r="AB100" s="5">
        <v>359449</v>
      </c>
      <c r="IF100">
        <v>-1</v>
      </c>
    </row>
    <row r="101" spans="1:240" x14ac:dyDescent="0.2">
      <c r="A101" s="5">
        <v>50</v>
      </c>
      <c r="B101" s="5">
        <v>0</v>
      </c>
      <c r="C101" s="5">
        <v>0</v>
      </c>
      <c r="D101" s="5">
        <v>1</v>
      </c>
      <c r="E101" s="5">
        <v>232</v>
      </c>
      <c r="F101" s="5">
        <f>ROUND(Source!BC85,O101)</f>
        <v>0</v>
      </c>
      <c r="G101" s="5" t="s">
        <v>170</v>
      </c>
      <c r="H101" s="5" t="s">
        <v>171</v>
      </c>
      <c r="I101" s="5"/>
      <c r="J101" s="5"/>
      <c r="K101" s="5">
        <v>232</v>
      </c>
      <c r="L101" s="5">
        <v>15</v>
      </c>
      <c r="M101" s="5">
        <v>3</v>
      </c>
      <c r="N101" s="5" t="s">
        <v>6</v>
      </c>
      <c r="O101" s="5">
        <v>0</v>
      </c>
      <c r="P101" s="5">
        <f>ROUND(Source!EU85,O101)</f>
        <v>0</v>
      </c>
      <c r="Q101" s="5"/>
      <c r="R101" s="5"/>
      <c r="S101" s="5"/>
      <c r="T101" s="5"/>
      <c r="U101" s="5"/>
      <c r="V101" s="5"/>
      <c r="W101" s="5">
        <v>0</v>
      </c>
      <c r="X101" s="5">
        <v>1</v>
      </c>
      <c r="Y101" s="5">
        <v>0</v>
      </c>
      <c r="Z101" s="5">
        <v>0</v>
      </c>
      <c r="AA101" s="5">
        <v>1</v>
      </c>
      <c r="AB101" s="5">
        <v>0</v>
      </c>
      <c r="IF101">
        <v>-1</v>
      </c>
    </row>
    <row r="102" spans="1:240" x14ac:dyDescent="0.2">
      <c r="A102" s="5">
        <v>50</v>
      </c>
      <c r="B102" s="5">
        <v>0</v>
      </c>
      <c r="C102" s="5">
        <v>0</v>
      </c>
      <c r="D102" s="5">
        <v>1</v>
      </c>
      <c r="E102" s="5">
        <v>214</v>
      </c>
      <c r="F102" s="5" t="e">
        <f>ROUND(Source!AS85,O102)</f>
        <v>#REF!</v>
      </c>
      <c r="G102" s="5" t="s">
        <v>172</v>
      </c>
      <c r="H102" s="5" t="s">
        <v>173</v>
      </c>
      <c r="I102" s="5"/>
      <c r="J102" s="5"/>
      <c r="K102" s="5">
        <v>214</v>
      </c>
      <c r="L102" s="5">
        <v>16</v>
      </c>
      <c r="M102" s="5">
        <v>3</v>
      </c>
      <c r="N102" s="5" t="s">
        <v>6</v>
      </c>
      <c r="O102" s="5">
        <v>0</v>
      </c>
      <c r="P102" s="5" t="e">
        <f>ROUND(Source!EK85,O102)</f>
        <v>#REF!</v>
      </c>
      <c r="Q102" s="5"/>
      <c r="R102" s="5"/>
      <c r="S102" s="5"/>
      <c r="T102" s="5"/>
      <c r="U102" s="5"/>
      <c r="V102" s="5"/>
      <c r="W102" s="5">
        <v>190061</v>
      </c>
      <c r="X102" s="5">
        <v>1</v>
      </c>
      <c r="Y102" s="5">
        <v>190061</v>
      </c>
      <c r="Z102" s="5">
        <v>2417388</v>
      </c>
      <c r="AA102" s="5">
        <v>1</v>
      </c>
      <c r="AB102" s="5">
        <v>2417388</v>
      </c>
      <c r="IF102">
        <v>-1</v>
      </c>
    </row>
    <row r="103" spans="1:240" x14ac:dyDescent="0.2">
      <c r="A103" s="5">
        <v>50</v>
      </c>
      <c r="B103" s="5">
        <v>0</v>
      </c>
      <c r="C103" s="5">
        <v>0</v>
      </c>
      <c r="D103" s="5">
        <v>1</v>
      </c>
      <c r="E103" s="5">
        <v>215</v>
      </c>
      <c r="F103" s="5">
        <f>ROUND(Source!AT85,O103)</f>
        <v>170</v>
      </c>
      <c r="G103" s="5" t="s">
        <v>174</v>
      </c>
      <c r="H103" s="5" t="s">
        <v>175</v>
      </c>
      <c r="I103" s="5"/>
      <c r="J103" s="5"/>
      <c r="K103" s="5">
        <v>215</v>
      </c>
      <c r="L103" s="5">
        <v>17</v>
      </c>
      <c r="M103" s="5">
        <v>3</v>
      </c>
      <c r="N103" s="5" t="s">
        <v>6</v>
      </c>
      <c r="O103" s="5">
        <v>0</v>
      </c>
      <c r="P103" s="5">
        <f>ROUND(Source!EL85,O103)</f>
        <v>1166</v>
      </c>
      <c r="Q103" s="5"/>
      <c r="R103" s="5"/>
      <c r="S103" s="5"/>
      <c r="T103" s="5"/>
      <c r="U103" s="5"/>
      <c r="V103" s="5"/>
      <c r="W103" s="5">
        <v>676</v>
      </c>
      <c r="X103" s="5">
        <v>1</v>
      </c>
      <c r="Y103" s="5">
        <v>676</v>
      </c>
      <c r="Z103" s="5">
        <v>4667</v>
      </c>
      <c r="AA103" s="5">
        <v>1</v>
      </c>
      <c r="AB103" s="5">
        <v>4667</v>
      </c>
      <c r="IF103">
        <v>-1</v>
      </c>
    </row>
    <row r="104" spans="1:240" x14ac:dyDescent="0.2">
      <c r="A104" s="5">
        <v>50</v>
      </c>
      <c r="B104" s="5">
        <v>0</v>
      </c>
      <c r="C104" s="5">
        <v>0</v>
      </c>
      <c r="D104" s="5">
        <v>1</v>
      </c>
      <c r="E104" s="5">
        <v>217</v>
      </c>
      <c r="F104" s="5">
        <f>ROUND(Source!AU85,O104)</f>
        <v>0</v>
      </c>
      <c r="G104" s="5" t="s">
        <v>176</v>
      </c>
      <c r="H104" s="5" t="s">
        <v>177</v>
      </c>
      <c r="I104" s="5"/>
      <c r="J104" s="5"/>
      <c r="K104" s="5">
        <v>217</v>
      </c>
      <c r="L104" s="5">
        <v>18</v>
      </c>
      <c r="M104" s="5">
        <v>3</v>
      </c>
      <c r="N104" s="5" t="s">
        <v>6</v>
      </c>
      <c r="O104" s="5">
        <v>0</v>
      </c>
      <c r="P104" s="5">
        <f>ROUND(Source!EM85,O104)</f>
        <v>0</v>
      </c>
      <c r="Q104" s="5"/>
      <c r="R104" s="5"/>
      <c r="S104" s="5"/>
      <c r="T104" s="5"/>
      <c r="U104" s="5"/>
      <c r="V104" s="5"/>
      <c r="W104" s="5">
        <v>0</v>
      </c>
      <c r="X104" s="5">
        <v>1</v>
      </c>
      <c r="Y104" s="5">
        <v>0</v>
      </c>
      <c r="Z104" s="5">
        <v>0</v>
      </c>
      <c r="AA104" s="5">
        <v>1</v>
      </c>
      <c r="AB104" s="5">
        <v>0</v>
      </c>
      <c r="IF104">
        <v>-1</v>
      </c>
    </row>
    <row r="105" spans="1:240" x14ac:dyDescent="0.2">
      <c r="A105" s="5">
        <v>50</v>
      </c>
      <c r="B105" s="5">
        <v>0</v>
      </c>
      <c r="C105" s="5">
        <v>0</v>
      </c>
      <c r="D105" s="5">
        <v>1</v>
      </c>
      <c r="E105" s="5">
        <v>230</v>
      </c>
      <c r="F105" s="5" t="e">
        <f>ROUND(Source!BA85,O105)</f>
        <v>#REF!</v>
      </c>
      <c r="G105" s="5" t="s">
        <v>178</v>
      </c>
      <c r="H105" s="5" t="s">
        <v>179</v>
      </c>
      <c r="I105" s="5"/>
      <c r="J105" s="5"/>
      <c r="K105" s="5">
        <v>230</v>
      </c>
      <c r="L105" s="5">
        <v>19</v>
      </c>
      <c r="M105" s="5">
        <v>3</v>
      </c>
      <c r="N105" s="5" t="s">
        <v>6</v>
      </c>
      <c r="O105" s="5">
        <v>0</v>
      </c>
      <c r="P105" s="5" t="e">
        <f>ROUND(Source!ES85,O105)</f>
        <v>#REF!</v>
      </c>
      <c r="Q105" s="5"/>
      <c r="R105" s="5"/>
      <c r="S105" s="5"/>
      <c r="T105" s="5"/>
      <c r="U105" s="5"/>
      <c r="V105" s="5"/>
      <c r="W105" s="5">
        <v>0</v>
      </c>
      <c r="X105" s="5">
        <v>1</v>
      </c>
      <c r="Y105" s="5">
        <v>0</v>
      </c>
      <c r="Z105" s="5">
        <v>0</v>
      </c>
      <c r="AA105" s="5">
        <v>1</v>
      </c>
      <c r="AB105" s="5">
        <v>0</v>
      </c>
      <c r="IF105">
        <v>-1</v>
      </c>
    </row>
    <row r="106" spans="1:240" x14ac:dyDescent="0.2">
      <c r="A106" s="5">
        <v>50</v>
      </c>
      <c r="B106" s="5">
        <v>0</v>
      </c>
      <c r="C106" s="5">
        <v>0</v>
      </c>
      <c r="D106" s="5">
        <v>1</v>
      </c>
      <c r="E106" s="5">
        <v>206</v>
      </c>
      <c r="F106" s="5" t="e">
        <f>ROUND(Source!T85,O106)</f>
        <v>#REF!</v>
      </c>
      <c r="G106" s="5" t="s">
        <v>180</v>
      </c>
      <c r="H106" s="5" t="s">
        <v>181</v>
      </c>
      <c r="I106" s="5"/>
      <c r="J106" s="5"/>
      <c r="K106" s="5">
        <v>206</v>
      </c>
      <c r="L106" s="5">
        <v>20</v>
      </c>
      <c r="M106" s="5">
        <v>3</v>
      </c>
      <c r="N106" s="5" t="s">
        <v>6</v>
      </c>
      <c r="O106" s="5">
        <v>0</v>
      </c>
      <c r="P106" s="5" t="e">
        <f>ROUND(Source!DL85,O106)</f>
        <v>#REF!</v>
      </c>
      <c r="Q106" s="5"/>
      <c r="R106" s="5"/>
      <c r="S106" s="5"/>
      <c r="T106" s="5"/>
      <c r="U106" s="5"/>
      <c r="V106" s="5"/>
      <c r="W106" s="5">
        <v>0</v>
      </c>
      <c r="X106" s="5">
        <v>1</v>
      </c>
      <c r="Y106" s="5">
        <v>0</v>
      </c>
      <c r="Z106" s="5">
        <v>0</v>
      </c>
      <c r="AA106" s="5">
        <v>1</v>
      </c>
      <c r="AB106" s="5">
        <v>0</v>
      </c>
      <c r="IF106">
        <v>-1</v>
      </c>
    </row>
    <row r="107" spans="1:240" x14ac:dyDescent="0.2">
      <c r="A107" s="5">
        <v>50</v>
      </c>
      <c r="B107" s="5">
        <v>0</v>
      </c>
      <c r="C107" s="5">
        <v>0</v>
      </c>
      <c r="D107" s="5">
        <v>1</v>
      </c>
      <c r="E107" s="5">
        <v>207</v>
      </c>
      <c r="F107" s="5" t="e">
        <f>Source!U85</f>
        <v>#REF!</v>
      </c>
      <c r="G107" s="5" t="s">
        <v>182</v>
      </c>
      <c r="H107" s="5" t="s">
        <v>183</v>
      </c>
      <c r="I107" s="5"/>
      <c r="J107" s="5"/>
      <c r="K107" s="5">
        <v>207</v>
      </c>
      <c r="L107" s="5">
        <v>21</v>
      </c>
      <c r="M107" s="5">
        <v>3</v>
      </c>
      <c r="N107" s="5" t="s">
        <v>6</v>
      </c>
      <c r="O107" s="5">
        <v>-1</v>
      </c>
      <c r="P107" s="5" t="e">
        <f>Source!DM85</f>
        <v>#REF!</v>
      </c>
      <c r="Q107" s="5"/>
      <c r="R107" s="5"/>
      <c r="S107" s="5"/>
      <c r="T107" s="5"/>
      <c r="U107" s="5"/>
      <c r="V107" s="5"/>
      <c r="W107" s="5">
        <v>1212.3315246</v>
      </c>
      <c r="X107" s="5">
        <v>1</v>
      </c>
      <c r="Y107" s="5">
        <v>1212.3315246</v>
      </c>
      <c r="Z107" s="5">
        <v>1212.3315246</v>
      </c>
      <c r="AA107" s="5">
        <v>1</v>
      </c>
      <c r="AB107" s="5">
        <v>1212.3315246</v>
      </c>
      <c r="IF107">
        <v>-1</v>
      </c>
    </row>
    <row r="108" spans="1:240" x14ac:dyDescent="0.2">
      <c r="A108" s="5">
        <v>50</v>
      </c>
      <c r="B108" s="5">
        <v>0</v>
      </c>
      <c r="C108" s="5">
        <v>0</v>
      </c>
      <c r="D108" s="5">
        <v>1</v>
      </c>
      <c r="E108" s="5">
        <v>208</v>
      </c>
      <c r="F108" s="5" t="e">
        <f>Source!V85</f>
        <v>#REF!</v>
      </c>
      <c r="G108" s="5" t="s">
        <v>184</v>
      </c>
      <c r="H108" s="5" t="s">
        <v>185</v>
      </c>
      <c r="I108" s="5"/>
      <c r="J108" s="5"/>
      <c r="K108" s="5">
        <v>208</v>
      </c>
      <c r="L108" s="5">
        <v>22</v>
      </c>
      <c r="M108" s="5">
        <v>3</v>
      </c>
      <c r="N108" s="5" t="s">
        <v>6</v>
      </c>
      <c r="O108" s="5">
        <v>-1</v>
      </c>
      <c r="P108" s="5" t="e">
        <f>Source!DN85</f>
        <v>#REF!</v>
      </c>
      <c r="Q108" s="5"/>
      <c r="R108" s="5"/>
      <c r="S108" s="5"/>
      <c r="T108" s="5"/>
      <c r="U108" s="5"/>
      <c r="V108" s="5"/>
      <c r="W108" s="5">
        <v>234.89691200000004</v>
      </c>
      <c r="X108" s="5">
        <v>1</v>
      </c>
      <c r="Y108" s="5">
        <v>234.89691200000004</v>
      </c>
      <c r="Z108" s="5">
        <v>234.89691200000004</v>
      </c>
      <c r="AA108" s="5">
        <v>1</v>
      </c>
      <c r="AB108" s="5">
        <v>234.89691200000004</v>
      </c>
      <c r="IF108">
        <v>-1</v>
      </c>
    </row>
    <row r="109" spans="1:240" x14ac:dyDescent="0.2">
      <c r="A109" s="5">
        <v>50</v>
      </c>
      <c r="B109" s="5">
        <v>0</v>
      </c>
      <c r="C109" s="5">
        <v>0</v>
      </c>
      <c r="D109" s="5">
        <v>1</v>
      </c>
      <c r="E109" s="5">
        <v>209</v>
      </c>
      <c r="F109" s="5" t="e">
        <f>ROUND(Source!W85,O109)</f>
        <v>#REF!</v>
      </c>
      <c r="G109" s="5" t="s">
        <v>186</v>
      </c>
      <c r="H109" s="5" t="s">
        <v>187</v>
      </c>
      <c r="I109" s="5"/>
      <c r="J109" s="5"/>
      <c r="K109" s="5">
        <v>209</v>
      </c>
      <c r="L109" s="5">
        <v>23</v>
      </c>
      <c r="M109" s="5">
        <v>3</v>
      </c>
      <c r="N109" s="5" t="s">
        <v>6</v>
      </c>
      <c r="O109" s="5">
        <v>0</v>
      </c>
      <c r="P109" s="5" t="e">
        <f>ROUND(Source!DO85,O109)</f>
        <v>#REF!</v>
      </c>
      <c r="Q109" s="5"/>
      <c r="R109" s="5"/>
      <c r="S109" s="5"/>
      <c r="T109" s="5"/>
      <c r="U109" s="5"/>
      <c r="V109" s="5"/>
      <c r="W109" s="5">
        <v>8</v>
      </c>
      <c r="X109" s="5">
        <v>1</v>
      </c>
      <c r="Y109" s="5">
        <v>8</v>
      </c>
      <c r="Z109" s="5">
        <v>8</v>
      </c>
      <c r="AA109" s="5">
        <v>1</v>
      </c>
      <c r="AB109" s="5">
        <v>8</v>
      </c>
      <c r="IF109">
        <v>-1</v>
      </c>
    </row>
    <row r="110" spans="1:240" x14ac:dyDescent="0.2">
      <c r="A110" s="5">
        <v>50</v>
      </c>
      <c r="B110" s="5">
        <v>0</v>
      </c>
      <c r="C110" s="5">
        <v>0</v>
      </c>
      <c r="D110" s="5">
        <v>1</v>
      </c>
      <c r="E110" s="5">
        <v>233</v>
      </c>
      <c r="F110" s="5">
        <f>ROUND(Source!BD85,O110)</f>
        <v>0</v>
      </c>
      <c r="G110" s="5" t="s">
        <v>188</v>
      </c>
      <c r="H110" s="5" t="s">
        <v>189</v>
      </c>
      <c r="I110" s="5"/>
      <c r="J110" s="5"/>
      <c r="K110" s="5">
        <v>233</v>
      </c>
      <c r="L110" s="5">
        <v>24</v>
      </c>
      <c r="M110" s="5">
        <v>3</v>
      </c>
      <c r="N110" s="5" t="s">
        <v>6</v>
      </c>
      <c r="O110" s="5">
        <v>0</v>
      </c>
      <c r="P110" s="5">
        <f>ROUND(Source!EV85,O110)</f>
        <v>0</v>
      </c>
      <c r="Q110" s="5"/>
      <c r="R110" s="5"/>
      <c r="S110" s="5"/>
      <c r="T110" s="5"/>
      <c r="U110" s="5"/>
      <c r="V110" s="5"/>
      <c r="W110" s="5">
        <v>0</v>
      </c>
      <c r="X110" s="5">
        <v>1</v>
      </c>
      <c r="Y110" s="5">
        <v>0</v>
      </c>
      <c r="Z110" s="5">
        <v>0</v>
      </c>
      <c r="AA110" s="5">
        <v>1</v>
      </c>
      <c r="AB110" s="5">
        <v>0</v>
      </c>
      <c r="IF110">
        <v>-1</v>
      </c>
    </row>
    <row r="111" spans="1:240" x14ac:dyDescent="0.2">
      <c r="A111" s="5">
        <v>50</v>
      </c>
      <c r="B111" s="5">
        <v>0</v>
      </c>
      <c r="C111" s="5">
        <v>0</v>
      </c>
      <c r="D111" s="5">
        <v>1</v>
      </c>
      <c r="E111" s="5">
        <v>210</v>
      </c>
      <c r="F111" s="5" t="e">
        <f>ROUND(Source!X85,O111)</f>
        <v>#REF!</v>
      </c>
      <c r="G111" s="5" t="s">
        <v>190</v>
      </c>
      <c r="H111" s="5" t="s">
        <v>191</v>
      </c>
      <c r="I111" s="5"/>
      <c r="J111" s="5"/>
      <c r="K111" s="5">
        <v>210</v>
      </c>
      <c r="L111" s="5">
        <v>25</v>
      </c>
      <c r="M111" s="5">
        <v>3</v>
      </c>
      <c r="N111" s="5" t="s">
        <v>6</v>
      </c>
      <c r="O111" s="5">
        <v>0</v>
      </c>
      <c r="P111" s="5" t="e">
        <f>ROUND(Source!DP85,O111)</f>
        <v>#REF!</v>
      </c>
      <c r="Q111" s="5"/>
      <c r="R111" s="5"/>
      <c r="S111" s="5"/>
      <c r="T111" s="5"/>
      <c r="U111" s="5"/>
      <c r="V111" s="5"/>
      <c r="W111" s="5">
        <v>14044</v>
      </c>
      <c r="X111" s="5">
        <v>1</v>
      </c>
      <c r="Y111" s="5">
        <v>14044</v>
      </c>
      <c r="Z111" s="5">
        <v>379750</v>
      </c>
      <c r="AA111" s="5">
        <v>1</v>
      </c>
      <c r="AB111" s="5">
        <v>379750</v>
      </c>
      <c r="IF111">
        <v>-1</v>
      </c>
    </row>
    <row r="112" spans="1:240" x14ac:dyDescent="0.2">
      <c r="A112" s="5">
        <v>50</v>
      </c>
      <c r="B112" s="5">
        <v>0</v>
      </c>
      <c r="C112" s="5">
        <v>0</v>
      </c>
      <c r="D112" s="5">
        <v>1</v>
      </c>
      <c r="E112" s="5">
        <v>211</v>
      </c>
      <c r="F112" s="5" t="e">
        <f>ROUND(Source!Y85,O112)</f>
        <v>#REF!</v>
      </c>
      <c r="G112" s="5" t="s">
        <v>192</v>
      </c>
      <c r="H112" s="5" t="s">
        <v>193</v>
      </c>
      <c r="I112" s="5"/>
      <c r="J112" s="5"/>
      <c r="K112" s="5">
        <v>211</v>
      </c>
      <c r="L112" s="5">
        <v>26</v>
      </c>
      <c r="M112" s="5">
        <v>3</v>
      </c>
      <c r="N112" s="5" t="s">
        <v>6</v>
      </c>
      <c r="O112" s="5">
        <v>0</v>
      </c>
      <c r="P112" s="5" t="e">
        <f>ROUND(Source!DQ85,O112)</f>
        <v>#REF!</v>
      </c>
      <c r="Q112" s="5"/>
      <c r="R112" s="5"/>
      <c r="S112" s="5"/>
      <c r="T112" s="5"/>
      <c r="U112" s="5"/>
      <c r="V112" s="5"/>
      <c r="W112" s="5">
        <v>10314</v>
      </c>
      <c r="X112" s="5">
        <v>1</v>
      </c>
      <c r="Y112" s="5">
        <v>10314</v>
      </c>
      <c r="Z112" s="5">
        <v>244678</v>
      </c>
      <c r="AA112" s="5">
        <v>1</v>
      </c>
      <c r="AB112" s="5">
        <v>244678</v>
      </c>
      <c r="IF112">
        <v>-1</v>
      </c>
    </row>
    <row r="113" spans="1:255" x14ac:dyDescent="0.2">
      <c r="A113" s="5">
        <v>50</v>
      </c>
      <c r="B113" s="5">
        <v>0</v>
      </c>
      <c r="C113" s="5">
        <v>0</v>
      </c>
      <c r="D113" s="5">
        <v>1</v>
      </c>
      <c r="E113" s="5">
        <v>224</v>
      </c>
      <c r="F113" s="5" t="e">
        <f>ROUND(Source!AR85,O113)</f>
        <v>#REF!</v>
      </c>
      <c r="G113" s="5" t="s">
        <v>194</v>
      </c>
      <c r="H113" s="5" t="s">
        <v>195</v>
      </c>
      <c r="I113" s="5"/>
      <c r="J113" s="5"/>
      <c r="K113" s="5">
        <v>224</v>
      </c>
      <c r="L113" s="5">
        <v>27</v>
      </c>
      <c r="M113" s="5">
        <v>3</v>
      </c>
      <c r="N113" s="5" t="s">
        <v>6</v>
      </c>
      <c r="O113" s="5">
        <v>0</v>
      </c>
      <c r="P113" s="5" t="e">
        <f>ROUND(Source!EJ85,O113)</f>
        <v>#REF!</v>
      </c>
      <c r="Q113" s="5"/>
      <c r="R113" s="5"/>
      <c r="S113" s="5"/>
      <c r="T113" s="5"/>
      <c r="U113" s="5"/>
      <c r="V113" s="5"/>
      <c r="W113" s="5">
        <v>190737</v>
      </c>
      <c r="X113" s="5">
        <v>1</v>
      </c>
      <c r="Y113" s="5">
        <v>190737</v>
      </c>
      <c r="Z113" s="5">
        <v>2422055</v>
      </c>
      <c r="AA113" s="5">
        <v>1</v>
      </c>
      <c r="AB113" s="5">
        <v>2422055</v>
      </c>
      <c r="IF113">
        <v>-1</v>
      </c>
    </row>
    <row r="114" spans="1:255" x14ac:dyDescent="0.2">
      <c r="IF114">
        <v>-1</v>
      </c>
    </row>
    <row r="115" spans="1:255" x14ac:dyDescent="0.2">
      <c r="A115" s="1">
        <v>4</v>
      </c>
      <c r="B115" s="1">
        <v>1</v>
      </c>
      <c r="C115" s="1"/>
      <c r="D115" s="1">
        <f>ROW(A282)</f>
        <v>282</v>
      </c>
      <c r="E115" s="1"/>
      <c r="F115" s="1" t="s">
        <v>196</v>
      </c>
      <c r="G115" s="1" t="s">
        <v>196</v>
      </c>
      <c r="H115" s="1" t="s">
        <v>6</v>
      </c>
      <c r="I115" s="1">
        <v>0</v>
      </c>
      <c r="J115" s="1"/>
      <c r="K115" s="1">
        <v>-1</v>
      </c>
      <c r="L115" s="1"/>
      <c r="M115" s="1" t="s">
        <v>6</v>
      </c>
      <c r="N115" s="1"/>
      <c r="O115" s="1"/>
      <c r="P115" s="1"/>
      <c r="Q115" s="1"/>
      <c r="R115" s="1"/>
      <c r="S115" s="1">
        <v>0</v>
      </c>
      <c r="T115" s="1">
        <v>0</v>
      </c>
      <c r="U115" s="1" t="s">
        <v>6</v>
      </c>
      <c r="V115" s="1">
        <v>0</v>
      </c>
      <c r="W115" s="1"/>
      <c r="X115" s="1"/>
      <c r="Y115" s="1"/>
      <c r="Z115" s="1"/>
      <c r="AA115" s="1"/>
      <c r="AB115" s="1" t="s">
        <v>6</v>
      </c>
      <c r="AC115" s="1" t="s">
        <v>6</v>
      </c>
      <c r="AD115" s="1" t="s">
        <v>6</v>
      </c>
      <c r="AE115" s="1" t="s">
        <v>6</v>
      </c>
      <c r="AF115" s="1" t="s">
        <v>6</v>
      </c>
      <c r="AG115" s="1" t="s">
        <v>6</v>
      </c>
      <c r="AH115" s="1"/>
      <c r="AI115" s="1"/>
      <c r="AJ115" s="1"/>
      <c r="AK115" s="1"/>
      <c r="AL115" s="1"/>
      <c r="AM115" s="1"/>
      <c r="AN115" s="1"/>
      <c r="AO115" s="1"/>
      <c r="AP115" s="1" t="s">
        <v>6</v>
      </c>
      <c r="AQ115" s="1" t="s">
        <v>6</v>
      </c>
      <c r="AR115" s="1" t="s">
        <v>6</v>
      </c>
      <c r="AS115" s="1"/>
      <c r="AT115" s="1"/>
      <c r="AU115" s="1"/>
      <c r="AV115" s="1"/>
      <c r="AW115" s="1"/>
      <c r="AX115" s="1"/>
      <c r="AY115" s="1"/>
      <c r="AZ115" s="1" t="s">
        <v>6</v>
      </c>
      <c r="BA115" s="1"/>
      <c r="BB115" s="1" t="s">
        <v>6</v>
      </c>
      <c r="BC115" s="1" t="s">
        <v>6</v>
      </c>
      <c r="BD115" s="1" t="s">
        <v>6</v>
      </c>
      <c r="BE115" s="1" t="s">
        <v>6</v>
      </c>
      <c r="BF115" s="1" t="s">
        <v>6</v>
      </c>
      <c r="BG115" s="1" t="s">
        <v>6</v>
      </c>
      <c r="BH115" s="1" t="s">
        <v>6</v>
      </c>
      <c r="BI115" s="1" t="s">
        <v>6</v>
      </c>
      <c r="BJ115" s="1" t="s">
        <v>6</v>
      </c>
      <c r="BK115" s="1" t="s">
        <v>6</v>
      </c>
      <c r="BL115" s="1" t="s">
        <v>6</v>
      </c>
      <c r="BM115" s="1" t="s">
        <v>6</v>
      </c>
      <c r="BN115" s="1" t="s">
        <v>6</v>
      </c>
      <c r="BO115" s="1" t="s">
        <v>6</v>
      </c>
      <c r="BP115" s="1" t="s">
        <v>6</v>
      </c>
      <c r="BQ115" s="1"/>
      <c r="BR115" s="1"/>
      <c r="BS115" s="1"/>
      <c r="BT115" s="1"/>
      <c r="BU115" s="1"/>
      <c r="BV115" s="1"/>
      <c r="BW115" s="1"/>
      <c r="BX115" s="1">
        <v>0</v>
      </c>
      <c r="BY115" s="1"/>
      <c r="BZ115" s="1"/>
      <c r="CA115" s="1"/>
      <c r="CB115" s="1"/>
      <c r="CC115" s="1"/>
      <c r="CD115" s="1"/>
      <c r="CE115" s="1"/>
      <c r="CF115" s="1"/>
      <c r="CG115" s="1"/>
      <c r="CH115" s="1"/>
      <c r="CI115" s="1"/>
      <c r="CJ115" s="1">
        <v>0</v>
      </c>
      <c r="IF115">
        <v>-1</v>
      </c>
    </row>
    <row r="116" spans="1:255" x14ac:dyDescent="0.2">
      <c r="IF116">
        <v>-1</v>
      </c>
    </row>
    <row r="117" spans="1:255" x14ac:dyDescent="0.2">
      <c r="A117" s="3">
        <v>52</v>
      </c>
      <c r="B117" s="3">
        <f t="shared" ref="B117:G117" si="103">B282</f>
        <v>1</v>
      </c>
      <c r="C117" s="3">
        <f t="shared" si="103"/>
        <v>4</v>
      </c>
      <c r="D117" s="3">
        <f t="shared" si="103"/>
        <v>115</v>
      </c>
      <c r="E117" s="3">
        <f t="shared" si="103"/>
        <v>0</v>
      </c>
      <c r="F117" s="3" t="str">
        <f t="shared" si="103"/>
        <v>Стены монолит 17-20 этажи</v>
      </c>
      <c r="G117" s="3" t="str">
        <f t="shared" si="103"/>
        <v>Стены монолит 17-20 этажи</v>
      </c>
      <c r="H117" s="3"/>
      <c r="I117" s="3"/>
      <c r="J117" s="3"/>
      <c r="K117" s="3"/>
      <c r="L117" s="3"/>
      <c r="M117" s="3"/>
      <c r="N117" s="3"/>
      <c r="O117" s="3" t="e">
        <f t="shared" ref="O117:AT117" si="104">O282</f>
        <v>#REF!</v>
      </c>
      <c r="P117" s="3" t="e">
        <f t="shared" si="104"/>
        <v>#REF!</v>
      </c>
      <c r="Q117" s="3" t="e">
        <f t="shared" si="104"/>
        <v>#REF!</v>
      </c>
      <c r="R117" s="3" t="e">
        <f t="shared" si="104"/>
        <v>#REF!</v>
      </c>
      <c r="S117" s="3" t="e">
        <f t="shared" si="104"/>
        <v>#REF!</v>
      </c>
      <c r="T117" s="3" t="e">
        <f t="shared" si="104"/>
        <v>#REF!</v>
      </c>
      <c r="U117" s="3" t="e">
        <f t="shared" si="104"/>
        <v>#REF!</v>
      </c>
      <c r="V117" s="3" t="e">
        <f t="shared" si="104"/>
        <v>#REF!</v>
      </c>
      <c r="W117" s="3" t="e">
        <f t="shared" si="104"/>
        <v>#REF!</v>
      </c>
      <c r="X117" s="3" t="e">
        <f t="shared" si="104"/>
        <v>#REF!</v>
      </c>
      <c r="Y117" s="3" t="e">
        <f t="shared" si="104"/>
        <v>#REF!</v>
      </c>
      <c r="Z117" s="3">
        <f t="shared" si="104"/>
        <v>0</v>
      </c>
      <c r="AA117" s="3">
        <f t="shared" si="104"/>
        <v>0</v>
      </c>
      <c r="AB117" s="3" t="e">
        <f t="shared" si="104"/>
        <v>#REF!</v>
      </c>
      <c r="AC117" s="3" t="e">
        <f t="shared" si="104"/>
        <v>#REF!</v>
      </c>
      <c r="AD117" s="3" t="e">
        <f t="shared" si="104"/>
        <v>#REF!</v>
      </c>
      <c r="AE117" s="3" t="e">
        <f t="shared" si="104"/>
        <v>#REF!</v>
      </c>
      <c r="AF117" s="3" t="e">
        <f t="shared" si="104"/>
        <v>#REF!</v>
      </c>
      <c r="AG117" s="3" t="e">
        <f t="shared" si="104"/>
        <v>#REF!</v>
      </c>
      <c r="AH117" s="3" t="e">
        <f t="shared" si="104"/>
        <v>#REF!</v>
      </c>
      <c r="AI117" s="3" t="e">
        <f t="shared" si="104"/>
        <v>#REF!</v>
      </c>
      <c r="AJ117" s="3" t="e">
        <f t="shared" si="104"/>
        <v>#REF!</v>
      </c>
      <c r="AK117" s="3" t="e">
        <f t="shared" si="104"/>
        <v>#REF!</v>
      </c>
      <c r="AL117" s="3" t="e">
        <f t="shared" si="104"/>
        <v>#REF!</v>
      </c>
      <c r="AM117" s="3">
        <f t="shared" si="104"/>
        <v>0</v>
      </c>
      <c r="AN117" s="3">
        <f t="shared" si="104"/>
        <v>0</v>
      </c>
      <c r="AO117" s="3">
        <f t="shared" si="104"/>
        <v>0</v>
      </c>
      <c r="AP117" s="3">
        <f t="shared" si="104"/>
        <v>0</v>
      </c>
      <c r="AQ117" s="3">
        <f t="shared" si="104"/>
        <v>0</v>
      </c>
      <c r="AR117" s="3" t="e">
        <f t="shared" si="104"/>
        <v>#REF!</v>
      </c>
      <c r="AS117" s="3" t="e">
        <f t="shared" si="104"/>
        <v>#REF!</v>
      </c>
      <c r="AT117" s="3" t="e">
        <f t="shared" si="104"/>
        <v>#REF!</v>
      </c>
      <c r="AU117" s="3">
        <f t="shared" ref="AU117:BZ117" si="105">AU282</f>
        <v>0</v>
      </c>
      <c r="AV117" s="3" t="e">
        <f t="shared" si="105"/>
        <v>#REF!</v>
      </c>
      <c r="AW117" s="3" t="e">
        <f t="shared" si="105"/>
        <v>#REF!</v>
      </c>
      <c r="AX117" s="3">
        <f t="shared" si="105"/>
        <v>0</v>
      </c>
      <c r="AY117" s="3" t="e">
        <f t="shared" si="105"/>
        <v>#REF!</v>
      </c>
      <c r="AZ117" s="3">
        <f t="shared" si="105"/>
        <v>0</v>
      </c>
      <c r="BA117" s="3" t="e">
        <f t="shared" si="105"/>
        <v>#REF!</v>
      </c>
      <c r="BB117" s="3">
        <f t="shared" si="105"/>
        <v>0</v>
      </c>
      <c r="BC117" s="3">
        <f t="shared" si="105"/>
        <v>0</v>
      </c>
      <c r="BD117" s="3">
        <f t="shared" si="105"/>
        <v>0</v>
      </c>
      <c r="BE117" s="3">
        <f t="shared" si="105"/>
        <v>0</v>
      </c>
      <c r="BF117" s="3">
        <f t="shared" si="105"/>
        <v>0</v>
      </c>
      <c r="BG117" s="3">
        <f t="shared" si="105"/>
        <v>0</v>
      </c>
      <c r="BH117" s="3">
        <f t="shared" si="105"/>
        <v>0</v>
      </c>
      <c r="BI117" s="3">
        <f t="shared" si="105"/>
        <v>0</v>
      </c>
      <c r="BJ117" s="3">
        <f t="shared" si="105"/>
        <v>0</v>
      </c>
      <c r="BK117" s="3">
        <f t="shared" si="105"/>
        <v>0</v>
      </c>
      <c r="BL117" s="3">
        <f t="shared" si="105"/>
        <v>0</v>
      </c>
      <c r="BM117" s="3">
        <f t="shared" si="105"/>
        <v>0</v>
      </c>
      <c r="BN117" s="3">
        <f t="shared" si="105"/>
        <v>0</v>
      </c>
      <c r="BO117" s="3">
        <f t="shared" si="105"/>
        <v>0</v>
      </c>
      <c r="BP117" s="3">
        <f t="shared" si="105"/>
        <v>0</v>
      </c>
      <c r="BQ117" s="3">
        <f t="shared" si="105"/>
        <v>0</v>
      </c>
      <c r="BR117" s="3">
        <f t="shared" si="105"/>
        <v>0</v>
      </c>
      <c r="BS117" s="3">
        <f t="shared" si="105"/>
        <v>0</v>
      </c>
      <c r="BT117" s="3">
        <f t="shared" si="105"/>
        <v>0</v>
      </c>
      <c r="BU117" s="3">
        <f t="shared" si="105"/>
        <v>0</v>
      </c>
      <c r="BV117" s="3">
        <f t="shared" si="105"/>
        <v>0</v>
      </c>
      <c r="BW117" s="3">
        <f t="shared" si="105"/>
        <v>0</v>
      </c>
      <c r="BX117" s="3">
        <f t="shared" si="105"/>
        <v>0</v>
      </c>
      <c r="BY117" s="3">
        <f t="shared" si="105"/>
        <v>0</v>
      </c>
      <c r="BZ117" s="3">
        <f t="shared" si="105"/>
        <v>0</v>
      </c>
      <c r="CA117" s="3" t="e">
        <f t="shared" ref="CA117:DF117" si="106">CA282</f>
        <v>#REF!</v>
      </c>
      <c r="CB117" s="3" t="e">
        <f t="shared" si="106"/>
        <v>#REF!</v>
      </c>
      <c r="CC117" s="3" t="e">
        <f t="shared" si="106"/>
        <v>#REF!</v>
      </c>
      <c r="CD117" s="3">
        <f t="shared" si="106"/>
        <v>0</v>
      </c>
      <c r="CE117" s="3" t="e">
        <f t="shared" si="106"/>
        <v>#REF!</v>
      </c>
      <c r="CF117" s="3" t="e">
        <f t="shared" si="106"/>
        <v>#REF!</v>
      </c>
      <c r="CG117" s="3">
        <f t="shared" si="106"/>
        <v>0</v>
      </c>
      <c r="CH117" s="3" t="e">
        <f t="shared" si="106"/>
        <v>#REF!</v>
      </c>
      <c r="CI117" s="3">
        <f t="shared" si="106"/>
        <v>0</v>
      </c>
      <c r="CJ117" s="3" t="e">
        <f t="shared" si="106"/>
        <v>#REF!</v>
      </c>
      <c r="CK117" s="3">
        <f t="shared" si="106"/>
        <v>0</v>
      </c>
      <c r="CL117" s="3">
        <f t="shared" si="106"/>
        <v>0</v>
      </c>
      <c r="CM117" s="3">
        <f t="shared" si="106"/>
        <v>0</v>
      </c>
      <c r="CN117" s="3">
        <f t="shared" si="106"/>
        <v>0</v>
      </c>
      <c r="CO117" s="3">
        <f t="shared" si="106"/>
        <v>0</v>
      </c>
      <c r="CP117" s="3">
        <f t="shared" si="106"/>
        <v>0</v>
      </c>
      <c r="CQ117" s="3">
        <f t="shared" si="106"/>
        <v>0</v>
      </c>
      <c r="CR117" s="3">
        <f t="shared" si="106"/>
        <v>0</v>
      </c>
      <c r="CS117" s="3">
        <f t="shared" si="106"/>
        <v>0</v>
      </c>
      <c r="CT117" s="3">
        <f t="shared" si="106"/>
        <v>0</v>
      </c>
      <c r="CU117" s="3">
        <f t="shared" si="106"/>
        <v>0</v>
      </c>
      <c r="CV117" s="3">
        <f t="shared" si="106"/>
        <v>0</v>
      </c>
      <c r="CW117" s="3">
        <f t="shared" si="106"/>
        <v>0</v>
      </c>
      <c r="CX117" s="3">
        <f t="shared" si="106"/>
        <v>0</v>
      </c>
      <c r="CY117" s="3">
        <f t="shared" si="106"/>
        <v>0</v>
      </c>
      <c r="CZ117" s="3">
        <f t="shared" si="106"/>
        <v>0</v>
      </c>
      <c r="DA117" s="3">
        <f t="shared" si="106"/>
        <v>0</v>
      </c>
      <c r="DB117" s="3">
        <f t="shared" si="106"/>
        <v>0</v>
      </c>
      <c r="DC117" s="3">
        <f t="shared" si="106"/>
        <v>0</v>
      </c>
      <c r="DD117" s="3">
        <f t="shared" si="106"/>
        <v>0</v>
      </c>
      <c r="DE117" s="3">
        <f t="shared" si="106"/>
        <v>0</v>
      </c>
      <c r="DF117" s="3">
        <f t="shared" si="106"/>
        <v>0</v>
      </c>
      <c r="DG117" s="4" t="e">
        <f t="shared" ref="DG117:EL117" si="107">DG282</f>
        <v>#REF!</v>
      </c>
      <c r="DH117" s="4" t="e">
        <f t="shared" si="107"/>
        <v>#REF!</v>
      </c>
      <c r="DI117" s="4" t="e">
        <f t="shared" si="107"/>
        <v>#REF!</v>
      </c>
      <c r="DJ117" s="4" t="e">
        <f t="shared" si="107"/>
        <v>#REF!</v>
      </c>
      <c r="DK117" s="4" t="e">
        <f t="shared" si="107"/>
        <v>#REF!</v>
      </c>
      <c r="DL117" s="4" t="e">
        <f t="shared" si="107"/>
        <v>#REF!</v>
      </c>
      <c r="DM117" s="4" t="e">
        <f t="shared" si="107"/>
        <v>#REF!</v>
      </c>
      <c r="DN117" s="4" t="e">
        <f t="shared" si="107"/>
        <v>#REF!</v>
      </c>
      <c r="DO117" s="4" t="e">
        <f t="shared" si="107"/>
        <v>#REF!</v>
      </c>
      <c r="DP117" s="4" t="e">
        <f t="shared" si="107"/>
        <v>#REF!</v>
      </c>
      <c r="DQ117" s="4" t="e">
        <f t="shared" si="107"/>
        <v>#REF!</v>
      </c>
      <c r="DR117" s="4">
        <f t="shared" si="107"/>
        <v>0</v>
      </c>
      <c r="DS117" s="4">
        <f t="shared" si="107"/>
        <v>0</v>
      </c>
      <c r="DT117" s="4" t="e">
        <f t="shared" si="107"/>
        <v>#REF!</v>
      </c>
      <c r="DU117" s="4" t="e">
        <f t="shared" si="107"/>
        <v>#REF!</v>
      </c>
      <c r="DV117" s="4" t="e">
        <f t="shared" si="107"/>
        <v>#REF!</v>
      </c>
      <c r="DW117" s="4" t="e">
        <f t="shared" si="107"/>
        <v>#REF!</v>
      </c>
      <c r="DX117" s="4" t="e">
        <f t="shared" si="107"/>
        <v>#REF!</v>
      </c>
      <c r="DY117" s="4" t="e">
        <f t="shared" si="107"/>
        <v>#REF!</v>
      </c>
      <c r="DZ117" s="4" t="e">
        <f t="shared" si="107"/>
        <v>#REF!</v>
      </c>
      <c r="EA117" s="4" t="e">
        <f t="shared" si="107"/>
        <v>#REF!</v>
      </c>
      <c r="EB117" s="4" t="e">
        <f t="shared" si="107"/>
        <v>#REF!</v>
      </c>
      <c r="EC117" s="4" t="e">
        <f t="shared" si="107"/>
        <v>#REF!</v>
      </c>
      <c r="ED117" s="4" t="e">
        <f t="shared" si="107"/>
        <v>#REF!</v>
      </c>
      <c r="EE117" s="4">
        <f t="shared" si="107"/>
        <v>0</v>
      </c>
      <c r="EF117" s="4">
        <f t="shared" si="107"/>
        <v>0</v>
      </c>
      <c r="EG117" s="4">
        <f t="shared" si="107"/>
        <v>0</v>
      </c>
      <c r="EH117" s="4">
        <f t="shared" si="107"/>
        <v>0</v>
      </c>
      <c r="EI117" s="4">
        <f t="shared" si="107"/>
        <v>0</v>
      </c>
      <c r="EJ117" s="4" t="e">
        <f t="shared" si="107"/>
        <v>#REF!</v>
      </c>
      <c r="EK117" s="4" t="e">
        <f t="shared" si="107"/>
        <v>#REF!</v>
      </c>
      <c r="EL117" s="4" t="e">
        <f t="shared" si="107"/>
        <v>#REF!</v>
      </c>
      <c r="EM117" s="4">
        <f t="shared" ref="EM117:FR117" si="108">EM282</f>
        <v>0</v>
      </c>
      <c r="EN117" s="4" t="e">
        <f t="shared" si="108"/>
        <v>#REF!</v>
      </c>
      <c r="EO117" s="4" t="e">
        <f t="shared" si="108"/>
        <v>#REF!</v>
      </c>
      <c r="EP117" s="4">
        <f t="shared" si="108"/>
        <v>0</v>
      </c>
      <c r="EQ117" s="4" t="e">
        <f t="shared" si="108"/>
        <v>#REF!</v>
      </c>
      <c r="ER117" s="4">
        <f t="shared" si="108"/>
        <v>0</v>
      </c>
      <c r="ES117" s="4" t="e">
        <f t="shared" si="108"/>
        <v>#REF!</v>
      </c>
      <c r="ET117" s="4">
        <f t="shared" si="108"/>
        <v>0</v>
      </c>
      <c r="EU117" s="4">
        <f t="shared" si="108"/>
        <v>0</v>
      </c>
      <c r="EV117" s="4">
        <f t="shared" si="108"/>
        <v>0</v>
      </c>
      <c r="EW117" s="4">
        <f t="shared" si="108"/>
        <v>0</v>
      </c>
      <c r="EX117" s="4">
        <f t="shared" si="108"/>
        <v>0</v>
      </c>
      <c r="EY117" s="4">
        <f t="shared" si="108"/>
        <v>0</v>
      </c>
      <c r="EZ117" s="4">
        <f t="shared" si="108"/>
        <v>0</v>
      </c>
      <c r="FA117" s="4">
        <f t="shared" si="108"/>
        <v>0</v>
      </c>
      <c r="FB117" s="4">
        <f t="shared" si="108"/>
        <v>0</v>
      </c>
      <c r="FC117" s="4">
        <f t="shared" si="108"/>
        <v>0</v>
      </c>
      <c r="FD117" s="4">
        <f t="shared" si="108"/>
        <v>0</v>
      </c>
      <c r="FE117" s="4">
        <f t="shared" si="108"/>
        <v>0</v>
      </c>
      <c r="FF117" s="4">
        <f t="shared" si="108"/>
        <v>0</v>
      </c>
      <c r="FG117" s="4">
        <f t="shared" si="108"/>
        <v>0</v>
      </c>
      <c r="FH117" s="4">
        <f t="shared" si="108"/>
        <v>0</v>
      </c>
      <c r="FI117" s="4">
        <f t="shared" si="108"/>
        <v>0</v>
      </c>
      <c r="FJ117" s="4">
        <f t="shared" si="108"/>
        <v>0</v>
      </c>
      <c r="FK117" s="4">
        <f t="shared" si="108"/>
        <v>0</v>
      </c>
      <c r="FL117" s="4">
        <f t="shared" si="108"/>
        <v>0</v>
      </c>
      <c r="FM117" s="4">
        <f t="shared" si="108"/>
        <v>0</v>
      </c>
      <c r="FN117" s="4">
        <f t="shared" si="108"/>
        <v>0</v>
      </c>
      <c r="FO117" s="4">
        <f t="shared" si="108"/>
        <v>0</v>
      </c>
      <c r="FP117" s="4">
        <f t="shared" si="108"/>
        <v>0</v>
      </c>
      <c r="FQ117" s="4">
        <f t="shared" si="108"/>
        <v>0</v>
      </c>
      <c r="FR117" s="4">
        <f t="shared" si="108"/>
        <v>0</v>
      </c>
      <c r="FS117" s="4" t="e">
        <f t="shared" ref="FS117:GX117" si="109">FS282</f>
        <v>#REF!</v>
      </c>
      <c r="FT117" s="4" t="e">
        <f t="shared" si="109"/>
        <v>#REF!</v>
      </c>
      <c r="FU117" s="4" t="e">
        <f t="shared" si="109"/>
        <v>#REF!</v>
      </c>
      <c r="FV117" s="4">
        <f t="shared" si="109"/>
        <v>0</v>
      </c>
      <c r="FW117" s="4" t="e">
        <f t="shared" si="109"/>
        <v>#REF!</v>
      </c>
      <c r="FX117" s="4" t="e">
        <f t="shared" si="109"/>
        <v>#REF!</v>
      </c>
      <c r="FY117" s="4">
        <f t="shared" si="109"/>
        <v>0</v>
      </c>
      <c r="FZ117" s="4" t="e">
        <f t="shared" si="109"/>
        <v>#REF!</v>
      </c>
      <c r="GA117" s="4">
        <f t="shared" si="109"/>
        <v>0</v>
      </c>
      <c r="GB117" s="4" t="e">
        <f t="shared" si="109"/>
        <v>#REF!</v>
      </c>
      <c r="GC117" s="4">
        <f t="shared" si="109"/>
        <v>0</v>
      </c>
      <c r="GD117" s="4">
        <f t="shared" si="109"/>
        <v>0</v>
      </c>
      <c r="GE117" s="4">
        <f t="shared" si="109"/>
        <v>0</v>
      </c>
      <c r="GF117" s="4">
        <f t="shared" si="109"/>
        <v>0</v>
      </c>
      <c r="GG117" s="4">
        <f t="shared" si="109"/>
        <v>0</v>
      </c>
      <c r="GH117" s="4">
        <f t="shared" si="109"/>
        <v>0</v>
      </c>
      <c r="GI117" s="4">
        <f t="shared" si="109"/>
        <v>0</v>
      </c>
      <c r="GJ117" s="4">
        <f t="shared" si="109"/>
        <v>0</v>
      </c>
      <c r="GK117" s="4">
        <f t="shared" si="109"/>
        <v>0</v>
      </c>
      <c r="GL117" s="4">
        <f t="shared" si="109"/>
        <v>0</v>
      </c>
      <c r="GM117" s="4">
        <f t="shared" si="109"/>
        <v>0</v>
      </c>
      <c r="GN117" s="4">
        <f t="shared" si="109"/>
        <v>0</v>
      </c>
      <c r="GO117" s="4">
        <f t="shared" si="109"/>
        <v>0</v>
      </c>
      <c r="GP117" s="4">
        <f t="shared" si="109"/>
        <v>0</v>
      </c>
      <c r="GQ117" s="4">
        <f t="shared" si="109"/>
        <v>0</v>
      </c>
      <c r="GR117" s="4">
        <f t="shared" si="109"/>
        <v>0</v>
      </c>
      <c r="GS117" s="4">
        <f t="shared" si="109"/>
        <v>0</v>
      </c>
      <c r="GT117" s="4">
        <f t="shared" si="109"/>
        <v>0</v>
      </c>
      <c r="GU117" s="4">
        <f t="shared" si="109"/>
        <v>0</v>
      </c>
      <c r="GV117" s="4">
        <f t="shared" si="109"/>
        <v>0</v>
      </c>
      <c r="GW117" s="4">
        <f t="shared" si="109"/>
        <v>0</v>
      </c>
      <c r="GX117" s="4">
        <f t="shared" si="109"/>
        <v>0</v>
      </c>
      <c r="IF117">
        <v>-1</v>
      </c>
    </row>
    <row r="118" spans="1:255" x14ac:dyDescent="0.2">
      <c r="IF118">
        <v>-1</v>
      </c>
    </row>
    <row r="119" spans="1:255" x14ac:dyDescent="0.2">
      <c r="A119" s="2">
        <v>17</v>
      </c>
      <c r="B119" s="2">
        <v>1</v>
      </c>
      <c r="C119" s="2">
        <f>ROW(SmtRes!A100)</f>
        <v>100</v>
      </c>
      <c r="D119" s="2">
        <f>ROW(EtalonRes!A80)</f>
        <v>80</v>
      </c>
      <c r="E119" s="2" t="s">
        <v>197</v>
      </c>
      <c r="F119" s="2" t="s">
        <v>19</v>
      </c>
      <c r="G119" s="2" t="s">
        <v>198</v>
      </c>
      <c r="H119" s="2" t="s">
        <v>21</v>
      </c>
      <c r="I119" s="2">
        <f>'2.Лок.смета.и.Акт'!E32</f>
        <v>31.5625</v>
      </c>
      <c r="J119" s="2">
        <v>0</v>
      </c>
      <c r="K119" s="2">
        <f>ROUND(163.37-37.12,9)</f>
        <v>126.25</v>
      </c>
      <c r="L119" s="2"/>
      <c r="M119" s="2"/>
      <c r="N119" s="2"/>
      <c r="O119" s="2">
        <f t="shared" ref="O119:O150" si="110">ROUND(CP119,0)</f>
        <v>23336</v>
      </c>
      <c r="P119" s="2">
        <f t="shared" ref="P119:P150" si="111">ROUND(CQ119*I119,0)</f>
        <v>0</v>
      </c>
      <c r="Q119" s="2">
        <f t="shared" ref="Q119:Q150" si="112">ROUND(CR119*I119,0)</f>
        <v>19004</v>
      </c>
      <c r="R119" s="2">
        <f t="shared" ref="R119:R150" si="113">ROUND(CS119*I119,0)</f>
        <v>2425</v>
      </c>
      <c r="S119" s="2">
        <f t="shared" ref="S119:S150" si="114">ROUND(CT119*I119,0)</f>
        <v>4332</v>
      </c>
      <c r="T119" s="2">
        <f t="shared" ref="T119:T150" si="115">ROUND(CU119*I119,0)</f>
        <v>0</v>
      </c>
      <c r="U119" s="2">
        <f t="shared" ref="U119:U150" si="116">CV119*I119</f>
        <v>550.46578124999996</v>
      </c>
      <c r="V119" s="2">
        <f t="shared" ref="V119:V150" si="117">CW119*I119</f>
        <v>178.16400000000002</v>
      </c>
      <c r="W119" s="2">
        <f t="shared" ref="W119:W150" si="118">ROUND(CX119*I119,0)</f>
        <v>0</v>
      </c>
      <c r="X119" s="2">
        <f t="shared" ref="X119:X150" si="119">ROUND(CY119,0)</f>
        <v>8108</v>
      </c>
      <c r="Y119" s="2">
        <f t="shared" ref="Y119:Y150" si="120">ROUND(CZ119,0)</f>
        <v>5203</v>
      </c>
      <c r="Z119" s="2"/>
      <c r="AA119" s="2">
        <v>86326987</v>
      </c>
      <c r="AB119" s="2">
        <f t="shared" ref="AB119:AB150" si="121">ROUND((AC119+AD119+AF119),2)</f>
        <v>739.38</v>
      </c>
      <c r="AC119" s="2">
        <f>ROUND((ES119+(SUM(SmtRes!BC93:'SmtRes'!BC100)+SUM(EtalonRes!AL73:'EtalonRes'!AL80))),2)</f>
        <v>0</v>
      </c>
      <c r="AD119" s="2">
        <f>ROUND(((((ET119*1.12)+(SUM(SmtRes!BD93:'SmtRes'!BD100)+SUM(EtalonRes!AM73:'EtalonRes'!AM80)))-((EU119*1.12)+(SUM(SmtRes!BE93:'SmtRes'!BE100)+SUM(EtalonRes!AN73:'EtalonRes'!AN80))))+AE119),2)</f>
        <v>602.12</v>
      </c>
      <c r="AE119" s="2">
        <f>ROUND(((EU119*1.12)+(SUM(SmtRes!BE93:'SmtRes'!BE100)+SUM(EtalonRes!AN73:'EtalonRes'!AN80))),2)</f>
        <v>76.819999999999993</v>
      </c>
      <c r="AF119" s="2">
        <f>ROUND(((EV119*1.05)),2)</f>
        <v>137.26</v>
      </c>
      <c r="AG119" s="2">
        <f t="shared" ref="AG119:AG150" si="122">ROUND((AP119),2)</f>
        <v>0</v>
      </c>
      <c r="AH119" s="2">
        <f>((EW119*1.05))</f>
        <v>17.4405</v>
      </c>
      <c r="AI119" s="2">
        <f>((EX119*1.12))</f>
        <v>5.6448000000000009</v>
      </c>
      <c r="AJ119" s="2">
        <f t="shared" ref="AJ119:AJ150" si="123">(AS119)</f>
        <v>0</v>
      </c>
      <c r="AK119" s="2">
        <v>710.58</v>
      </c>
      <c r="AL119" s="2">
        <v>114.1</v>
      </c>
      <c r="AM119" s="2">
        <v>465.76</v>
      </c>
      <c r="AN119" s="2">
        <v>68.59</v>
      </c>
      <c r="AO119" s="2">
        <v>130.72</v>
      </c>
      <c r="AP119" s="2">
        <v>0</v>
      </c>
      <c r="AQ119" s="2">
        <v>16.61</v>
      </c>
      <c r="AR119" s="2">
        <v>5.04</v>
      </c>
      <c r="AS119" s="2">
        <v>0</v>
      </c>
      <c r="AT119" s="2">
        <v>120</v>
      </c>
      <c r="AU119" s="2">
        <v>77</v>
      </c>
      <c r="AV119" s="2">
        <v>1</v>
      </c>
      <c r="AW119" s="2">
        <v>1</v>
      </c>
      <c r="AX119" s="2"/>
      <c r="AY119" s="2"/>
      <c r="AZ119" s="2">
        <v>1</v>
      </c>
      <c r="BA119" s="2">
        <v>1</v>
      </c>
      <c r="BB119" s="2">
        <v>1</v>
      </c>
      <c r="BC119" s="2">
        <v>1</v>
      </c>
      <c r="BD119" s="2" t="s">
        <v>6</v>
      </c>
      <c r="BE119" s="2" t="s">
        <v>6</v>
      </c>
      <c r="BF119" s="2" t="s">
        <v>6</v>
      </c>
      <c r="BG119" s="2" t="s">
        <v>6</v>
      </c>
      <c r="BH119" s="2">
        <v>0</v>
      </c>
      <c r="BI119" s="2">
        <v>1</v>
      </c>
      <c r="BJ119" s="2" t="s">
        <v>22</v>
      </c>
      <c r="BK119" s="2"/>
      <c r="BL119" s="2"/>
      <c r="BM119" s="2">
        <v>6002</v>
      </c>
      <c r="BN119" s="2">
        <v>0</v>
      </c>
      <c r="BO119" s="2" t="s">
        <v>6</v>
      </c>
      <c r="BP119" s="2">
        <v>0</v>
      </c>
      <c r="BQ119" s="2">
        <v>1</v>
      </c>
      <c r="BR119" s="2">
        <v>0</v>
      </c>
      <c r="BS119" s="2">
        <v>1</v>
      </c>
      <c r="BT119" s="2">
        <v>1</v>
      </c>
      <c r="BU119" s="2">
        <v>1</v>
      </c>
      <c r="BV119" s="2">
        <v>1</v>
      </c>
      <c r="BW119" s="2">
        <v>1</v>
      </c>
      <c r="BX119" s="2">
        <v>1</v>
      </c>
      <c r="BY119" s="2" t="s">
        <v>6</v>
      </c>
      <c r="BZ119" s="2">
        <v>120</v>
      </c>
      <c r="CA119" s="2">
        <v>77</v>
      </c>
      <c r="CB119" s="2" t="s">
        <v>6</v>
      </c>
      <c r="CC119" s="2"/>
      <c r="CD119" s="2"/>
      <c r="CE119" s="2">
        <v>0</v>
      </c>
      <c r="CF119" s="2">
        <v>0</v>
      </c>
      <c r="CG119" s="2">
        <v>0</v>
      </c>
      <c r="CH119" s="2"/>
      <c r="CI119" s="2"/>
      <c r="CJ119" s="2"/>
      <c r="CK119" s="2"/>
      <c r="CL119" s="2"/>
      <c r="CM119" s="2">
        <v>0</v>
      </c>
      <c r="CN119" s="2" t="s">
        <v>23</v>
      </c>
      <c r="CO119" s="2">
        <v>0</v>
      </c>
      <c r="CP119" s="2">
        <f t="shared" ref="CP119:CP150" si="124">(P119+Q119+S119)</f>
        <v>23336</v>
      </c>
      <c r="CQ119" s="2">
        <f t="shared" ref="CQ119:CQ150" si="125">AC119*BC119</f>
        <v>0</v>
      </c>
      <c r="CR119" s="2">
        <f t="shared" ref="CR119:CR150" si="126">AD119*BB119</f>
        <v>602.12</v>
      </c>
      <c r="CS119" s="2">
        <f t="shared" ref="CS119:CS150" si="127">AE119*BS119</f>
        <v>76.819999999999993</v>
      </c>
      <c r="CT119" s="2">
        <f t="shared" ref="CT119:CT150" si="128">AF119*BA119</f>
        <v>137.26</v>
      </c>
      <c r="CU119" s="2">
        <f t="shared" ref="CU119:CU150" si="129">AG119</f>
        <v>0</v>
      </c>
      <c r="CV119" s="2">
        <f t="shared" ref="CV119:CV150" si="130">AH119</f>
        <v>17.4405</v>
      </c>
      <c r="CW119" s="2">
        <f t="shared" ref="CW119:CW150" si="131">AI119</f>
        <v>5.6448000000000009</v>
      </c>
      <c r="CX119" s="2">
        <f t="shared" ref="CX119:CX150" si="132">AJ119</f>
        <v>0</v>
      </c>
      <c r="CY119" s="2">
        <f>(((S119+(R119*IF(0,0,1)))*AT119)/100)</f>
        <v>8108.4</v>
      </c>
      <c r="CZ119" s="2">
        <f>(((S119+(R119*IF(0,0,1)))*AU119)/100)</f>
        <v>5202.8900000000003</v>
      </c>
      <c r="DA119" s="2"/>
      <c r="DB119" s="2"/>
      <c r="DC119" s="2" t="s">
        <v>6</v>
      </c>
      <c r="DD119" s="2" t="s">
        <v>6</v>
      </c>
      <c r="DE119" s="2" t="s">
        <v>24</v>
      </c>
      <c r="DF119" s="2" t="s">
        <v>24</v>
      </c>
      <c r="DG119" s="2" t="s">
        <v>25</v>
      </c>
      <c r="DH119" s="2" t="s">
        <v>6</v>
      </c>
      <c r="DI119" s="2" t="s">
        <v>25</v>
      </c>
      <c r="DJ119" s="2" t="s">
        <v>24</v>
      </c>
      <c r="DK119" s="2" t="s">
        <v>6</v>
      </c>
      <c r="DL119" s="2" t="s">
        <v>6</v>
      </c>
      <c r="DM119" s="2" t="s">
        <v>6</v>
      </c>
      <c r="DN119" s="2">
        <v>0</v>
      </c>
      <c r="DO119" s="2">
        <v>0</v>
      </c>
      <c r="DP119" s="2">
        <v>1</v>
      </c>
      <c r="DQ119" s="2">
        <v>1</v>
      </c>
      <c r="DR119" s="2"/>
      <c r="DS119" s="2"/>
      <c r="DT119" s="2"/>
      <c r="DU119" s="2">
        <v>1013</v>
      </c>
      <c r="DV119" s="2" t="s">
        <v>21</v>
      </c>
      <c r="DW119" s="2" t="s">
        <v>21</v>
      </c>
      <c r="DX119" s="2">
        <v>1</v>
      </c>
      <c r="DY119" s="2"/>
      <c r="DZ119" s="2" t="s">
        <v>6</v>
      </c>
      <c r="EA119" s="2" t="s">
        <v>6</v>
      </c>
      <c r="EB119" s="2" t="s">
        <v>6</v>
      </c>
      <c r="EC119" s="2" t="s">
        <v>6</v>
      </c>
      <c r="ED119" s="2"/>
      <c r="EE119" s="2">
        <v>54938592</v>
      </c>
      <c r="EF119" s="2">
        <v>1</v>
      </c>
      <c r="EG119" s="2" t="s">
        <v>26</v>
      </c>
      <c r="EH119" s="2">
        <v>0</v>
      </c>
      <c r="EI119" s="2" t="s">
        <v>6</v>
      </c>
      <c r="EJ119" s="2">
        <v>1</v>
      </c>
      <c r="EK119" s="2">
        <v>6002</v>
      </c>
      <c r="EL119" s="2" t="s">
        <v>27</v>
      </c>
      <c r="EM119" s="2" t="s">
        <v>28</v>
      </c>
      <c r="EN119" s="2"/>
      <c r="EO119" s="2" t="s">
        <v>29</v>
      </c>
      <c r="EP119" s="2"/>
      <c r="EQ119" s="2">
        <v>2097152</v>
      </c>
      <c r="ER119" s="2">
        <v>710.58</v>
      </c>
      <c r="ES119" s="2">
        <v>114.1</v>
      </c>
      <c r="ET119" s="2">
        <v>465.76</v>
      </c>
      <c r="EU119" s="2">
        <v>68.59</v>
      </c>
      <c r="EV119" s="2">
        <v>130.72</v>
      </c>
      <c r="EW119" s="2">
        <v>16.61</v>
      </c>
      <c r="EX119" s="2">
        <v>5.04</v>
      </c>
      <c r="EY119" s="2">
        <v>1</v>
      </c>
      <c r="EZ119" s="2"/>
      <c r="FA119" s="2"/>
      <c r="FB119" s="2"/>
      <c r="FC119" s="2"/>
      <c r="FD119" s="2"/>
      <c r="FE119" s="2"/>
      <c r="FF119" s="2"/>
      <c r="FG119" s="2"/>
      <c r="FH119" s="2"/>
      <c r="FI119" s="2"/>
      <c r="FJ119" s="2"/>
      <c r="FK119" s="2"/>
      <c r="FL119" s="2"/>
      <c r="FM119" s="2"/>
      <c r="FN119" s="2"/>
      <c r="FO119" s="2"/>
      <c r="FP119" s="2"/>
      <c r="FQ119" s="2">
        <v>0</v>
      </c>
      <c r="FR119" s="2">
        <f t="shared" ref="FR119:FR150" si="133">ROUND(IF(BI119=3,GM119,0),0)</f>
        <v>0</v>
      </c>
      <c r="FS119" s="2">
        <v>0</v>
      </c>
      <c r="FT119" s="2"/>
      <c r="FU119" s="2"/>
      <c r="FV119" s="2"/>
      <c r="FW119" s="2"/>
      <c r="FX119" s="2">
        <v>120</v>
      </c>
      <c r="FY119" s="2">
        <v>77</v>
      </c>
      <c r="FZ119" s="2"/>
      <c r="GA119" s="2" t="s">
        <v>6</v>
      </c>
      <c r="GB119" s="2"/>
      <c r="GC119" s="2"/>
      <c r="GD119" s="2">
        <v>1</v>
      </c>
      <c r="GE119" s="2"/>
      <c r="GF119" s="2">
        <v>329294880</v>
      </c>
      <c r="GG119" s="2">
        <v>2</v>
      </c>
      <c r="GH119" s="2">
        <v>1</v>
      </c>
      <c r="GI119" s="2">
        <v>-2</v>
      </c>
      <c r="GJ119" s="2">
        <v>0</v>
      </c>
      <c r="GK119" s="2">
        <v>0</v>
      </c>
      <c r="GL119" s="2">
        <f t="shared" ref="GL119:GL150" si="134">ROUND(IF(AND(BH119=3,BI119=3,FS119&lt;&gt;0),P119,0),0)</f>
        <v>0</v>
      </c>
      <c r="GM119" s="2">
        <f t="shared" ref="GM119:GM150" si="135">ROUND(O119+X119+Y119,0)+GX119</f>
        <v>36647</v>
      </c>
      <c r="GN119" s="2">
        <f t="shared" ref="GN119:GN150" si="136">IF(OR(BI119=0,BI119=1),GM119-GX119,0)</f>
        <v>36647</v>
      </c>
      <c r="GO119" s="2">
        <f t="shared" ref="GO119:GO150" si="137">IF(BI119=2,GM119-GX119,0)</f>
        <v>0</v>
      </c>
      <c r="GP119" s="2">
        <f t="shared" ref="GP119:GP150" si="138">IF(BI119=4,GM119-GX119,0)</f>
        <v>0</v>
      </c>
      <c r="GQ119" s="2"/>
      <c r="GR119" s="2">
        <v>0</v>
      </c>
      <c r="GS119" s="2">
        <v>3</v>
      </c>
      <c r="GT119" s="2">
        <v>0</v>
      </c>
      <c r="GU119" s="2" t="s">
        <v>6</v>
      </c>
      <c r="GV119" s="2">
        <f t="shared" ref="GV119:GV150" si="139">ROUND((GT119),2)</f>
        <v>0</v>
      </c>
      <c r="GW119" s="2">
        <v>1</v>
      </c>
      <c r="GX119" s="2">
        <f t="shared" ref="GX119:GX150" si="140">ROUND(HC119*I119,0)</f>
        <v>0</v>
      </c>
      <c r="GY119" s="2"/>
      <c r="GZ119" s="2"/>
      <c r="HA119" s="2">
        <v>0</v>
      </c>
      <c r="HB119" s="2">
        <v>0</v>
      </c>
      <c r="HC119" s="2">
        <f t="shared" ref="HC119:HC150" si="141">GV119*GW119</f>
        <v>0</v>
      </c>
      <c r="HD119" s="2"/>
      <c r="HE119" s="2" t="s">
        <v>6</v>
      </c>
      <c r="HF119" s="2" t="s">
        <v>6</v>
      </c>
      <c r="HG119" s="2"/>
      <c r="HH119" s="2"/>
      <c r="HI119" s="2"/>
      <c r="HJ119" s="2"/>
      <c r="HK119" s="2"/>
      <c r="HL119" s="2"/>
      <c r="HM119" s="2" t="s">
        <v>6</v>
      </c>
      <c r="HN119" s="2" t="s">
        <v>6</v>
      </c>
      <c r="HO119" s="2" t="s">
        <v>6</v>
      </c>
      <c r="HP119" s="2" t="s">
        <v>6</v>
      </c>
      <c r="HQ119" s="2" t="s">
        <v>6</v>
      </c>
      <c r="HR119" s="2"/>
      <c r="HS119" s="2"/>
      <c r="HT119" s="2"/>
      <c r="HU119" s="2"/>
      <c r="HV119" s="2"/>
      <c r="HW119" s="2"/>
      <c r="HX119" s="2"/>
      <c r="HY119" s="2"/>
      <c r="HZ119" s="2"/>
      <c r="IA119" s="2"/>
      <c r="IB119" s="2"/>
      <c r="IC119" s="2"/>
      <c r="ID119" s="2"/>
      <c r="IE119" s="2"/>
      <c r="IF119" s="2">
        <v>-1</v>
      </c>
      <c r="IG119" s="2"/>
      <c r="IH119" s="2"/>
      <c r="II119" s="2"/>
      <c r="IJ119" s="2"/>
      <c r="IK119" s="2">
        <v>0</v>
      </c>
      <c r="IL119" s="2" t="s">
        <v>790</v>
      </c>
      <c r="IM119" s="2">
        <v>126.25</v>
      </c>
      <c r="IN119" s="2"/>
      <c r="IO119" s="2"/>
      <c r="IP119" s="2"/>
      <c r="IQ119" s="2"/>
      <c r="IR119" s="2"/>
      <c r="IS119" s="2"/>
      <c r="IT119" s="2"/>
      <c r="IU119" s="2"/>
    </row>
    <row r="120" spans="1:255" x14ac:dyDescent="0.2">
      <c r="A120">
        <v>17</v>
      </c>
      <c r="B120">
        <v>1</v>
      </c>
      <c r="C120">
        <f>ROW(SmtRes!A108)</f>
        <v>108</v>
      </c>
      <c r="D120">
        <f>ROW(EtalonRes!A88)</f>
        <v>88</v>
      </c>
      <c r="E120" t="s">
        <v>197</v>
      </c>
      <c r="F120" t="s">
        <v>19</v>
      </c>
      <c r="G120" t="s">
        <v>198</v>
      </c>
      <c r="H120" t="s">
        <v>21</v>
      </c>
      <c r="I120">
        <f>'2.Лок.смета.и.Акт'!E32</f>
        <v>31.5625</v>
      </c>
      <c r="J120">
        <v>0</v>
      </c>
      <c r="K120">
        <f>ROUND(163.37-37.12,9)</f>
        <v>126.25</v>
      </c>
      <c r="O120">
        <f t="shared" si="110"/>
        <v>333006</v>
      </c>
      <c r="P120">
        <f t="shared" si="111"/>
        <v>0</v>
      </c>
      <c r="Q120">
        <f t="shared" si="112"/>
        <v>176741</v>
      </c>
      <c r="R120">
        <f t="shared" si="113"/>
        <v>48008</v>
      </c>
      <c r="S120">
        <f t="shared" si="114"/>
        <v>156265</v>
      </c>
      <c r="T120">
        <f t="shared" si="115"/>
        <v>0</v>
      </c>
      <c r="U120" t="e">
        <f t="shared" si="116"/>
        <v>#REF!</v>
      </c>
      <c r="V120">
        <f t="shared" si="117"/>
        <v>178.16400000000002</v>
      </c>
      <c r="W120">
        <f t="shared" si="118"/>
        <v>0</v>
      </c>
      <c r="X120" t="e">
        <f t="shared" si="119"/>
        <v>#REF!</v>
      </c>
      <c r="Y120" t="e">
        <f t="shared" si="120"/>
        <v>#REF!</v>
      </c>
      <c r="AA120">
        <v>86326988</v>
      </c>
      <c r="AB120">
        <f t="shared" si="121"/>
        <v>739.38</v>
      </c>
      <c r="AC120">
        <f>ROUND((ES120+(SUM(SmtRes!BC101:'SmtRes'!BC108)+SUM(EtalonRes!AL81:'EtalonRes'!AL88))),2)</f>
        <v>0</v>
      </c>
      <c r="AD120">
        <f>ROUND(((((ET120*1.12)+(SUM(SmtRes!BD101:'SmtRes'!BD108)+SUM(EtalonRes!AM81:'EtalonRes'!AM88)))-((EU120*1.12)+(SUM(SmtRes!BE101:'SmtRes'!BE108)+SUM(EtalonRes!AN81:'EtalonRes'!AN88))))+AE120),2)</f>
        <v>602.12</v>
      </c>
      <c r="AE120">
        <f>ROUND(((EU120*1.12)+(SUM(SmtRes!BE101:'SmtRes'!BE108)+SUM(EtalonRes!AN81:'EtalonRes'!AN88))),2)</f>
        <v>76.819999999999993</v>
      </c>
      <c r="AF120">
        <f>ROUND(((EV120*1.05)),2)</f>
        <v>137.26</v>
      </c>
      <c r="AG120">
        <f t="shared" si="122"/>
        <v>0</v>
      </c>
      <c r="AH120" t="e">
        <f>((EW120*1.05))</f>
        <v>#REF!</v>
      </c>
      <c r="AI120">
        <f>((EX120*1.12))</f>
        <v>5.6448000000000009</v>
      </c>
      <c r="AJ120">
        <f t="shared" si="123"/>
        <v>0</v>
      </c>
      <c r="AK120">
        <f>AL120+AM120+AO120</f>
        <v>710.58</v>
      </c>
      <c r="AL120">
        <v>114.1</v>
      </c>
      <c r="AM120" s="75">
        <f>'1.Лок.смета.и.Акт'!F218</f>
        <v>465.76</v>
      </c>
      <c r="AN120" s="75">
        <f>'1.Лок.смета.и.Акт'!F219</f>
        <v>68.59</v>
      </c>
      <c r="AO120" s="75">
        <f>'1.Лок.смета.и.Акт'!F217</f>
        <v>130.72</v>
      </c>
      <c r="AP120">
        <v>0</v>
      </c>
      <c r="AQ120" t="e">
        <f>'2.Лок.смета.и.Акт'!#REF!</f>
        <v>#REF!</v>
      </c>
      <c r="AR120">
        <v>5.04</v>
      </c>
      <c r="AS120">
        <v>0</v>
      </c>
      <c r="AT120">
        <v>114</v>
      </c>
      <c r="AU120">
        <v>65</v>
      </c>
      <c r="AV120">
        <v>1</v>
      </c>
      <c r="AW120">
        <v>1</v>
      </c>
      <c r="AZ120">
        <v>1</v>
      </c>
      <c r="BA120">
        <f>'1.Лок.смета.и.Акт'!J217</f>
        <v>36.07</v>
      </c>
      <c r="BB120">
        <f>'1.Лок.смета.и.Акт'!J218</f>
        <v>9.3000000000000007</v>
      </c>
      <c r="BC120">
        <v>7.56</v>
      </c>
      <c r="BD120" t="s">
        <v>6</v>
      </c>
      <c r="BE120" t="s">
        <v>6</v>
      </c>
      <c r="BF120" t="s">
        <v>6</v>
      </c>
      <c r="BG120" t="s">
        <v>6</v>
      </c>
      <c r="BH120">
        <v>0</v>
      </c>
      <c r="BI120">
        <v>1</v>
      </c>
      <c r="BJ120" t="s">
        <v>22</v>
      </c>
      <c r="BM120">
        <v>6002</v>
      </c>
      <c r="BN120">
        <v>0</v>
      </c>
      <c r="BO120" t="s">
        <v>19</v>
      </c>
      <c r="BP120">
        <v>1</v>
      </c>
      <c r="BQ120">
        <v>1</v>
      </c>
      <c r="BR120">
        <v>0</v>
      </c>
      <c r="BS120">
        <f>'1.Лок.смета.и.Акт'!J219</f>
        <v>19.8</v>
      </c>
      <c r="BT120">
        <v>1</v>
      </c>
      <c r="BU120">
        <v>1</v>
      </c>
      <c r="BV120">
        <v>1</v>
      </c>
      <c r="BW120">
        <v>1</v>
      </c>
      <c r="BX120">
        <v>1</v>
      </c>
      <c r="BY120" t="s">
        <v>6</v>
      </c>
      <c r="BZ120" t="e">
        <f>'2.Лок.смета.и.Акт'!#REF!</f>
        <v>#REF!</v>
      </c>
      <c r="CA120" t="e">
        <f>'2.Лок.смета.и.Акт'!#REF!</f>
        <v>#REF!</v>
      </c>
      <c r="CB120" t="s">
        <v>6</v>
      </c>
      <c r="CE120">
        <v>0</v>
      </c>
      <c r="CF120">
        <v>0</v>
      </c>
      <c r="CG120">
        <v>0</v>
      </c>
      <c r="CM120">
        <v>0</v>
      </c>
      <c r="CN120" t="s">
        <v>23</v>
      </c>
      <c r="CO120">
        <v>0</v>
      </c>
      <c r="CP120">
        <f t="shared" si="124"/>
        <v>333006</v>
      </c>
      <c r="CQ120">
        <f t="shared" si="125"/>
        <v>0</v>
      </c>
      <c r="CR120">
        <f t="shared" si="126"/>
        <v>5599.7160000000003</v>
      </c>
      <c r="CS120">
        <f t="shared" si="127"/>
        <v>1521.0359999999998</v>
      </c>
      <c r="CT120">
        <f t="shared" si="128"/>
        <v>4950.9681999999993</v>
      </c>
      <c r="CU120">
        <f t="shared" si="129"/>
        <v>0</v>
      </c>
      <c r="CV120" t="e">
        <f t="shared" si="130"/>
        <v>#REF!</v>
      </c>
      <c r="CW120">
        <f t="shared" si="131"/>
        <v>5.6448000000000009</v>
      </c>
      <c r="CX120">
        <f t="shared" si="132"/>
        <v>0</v>
      </c>
      <c r="CY120" t="e">
        <f>(S120+R120)*(BZ120/100)</f>
        <v>#REF!</v>
      </c>
      <c r="CZ120" t="e">
        <f>(S120+R120)*(CA120/100)</f>
        <v>#REF!</v>
      </c>
      <c r="DC120" t="s">
        <v>6</v>
      </c>
      <c r="DD120" t="s">
        <v>6</v>
      </c>
      <c r="DE120" t="s">
        <v>24</v>
      </c>
      <c r="DF120" t="s">
        <v>24</v>
      </c>
      <c r="DG120" t="s">
        <v>25</v>
      </c>
      <c r="DH120" t="s">
        <v>6</v>
      </c>
      <c r="DI120" t="s">
        <v>25</v>
      </c>
      <c r="DJ120" t="s">
        <v>24</v>
      </c>
      <c r="DK120" t="s">
        <v>6</v>
      </c>
      <c r="DL120" t="s">
        <v>6</v>
      </c>
      <c r="DM120" t="s">
        <v>6</v>
      </c>
      <c r="DN120">
        <f>'1.Лок.смета.и.Акт'!E220</f>
        <v>120</v>
      </c>
      <c r="DO120">
        <f>'1.Лок.смета.и.Акт'!E221</f>
        <v>77</v>
      </c>
      <c r="DP120">
        <v>1</v>
      </c>
      <c r="DQ120">
        <v>1</v>
      </c>
      <c r="DU120">
        <v>1013</v>
      </c>
      <c r="DV120" t="s">
        <v>21</v>
      </c>
      <c r="DW120" t="str">
        <f>'2.Лок.смета.и.Акт'!D32</f>
        <v>10 м2 конструкций</v>
      </c>
      <c r="DX120">
        <v>1</v>
      </c>
      <c r="DZ120" t="s">
        <v>6</v>
      </c>
      <c r="EA120" t="s">
        <v>6</v>
      </c>
      <c r="EB120" t="s">
        <v>6</v>
      </c>
      <c r="EC120" t="s">
        <v>6</v>
      </c>
      <c r="EE120">
        <v>54938592</v>
      </c>
      <c r="EF120">
        <v>1</v>
      </c>
      <c r="EG120" t="s">
        <v>26</v>
      </c>
      <c r="EH120">
        <v>0</v>
      </c>
      <c r="EI120" t="s">
        <v>6</v>
      </c>
      <c r="EJ120">
        <v>1</v>
      </c>
      <c r="EK120">
        <v>6002</v>
      </c>
      <c r="EL120" t="s">
        <v>27</v>
      </c>
      <c r="EM120" t="s">
        <v>28</v>
      </c>
      <c r="EO120" t="s">
        <v>29</v>
      </c>
      <c r="EQ120">
        <v>2097152</v>
      </c>
      <c r="ER120">
        <f>ES120+ET120+EV120</f>
        <v>710.58</v>
      </c>
      <c r="ES120">
        <v>114.1</v>
      </c>
      <c r="ET120" s="75">
        <f>'1.Лок.смета.и.Акт'!F218</f>
        <v>465.76</v>
      </c>
      <c r="EU120" s="75">
        <f>'1.Лок.смета.и.Акт'!F219</f>
        <v>68.59</v>
      </c>
      <c r="EV120" s="75">
        <f>'1.Лок.смета.и.Акт'!F217</f>
        <v>130.72</v>
      </c>
      <c r="EW120" t="e">
        <f>'2.Лок.смета.и.Акт'!#REF!</f>
        <v>#REF!</v>
      </c>
      <c r="EX120">
        <v>5.04</v>
      </c>
      <c r="EY120">
        <v>1</v>
      </c>
      <c r="FQ120">
        <v>0</v>
      </c>
      <c r="FR120">
        <f t="shared" si="133"/>
        <v>0</v>
      </c>
      <c r="FS120">
        <v>0</v>
      </c>
      <c r="FX120">
        <v>120</v>
      </c>
      <c r="FY120">
        <v>77</v>
      </c>
      <c r="GA120" t="s">
        <v>6</v>
      </c>
      <c r="GD120">
        <v>1</v>
      </c>
      <c r="GF120">
        <v>329294880</v>
      </c>
      <c r="GG120">
        <v>2</v>
      </c>
      <c r="GH120">
        <v>1</v>
      </c>
      <c r="GI120">
        <v>2</v>
      </c>
      <c r="GJ120">
        <v>0</v>
      </c>
      <c r="GK120">
        <v>0</v>
      </c>
      <c r="GL120">
        <f t="shared" si="134"/>
        <v>0</v>
      </c>
      <c r="GM120" t="e">
        <f t="shared" si="135"/>
        <v>#REF!</v>
      </c>
      <c r="GN120" t="e">
        <f t="shared" si="136"/>
        <v>#REF!</v>
      </c>
      <c r="GO120">
        <f t="shared" si="137"/>
        <v>0</v>
      </c>
      <c r="GP120">
        <f t="shared" si="138"/>
        <v>0</v>
      </c>
      <c r="GR120">
        <v>0</v>
      </c>
      <c r="GS120">
        <v>3</v>
      </c>
      <c r="GT120">
        <v>0</v>
      </c>
      <c r="GU120" t="s">
        <v>6</v>
      </c>
      <c r="GV120">
        <f t="shared" si="139"/>
        <v>0</v>
      </c>
      <c r="GW120">
        <v>1003.4</v>
      </c>
      <c r="GX120">
        <f t="shared" si="140"/>
        <v>0</v>
      </c>
      <c r="HA120">
        <v>0</v>
      </c>
      <c r="HB120">
        <v>0</v>
      </c>
      <c r="HC120">
        <f t="shared" si="141"/>
        <v>0</v>
      </c>
      <c r="HE120" t="s">
        <v>6</v>
      </c>
      <c r="HF120" t="s">
        <v>6</v>
      </c>
      <c r="HM120" t="s">
        <v>6</v>
      </c>
      <c r="HN120" t="s">
        <v>6</v>
      </c>
      <c r="HO120" t="s">
        <v>6</v>
      </c>
      <c r="HP120" t="s">
        <v>6</v>
      </c>
      <c r="HQ120" t="s">
        <v>6</v>
      </c>
      <c r="IF120">
        <v>-1</v>
      </c>
      <c r="IK120">
        <v>0</v>
      </c>
      <c r="IL120" t="s">
        <v>790</v>
      </c>
      <c r="IM120">
        <v>126.25</v>
      </c>
    </row>
    <row r="121" spans="1:255" x14ac:dyDescent="0.2">
      <c r="A121" s="2">
        <v>18</v>
      </c>
      <c r="B121" s="2">
        <v>1</v>
      </c>
      <c r="C121" s="2">
        <v>99</v>
      </c>
      <c r="D121" s="2"/>
      <c r="E121" s="2" t="s">
        <v>199</v>
      </c>
      <c r="F121" s="2" t="s">
        <v>31</v>
      </c>
      <c r="G121" s="2" t="s">
        <v>32</v>
      </c>
      <c r="H121" s="2" t="s">
        <v>33</v>
      </c>
      <c r="I121" s="2">
        <f>I119*J121</f>
        <v>8.3639999999999999E-3</v>
      </c>
      <c r="J121" s="226">
        <f>'5.Ведомость_списания'!F55</f>
        <v>2.6499801980198022E-4</v>
      </c>
      <c r="K121" s="2">
        <v>2.6499999999999999E-4</v>
      </c>
      <c r="L121" s="2"/>
      <c r="M121" s="2"/>
      <c r="N121" s="2"/>
      <c r="O121" s="2">
        <f t="shared" si="110"/>
        <v>71</v>
      </c>
      <c r="P121" s="2">
        <f t="shared" si="111"/>
        <v>71</v>
      </c>
      <c r="Q121" s="2">
        <f t="shared" si="112"/>
        <v>0</v>
      </c>
      <c r="R121" s="2">
        <f t="shared" si="113"/>
        <v>0</v>
      </c>
      <c r="S121" s="2">
        <f t="shared" si="114"/>
        <v>0</v>
      </c>
      <c r="T121" s="2">
        <f t="shared" si="115"/>
        <v>0</v>
      </c>
      <c r="U121" s="2">
        <f t="shared" si="116"/>
        <v>0</v>
      </c>
      <c r="V121" s="2">
        <f t="shared" si="117"/>
        <v>0</v>
      </c>
      <c r="W121" s="2">
        <f t="shared" si="118"/>
        <v>0</v>
      </c>
      <c r="X121" s="2">
        <f t="shared" si="119"/>
        <v>0</v>
      </c>
      <c r="Y121" s="2">
        <f t="shared" si="120"/>
        <v>0</v>
      </c>
      <c r="Z121" s="2"/>
      <c r="AA121" s="2">
        <v>86326987</v>
      </c>
      <c r="AB121" s="2">
        <f t="shared" si="121"/>
        <v>8475</v>
      </c>
      <c r="AC121" s="2">
        <f>ROUND((ES121),2)</f>
        <v>8475</v>
      </c>
      <c r="AD121" s="2">
        <f>ROUND((((ET121)-(EU121))+AE121),2)</f>
        <v>0</v>
      </c>
      <c r="AE121" s="2">
        <f t="shared" ref="AE121:AF124" si="142">ROUND((EU121),2)</f>
        <v>0</v>
      </c>
      <c r="AF121" s="2">
        <f t="shared" si="142"/>
        <v>0</v>
      </c>
      <c r="AG121" s="2">
        <f t="shared" si="122"/>
        <v>0</v>
      </c>
      <c r="AH121" s="2">
        <f t="shared" ref="AH121:AI124" si="143">(EW121)</f>
        <v>0</v>
      </c>
      <c r="AI121" s="2">
        <f t="shared" si="143"/>
        <v>0</v>
      </c>
      <c r="AJ121" s="2">
        <f t="shared" si="123"/>
        <v>28.41</v>
      </c>
      <c r="AK121" s="2">
        <v>8475</v>
      </c>
      <c r="AL121" s="110">
        <f>'1.Лок.смета.и.Акт'!F223</f>
        <v>8475</v>
      </c>
      <c r="AM121" s="2">
        <v>0</v>
      </c>
      <c r="AN121" s="2">
        <v>0</v>
      </c>
      <c r="AO121" s="2">
        <v>0</v>
      </c>
      <c r="AP121" s="2">
        <v>0</v>
      </c>
      <c r="AQ121" s="2">
        <v>0</v>
      </c>
      <c r="AR121" s="2">
        <v>0</v>
      </c>
      <c r="AS121" s="2">
        <v>28.41</v>
      </c>
      <c r="AT121" s="2">
        <v>0</v>
      </c>
      <c r="AU121" s="2">
        <v>0</v>
      </c>
      <c r="AV121" s="2">
        <v>1</v>
      </c>
      <c r="AW121" s="2">
        <v>1</v>
      </c>
      <c r="AX121" s="2"/>
      <c r="AY121" s="2"/>
      <c r="AZ121" s="2">
        <v>1</v>
      </c>
      <c r="BA121" s="2">
        <v>1</v>
      </c>
      <c r="BB121" s="2">
        <v>1</v>
      </c>
      <c r="BC121" s="2">
        <v>1</v>
      </c>
      <c r="BD121" s="2" t="s">
        <v>6</v>
      </c>
      <c r="BE121" s="2" t="s">
        <v>6</v>
      </c>
      <c r="BF121" s="2" t="s">
        <v>6</v>
      </c>
      <c r="BG121" s="2" t="s">
        <v>6</v>
      </c>
      <c r="BH121" s="2">
        <v>3</v>
      </c>
      <c r="BI121" s="2">
        <v>1</v>
      </c>
      <c r="BJ121" s="2" t="s">
        <v>34</v>
      </c>
      <c r="BK121" s="2"/>
      <c r="BL121" s="2"/>
      <c r="BM121" s="2">
        <v>500001</v>
      </c>
      <c r="BN121" s="2">
        <v>0</v>
      </c>
      <c r="BO121" s="2" t="s">
        <v>6</v>
      </c>
      <c r="BP121" s="2">
        <v>0</v>
      </c>
      <c r="BQ121" s="2">
        <v>20</v>
      </c>
      <c r="BR121" s="2">
        <v>0</v>
      </c>
      <c r="BS121" s="2">
        <v>1</v>
      </c>
      <c r="BT121" s="2">
        <v>1</v>
      </c>
      <c r="BU121" s="2">
        <v>1</v>
      </c>
      <c r="BV121" s="2">
        <v>1</v>
      </c>
      <c r="BW121" s="2">
        <v>1</v>
      </c>
      <c r="BX121" s="2">
        <v>1</v>
      </c>
      <c r="BY121" s="2" t="s">
        <v>6</v>
      </c>
      <c r="BZ121" s="2">
        <v>0</v>
      </c>
      <c r="CA121" s="2">
        <v>0</v>
      </c>
      <c r="CB121" s="2" t="s">
        <v>6</v>
      </c>
      <c r="CC121" s="2"/>
      <c r="CD121" s="2"/>
      <c r="CE121" s="2">
        <v>0</v>
      </c>
      <c r="CF121" s="2">
        <v>0</v>
      </c>
      <c r="CG121" s="2">
        <v>0</v>
      </c>
      <c r="CH121" s="2"/>
      <c r="CI121" s="2"/>
      <c r="CJ121" s="2"/>
      <c r="CK121" s="2"/>
      <c r="CL121" s="2"/>
      <c r="CM121" s="2">
        <v>0</v>
      </c>
      <c r="CN121" s="2" t="s">
        <v>6</v>
      </c>
      <c r="CO121" s="2">
        <v>0</v>
      </c>
      <c r="CP121" s="2">
        <f t="shared" si="124"/>
        <v>71</v>
      </c>
      <c r="CQ121" s="2">
        <f t="shared" si="125"/>
        <v>8475</v>
      </c>
      <c r="CR121" s="2">
        <f t="shared" si="126"/>
        <v>0</v>
      </c>
      <c r="CS121" s="2">
        <f t="shared" si="127"/>
        <v>0</v>
      </c>
      <c r="CT121" s="2">
        <f t="shared" si="128"/>
        <v>0</v>
      </c>
      <c r="CU121" s="2">
        <f t="shared" si="129"/>
        <v>0</v>
      </c>
      <c r="CV121" s="2">
        <f t="shared" si="130"/>
        <v>0</v>
      </c>
      <c r="CW121" s="2">
        <f t="shared" si="131"/>
        <v>0</v>
      </c>
      <c r="CX121" s="2">
        <f t="shared" si="132"/>
        <v>28.41</v>
      </c>
      <c r="CY121" s="2">
        <f>(((S121+(R121*IF(0,0,1)))*AT121)/100)</f>
        <v>0</v>
      </c>
      <c r="CZ121" s="2">
        <f>(((S121+(R121*IF(0,0,1)))*AU121)/100)</f>
        <v>0</v>
      </c>
      <c r="DA121" s="2"/>
      <c r="DB121" s="2"/>
      <c r="DC121" s="2" t="s">
        <v>6</v>
      </c>
      <c r="DD121" s="2" t="s">
        <v>6</v>
      </c>
      <c r="DE121" s="2" t="s">
        <v>6</v>
      </c>
      <c r="DF121" s="2" t="s">
        <v>6</v>
      </c>
      <c r="DG121" s="2" t="s">
        <v>6</v>
      </c>
      <c r="DH121" s="2" t="s">
        <v>6</v>
      </c>
      <c r="DI121" s="2" t="s">
        <v>6</v>
      </c>
      <c r="DJ121" s="2" t="s">
        <v>6</v>
      </c>
      <c r="DK121" s="2" t="s">
        <v>6</v>
      </c>
      <c r="DL121" s="2" t="s">
        <v>6</v>
      </c>
      <c r="DM121" s="2" t="s">
        <v>6</v>
      </c>
      <c r="DN121" s="2">
        <v>0</v>
      </c>
      <c r="DO121" s="2">
        <v>0</v>
      </c>
      <c r="DP121" s="2">
        <v>1</v>
      </c>
      <c r="DQ121" s="2">
        <v>1</v>
      </c>
      <c r="DR121" s="2"/>
      <c r="DS121" s="2"/>
      <c r="DT121" s="2"/>
      <c r="DU121" s="2">
        <v>1009</v>
      </c>
      <c r="DV121" s="2" t="s">
        <v>33</v>
      </c>
      <c r="DW121" s="2" t="s">
        <v>33</v>
      </c>
      <c r="DX121" s="2">
        <v>1000</v>
      </c>
      <c r="DY121" s="2"/>
      <c r="DZ121" s="2" t="s">
        <v>6</v>
      </c>
      <c r="EA121" s="2" t="s">
        <v>6</v>
      </c>
      <c r="EB121" s="2" t="s">
        <v>6</v>
      </c>
      <c r="EC121" s="2" t="s">
        <v>6</v>
      </c>
      <c r="ED121" s="2"/>
      <c r="EE121" s="2">
        <v>54938781</v>
      </c>
      <c r="EF121" s="2">
        <v>20</v>
      </c>
      <c r="EG121" s="2" t="s">
        <v>35</v>
      </c>
      <c r="EH121" s="2">
        <v>0</v>
      </c>
      <c r="EI121" s="2" t="s">
        <v>6</v>
      </c>
      <c r="EJ121" s="2">
        <v>1</v>
      </c>
      <c r="EK121" s="2">
        <v>500001</v>
      </c>
      <c r="EL121" s="2" t="s">
        <v>36</v>
      </c>
      <c r="EM121" s="2" t="s">
        <v>37</v>
      </c>
      <c r="EN121" s="2"/>
      <c r="EO121" s="2" t="s">
        <v>6</v>
      </c>
      <c r="EP121" s="2"/>
      <c r="EQ121" s="2">
        <v>0</v>
      </c>
      <c r="ER121" s="2">
        <v>8475</v>
      </c>
      <c r="ES121" s="110">
        <f>'1.Лок.смета.и.Акт'!F223</f>
        <v>8475</v>
      </c>
      <c r="ET121" s="2">
        <v>0</v>
      </c>
      <c r="EU121" s="2">
        <v>0</v>
      </c>
      <c r="EV121" s="2">
        <v>0</v>
      </c>
      <c r="EW121" s="2">
        <v>0</v>
      </c>
      <c r="EX121" s="2">
        <v>0</v>
      </c>
      <c r="EY121" s="2"/>
      <c r="EZ121" s="2"/>
      <c r="FA121" s="2"/>
      <c r="FB121" s="2"/>
      <c r="FC121" s="2"/>
      <c r="FD121" s="2"/>
      <c r="FE121" s="2"/>
      <c r="FF121" s="2"/>
      <c r="FG121" s="2"/>
      <c r="FH121" s="2"/>
      <c r="FI121" s="2"/>
      <c r="FJ121" s="2"/>
      <c r="FK121" s="2"/>
      <c r="FL121" s="2"/>
      <c r="FM121" s="2"/>
      <c r="FN121" s="2"/>
      <c r="FO121" s="2"/>
      <c r="FP121" s="2"/>
      <c r="FQ121" s="2">
        <v>0</v>
      </c>
      <c r="FR121" s="2">
        <f t="shared" si="133"/>
        <v>0</v>
      </c>
      <c r="FS121" s="2">
        <v>0</v>
      </c>
      <c r="FT121" s="2"/>
      <c r="FU121" s="2"/>
      <c r="FV121" s="2"/>
      <c r="FW121" s="2"/>
      <c r="FX121" s="2">
        <v>0</v>
      </c>
      <c r="FY121" s="2">
        <v>0</v>
      </c>
      <c r="FZ121" s="2"/>
      <c r="GA121" s="2" t="s">
        <v>6</v>
      </c>
      <c r="GB121" s="2"/>
      <c r="GC121" s="2"/>
      <c r="GD121" s="2">
        <v>1</v>
      </c>
      <c r="GE121" s="2"/>
      <c r="GF121" s="2">
        <v>2105756975</v>
      </c>
      <c r="GG121" s="2">
        <v>2</v>
      </c>
      <c r="GH121" s="2">
        <v>1</v>
      </c>
      <c r="GI121" s="2">
        <v>-2</v>
      </c>
      <c r="GJ121" s="2">
        <v>0</v>
      </c>
      <c r="GK121" s="2">
        <v>0</v>
      </c>
      <c r="GL121" s="2">
        <f t="shared" si="134"/>
        <v>0</v>
      </c>
      <c r="GM121" s="2">
        <f t="shared" si="135"/>
        <v>71</v>
      </c>
      <c r="GN121" s="2">
        <f t="shared" si="136"/>
        <v>71</v>
      </c>
      <c r="GO121" s="2">
        <f t="shared" si="137"/>
        <v>0</v>
      </c>
      <c r="GP121" s="2">
        <f t="shared" si="138"/>
        <v>0</v>
      </c>
      <c r="GQ121" s="2"/>
      <c r="GR121" s="2">
        <v>0</v>
      </c>
      <c r="GS121" s="2">
        <v>3</v>
      </c>
      <c r="GT121" s="2">
        <v>0</v>
      </c>
      <c r="GU121" s="2" t="s">
        <v>6</v>
      </c>
      <c r="GV121" s="2">
        <f t="shared" si="139"/>
        <v>0</v>
      </c>
      <c r="GW121" s="2">
        <v>1</v>
      </c>
      <c r="GX121" s="2">
        <f t="shared" si="140"/>
        <v>0</v>
      </c>
      <c r="GY121" s="2"/>
      <c r="GZ121" s="2"/>
      <c r="HA121" s="2">
        <v>0</v>
      </c>
      <c r="HB121" s="2">
        <v>0</v>
      </c>
      <c r="HC121" s="2">
        <f t="shared" si="141"/>
        <v>0</v>
      </c>
      <c r="HD121" s="2"/>
      <c r="HE121" s="2" t="s">
        <v>6</v>
      </c>
      <c r="HF121" s="2" t="s">
        <v>6</v>
      </c>
      <c r="HG121" s="2"/>
      <c r="HH121" s="2"/>
      <c r="HI121" s="2"/>
      <c r="HJ121" s="2"/>
      <c r="HK121" s="2"/>
      <c r="HL121" s="2"/>
      <c r="HM121" s="2" t="s">
        <v>6</v>
      </c>
      <c r="HN121" s="2" t="s">
        <v>6</v>
      </c>
      <c r="HO121" s="2" t="s">
        <v>6</v>
      </c>
      <c r="HP121" s="2" t="s">
        <v>6</v>
      </c>
      <c r="HQ121" s="2" t="s">
        <v>6</v>
      </c>
      <c r="HR121" s="2"/>
      <c r="HS121" s="2"/>
      <c r="HT121" s="2"/>
      <c r="HU121" s="2"/>
      <c r="HV121" s="2"/>
      <c r="HW121" s="2"/>
      <c r="HX121" s="2"/>
      <c r="HY121" s="2"/>
      <c r="HZ121" s="2"/>
      <c r="IA121" s="2"/>
      <c r="IB121" s="2"/>
      <c r="IC121" s="2"/>
      <c r="ID121" s="2"/>
      <c r="IE121" s="2"/>
      <c r="IF121" s="2">
        <v>-1</v>
      </c>
      <c r="IG121" s="2"/>
      <c r="IH121" s="2"/>
      <c r="II121" s="2"/>
      <c r="IJ121" s="2"/>
      <c r="IK121" s="2">
        <v>0</v>
      </c>
      <c r="IL121" s="2"/>
      <c r="IM121" s="2"/>
      <c r="IN121" s="2"/>
      <c r="IO121" s="2"/>
      <c r="IP121" s="2"/>
      <c r="IQ121" s="2"/>
      <c r="IR121" s="2"/>
      <c r="IS121" s="2"/>
      <c r="IT121" s="2"/>
      <c r="IU121" s="2"/>
    </row>
    <row r="122" spans="1:255" x14ac:dyDescent="0.2">
      <c r="A122">
        <v>18</v>
      </c>
      <c r="B122">
        <v>1</v>
      </c>
      <c r="C122">
        <v>107</v>
      </c>
      <c r="E122" t="s">
        <v>199</v>
      </c>
      <c r="F122" t="e">
        <f>'2.Лок.смета.и.Акт'!#REF!</f>
        <v>#REF!</v>
      </c>
      <c r="G122" t="s">
        <v>32</v>
      </c>
      <c r="H122" t="s">
        <v>33</v>
      </c>
      <c r="I122">
        <f>I120*J122</f>
        <v>8.3639999999999999E-3</v>
      </c>
      <c r="J122">
        <v>2.6499801980198022E-4</v>
      </c>
      <c r="K122">
        <v>2.6499999999999999E-4</v>
      </c>
      <c r="O122">
        <f t="shared" si="110"/>
        <v>630</v>
      </c>
      <c r="P122">
        <f t="shared" si="111"/>
        <v>630</v>
      </c>
      <c r="Q122">
        <f t="shared" si="112"/>
        <v>0</v>
      </c>
      <c r="R122">
        <f t="shared" si="113"/>
        <v>0</v>
      </c>
      <c r="S122">
        <f t="shared" si="114"/>
        <v>0</v>
      </c>
      <c r="T122">
        <f t="shared" si="115"/>
        <v>0</v>
      </c>
      <c r="U122">
        <f t="shared" si="116"/>
        <v>0</v>
      </c>
      <c r="V122">
        <f t="shared" si="117"/>
        <v>0</v>
      </c>
      <c r="W122">
        <f t="shared" si="118"/>
        <v>0</v>
      </c>
      <c r="X122">
        <f t="shared" si="119"/>
        <v>0</v>
      </c>
      <c r="Y122">
        <f t="shared" si="120"/>
        <v>0</v>
      </c>
      <c r="AA122">
        <v>86326988</v>
      </c>
      <c r="AB122">
        <f t="shared" si="121"/>
        <v>9962.5300000000007</v>
      </c>
      <c r="AC122">
        <f>ROUND((ES122),2)</f>
        <v>9962.5300000000007</v>
      </c>
      <c r="AD122">
        <f>ROUND((((ET122)-(EU122))+AE122),2)</f>
        <v>0</v>
      </c>
      <c r="AE122">
        <f t="shared" si="142"/>
        <v>0</v>
      </c>
      <c r="AF122">
        <f t="shared" si="142"/>
        <v>0</v>
      </c>
      <c r="AG122">
        <f t="shared" si="122"/>
        <v>0</v>
      </c>
      <c r="AH122">
        <f t="shared" si="143"/>
        <v>0</v>
      </c>
      <c r="AI122">
        <f t="shared" si="143"/>
        <v>0</v>
      </c>
      <c r="AJ122">
        <f t="shared" si="123"/>
        <v>28.41</v>
      </c>
      <c r="AK122">
        <v>9962.5300000000007</v>
      </c>
      <c r="AL122">
        <v>9962.5300000000007</v>
      </c>
      <c r="AM122">
        <v>0</v>
      </c>
      <c r="AN122">
        <v>0</v>
      </c>
      <c r="AO122">
        <v>0</v>
      </c>
      <c r="AP122">
        <v>0</v>
      </c>
      <c r="AQ122">
        <v>0</v>
      </c>
      <c r="AR122">
        <v>0</v>
      </c>
      <c r="AS122">
        <v>28.41</v>
      </c>
      <c r="AT122">
        <v>0</v>
      </c>
      <c r="AU122">
        <v>0</v>
      </c>
      <c r="AV122">
        <v>1</v>
      </c>
      <c r="AW122">
        <v>1</v>
      </c>
      <c r="AZ122">
        <v>1</v>
      </c>
      <c r="BA122">
        <v>1</v>
      </c>
      <c r="BB122">
        <v>1</v>
      </c>
      <c r="BC122">
        <v>7.56</v>
      </c>
      <c r="BD122" t="s">
        <v>6</v>
      </c>
      <c r="BE122" t="s">
        <v>6</v>
      </c>
      <c r="BF122" t="s">
        <v>6</v>
      </c>
      <c r="BG122" t="s">
        <v>6</v>
      </c>
      <c r="BH122">
        <v>3</v>
      </c>
      <c r="BI122">
        <v>1</v>
      </c>
      <c r="BJ122" t="s">
        <v>34</v>
      </c>
      <c r="BM122">
        <v>500001</v>
      </c>
      <c r="BN122">
        <v>0</v>
      </c>
      <c r="BO122" t="s">
        <v>6</v>
      </c>
      <c r="BP122">
        <v>0</v>
      </c>
      <c r="BQ122">
        <v>20</v>
      </c>
      <c r="BR122">
        <v>0</v>
      </c>
      <c r="BS122">
        <v>1</v>
      </c>
      <c r="BT122">
        <v>1</v>
      </c>
      <c r="BU122">
        <v>1</v>
      </c>
      <c r="BV122">
        <v>1</v>
      </c>
      <c r="BW122">
        <v>1</v>
      </c>
      <c r="BX122">
        <v>1</v>
      </c>
      <c r="BY122" t="s">
        <v>6</v>
      </c>
      <c r="BZ122">
        <v>0</v>
      </c>
      <c r="CA122">
        <v>0</v>
      </c>
      <c r="CB122" t="s">
        <v>6</v>
      </c>
      <c r="CE122">
        <v>0</v>
      </c>
      <c r="CF122">
        <v>0</v>
      </c>
      <c r="CG122">
        <v>0</v>
      </c>
      <c r="CM122">
        <v>0</v>
      </c>
      <c r="CN122" t="s">
        <v>6</v>
      </c>
      <c r="CO122">
        <v>0</v>
      </c>
      <c r="CP122">
        <f t="shared" si="124"/>
        <v>630</v>
      </c>
      <c r="CQ122">
        <f t="shared" si="125"/>
        <v>75316.726800000004</v>
      </c>
      <c r="CR122">
        <f t="shared" si="126"/>
        <v>0</v>
      </c>
      <c r="CS122">
        <f t="shared" si="127"/>
        <v>0</v>
      </c>
      <c r="CT122">
        <f t="shared" si="128"/>
        <v>0</v>
      </c>
      <c r="CU122">
        <f t="shared" si="129"/>
        <v>0</v>
      </c>
      <c r="CV122">
        <f t="shared" si="130"/>
        <v>0</v>
      </c>
      <c r="CW122">
        <f t="shared" si="131"/>
        <v>0</v>
      </c>
      <c r="CX122">
        <f t="shared" si="132"/>
        <v>28.41</v>
      </c>
      <c r="CY122">
        <f>(S122+R122)*(BZ122/100)</f>
        <v>0</v>
      </c>
      <c r="CZ122">
        <f>(S122+R122)*(CA122/100)</f>
        <v>0</v>
      </c>
      <c r="DC122" t="s">
        <v>6</v>
      </c>
      <c r="DD122" t="s">
        <v>6</v>
      </c>
      <c r="DE122" t="s">
        <v>6</v>
      </c>
      <c r="DF122" t="s">
        <v>6</v>
      </c>
      <c r="DG122" t="s">
        <v>6</v>
      </c>
      <c r="DH122" t="s">
        <v>6</v>
      </c>
      <c r="DI122" t="s">
        <v>6</v>
      </c>
      <c r="DJ122" t="s">
        <v>6</v>
      </c>
      <c r="DK122" t="s">
        <v>6</v>
      </c>
      <c r="DL122" t="s">
        <v>6</v>
      </c>
      <c r="DM122" t="s">
        <v>6</v>
      </c>
      <c r="DN122">
        <v>0</v>
      </c>
      <c r="DO122">
        <v>0</v>
      </c>
      <c r="DP122">
        <v>1</v>
      </c>
      <c r="DQ122">
        <v>1</v>
      </c>
      <c r="DU122">
        <v>1009</v>
      </c>
      <c r="DV122" t="s">
        <v>33</v>
      </c>
      <c r="DW122" t="e">
        <f>'2.Лок.смета.и.Акт'!#REF!</f>
        <v>#REF!</v>
      </c>
      <c r="DX122">
        <v>1000</v>
      </c>
      <c r="DZ122" t="s">
        <v>6</v>
      </c>
      <c r="EA122" t="s">
        <v>6</v>
      </c>
      <c r="EB122" t="s">
        <v>6</v>
      </c>
      <c r="EC122" t="s">
        <v>6</v>
      </c>
      <c r="EE122">
        <v>54938781</v>
      </c>
      <c r="EF122">
        <v>20</v>
      </c>
      <c r="EG122" t="s">
        <v>35</v>
      </c>
      <c r="EH122">
        <v>0</v>
      </c>
      <c r="EI122" t="s">
        <v>6</v>
      </c>
      <c r="EJ122">
        <v>1</v>
      </c>
      <c r="EK122">
        <v>500001</v>
      </c>
      <c r="EL122" t="s">
        <v>36</v>
      </c>
      <c r="EM122" t="s">
        <v>37</v>
      </c>
      <c r="EO122" t="s">
        <v>6</v>
      </c>
      <c r="EQ122">
        <v>0</v>
      </c>
      <c r="ER122">
        <v>71000</v>
      </c>
      <c r="ES122">
        <v>9962.5300000000007</v>
      </c>
      <c r="ET122">
        <v>0</v>
      </c>
      <c r="EU122">
        <v>0</v>
      </c>
      <c r="EV122">
        <v>0</v>
      </c>
      <c r="EW122">
        <v>0</v>
      </c>
      <c r="EX122">
        <v>0</v>
      </c>
      <c r="EZ122">
        <v>5</v>
      </c>
      <c r="FC122">
        <v>0</v>
      </c>
      <c r="FD122">
        <v>18</v>
      </c>
      <c r="FF122">
        <v>71000</v>
      </c>
      <c r="FQ122">
        <v>0</v>
      </c>
      <c r="FR122">
        <f t="shared" si="133"/>
        <v>0</v>
      </c>
      <c r="FS122">
        <v>0</v>
      </c>
      <c r="FX122">
        <v>0</v>
      </c>
      <c r="FY122">
        <v>0</v>
      </c>
      <c r="GA122" t="s">
        <v>38</v>
      </c>
      <c r="GD122">
        <v>1</v>
      </c>
      <c r="GF122">
        <v>2105756975</v>
      </c>
      <c r="GG122">
        <v>2</v>
      </c>
      <c r="GH122">
        <v>3</v>
      </c>
      <c r="GI122">
        <v>5</v>
      </c>
      <c r="GJ122">
        <v>0</v>
      </c>
      <c r="GK122">
        <v>0</v>
      </c>
      <c r="GL122">
        <f t="shared" si="134"/>
        <v>0</v>
      </c>
      <c r="GM122">
        <f t="shared" si="135"/>
        <v>630</v>
      </c>
      <c r="GN122">
        <f t="shared" si="136"/>
        <v>630</v>
      </c>
      <c r="GO122">
        <f t="shared" si="137"/>
        <v>0</v>
      </c>
      <c r="GP122">
        <f t="shared" si="138"/>
        <v>0</v>
      </c>
      <c r="GR122">
        <v>1</v>
      </c>
      <c r="GS122">
        <v>1</v>
      </c>
      <c r="GT122">
        <v>0</v>
      </c>
      <c r="GU122" t="s">
        <v>6</v>
      </c>
      <c r="GV122">
        <f t="shared" si="139"/>
        <v>0</v>
      </c>
      <c r="GW122">
        <v>1</v>
      </c>
      <c r="GX122">
        <f t="shared" si="140"/>
        <v>0</v>
      </c>
      <c r="HA122">
        <v>0</v>
      </c>
      <c r="HB122">
        <v>0</v>
      </c>
      <c r="HC122">
        <f t="shared" si="141"/>
        <v>0</v>
      </c>
      <c r="HE122" t="s">
        <v>39</v>
      </c>
      <c r="HF122" t="s">
        <v>40</v>
      </c>
      <c r="HM122" t="s">
        <v>6</v>
      </c>
      <c r="HN122" t="s">
        <v>6</v>
      </c>
      <c r="HO122" t="s">
        <v>6</v>
      </c>
      <c r="HP122" t="s">
        <v>6</v>
      </c>
      <c r="HQ122" t="s">
        <v>6</v>
      </c>
      <c r="IF122">
        <v>-1</v>
      </c>
      <c r="IK122">
        <v>0</v>
      </c>
    </row>
    <row r="123" spans="1:255" x14ac:dyDescent="0.2">
      <c r="A123" s="2">
        <v>18</v>
      </c>
      <c r="B123" s="2">
        <v>1</v>
      </c>
      <c r="C123" s="2">
        <v>100</v>
      </c>
      <c r="D123" s="2"/>
      <c r="E123" s="2" t="s">
        <v>200</v>
      </c>
      <c r="F123" s="2" t="s">
        <v>42</v>
      </c>
      <c r="G123" s="2" t="s">
        <v>43</v>
      </c>
      <c r="H123" s="2" t="s">
        <v>44</v>
      </c>
      <c r="I123" s="2">
        <f>I119*J123</f>
        <v>0.28365224999999999</v>
      </c>
      <c r="J123" s="226">
        <f>'5.Ведомость_списания'!F56</f>
        <v>8.9870019801980196E-3</v>
      </c>
      <c r="K123" s="2">
        <v>8.9870000000000002E-3</v>
      </c>
      <c r="L123" s="2"/>
      <c r="M123" s="2"/>
      <c r="N123" s="2"/>
      <c r="O123" s="2">
        <f t="shared" si="110"/>
        <v>312</v>
      </c>
      <c r="P123" s="2">
        <f t="shared" si="111"/>
        <v>312</v>
      </c>
      <c r="Q123" s="2">
        <f t="shared" si="112"/>
        <v>0</v>
      </c>
      <c r="R123" s="2">
        <f t="shared" si="113"/>
        <v>0</v>
      </c>
      <c r="S123" s="2">
        <f t="shared" si="114"/>
        <v>0</v>
      </c>
      <c r="T123" s="2">
        <f t="shared" si="115"/>
        <v>0</v>
      </c>
      <c r="U123" s="2">
        <f t="shared" si="116"/>
        <v>0</v>
      </c>
      <c r="V123" s="2">
        <f t="shared" si="117"/>
        <v>0</v>
      </c>
      <c r="W123" s="2">
        <f t="shared" si="118"/>
        <v>2</v>
      </c>
      <c r="X123" s="2">
        <f t="shared" si="119"/>
        <v>0</v>
      </c>
      <c r="Y123" s="2">
        <f t="shared" si="120"/>
        <v>0</v>
      </c>
      <c r="Z123" s="2"/>
      <c r="AA123" s="2">
        <v>86326987</v>
      </c>
      <c r="AB123" s="2">
        <f t="shared" si="121"/>
        <v>1100</v>
      </c>
      <c r="AC123" s="2">
        <f>ROUND((ES123),2)</f>
        <v>1100</v>
      </c>
      <c r="AD123" s="2">
        <f>ROUND((((ET123)-(EU123))+AE123),2)</f>
        <v>0</v>
      </c>
      <c r="AE123" s="2">
        <f t="shared" si="142"/>
        <v>0</v>
      </c>
      <c r="AF123" s="2">
        <f t="shared" si="142"/>
        <v>0</v>
      </c>
      <c r="AG123" s="2">
        <f t="shared" si="122"/>
        <v>0</v>
      </c>
      <c r="AH123" s="2">
        <f t="shared" si="143"/>
        <v>0</v>
      </c>
      <c r="AI123" s="2">
        <f t="shared" si="143"/>
        <v>0</v>
      </c>
      <c r="AJ123" s="2">
        <f t="shared" si="123"/>
        <v>7.14</v>
      </c>
      <c r="AK123" s="2">
        <v>1100</v>
      </c>
      <c r="AL123" s="110">
        <f>'1.Лок.смета.и.Акт'!F225</f>
        <v>1100</v>
      </c>
      <c r="AM123" s="2">
        <v>0</v>
      </c>
      <c r="AN123" s="2">
        <v>0</v>
      </c>
      <c r="AO123" s="2">
        <v>0</v>
      </c>
      <c r="AP123" s="2">
        <v>0</v>
      </c>
      <c r="AQ123" s="2">
        <v>0</v>
      </c>
      <c r="AR123" s="2">
        <v>0</v>
      </c>
      <c r="AS123" s="2">
        <v>7.14</v>
      </c>
      <c r="AT123" s="2">
        <v>0</v>
      </c>
      <c r="AU123" s="2">
        <v>0</v>
      </c>
      <c r="AV123" s="2">
        <v>1</v>
      </c>
      <c r="AW123" s="2">
        <v>1</v>
      </c>
      <c r="AX123" s="2"/>
      <c r="AY123" s="2"/>
      <c r="AZ123" s="2">
        <v>1</v>
      </c>
      <c r="BA123" s="2">
        <v>1</v>
      </c>
      <c r="BB123" s="2">
        <v>1</v>
      </c>
      <c r="BC123" s="2">
        <v>1</v>
      </c>
      <c r="BD123" s="2" t="s">
        <v>6</v>
      </c>
      <c r="BE123" s="2" t="s">
        <v>6</v>
      </c>
      <c r="BF123" s="2" t="s">
        <v>6</v>
      </c>
      <c r="BG123" s="2" t="s">
        <v>6</v>
      </c>
      <c r="BH123" s="2">
        <v>3</v>
      </c>
      <c r="BI123" s="2">
        <v>1</v>
      </c>
      <c r="BJ123" s="2" t="s">
        <v>45</v>
      </c>
      <c r="BK123" s="2"/>
      <c r="BL123" s="2"/>
      <c r="BM123" s="2">
        <v>500001</v>
      </c>
      <c r="BN123" s="2">
        <v>0</v>
      </c>
      <c r="BO123" s="2" t="s">
        <v>6</v>
      </c>
      <c r="BP123" s="2">
        <v>0</v>
      </c>
      <c r="BQ123" s="2">
        <v>20</v>
      </c>
      <c r="BR123" s="2">
        <v>0</v>
      </c>
      <c r="BS123" s="2">
        <v>1</v>
      </c>
      <c r="BT123" s="2">
        <v>1</v>
      </c>
      <c r="BU123" s="2">
        <v>1</v>
      </c>
      <c r="BV123" s="2">
        <v>1</v>
      </c>
      <c r="BW123" s="2">
        <v>1</v>
      </c>
      <c r="BX123" s="2">
        <v>1</v>
      </c>
      <c r="BY123" s="2" t="s">
        <v>6</v>
      </c>
      <c r="BZ123" s="2">
        <v>0</v>
      </c>
      <c r="CA123" s="2">
        <v>0</v>
      </c>
      <c r="CB123" s="2" t="s">
        <v>6</v>
      </c>
      <c r="CC123" s="2"/>
      <c r="CD123" s="2"/>
      <c r="CE123" s="2">
        <v>0</v>
      </c>
      <c r="CF123" s="2">
        <v>0</v>
      </c>
      <c r="CG123" s="2">
        <v>0</v>
      </c>
      <c r="CH123" s="2"/>
      <c r="CI123" s="2"/>
      <c r="CJ123" s="2"/>
      <c r="CK123" s="2"/>
      <c r="CL123" s="2"/>
      <c r="CM123" s="2">
        <v>0</v>
      </c>
      <c r="CN123" s="2" t="s">
        <v>6</v>
      </c>
      <c r="CO123" s="2">
        <v>0</v>
      </c>
      <c r="CP123" s="2">
        <f t="shared" si="124"/>
        <v>312</v>
      </c>
      <c r="CQ123" s="2">
        <f t="shared" si="125"/>
        <v>1100</v>
      </c>
      <c r="CR123" s="2">
        <f t="shared" si="126"/>
        <v>0</v>
      </c>
      <c r="CS123" s="2">
        <f t="shared" si="127"/>
        <v>0</v>
      </c>
      <c r="CT123" s="2">
        <f t="shared" si="128"/>
        <v>0</v>
      </c>
      <c r="CU123" s="2">
        <f t="shared" si="129"/>
        <v>0</v>
      </c>
      <c r="CV123" s="2">
        <f t="shared" si="130"/>
        <v>0</v>
      </c>
      <c r="CW123" s="2">
        <f t="shared" si="131"/>
        <v>0</v>
      </c>
      <c r="CX123" s="2">
        <f t="shared" si="132"/>
        <v>7.14</v>
      </c>
      <c r="CY123" s="2">
        <f>(((S123+(R123*IF(0,0,1)))*AT123)/100)</f>
        <v>0</v>
      </c>
      <c r="CZ123" s="2">
        <f>(((S123+(R123*IF(0,0,1)))*AU123)/100)</f>
        <v>0</v>
      </c>
      <c r="DA123" s="2"/>
      <c r="DB123" s="2"/>
      <c r="DC123" s="2" t="s">
        <v>6</v>
      </c>
      <c r="DD123" s="2" t="s">
        <v>6</v>
      </c>
      <c r="DE123" s="2" t="s">
        <v>6</v>
      </c>
      <c r="DF123" s="2" t="s">
        <v>6</v>
      </c>
      <c r="DG123" s="2" t="s">
        <v>6</v>
      </c>
      <c r="DH123" s="2" t="s">
        <v>6</v>
      </c>
      <c r="DI123" s="2" t="s">
        <v>6</v>
      </c>
      <c r="DJ123" s="2" t="s">
        <v>6</v>
      </c>
      <c r="DK123" s="2" t="s">
        <v>6</v>
      </c>
      <c r="DL123" s="2" t="s">
        <v>6</v>
      </c>
      <c r="DM123" s="2" t="s">
        <v>6</v>
      </c>
      <c r="DN123" s="2">
        <v>0</v>
      </c>
      <c r="DO123" s="2">
        <v>0</v>
      </c>
      <c r="DP123" s="2">
        <v>1</v>
      </c>
      <c r="DQ123" s="2">
        <v>1</v>
      </c>
      <c r="DR123" s="2"/>
      <c r="DS123" s="2"/>
      <c r="DT123" s="2"/>
      <c r="DU123" s="2">
        <v>1007</v>
      </c>
      <c r="DV123" s="2" t="s">
        <v>44</v>
      </c>
      <c r="DW123" s="2" t="s">
        <v>44</v>
      </c>
      <c r="DX123" s="2">
        <v>1</v>
      </c>
      <c r="DY123" s="2"/>
      <c r="DZ123" s="2" t="s">
        <v>6</v>
      </c>
      <c r="EA123" s="2" t="s">
        <v>6</v>
      </c>
      <c r="EB123" s="2" t="s">
        <v>6</v>
      </c>
      <c r="EC123" s="2" t="s">
        <v>6</v>
      </c>
      <c r="ED123" s="2"/>
      <c r="EE123" s="2">
        <v>54938781</v>
      </c>
      <c r="EF123" s="2">
        <v>20</v>
      </c>
      <c r="EG123" s="2" t="s">
        <v>35</v>
      </c>
      <c r="EH123" s="2">
        <v>0</v>
      </c>
      <c r="EI123" s="2" t="s">
        <v>6</v>
      </c>
      <c r="EJ123" s="2">
        <v>1</v>
      </c>
      <c r="EK123" s="2">
        <v>500001</v>
      </c>
      <c r="EL123" s="2" t="s">
        <v>36</v>
      </c>
      <c r="EM123" s="2" t="s">
        <v>37</v>
      </c>
      <c r="EN123" s="2"/>
      <c r="EO123" s="2" t="s">
        <v>6</v>
      </c>
      <c r="EP123" s="2"/>
      <c r="EQ123" s="2">
        <v>0</v>
      </c>
      <c r="ER123" s="2">
        <v>1100</v>
      </c>
      <c r="ES123" s="110">
        <f>'1.Лок.смета.и.Акт'!F225</f>
        <v>1100</v>
      </c>
      <c r="ET123" s="2">
        <v>0</v>
      </c>
      <c r="EU123" s="2">
        <v>0</v>
      </c>
      <c r="EV123" s="2">
        <v>0</v>
      </c>
      <c r="EW123" s="2">
        <v>0</v>
      </c>
      <c r="EX123" s="2">
        <v>0</v>
      </c>
      <c r="EY123" s="2"/>
      <c r="EZ123" s="2"/>
      <c r="FA123" s="2"/>
      <c r="FB123" s="2"/>
      <c r="FC123" s="2"/>
      <c r="FD123" s="2"/>
      <c r="FE123" s="2"/>
      <c r="FF123" s="2"/>
      <c r="FG123" s="2"/>
      <c r="FH123" s="2"/>
      <c r="FI123" s="2"/>
      <c r="FJ123" s="2"/>
      <c r="FK123" s="2"/>
      <c r="FL123" s="2"/>
      <c r="FM123" s="2"/>
      <c r="FN123" s="2"/>
      <c r="FO123" s="2"/>
      <c r="FP123" s="2"/>
      <c r="FQ123" s="2">
        <v>0</v>
      </c>
      <c r="FR123" s="2">
        <f t="shared" si="133"/>
        <v>0</v>
      </c>
      <c r="FS123" s="2">
        <v>0</v>
      </c>
      <c r="FT123" s="2"/>
      <c r="FU123" s="2"/>
      <c r="FV123" s="2"/>
      <c r="FW123" s="2"/>
      <c r="FX123" s="2">
        <v>0</v>
      </c>
      <c r="FY123" s="2">
        <v>0</v>
      </c>
      <c r="FZ123" s="2"/>
      <c r="GA123" s="2" t="s">
        <v>6</v>
      </c>
      <c r="GB123" s="2"/>
      <c r="GC123" s="2"/>
      <c r="GD123" s="2">
        <v>1</v>
      </c>
      <c r="GE123" s="2"/>
      <c r="GF123" s="2">
        <v>703937141</v>
      </c>
      <c r="GG123" s="2">
        <v>2</v>
      </c>
      <c r="GH123" s="2">
        <v>1</v>
      </c>
      <c r="GI123" s="2">
        <v>-2</v>
      </c>
      <c r="GJ123" s="2">
        <v>0</v>
      </c>
      <c r="GK123" s="2">
        <v>0</v>
      </c>
      <c r="GL123" s="2">
        <f t="shared" si="134"/>
        <v>0</v>
      </c>
      <c r="GM123" s="2">
        <f t="shared" si="135"/>
        <v>312</v>
      </c>
      <c r="GN123" s="2">
        <f t="shared" si="136"/>
        <v>312</v>
      </c>
      <c r="GO123" s="2">
        <f t="shared" si="137"/>
        <v>0</v>
      </c>
      <c r="GP123" s="2">
        <f t="shared" si="138"/>
        <v>0</v>
      </c>
      <c r="GQ123" s="2"/>
      <c r="GR123" s="2">
        <v>0</v>
      </c>
      <c r="GS123" s="2">
        <v>3</v>
      </c>
      <c r="GT123" s="2">
        <v>0</v>
      </c>
      <c r="GU123" s="2" t="s">
        <v>6</v>
      </c>
      <c r="GV123" s="2">
        <f t="shared" si="139"/>
        <v>0</v>
      </c>
      <c r="GW123" s="2">
        <v>1</v>
      </c>
      <c r="GX123" s="2">
        <f t="shared" si="140"/>
        <v>0</v>
      </c>
      <c r="GY123" s="2"/>
      <c r="GZ123" s="2"/>
      <c r="HA123" s="2">
        <v>0</v>
      </c>
      <c r="HB123" s="2">
        <v>0</v>
      </c>
      <c r="HC123" s="2">
        <f t="shared" si="141"/>
        <v>0</v>
      </c>
      <c r="HD123" s="2"/>
      <c r="HE123" s="2" t="s">
        <v>6</v>
      </c>
      <c r="HF123" s="2" t="s">
        <v>6</v>
      </c>
      <c r="HG123" s="2"/>
      <c r="HH123" s="2"/>
      <c r="HI123" s="2"/>
      <c r="HJ123" s="2"/>
      <c r="HK123" s="2"/>
      <c r="HL123" s="2"/>
      <c r="HM123" s="2" t="s">
        <v>6</v>
      </c>
      <c r="HN123" s="2" t="s">
        <v>6</v>
      </c>
      <c r="HO123" s="2" t="s">
        <v>6</v>
      </c>
      <c r="HP123" s="2" t="s">
        <v>6</v>
      </c>
      <c r="HQ123" s="2" t="s">
        <v>6</v>
      </c>
      <c r="HR123" s="2"/>
      <c r="HS123" s="2"/>
      <c r="HT123" s="2"/>
      <c r="HU123" s="2"/>
      <c r="HV123" s="2"/>
      <c r="HW123" s="2"/>
      <c r="HX123" s="2"/>
      <c r="HY123" s="2"/>
      <c r="HZ123" s="2"/>
      <c r="IA123" s="2"/>
      <c r="IB123" s="2"/>
      <c r="IC123" s="2"/>
      <c r="ID123" s="2"/>
      <c r="IE123" s="2"/>
      <c r="IF123" s="2">
        <v>-1</v>
      </c>
      <c r="IG123" s="2"/>
      <c r="IH123" s="2"/>
      <c r="II123" s="2"/>
      <c r="IJ123" s="2"/>
      <c r="IK123" s="2">
        <v>0</v>
      </c>
      <c r="IL123" s="2"/>
      <c r="IM123" s="2"/>
      <c r="IN123" s="2"/>
      <c r="IO123" s="2"/>
      <c r="IP123" s="2"/>
      <c r="IQ123" s="2"/>
      <c r="IR123" s="2"/>
      <c r="IS123" s="2"/>
      <c r="IT123" s="2"/>
      <c r="IU123" s="2"/>
    </row>
    <row r="124" spans="1:255" x14ac:dyDescent="0.2">
      <c r="A124">
        <v>18</v>
      </c>
      <c r="B124">
        <v>1</v>
      </c>
      <c r="C124">
        <v>108</v>
      </c>
      <c r="E124" t="s">
        <v>200</v>
      </c>
      <c r="F124" t="e">
        <f>'2.Лок.смета.и.Акт'!#REF!</f>
        <v>#REF!</v>
      </c>
      <c r="G124" t="s">
        <v>43</v>
      </c>
      <c r="H124" t="s">
        <v>44</v>
      </c>
      <c r="I124">
        <f>I120*J124</f>
        <v>0.28365224999999999</v>
      </c>
      <c r="J124">
        <v>8.9870019801980196E-3</v>
      </c>
      <c r="K124">
        <v>8.9870000000000002E-3</v>
      </c>
      <c r="O124">
        <f t="shared" si="110"/>
        <v>5015</v>
      </c>
      <c r="P124">
        <f t="shared" si="111"/>
        <v>5015</v>
      </c>
      <c r="Q124">
        <f t="shared" si="112"/>
        <v>0</v>
      </c>
      <c r="R124">
        <f t="shared" si="113"/>
        <v>0</v>
      </c>
      <c r="S124">
        <f t="shared" si="114"/>
        <v>0</v>
      </c>
      <c r="T124">
        <f t="shared" si="115"/>
        <v>0</v>
      </c>
      <c r="U124">
        <f t="shared" si="116"/>
        <v>0</v>
      </c>
      <c r="V124">
        <f t="shared" si="117"/>
        <v>0</v>
      </c>
      <c r="W124">
        <f t="shared" si="118"/>
        <v>2</v>
      </c>
      <c r="X124">
        <f t="shared" si="119"/>
        <v>0</v>
      </c>
      <c r="Y124">
        <f t="shared" si="120"/>
        <v>0</v>
      </c>
      <c r="AA124">
        <v>86326988</v>
      </c>
      <c r="AB124">
        <f t="shared" si="121"/>
        <v>2338.63</v>
      </c>
      <c r="AC124">
        <f>ROUND((ES124),2)</f>
        <v>2338.63</v>
      </c>
      <c r="AD124">
        <f>ROUND((((ET124)-(EU124))+AE124),2)</f>
        <v>0</v>
      </c>
      <c r="AE124">
        <f t="shared" si="142"/>
        <v>0</v>
      </c>
      <c r="AF124">
        <f t="shared" si="142"/>
        <v>0</v>
      </c>
      <c r="AG124">
        <f t="shared" si="122"/>
        <v>0</v>
      </c>
      <c r="AH124">
        <f t="shared" si="143"/>
        <v>0</v>
      </c>
      <c r="AI124">
        <f t="shared" si="143"/>
        <v>0</v>
      </c>
      <c r="AJ124">
        <f t="shared" si="123"/>
        <v>7.14</v>
      </c>
      <c r="AK124">
        <v>2338.63</v>
      </c>
      <c r="AL124">
        <v>2338.63</v>
      </c>
      <c r="AM124">
        <v>0</v>
      </c>
      <c r="AN124">
        <v>0</v>
      </c>
      <c r="AO124">
        <v>0</v>
      </c>
      <c r="AP124">
        <v>0</v>
      </c>
      <c r="AQ124">
        <v>0</v>
      </c>
      <c r="AR124">
        <v>0</v>
      </c>
      <c r="AS124">
        <v>7.14</v>
      </c>
      <c r="AT124">
        <v>0</v>
      </c>
      <c r="AU124">
        <v>0</v>
      </c>
      <c r="AV124">
        <v>1</v>
      </c>
      <c r="AW124">
        <v>1</v>
      </c>
      <c r="AZ124">
        <v>1</v>
      </c>
      <c r="BA124">
        <v>1</v>
      </c>
      <c r="BB124">
        <v>1</v>
      </c>
      <c r="BC124">
        <v>7.56</v>
      </c>
      <c r="BD124" t="s">
        <v>6</v>
      </c>
      <c r="BE124" t="s">
        <v>6</v>
      </c>
      <c r="BF124" t="s">
        <v>6</v>
      </c>
      <c r="BG124" t="s">
        <v>6</v>
      </c>
      <c r="BH124">
        <v>3</v>
      </c>
      <c r="BI124">
        <v>1</v>
      </c>
      <c r="BJ124" t="s">
        <v>45</v>
      </c>
      <c r="BM124">
        <v>500001</v>
      </c>
      <c r="BN124">
        <v>0</v>
      </c>
      <c r="BO124" t="s">
        <v>6</v>
      </c>
      <c r="BP124">
        <v>0</v>
      </c>
      <c r="BQ124">
        <v>20</v>
      </c>
      <c r="BR124">
        <v>0</v>
      </c>
      <c r="BS124">
        <v>1</v>
      </c>
      <c r="BT124">
        <v>1</v>
      </c>
      <c r="BU124">
        <v>1</v>
      </c>
      <c r="BV124">
        <v>1</v>
      </c>
      <c r="BW124">
        <v>1</v>
      </c>
      <c r="BX124">
        <v>1</v>
      </c>
      <c r="BY124" t="s">
        <v>6</v>
      </c>
      <c r="BZ124">
        <v>0</v>
      </c>
      <c r="CA124">
        <v>0</v>
      </c>
      <c r="CB124" t="s">
        <v>6</v>
      </c>
      <c r="CE124">
        <v>0</v>
      </c>
      <c r="CF124">
        <v>0</v>
      </c>
      <c r="CG124">
        <v>0</v>
      </c>
      <c r="CM124">
        <v>0</v>
      </c>
      <c r="CN124" t="s">
        <v>6</v>
      </c>
      <c r="CO124">
        <v>0</v>
      </c>
      <c r="CP124">
        <f t="shared" si="124"/>
        <v>5015</v>
      </c>
      <c r="CQ124">
        <f t="shared" si="125"/>
        <v>17680.042799999999</v>
      </c>
      <c r="CR124">
        <f t="shared" si="126"/>
        <v>0</v>
      </c>
      <c r="CS124">
        <f t="shared" si="127"/>
        <v>0</v>
      </c>
      <c r="CT124">
        <f t="shared" si="128"/>
        <v>0</v>
      </c>
      <c r="CU124">
        <f t="shared" si="129"/>
        <v>0</v>
      </c>
      <c r="CV124">
        <f t="shared" si="130"/>
        <v>0</v>
      </c>
      <c r="CW124">
        <f t="shared" si="131"/>
        <v>0</v>
      </c>
      <c r="CX124">
        <f t="shared" si="132"/>
        <v>7.14</v>
      </c>
      <c r="CY124">
        <f>(S124+R124)*(BZ124/100)</f>
        <v>0</v>
      </c>
      <c r="CZ124">
        <f>(S124+R124)*(CA124/100)</f>
        <v>0</v>
      </c>
      <c r="DC124" t="s">
        <v>6</v>
      </c>
      <c r="DD124" t="s">
        <v>6</v>
      </c>
      <c r="DE124" t="s">
        <v>6</v>
      </c>
      <c r="DF124" t="s">
        <v>6</v>
      </c>
      <c r="DG124" t="s">
        <v>6</v>
      </c>
      <c r="DH124" t="s">
        <v>6</v>
      </c>
      <c r="DI124" t="s">
        <v>6</v>
      </c>
      <c r="DJ124" t="s">
        <v>6</v>
      </c>
      <c r="DK124" t="s">
        <v>6</v>
      </c>
      <c r="DL124" t="s">
        <v>6</v>
      </c>
      <c r="DM124" t="s">
        <v>6</v>
      </c>
      <c r="DN124">
        <v>0</v>
      </c>
      <c r="DO124">
        <v>0</v>
      </c>
      <c r="DP124">
        <v>1</v>
      </c>
      <c r="DQ124">
        <v>1</v>
      </c>
      <c r="DU124">
        <v>1007</v>
      </c>
      <c r="DV124" t="s">
        <v>44</v>
      </c>
      <c r="DW124" t="e">
        <f>'2.Лок.смета.и.Акт'!#REF!</f>
        <v>#REF!</v>
      </c>
      <c r="DX124">
        <v>1</v>
      </c>
      <c r="DZ124" t="s">
        <v>6</v>
      </c>
      <c r="EA124" t="s">
        <v>6</v>
      </c>
      <c r="EB124" t="s">
        <v>6</v>
      </c>
      <c r="EC124" t="s">
        <v>6</v>
      </c>
      <c r="EE124">
        <v>54938781</v>
      </c>
      <c r="EF124">
        <v>20</v>
      </c>
      <c r="EG124" t="s">
        <v>35</v>
      </c>
      <c r="EH124">
        <v>0</v>
      </c>
      <c r="EI124" t="s">
        <v>6</v>
      </c>
      <c r="EJ124">
        <v>1</v>
      </c>
      <c r="EK124">
        <v>500001</v>
      </c>
      <c r="EL124" t="s">
        <v>36</v>
      </c>
      <c r="EM124" t="s">
        <v>37</v>
      </c>
      <c r="EO124" t="s">
        <v>6</v>
      </c>
      <c r="EQ124">
        <v>0</v>
      </c>
      <c r="ER124">
        <v>16666.669999999998</v>
      </c>
      <c r="ES124">
        <v>2338.63</v>
      </c>
      <c r="ET124">
        <v>0</v>
      </c>
      <c r="EU124">
        <v>0</v>
      </c>
      <c r="EV124">
        <v>0</v>
      </c>
      <c r="EW124">
        <v>0</v>
      </c>
      <c r="EX124">
        <v>0</v>
      </c>
      <c r="EZ124">
        <v>5</v>
      </c>
      <c r="FC124">
        <v>0</v>
      </c>
      <c r="FD124">
        <v>18</v>
      </c>
      <c r="FF124">
        <v>16666.669999999998</v>
      </c>
      <c r="FQ124">
        <v>0</v>
      </c>
      <c r="FR124">
        <f t="shared" si="133"/>
        <v>0</v>
      </c>
      <c r="FS124">
        <v>0</v>
      </c>
      <c r="FX124">
        <v>0</v>
      </c>
      <c r="FY124">
        <v>0</v>
      </c>
      <c r="GA124" t="s">
        <v>46</v>
      </c>
      <c r="GD124">
        <v>1</v>
      </c>
      <c r="GF124">
        <v>703937141</v>
      </c>
      <c r="GG124">
        <v>2</v>
      </c>
      <c r="GH124">
        <v>3</v>
      </c>
      <c r="GI124">
        <v>5</v>
      </c>
      <c r="GJ124">
        <v>0</v>
      </c>
      <c r="GK124">
        <v>0</v>
      </c>
      <c r="GL124">
        <f t="shared" si="134"/>
        <v>0</v>
      </c>
      <c r="GM124">
        <f t="shared" si="135"/>
        <v>5015</v>
      </c>
      <c r="GN124">
        <f t="shared" si="136"/>
        <v>5015</v>
      </c>
      <c r="GO124">
        <f t="shared" si="137"/>
        <v>0</v>
      </c>
      <c r="GP124">
        <f t="shared" si="138"/>
        <v>0</v>
      </c>
      <c r="GR124">
        <v>1</v>
      </c>
      <c r="GS124">
        <v>1</v>
      </c>
      <c r="GT124">
        <v>0</v>
      </c>
      <c r="GU124" t="s">
        <v>6</v>
      </c>
      <c r="GV124">
        <f t="shared" si="139"/>
        <v>0</v>
      </c>
      <c r="GW124">
        <v>1</v>
      </c>
      <c r="GX124">
        <f t="shared" si="140"/>
        <v>0</v>
      </c>
      <c r="HA124">
        <v>0</v>
      </c>
      <c r="HB124">
        <v>0</v>
      </c>
      <c r="HC124">
        <f t="shared" si="141"/>
        <v>0</v>
      </c>
      <c r="HE124" t="s">
        <v>39</v>
      </c>
      <c r="HF124" t="s">
        <v>40</v>
      </c>
      <c r="HM124" t="s">
        <v>6</v>
      </c>
      <c r="HN124" t="s">
        <v>6</v>
      </c>
      <c r="HO124" t="s">
        <v>6</v>
      </c>
      <c r="HP124" t="s">
        <v>6</v>
      </c>
      <c r="HQ124" t="s">
        <v>6</v>
      </c>
      <c r="IF124">
        <v>-1</v>
      </c>
      <c r="IK124">
        <v>0</v>
      </c>
    </row>
    <row r="125" spans="1:255" x14ac:dyDescent="0.2">
      <c r="A125" s="2">
        <v>17</v>
      </c>
      <c r="B125" s="2">
        <v>1</v>
      </c>
      <c r="C125" s="2">
        <f>ROW(SmtRes!A117)</f>
        <v>117</v>
      </c>
      <c r="D125" s="2">
        <f>ROW(EtalonRes!A96)</f>
        <v>96</v>
      </c>
      <c r="E125" s="2" t="s">
        <v>201</v>
      </c>
      <c r="F125" s="2" t="s">
        <v>19</v>
      </c>
      <c r="G125" s="2" t="s">
        <v>202</v>
      </c>
      <c r="H125" s="2" t="s">
        <v>21</v>
      </c>
      <c r="I125" s="2">
        <f>'2.Лок.смета.и.Акт'!E33</f>
        <v>9.2799999999999994</v>
      </c>
      <c r="J125" s="2">
        <v>0</v>
      </c>
      <c r="K125" s="2">
        <v>37.119999999999997</v>
      </c>
      <c r="L125" s="2"/>
      <c r="M125" s="2"/>
      <c r="N125" s="2"/>
      <c r="O125" s="2">
        <f t="shared" si="110"/>
        <v>5425</v>
      </c>
      <c r="P125" s="2">
        <f t="shared" si="111"/>
        <v>0</v>
      </c>
      <c r="Q125" s="2">
        <f t="shared" si="112"/>
        <v>4470</v>
      </c>
      <c r="R125" s="2">
        <f t="shared" si="113"/>
        <v>570</v>
      </c>
      <c r="S125" s="2">
        <f t="shared" si="114"/>
        <v>955</v>
      </c>
      <c r="T125" s="2">
        <f t="shared" si="115"/>
        <v>0</v>
      </c>
      <c r="U125" s="2">
        <f t="shared" si="116"/>
        <v>121.38587999999999</v>
      </c>
      <c r="V125" s="2">
        <f t="shared" si="117"/>
        <v>41.906995200000004</v>
      </c>
      <c r="W125" s="2">
        <f t="shared" si="118"/>
        <v>0</v>
      </c>
      <c r="X125" s="2">
        <f t="shared" si="119"/>
        <v>1830</v>
      </c>
      <c r="Y125" s="2">
        <f t="shared" si="120"/>
        <v>1174</v>
      </c>
      <c r="Z125" s="2"/>
      <c r="AA125" s="2">
        <v>86326987</v>
      </c>
      <c r="AB125" s="2">
        <f t="shared" si="121"/>
        <v>584.64</v>
      </c>
      <c r="AC125" s="2">
        <f>ROUND((ES125+(SUM(SmtRes!BC109:'SmtRes'!BC117)+SUM(EtalonRes!AL89:'EtalonRes'!AL96))),2)</f>
        <v>0</v>
      </c>
      <c r="AD125" s="2">
        <f>ROUND(((((ET125*1.12*0.8)+(SUM(SmtRes!BD109:'SmtRes'!BD117)+SUM(EtalonRes!AM89:'EtalonRes'!AM96)))-((EU125*1.12*0.8)+(SUM(SmtRes!BE109:'SmtRes'!BE117)+SUM(EtalonRes!AN89:'EtalonRes'!AN96))))+AE125),2)</f>
        <v>481.7</v>
      </c>
      <c r="AE125" s="2">
        <f>ROUND(((EU125*1.12*0.8)+(SUM(SmtRes!BE109:'SmtRes'!BE117)+SUM(EtalonRes!AN89:'EtalonRes'!AN96))),2)</f>
        <v>61.46</v>
      </c>
      <c r="AF125" s="2">
        <f>ROUND(((EV125*1.05*0.75)),2)</f>
        <v>102.94</v>
      </c>
      <c r="AG125" s="2">
        <f t="shared" si="122"/>
        <v>0</v>
      </c>
      <c r="AH125" s="2">
        <f>((EW125*1.05*0.75))</f>
        <v>13.080375</v>
      </c>
      <c r="AI125" s="2">
        <f>((EX125*1.12*0.8))</f>
        <v>4.5158400000000007</v>
      </c>
      <c r="AJ125" s="2">
        <f t="shared" si="123"/>
        <v>0</v>
      </c>
      <c r="AK125" s="2">
        <v>710.58</v>
      </c>
      <c r="AL125" s="2">
        <v>114.1</v>
      </c>
      <c r="AM125" s="2">
        <v>465.76</v>
      </c>
      <c r="AN125" s="2">
        <v>68.59</v>
      </c>
      <c r="AO125" s="2">
        <v>130.72</v>
      </c>
      <c r="AP125" s="2">
        <v>0</v>
      </c>
      <c r="AQ125" s="2">
        <v>16.61</v>
      </c>
      <c r="AR125" s="2">
        <v>5.04</v>
      </c>
      <c r="AS125" s="2">
        <v>0</v>
      </c>
      <c r="AT125" s="2">
        <v>120</v>
      </c>
      <c r="AU125" s="2">
        <v>77</v>
      </c>
      <c r="AV125" s="2">
        <v>1</v>
      </c>
      <c r="AW125" s="2">
        <v>1</v>
      </c>
      <c r="AX125" s="2"/>
      <c r="AY125" s="2"/>
      <c r="AZ125" s="2">
        <v>1</v>
      </c>
      <c r="BA125" s="2">
        <v>1</v>
      </c>
      <c r="BB125" s="2">
        <v>1</v>
      </c>
      <c r="BC125" s="2">
        <v>1</v>
      </c>
      <c r="BD125" s="2" t="s">
        <v>6</v>
      </c>
      <c r="BE125" s="2" t="s">
        <v>6</v>
      </c>
      <c r="BF125" s="2" t="s">
        <v>6</v>
      </c>
      <c r="BG125" s="2" t="s">
        <v>6</v>
      </c>
      <c r="BH125" s="2">
        <v>0</v>
      </c>
      <c r="BI125" s="2">
        <v>1</v>
      </c>
      <c r="BJ125" s="2" t="s">
        <v>22</v>
      </c>
      <c r="BK125" s="2"/>
      <c r="BL125" s="2"/>
      <c r="BM125" s="2">
        <v>6002</v>
      </c>
      <c r="BN125" s="2">
        <v>0</v>
      </c>
      <c r="BO125" s="2" t="s">
        <v>6</v>
      </c>
      <c r="BP125" s="2">
        <v>0</v>
      </c>
      <c r="BQ125" s="2">
        <v>1</v>
      </c>
      <c r="BR125" s="2">
        <v>0</v>
      </c>
      <c r="BS125" s="2">
        <v>1</v>
      </c>
      <c r="BT125" s="2">
        <v>1</v>
      </c>
      <c r="BU125" s="2">
        <v>1</v>
      </c>
      <c r="BV125" s="2">
        <v>1</v>
      </c>
      <c r="BW125" s="2">
        <v>1</v>
      </c>
      <c r="BX125" s="2">
        <v>1</v>
      </c>
      <c r="BY125" s="2" t="s">
        <v>6</v>
      </c>
      <c r="BZ125" s="2">
        <v>120</v>
      </c>
      <c r="CA125" s="2">
        <v>77</v>
      </c>
      <c r="CB125" s="2" t="s">
        <v>6</v>
      </c>
      <c r="CC125" s="2"/>
      <c r="CD125" s="2"/>
      <c r="CE125" s="2">
        <v>0</v>
      </c>
      <c r="CF125" s="2">
        <v>0</v>
      </c>
      <c r="CG125" s="2">
        <v>0</v>
      </c>
      <c r="CH125" s="2"/>
      <c r="CI125" s="2"/>
      <c r="CJ125" s="2"/>
      <c r="CK125" s="2"/>
      <c r="CL125" s="2"/>
      <c r="CM125" s="2">
        <v>0</v>
      </c>
      <c r="CN125" s="2" t="s">
        <v>23</v>
      </c>
      <c r="CO125" s="2">
        <v>0</v>
      </c>
      <c r="CP125" s="2">
        <f t="shared" si="124"/>
        <v>5425</v>
      </c>
      <c r="CQ125" s="2">
        <f t="shared" si="125"/>
        <v>0</v>
      </c>
      <c r="CR125" s="2">
        <f t="shared" si="126"/>
        <v>481.7</v>
      </c>
      <c r="CS125" s="2">
        <f t="shared" si="127"/>
        <v>61.46</v>
      </c>
      <c r="CT125" s="2">
        <f t="shared" si="128"/>
        <v>102.94</v>
      </c>
      <c r="CU125" s="2">
        <f t="shared" si="129"/>
        <v>0</v>
      </c>
      <c r="CV125" s="2">
        <f t="shared" si="130"/>
        <v>13.080375</v>
      </c>
      <c r="CW125" s="2">
        <f t="shared" si="131"/>
        <v>4.5158400000000007</v>
      </c>
      <c r="CX125" s="2">
        <f t="shared" si="132"/>
        <v>0</v>
      </c>
      <c r="CY125" s="2">
        <f>(((S125+(R125*IF(0,0,1)))*AT125)/100)</f>
        <v>1830</v>
      </c>
      <c r="CZ125" s="2">
        <f>(((S125+(R125*IF(0,0,1)))*AU125)/100)</f>
        <v>1174.25</v>
      </c>
      <c r="DA125" s="2"/>
      <c r="DB125" s="2"/>
      <c r="DC125" s="2" t="s">
        <v>6</v>
      </c>
      <c r="DD125" s="2" t="s">
        <v>6</v>
      </c>
      <c r="DE125" s="2" t="s">
        <v>203</v>
      </c>
      <c r="DF125" s="2" t="s">
        <v>203</v>
      </c>
      <c r="DG125" s="2" t="s">
        <v>204</v>
      </c>
      <c r="DH125" s="2" t="s">
        <v>6</v>
      </c>
      <c r="DI125" s="2" t="s">
        <v>204</v>
      </c>
      <c r="DJ125" s="2" t="s">
        <v>203</v>
      </c>
      <c r="DK125" s="2" t="s">
        <v>6</v>
      </c>
      <c r="DL125" s="2" t="s">
        <v>6</v>
      </c>
      <c r="DM125" s="2" t="s">
        <v>6</v>
      </c>
      <c r="DN125" s="2">
        <v>0</v>
      </c>
      <c r="DO125" s="2">
        <v>0</v>
      </c>
      <c r="DP125" s="2">
        <v>1</v>
      </c>
      <c r="DQ125" s="2">
        <v>1</v>
      </c>
      <c r="DR125" s="2"/>
      <c r="DS125" s="2"/>
      <c r="DT125" s="2"/>
      <c r="DU125" s="2">
        <v>1013</v>
      </c>
      <c r="DV125" s="2" t="s">
        <v>21</v>
      </c>
      <c r="DW125" s="2" t="s">
        <v>21</v>
      </c>
      <c r="DX125" s="2">
        <v>1</v>
      </c>
      <c r="DY125" s="2"/>
      <c r="DZ125" s="2" t="s">
        <v>6</v>
      </c>
      <c r="EA125" s="2" t="s">
        <v>6</v>
      </c>
      <c r="EB125" s="2" t="s">
        <v>6</v>
      </c>
      <c r="EC125" s="2" t="s">
        <v>6</v>
      </c>
      <c r="ED125" s="2"/>
      <c r="EE125" s="2">
        <v>54938592</v>
      </c>
      <c r="EF125" s="2">
        <v>1</v>
      </c>
      <c r="EG125" s="2" t="s">
        <v>26</v>
      </c>
      <c r="EH125" s="2">
        <v>0</v>
      </c>
      <c r="EI125" s="2" t="s">
        <v>6</v>
      </c>
      <c r="EJ125" s="2">
        <v>1</v>
      </c>
      <c r="EK125" s="2">
        <v>6002</v>
      </c>
      <c r="EL125" s="2" t="s">
        <v>27</v>
      </c>
      <c r="EM125" s="2" t="s">
        <v>28</v>
      </c>
      <c r="EN125" s="2"/>
      <c r="EO125" s="2" t="s">
        <v>29</v>
      </c>
      <c r="EP125" s="2"/>
      <c r="EQ125" s="2">
        <v>2097152</v>
      </c>
      <c r="ER125" s="2">
        <v>710.58</v>
      </c>
      <c r="ES125" s="2">
        <v>114.1</v>
      </c>
      <c r="ET125" s="2">
        <v>465.76</v>
      </c>
      <c r="EU125" s="2">
        <v>68.59</v>
      </c>
      <c r="EV125" s="2">
        <v>130.72</v>
      </c>
      <c r="EW125" s="2">
        <v>16.61</v>
      </c>
      <c r="EX125" s="2">
        <v>5.04</v>
      </c>
      <c r="EY125" s="2">
        <v>1</v>
      </c>
      <c r="EZ125" s="2"/>
      <c r="FA125" s="2"/>
      <c r="FB125" s="2"/>
      <c r="FC125" s="2"/>
      <c r="FD125" s="2"/>
      <c r="FE125" s="2"/>
      <c r="FF125" s="2"/>
      <c r="FG125" s="2"/>
      <c r="FH125" s="2"/>
      <c r="FI125" s="2"/>
      <c r="FJ125" s="2"/>
      <c r="FK125" s="2"/>
      <c r="FL125" s="2"/>
      <c r="FM125" s="2"/>
      <c r="FN125" s="2"/>
      <c r="FO125" s="2"/>
      <c r="FP125" s="2"/>
      <c r="FQ125" s="2">
        <v>0</v>
      </c>
      <c r="FR125" s="2">
        <f t="shared" si="133"/>
        <v>0</v>
      </c>
      <c r="FS125" s="2">
        <v>0</v>
      </c>
      <c r="FT125" s="2"/>
      <c r="FU125" s="2"/>
      <c r="FV125" s="2"/>
      <c r="FW125" s="2"/>
      <c r="FX125" s="2">
        <v>120</v>
      </c>
      <c r="FY125" s="2">
        <v>77</v>
      </c>
      <c r="FZ125" s="2"/>
      <c r="GA125" s="2" t="s">
        <v>6</v>
      </c>
      <c r="GB125" s="2"/>
      <c r="GC125" s="2"/>
      <c r="GD125" s="2">
        <v>1</v>
      </c>
      <c r="GE125" s="2"/>
      <c r="GF125" s="2">
        <v>2037240313</v>
      </c>
      <c r="GG125" s="2">
        <v>2</v>
      </c>
      <c r="GH125" s="2">
        <v>1</v>
      </c>
      <c r="GI125" s="2">
        <v>-2</v>
      </c>
      <c r="GJ125" s="2">
        <v>0</v>
      </c>
      <c r="GK125" s="2">
        <v>0</v>
      </c>
      <c r="GL125" s="2">
        <f t="shared" si="134"/>
        <v>0</v>
      </c>
      <c r="GM125" s="2">
        <f t="shared" si="135"/>
        <v>8429</v>
      </c>
      <c r="GN125" s="2">
        <f t="shared" si="136"/>
        <v>8429</v>
      </c>
      <c r="GO125" s="2">
        <f t="shared" si="137"/>
        <v>0</v>
      </c>
      <c r="GP125" s="2">
        <f t="shared" si="138"/>
        <v>0</v>
      </c>
      <c r="GQ125" s="2"/>
      <c r="GR125" s="2">
        <v>0</v>
      </c>
      <c r="GS125" s="2">
        <v>3</v>
      </c>
      <c r="GT125" s="2">
        <v>0</v>
      </c>
      <c r="GU125" s="2" t="s">
        <v>6</v>
      </c>
      <c r="GV125" s="2">
        <f t="shared" si="139"/>
        <v>0</v>
      </c>
      <c r="GW125" s="2">
        <v>1</v>
      </c>
      <c r="GX125" s="2">
        <f t="shared" si="140"/>
        <v>0</v>
      </c>
      <c r="GY125" s="2"/>
      <c r="GZ125" s="2"/>
      <c r="HA125" s="2">
        <v>0</v>
      </c>
      <c r="HB125" s="2">
        <v>0</v>
      </c>
      <c r="HC125" s="2">
        <f t="shared" si="141"/>
        <v>0</v>
      </c>
      <c r="HD125" s="2"/>
      <c r="HE125" s="2" t="s">
        <v>6</v>
      </c>
      <c r="HF125" s="2" t="s">
        <v>6</v>
      </c>
      <c r="HG125" s="2"/>
      <c r="HH125" s="2"/>
      <c r="HI125" s="2"/>
      <c r="HJ125" s="2"/>
      <c r="HK125" s="2"/>
      <c r="HL125" s="2"/>
      <c r="HM125" s="2" t="s">
        <v>6</v>
      </c>
      <c r="HN125" s="2" t="s">
        <v>6</v>
      </c>
      <c r="HO125" s="2" t="s">
        <v>6</v>
      </c>
      <c r="HP125" s="2" t="s">
        <v>6</v>
      </c>
      <c r="HQ125" s="2" t="s">
        <v>6</v>
      </c>
      <c r="HR125" s="2"/>
      <c r="HS125" s="2"/>
      <c r="HT125" s="2"/>
      <c r="HU125" s="2"/>
      <c r="HV125" s="2"/>
      <c r="HW125" s="2"/>
      <c r="HX125" s="2"/>
      <c r="HY125" s="2"/>
      <c r="HZ125" s="2"/>
      <c r="IA125" s="2"/>
      <c r="IB125" s="2"/>
      <c r="IC125" s="2"/>
      <c r="ID125" s="2"/>
      <c r="IE125" s="2"/>
      <c r="IF125" s="2">
        <v>-1</v>
      </c>
      <c r="IG125" s="2"/>
      <c r="IH125" s="2"/>
      <c r="II125" s="2"/>
      <c r="IJ125" s="2"/>
      <c r="IK125" s="2">
        <v>0</v>
      </c>
      <c r="IL125" s="2"/>
      <c r="IM125" s="2"/>
      <c r="IN125" s="2"/>
      <c r="IO125" s="2"/>
      <c r="IP125" s="2"/>
      <c r="IQ125" s="2"/>
      <c r="IR125" s="2"/>
      <c r="IS125" s="2"/>
      <c r="IT125" s="2"/>
      <c r="IU125" s="2"/>
    </row>
    <row r="126" spans="1:255" x14ac:dyDescent="0.2">
      <c r="A126">
        <v>17</v>
      </c>
      <c r="B126">
        <v>1</v>
      </c>
      <c r="C126">
        <f>ROW(SmtRes!A126)</f>
        <v>126</v>
      </c>
      <c r="D126">
        <f>ROW(EtalonRes!A104)</f>
        <v>104</v>
      </c>
      <c r="E126" t="s">
        <v>201</v>
      </c>
      <c r="F126" t="s">
        <v>19</v>
      </c>
      <c r="G126" t="s">
        <v>202</v>
      </c>
      <c r="H126" t="s">
        <v>21</v>
      </c>
      <c r="I126">
        <f>'2.Лок.смета.и.Акт'!E33</f>
        <v>9.2799999999999994</v>
      </c>
      <c r="J126">
        <v>0</v>
      </c>
      <c r="K126">
        <v>37.119999999999997</v>
      </c>
      <c r="O126">
        <f t="shared" si="110"/>
        <v>76030</v>
      </c>
      <c r="P126">
        <f t="shared" si="111"/>
        <v>0</v>
      </c>
      <c r="Q126">
        <f t="shared" si="112"/>
        <v>41573</v>
      </c>
      <c r="R126">
        <f t="shared" si="113"/>
        <v>11293</v>
      </c>
      <c r="S126">
        <f t="shared" si="114"/>
        <v>34457</v>
      </c>
      <c r="T126">
        <f t="shared" si="115"/>
        <v>0</v>
      </c>
      <c r="U126" t="e">
        <f t="shared" si="116"/>
        <v>#REF!</v>
      </c>
      <c r="V126">
        <f t="shared" si="117"/>
        <v>41.906995200000004</v>
      </c>
      <c r="W126">
        <f t="shared" si="118"/>
        <v>0</v>
      </c>
      <c r="X126" t="e">
        <f t="shared" si="119"/>
        <v>#REF!</v>
      </c>
      <c r="Y126" t="e">
        <f t="shared" si="120"/>
        <v>#REF!</v>
      </c>
      <c r="AA126">
        <v>86326988</v>
      </c>
      <c r="AB126">
        <f t="shared" si="121"/>
        <v>584.64</v>
      </c>
      <c r="AC126">
        <f>ROUND((ES126+(SUM(SmtRes!BC118:'SmtRes'!BC126)+SUM(EtalonRes!AL97:'EtalonRes'!AL104))),2)</f>
        <v>0</v>
      </c>
      <c r="AD126">
        <f>ROUND(((((ET126*1.12*0.8)+(SUM(SmtRes!BD118:'SmtRes'!BD126)+SUM(EtalonRes!AM97:'EtalonRes'!AM104)))-((EU126*1.12*0.8)+(SUM(SmtRes!BE118:'SmtRes'!BE126)+SUM(EtalonRes!AN97:'EtalonRes'!AN104))))+AE126),2)</f>
        <v>481.7</v>
      </c>
      <c r="AE126">
        <f>ROUND(((EU126*1.12*0.8)+(SUM(SmtRes!BE118:'SmtRes'!BE126)+SUM(EtalonRes!AN97:'EtalonRes'!AN104))),2)</f>
        <v>61.46</v>
      </c>
      <c r="AF126">
        <f>ROUND(((EV126*1.05*0.75)),2)</f>
        <v>102.94</v>
      </c>
      <c r="AG126">
        <f t="shared" si="122"/>
        <v>0</v>
      </c>
      <c r="AH126" t="e">
        <f>((EW126*1.05*0.75))</f>
        <v>#REF!</v>
      </c>
      <c r="AI126">
        <f>((EX126*1.12*0.8))</f>
        <v>4.5158400000000007</v>
      </c>
      <c r="AJ126">
        <f t="shared" si="123"/>
        <v>0</v>
      </c>
      <c r="AK126">
        <f>AL126+AM126+AO126</f>
        <v>710.58</v>
      </c>
      <c r="AL126">
        <v>114.1</v>
      </c>
      <c r="AM126" s="75">
        <f>'1.Лок.смета.и.Акт'!F232</f>
        <v>465.76</v>
      </c>
      <c r="AN126" s="75">
        <f>'1.Лок.смета.и.Акт'!F233</f>
        <v>68.59</v>
      </c>
      <c r="AO126" s="75">
        <f>'1.Лок.смета.и.Акт'!F231</f>
        <v>130.72</v>
      </c>
      <c r="AP126">
        <v>0</v>
      </c>
      <c r="AQ126" t="e">
        <f>'2.Лок.смета.и.Акт'!#REF!</f>
        <v>#REF!</v>
      </c>
      <c r="AR126">
        <v>5.04</v>
      </c>
      <c r="AS126">
        <v>0</v>
      </c>
      <c r="AT126">
        <v>114</v>
      </c>
      <c r="AU126">
        <v>65</v>
      </c>
      <c r="AV126">
        <v>1</v>
      </c>
      <c r="AW126">
        <v>1</v>
      </c>
      <c r="AZ126">
        <v>1</v>
      </c>
      <c r="BA126">
        <f>'1.Лок.смета.и.Акт'!J231</f>
        <v>36.07</v>
      </c>
      <c r="BB126">
        <f>'1.Лок.смета.и.Акт'!J232</f>
        <v>9.3000000000000007</v>
      </c>
      <c r="BC126">
        <v>7.56</v>
      </c>
      <c r="BD126" t="s">
        <v>6</v>
      </c>
      <c r="BE126" t="s">
        <v>6</v>
      </c>
      <c r="BF126" t="s">
        <v>6</v>
      </c>
      <c r="BG126" t="s">
        <v>6</v>
      </c>
      <c r="BH126">
        <v>0</v>
      </c>
      <c r="BI126">
        <v>1</v>
      </c>
      <c r="BJ126" t="s">
        <v>22</v>
      </c>
      <c r="BM126">
        <v>6002</v>
      </c>
      <c r="BN126">
        <v>0</v>
      </c>
      <c r="BO126" t="s">
        <v>19</v>
      </c>
      <c r="BP126">
        <v>1</v>
      </c>
      <c r="BQ126">
        <v>1</v>
      </c>
      <c r="BR126">
        <v>0</v>
      </c>
      <c r="BS126">
        <f>'1.Лок.смета.и.Акт'!J233</f>
        <v>19.8</v>
      </c>
      <c r="BT126">
        <v>1</v>
      </c>
      <c r="BU126">
        <v>1</v>
      </c>
      <c r="BV126">
        <v>1</v>
      </c>
      <c r="BW126">
        <v>1</v>
      </c>
      <c r="BX126">
        <v>1</v>
      </c>
      <c r="BY126" t="s">
        <v>6</v>
      </c>
      <c r="BZ126" t="e">
        <f>'2.Лок.смета.и.Акт'!#REF!</f>
        <v>#REF!</v>
      </c>
      <c r="CA126" t="e">
        <f>'2.Лок.смета.и.Акт'!#REF!</f>
        <v>#REF!</v>
      </c>
      <c r="CB126" t="s">
        <v>6</v>
      </c>
      <c r="CE126">
        <v>0</v>
      </c>
      <c r="CF126">
        <v>0</v>
      </c>
      <c r="CG126">
        <v>0</v>
      </c>
      <c r="CM126">
        <v>0</v>
      </c>
      <c r="CN126" t="s">
        <v>23</v>
      </c>
      <c r="CO126">
        <v>0</v>
      </c>
      <c r="CP126">
        <f t="shared" si="124"/>
        <v>76030</v>
      </c>
      <c r="CQ126">
        <f t="shared" si="125"/>
        <v>0</v>
      </c>
      <c r="CR126">
        <f t="shared" si="126"/>
        <v>4479.8100000000004</v>
      </c>
      <c r="CS126">
        <f t="shared" si="127"/>
        <v>1216.9080000000001</v>
      </c>
      <c r="CT126">
        <f t="shared" si="128"/>
        <v>3713.0457999999999</v>
      </c>
      <c r="CU126">
        <f t="shared" si="129"/>
        <v>0</v>
      </c>
      <c r="CV126" t="e">
        <f t="shared" si="130"/>
        <v>#REF!</v>
      </c>
      <c r="CW126">
        <f t="shared" si="131"/>
        <v>4.5158400000000007</v>
      </c>
      <c r="CX126">
        <f t="shared" si="132"/>
        <v>0</v>
      </c>
      <c r="CY126" t="e">
        <f>(S126+R126)*(BZ126/100)</f>
        <v>#REF!</v>
      </c>
      <c r="CZ126" t="e">
        <f>(S126+R126)*(CA126/100)</f>
        <v>#REF!</v>
      </c>
      <c r="DC126" t="s">
        <v>6</v>
      </c>
      <c r="DD126" t="s">
        <v>6</v>
      </c>
      <c r="DE126" t="s">
        <v>203</v>
      </c>
      <c r="DF126" t="s">
        <v>203</v>
      </c>
      <c r="DG126" t="s">
        <v>204</v>
      </c>
      <c r="DH126" t="s">
        <v>6</v>
      </c>
      <c r="DI126" t="s">
        <v>204</v>
      </c>
      <c r="DJ126" t="s">
        <v>203</v>
      </c>
      <c r="DK126" t="s">
        <v>6</v>
      </c>
      <c r="DL126" t="s">
        <v>6</v>
      </c>
      <c r="DM126" t="s">
        <v>6</v>
      </c>
      <c r="DN126">
        <f>'1.Лок.смета.и.Акт'!E234</f>
        <v>120</v>
      </c>
      <c r="DO126">
        <f>'1.Лок.смета.и.Акт'!E235</f>
        <v>77</v>
      </c>
      <c r="DP126">
        <v>1</v>
      </c>
      <c r="DQ126">
        <v>1</v>
      </c>
      <c r="DU126">
        <v>1013</v>
      </c>
      <c r="DV126" t="s">
        <v>21</v>
      </c>
      <c r="DW126" t="str">
        <f>'2.Лок.смета.и.Акт'!D33</f>
        <v>10 м2 конструкций</v>
      </c>
      <c r="DX126">
        <v>1</v>
      </c>
      <c r="DZ126" t="s">
        <v>6</v>
      </c>
      <c r="EA126" t="s">
        <v>6</v>
      </c>
      <c r="EB126" t="s">
        <v>6</v>
      </c>
      <c r="EC126" t="s">
        <v>6</v>
      </c>
      <c r="EE126">
        <v>54938592</v>
      </c>
      <c r="EF126">
        <v>1</v>
      </c>
      <c r="EG126" t="s">
        <v>26</v>
      </c>
      <c r="EH126">
        <v>0</v>
      </c>
      <c r="EI126" t="s">
        <v>6</v>
      </c>
      <c r="EJ126">
        <v>1</v>
      </c>
      <c r="EK126">
        <v>6002</v>
      </c>
      <c r="EL126" t="s">
        <v>27</v>
      </c>
      <c r="EM126" t="s">
        <v>28</v>
      </c>
      <c r="EO126" t="s">
        <v>29</v>
      </c>
      <c r="EQ126">
        <v>2097152</v>
      </c>
      <c r="ER126">
        <f>ES126+ET126+EV126</f>
        <v>710.58</v>
      </c>
      <c r="ES126">
        <v>114.1</v>
      </c>
      <c r="ET126" s="75">
        <f>'1.Лок.смета.и.Акт'!F232</f>
        <v>465.76</v>
      </c>
      <c r="EU126" s="75">
        <f>'1.Лок.смета.и.Акт'!F233</f>
        <v>68.59</v>
      </c>
      <c r="EV126" s="75">
        <f>'1.Лок.смета.и.Акт'!F231</f>
        <v>130.72</v>
      </c>
      <c r="EW126" t="e">
        <f>'2.Лок.смета.и.Акт'!#REF!</f>
        <v>#REF!</v>
      </c>
      <c r="EX126">
        <v>5.04</v>
      </c>
      <c r="EY126">
        <v>1</v>
      </c>
      <c r="FQ126">
        <v>0</v>
      </c>
      <c r="FR126">
        <f t="shared" si="133"/>
        <v>0</v>
      </c>
      <c r="FS126">
        <v>0</v>
      </c>
      <c r="FX126">
        <v>120</v>
      </c>
      <c r="FY126">
        <v>77</v>
      </c>
      <c r="GA126" t="s">
        <v>6</v>
      </c>
      <c r="GD126">
        <v>1</v>
      </c>
      <c r="GF126">
        <v>2037240313</v>
      </c>
      <c r="GG126">
        <v>2</v>
      </c>
      <c r="GH126">
        <v>1</v>
      </c>
      <c r="GI126">
        <v>2</v>
      </c>
      <c r="GJ126">
        <v>0</v>
      </c>
      <c r="GK126">
        <v>0</v>
      </c>
      <c r="GL126">
        <f t="shared" si="134"/>
        <v>0</v>
      </c>
      <c r="GM126" t="e">
        <f t="shared" si="135"/>
        <v>#REF!</v>
      </c>
      <c r="GN126" t="e">
        <f t="shared" si="136"/>
        <v>#REF!</v>
      </c>
      <c r="GO126">
        <f t="shared" si="137"/>
        <v>0</v>
      </c>
      <c r="GP126">
        <f t="shared" si="138"/>
        <v>0</v>
      </c>
      <c r="GR126">
        <v>0</v>
      </c>
      <c r="GS126">
        <v>3</v>
      </c>
      <c r="GT126">
        <v>0</v>
      </c>
      <c r="GU126" t="s">
        <v>6</v>
      </c>
      <c r="GV126">
        <f t="shared" si="139"/>
        <v>0</v>
      </c>
      <c r="GW126">
        <v>1003.4</v>
      </c>
      <c r="GX126">
        <f t="shared" si="140"/>
        <v>0</v>
      </c>
      <c r="HA126">
        <v>0</v>
      </c>
      <c r="HB126">
        <v>0</v>
      </c>
      <c r="HC126">
        <f t="shared" si="141"/>
        <v>0</v>
      </c>
      <c r="HE126" t="s">
        <v>6</v>
      </c>
      <c r="HF126" t="s">
        <v>6</v>
      </c>
      <c r="HM126" t="s">
        <v>6</v>
      </c>
      <c r="HN126" t="s">
        <v>6</v>
      </c>
      <c r="HO126" t="s">
        <v>6</v>
      </c>
      <c r="HP126" t="s">
        <v>6</v>
      </c>
      <c r="HQ126" t="s">
        <v>6</v>
      </c>
      <c r="IF126">
        <v>-1</v>
      </c>
      <c r="IK126">
        <v>0</v>
      </c>
    </row>
    <row r="127" spans="1:255" x14ac:dyDescent="0.2">
      <c r="A127" s="2">
        <v>18</v>
      </c>
      <c r="B127" s="2">
        <v>1</v>
      </c>
      <c r="C127" s="2">
        <v>115</v>
      </c>
      <c r="D127" s="2"/>
      <c r="E127" s="2" t="s">
        <v>205</v>
      </c>
      <c r="F127" s="2" t="s">
        <v>206</v>
      </c>
      <c r="G127" s="2" t="s">
        <v>207</v>
      </c>
      <c r="H127" s="2" t="s">
        <v>208</v>
      </c>
      <c r="I127" s="2">
        <f>I125*J127</f>
        <v>46.4</v>
      </c>
      <c r="J127" s="226">
        <f>'5.Ведомость_списания'!F58</f>
        <v>5</v>
      </c>
      <c r="K127" s="2">
        <v>5</v>
      </c>
      <c r="L127" s="2"/>
      <c r="M127" s="2"/>
      <c r="N127" s="2"/>
      <c r="O127" s="2">
        <f t="shared" si="110"/>
        <v>290</v>
      </c>
      <c r="P127" s="2">
        <f t="shared" si="111"/>
        <v>290</v>
      </c>
      <c r="Q127" s="2">
        <f t="shared" si="112"/>
        <v>0</v>
      </c>
      <c r="R127" s="2">
        <f t="shared" si="113"/>
        <v>0</v>
      </c>
      <c r="S127" s="2">
        <f t="shared" si="114"/>
        <v>0</v>
      </c>
      <c r="T127" s="2">
        <f t="shared" si="115"/>
        <v>0</v>
      </c>
      <c r="U127" s="2">
        <f t="shared" si="116"/>
        <v>0</v>
      </c>
      <c r="V127" s="2">
        <f t="shared" si="117"/>
        <v>0</v>
      </c>
      <c r="W127" s="2">
        <f t="shared" si="118"/>
        <v>0</v>
      </c>
      <c r="X127" s="2">
        <f t="shared" si="119"/>
        <v>0</v>
      </c>
      <c r="Y127" s="2">
        <f t="shared" si="120"/>
        <v>0</v>
      </c>
      <c r="Z127" s="2"/>
      <c r="AA127" s="2">
        <v>86326987</v>
      </c>
      <c r="AB127" s="2">
        <f t="shared" si="121"/>
        <v>6.26</v>
      </c>
      <c r="AC127" s="2">
        <f t="shared" ref="AC127:AC132" si="144">ROUND((ES127),2)</f>
        <v>6.26</v>
      </c>
      <c r="AD127" s="2">
        <f t="shared" ref="AD127:AD132" si="145">ROUND((((ET127)-(EU127))+AE127),2)</f>
        <v>0</v>
      </c>
      <c r="AE127" s="2">
        <f t="shared" ref="AE127:AF132" si="146">ROUND((EU127),2)</f>
        <v>0</v>
      </c>
      <c r="AF127" s="2">
        <f t="shared" si="146"/>
        <v>0</v>
      </c>
      <c r="AG127" s="2">
        <f t="shared" si="122"/>
        <v>0</v>
      </c>
      <c r="AH127" s="2">
        <f t="shared" ref="AH127:AI132" si="147">(EW127)</f>
        <v>0</v>
      </c>
      <c r="AI127" s="2">
        <f t="shared" si="147"/>
        <v>0</v>
      </c>
      <c r="AJ127" s="2">
        <f t="shared" si="123"/>
        <v>0.01</v>
      </c>
      <c r="AK127" s="2">
        <v>6.26</v>
      </c>
      <c r="AL127" s="110">
        <f>'1.Лок.смета.и.Акт'!F237</f>
        <v>6.26</v>
      </c>
      <c r="AM127" s="2">
        <v>0</v>
      </c>
      <c r="AN127" s="2">
        <v>0</v>
      </c>
      <c r="AO127" s="2">
        <v>0</v>
      </c>
      <c r="AP127" s="2">
        <v>0</v>
      </c>
      <c r="AQ127" s="2">
        <v>0</v>
      </c>
      <c r="AR127" s="2">
        <v>0</v>
      </c>
      <c r="AS127" s="2">
        <v>0.01</v>
      </c>
      <c r="AT127" s="2">
        <v>0</v>
      </c>
      <c r="AU127" s="2">
        <v>0</v>
      </c>
      <c r="AV127" s="2">
        <v>1</v>
      </c>
      <c r="AW127" s="2">
        <v>1</v>
      </c>
      <c r="AX127" s="2"/>
      <c r="AY127" s="2"/>
      <c r="AZ127" s="2">
        <v>1</v>
      </c>
      <c r="BA127" s="2">
        <v>1</v>
      </c>
      <c r="BB127" s="2">
        <v>1</v>
      </c>
      <c r="BC127" s="2">
        <v>1</v>
      </c>
      <c r="BD127" s="2" t="s">
        <v>6</v>
      </c>
      <c r="BE127" s="2" t="s">
        <v>6</v>
      </c>
      <c r="BF127" s="2" t="s">
        <v>6</v>
      </c>
      <c r="BG127" s="2" t="s">
        <v>6</v>
      </c>
      <c r="BH127" s="2">
        <v>3</v>
      </c>
      <c r="BI127" s="2">
        <v>1</v>
      </c>
      <c r="BJ127" s="2" t="s">
        <v>209</v>
      </c>
      <c r="BK127" s="2"/>
      <c r="BL127" s="2"/>
      <c r="BM127" s="2">
        <v>500001</v>
      </c>
      <c r="BN127" s="2">
        <v>0</v>
      </c>
      <c r="BO127" s="2" t="s">
        <v>6</v>
      </c>
      <c r="BP127" s="2">
        <v>0</v>
      </c>
      <c r="BQ127" s="2">
        <v>20</v>
      </c>
      <c r="BR127" s="2">
        <v>0</v>
      </c>
      <c r="BS127" s="2">
        <v>1</v>
      </c>
      <c r="BT127" s="2">
        <v>1</v>
      </c>
      <c r="BU127" s="2">
        <v>1</v>
      </c>
      <c r="BV127" s="2">
        <v>1</v>
      </c>
      <c r="BW127" s="2">
        <v>1</v>
      </c>
      <c r="BX127" s="2">
        <v>1</v>
      </c>
      <c r="BY127" s="2" t="s">
        <v>6</v>
      </c>
      <c r="BZ127" s="2">
        <v>0</v>
      </c>
      <c r="CA127" s="2">
        <v>0</v>
      </c>
      <c r="CB127" s="2" t="s">
        <v>6</v>
      </c>
      <c r="CC127" s="2"/>
      <c r="CD127" s="2"/>
      <c r="CE127" s="2">
        <v>0</v>
      </c>
      <c r="CF127" s="2">
        <v>0</v>
      </c>
      <c r="CG127" s="2">
        <v>0</v>
      </c>
      <c r="CH127" s="2"/>
      <c r="CI127" s="2"/>
      <c r="CJ127" s="2"/>
      <c r="CK127" s="2"/>
      <c r="CL127" s="2"/>
      <c r="CM127" s="2">
        <v>0</v>
      </c>
      <c r="CN127" s="2" t="s">
        <v>6</v>
      </c>
      <c r="CO127" s="2">
        <v>0</v>
      </c>
      <c r="CP127" s="2">
        <f t="shared" si="124"/>
        <v>290</v>
      </c>
      <c r="CQ127" s="2">
        <f t="shared" si="125"/>
        <v>6.26</v>
      </c>
      <c r="CR127" s="2">
        <f t="shared" si="126"/>
        <v>0</v>
      </c>
      <c r="CS127" s="2">
        <f t="shared" si="127"/>
        <v>0</v>
      </c>
      <c r="CT127" s="2">
        <f t="shared" si="128"/>
        <v>0</v>
      </c>
      <c r="CU127" s="2">
        <f t="shared" si="129"/>
        <v>0</v>
      </c>
      <c r="CV127" s="2">
        <f t="shared" si="130"/>
        <v>0</v>
      </c>
      <c r="CW127" s="2">
        <f t="shared" si="131"/>
        <v>0</v>
      </c>
      <c r="CX127" s="2">
        <f t="shared" si="132"/>
        <v>0.01</v>
      </c>
      <c r="CY127" s="2">
        <f>(((S127+(R127*IF(0,0,1)))*AT127)/100)</f>
        <v>0</v>
      </c>
      <c r="CZ127" s="2">
        <f>(((S127+(R127*IF(0,0,1)))*AU127)/100)</f>
        <v>0</v>
      </c>
      <c r="DA127" s="2"/>
      <c r="DB127" s="2"/>
      <c r="DC127" s="2" t="s">
        <v>6</v>
      </c>
      <c r="DD127" s="2" t="s">
        <v>6</v>
      </c>
      <c r="DE127" s="2" t="s">
        <v>6</v>
      </c>
      <c r="DF127" s="2" t="s">
        <v>6</v>
      </c>
      <c r="DG127" s="2" t="s">
        <v>6</v>
      </c>
      <c r="DH127" s="2" t="s">
        <v>6</v>
      </c>
      <c r="DI127" s="2" t="s">
        <v>6</v>
      </c>
      <c r="DJ127" s="2" t="s">
        <v>6</v>
      </c>
      <c r="DK127" s="2" t="s">
        <v>6</v>
      </c>
      <c r="DL127" s="2" t="s">
        <v>6</v>
      </c>
      <c r="DM127" s="2" t="s">
        <v>6</v>
      </c>
      <c r="DN127" s="2">
        <v>0</v>
      </c>
      <c r="DO127" s="2">
        <v>0</v>
      </c>
      <c r="DP127" s="2">
        <v>1</v>
      </c>
      <c r="DQ127" s="2">
        <v>1</v>
      </c>
      <c r="DR127" s="2"/>
      <c r="DS127" s="2"/>
      <c r="DT127" s="2"/>
      <c r="DU127" s="2">
        <v>1010</v>
      </c>
      <c r="DV127" s="2" t="s">
        <v>208</v>
      </c>
      <c r="DW127" s="2" t="s">
        <v>208</v>
      </c>
      <c r="DX127" s="2">
        <v>10</v>
      </c>
      <c r="DY127" s="2"/>
      <c r="DZ127" s="2" t="s">
        <v>6</v>
      </c>
      <c r="EA127" s="2" t="s">
        <v>6</v>
      </c>
      <c r="EB127" s="2" t="s">
        <v>6</v>
      </c>
      <c r="EC127" s="2" t="s">
        <v>6</v>
      </c>
      <c r="ED127" s="2"/>
      <c r="EE127" s="2">
        <v>54938781</v>
      </c>
      <c r="EF127" s="2">
        <v>20</v>
      </c>
      <c r="EG127" s="2" t="s">
        <v>35</v>
      </c>
      <c r="EH127" s="2">
        <v>0</v>
      </c>
      <c r="EI127" s="2" t="s">
        <v>6</v>
      </c>
      <c r="EJ127" s="2">
        <v>1</v>
      </c>
      <c r="EK127" s="2">
        <v>500001</v>
      </c>
      <c r="EL127" s="2" t="s">
        <v>36</v>
      </c>
      <c r="EM127" s="2" t="s">
        <v>37</v>
      </c>
      <c r="EN127" s="2"/>
      <c r="EO127" s="2" t="s">
        <v>6</v>
      </c>
      <c r="EP127" s="2"/>
      <c r="EQ127" s="2">
        <v>0</v>
      </c>
      <c r="ER127" s="2">
        <v>6.26</v>
      </c>
      <c r="ES127" s="110">
        <f>'1.Лок.смета.и.Акт'!F237</f>
        <v>6.26</v>
      </c>
      <c r="ET127" s="2">
        <v>0</v>
      </c>
      <c r="EU127" s="2">
        <v>0</v>
      </c>
      <c r="EV127" s="2">
        <v>0</v>
      </c>
      <c r="EW127" s="2">
        <v>0</v>
      </c>
      <c r="EX127" s="2">
        <v>0</v>
      </c>
      <c r="EY127" s="2"/>
      <c r="EZ127" s="2"/>
      <c r="FA127" s="2"/>
      <c r="FB127" s="2"/>
      <c r="FC127" s="2"/>
      <c r="FD127" s="2"/>
      <c r="FE127" s="2"/>
      <c r="FF127" s="2"/>
      <c r="FG127" s="2"/>
      <c r="FH127" s="2"/>
      <c r="FI127" s="2"/>
      <c r="FJ127" s="2"/>
      <c r="FK127" s="2"/>
      <c r="FL127" s="2"/>
      <c r="FM127" s="2"/>
      <c r="FN127" s="2"/>
      <c r="FO127" s="2"/>
      <c r="FP127" s="2"/>
      <c r="FQ127" s="2">
        <v>0</v>
      </c>
      <c r="FR127" s="2">
        <f t="shared" si="133"/>
        <v>0</v>
      </c>
      <c r="FS127" s="2">
        <v>0</v>
      </c>
      <c r="FT127" s="2"/>
      <c r="FU127" s="2"/>
      <c r="FV127" s="2"/>
      <c r="FW127" s="2"/>
      <c r="FX127" s="2">
        <v>0</v>
      </c>
      <c r="FY127" s="2">
        <v>0</v>
      </c>
      <c r="FZ127" s="2"/>
      <c r="GA127" s="2" t="s">
        <v>6</v>
      </c>
      <c r="GB127" s="2"/>
      <c r="GC127" s="2"/>
      <c r="GD127" s="2">
        <v>1</v>
      </c>
      <c r="GE127" s="2"/>
      <c r="GF127" s="2">
        <v>1676310766</v>
      </c>
      <c r="GG127" s="2">
        <v>2</v>
      </c>
      <c r="GH127" s="2">
        <v>1</v>
      </c>
      <c r="GI127" s="2">
        <v>-2</v>
      </c>
      <c r="GJ127" s="2">
        <v>0</v>
      </c>
      <c r="GK127" s="2">
        <v>0</v>
      </c>
      <c r="GL127" s="2">
        <f t="shared" si="134"/>
        <v>0</v>
      </c>
      <c r="GM127" s="2">
        <f t="shared" si="135"/>
        <v>290</v>
      </c>
      <c r="GN127" s="2">
        <f t="shared" si="136"/>
        <v>290</v>
      </c>
      <c r="GO127" s="2">
        <f t="shared" si="137"/>
        <v>0</v>
      </c>
      <c r="GP127" s="2">
        <f t="shared" si="138"/>
        <v>0</v>
      </c>
      <c r="GQ127" s="2"/>
      <c r="GR127" s="2">
        <v>0</v>
      </c>
      <c r="GS127" s="2">
        <v>3</v>
      </c>
      <c r="GT127" s="2">
        <v>0</v>
      </c>
      <c r="GU127" s="2" t="s">
        <v>6</v>
      </c>
      <c r="GV127" s="2">
        <f t="shared" si="139"/>
        <v>0</v>
      </c>
      <c r="GW127" s="2">
        <v>1</v>
      </c>
      <c r="GX127" s="2">
        <f t="shared" si="140"/>
        <v>0</v>
      </c>
      <c r="GY127" s="2"/>
      <c r="GZ127" s="2"/>
      <c r="HA127" s="2">
        <v>0</v>
      </c>
      <c r="HB127" s="2">
        <v>0</v>
      </c>
      <c r="HC127" s="2">
        <f t="shared" si="141"/>
        <v>0</v>
      </c>
      <c r="HD127" s="2"/>
      <c r="HE127" s="2" t="s">
        <v>6</v>
      </c>
      <c r="HF127" s="2" t="s">
        <v>6</v>
      </c>
      <c r="HG127" s="2"/>
      <c r="HH127" s="2"/>
      <c r="HI127" s="2"/>
      <c r="HJ127" s="2"/>
      <c r="HK127" s="2"/>
      <c r="HL127" s="2"/>
      <c r="HM127" s="2" t="s">
        <v>6</v>
      </c>
      <c r="HN127" s="2" t="s">
        <v>6</v>
      </c>
      <c r="HO127" s="2" t="s">
        <v>6</v>
      </c>
      <c r="HP127" s="2" t="s">
        <v>6</v>
      </c>
      <c r="HQ127" s="2" t="s">
        <v>6</v>
      </c>
      <c r="HR127" s="2"/>
      <c r="HS127" s="2"/>
      <c r="HT127" s="2"/>
      <c r="HU127" s="2"/>
      <c r="HV127" s="2"/>
      <c r="HW127" s="2"/>
      <c r="HX127" s="2"/>
      <c r="HY127" s="2"/>
      <c r="HZ127" s="2"/>
      <c r="IA127" s="2"/>
      <c r="IB127" s="2"/>
      <c r="IC127" s="2"/>
      <c r="ID127" s="2"/>
      <c r="IE127" s="2"/>
      <c r="IF127" s="2">
        <v>-1</v>
      </c>
      <c r="IG127" s="2"/>
      <c r="IH127" s="2"/>
      <c r="II127" s="2"/>
      <c r="IJ127" s="2"/>
      <c r="IK127" s="2">
        <v>0</v>
      </c>
      <c r="IL127" s="2"/>
      <c r="IM127" s="2"/>
      <c r="IN127" s="2"/>
      <c r="IO127" s="2"/>
      <c r="IP127" s="2"/>
      <c r="IQ127" s="2"/>
      <c r="IR127" s="2"/>
      <c r="IS127" s="2"/>
      <c r="IT127" s="2"/>
      <c r="IU127" s="2"/>
    </row>
    <row r="128" spans="1:255" x14ac:dyDescent="0.2">
      <c r="A128">
        <v>18</v>
      </c>
      <c r="B128">
        <v>1</v>
      </c>
      <c r="C128">
        <v>124</v>
      </c>
      <c r="E128" t="s">
        <v>205</v>
      </c>
      <c r="F128" t="e">
        <f>'2.Лок.смета.и.Акт'!#REF!</f>
        <v>#REF!</v>
      </c>
      <c r="G128" t="s">
        <v>207</v>
      </c>
      <c r="H128" t="s">
        <v>208</v>
      </c>
      <c r="I128">
        <f>I126*J128</f>
        <v>46.4</v>
      </c>
      <c r="J128">
        <v>5</v>
      </c>
      <c r="K128">
        <v>5</v>
      </c>
      <c r="O128">
        <f t="shared" si="110"/>
        <v>3483</v>
      </c>
      <c r="P128">
        <f t="shared" si="111"/>
        <v>3483</v>
      </c>
      <c r="Q128">
        <f t="shared" si="112"/>
        <v>0</v>
      </c>
      <c r="R128">
        <f t="shared" si="113"/>
        <v>0</v>
      </c>
      <c r="S128">
        <f t="shared" si="114"/>
        <v>0</v>
      </c>
      <c r="T128">
        <f t="shared" si="115"/>
        <v>0</v>
      </c>
      <c r="U128">
        <f t="shared" si="116"/>
        <v>0</v>
      </c>
      <c r="V128">
        <f t="shared" si="117"/>
        <v>0</v>
      </c>
      <c r="W128">
        <f t="shared" si="118"/>
        <v>0</v>
      </c>
      <c r="X128">
        <f t="shared" si="119"/>
        <v>0</v>
      </c>
      <c r="Y128">
        <f t="shared" si="120"/>
        <v>0</v>
      </c>
      <c r="AA128">
        <v>86326988</v>
      </c>
      <c r="AB128">
        <f t="shared" si="121"/>
        <v>9.93</v>
      </c>
      <c r="AC128">
        <f t="shared" si="144"/>
        <v>9.93</v>
      </c>
      <c r="AD128">
        <f t="shared" si="145"/>
        <v>0</v>
      </c>
      <c r="AE128">
        <f t="shared" si="146"/>
        <v>0</v>
      </c>
      <c r="AF128">
        <f t="shared" si="146"/>
        <v>0</v>
      </c>
      <c r="AG128">
        <f t="shared" si="122"/>
        <v>0</v>
      </c>
      <c r="AH128">
        <f t="shared" si="147"/>
        <v>0</v>
      </c>
      <c r="AI128">
        <f t="shared" si="147"/>
        <v>0</v>
      </c>
      <c r="AJ128">
        <f t="shared" si="123"/>
        <v>0.01</v>
      </c>
      <c r="AK128">
        <v>9.9299999999999979</v>
      </c>
      <c r="AL128">
        <v>9.9299999999999979</v>
      </c>
      <c r="AM128">
        <v>0</v>
      </c>
      <c r="AN128">
        <v>0</v>
      </c>
      <c r="AO128">
        <v>0</v>
      </c>
      <c r="AP128">
        <v>0</v>
      </c>
      <c r="AQ128">
        <v>0</v>
      </c>
      <c r="AR128">
        <v>0</v>
      </c>
      <c r="AS128">
        <v>0.01</v>
      </c>
      <c r="AT128">
        <v>0</v>
      </c>
      <c r="AU128">
        <v>0</v>
      </c>
      <c r="AV128">
        <v>1</v>
      </c>
      <c r="AW128">
        <v>1</v>
      </c>
      <c r="AZ128">
        <v>1</v>
      </c>
      <c r="BA128">
        <v>1</v>
      </c>
      <c r="BB128">
        <v>1</v>
      </c>
      <c r="BC128">
        <v>7.56</v>
      </c>
      <c r="BD128" t="s">
        <v>6</v>
      </c>
      <c r="BE128" t="s">
        <v>6</v>
      </c>
      <c r="BF128" t="s">
        <v>6</v>
      </c>
      <c r="BG128" t="s">
        <v>6</v>
      </c>
      <c r="BH128">
        <v>3</v>
      </c>
      <c r="BI128">
        <v>1</v>
      </c>
      <c r="BJ128" t="s">
        <v>209</v>
      </c>
      <c r="BM128">
        <v>500001</v>
      </c>
      <c r="BN128">
        <v>0</v>
      </c>
      <c r="BO128" t="s">
        <v>6</v>
      </c>
      <c r="BP128">
        <v>0</v>
      </c>
      <c r="BQ128">
        <v>20</v>
      </c>
      <c r="BR128">
        <v>0</v>
      </c>
      <c r="BS128">
        <v>1</v>
      </c>
      <c r="BT128">
        <v>1</v>
      </c>
      <c r="BU128">
        <v>1</v>
      </c>
      <c r="BV128">
        <v>1</v>
      </c>
      <c r="BW128">
        <v>1</v>
      </c>
      <c r="BX128">
        <v>1</v>
      </c>
      <c r="BY128" t="s">
        <v>6</v>
      </c>
      <c r="BZ128">
        <v>0</v>
      </c>
      <c r="CA128">
        <v>0</v>
      </c>
      <c r="CB128" t="s">
        <v>6</v>
      </c>
      <c r="CE128">
        <v>0</v>
      </c>
      <c r="CF128">
        <v>0</v>
      </c>
      <c r="CG128">
        <v>0</v>
      </c>
      <c r="CM128">
        <v>0</v>
      </c>
      <c r="CN128" t="s">
        <v>6</v>
      </c>
      <c r="CO128">
        <v>0</v>
      </c>
      <c r="CP128">
        <f t="shared" si="124"/>
        <v>3483</v>
      </c>
      <c r="CQ128">
        <f t="shared" si="125"/>
        <v>75.070799999999991</v>
      </c>
      <c r="CR128">
        <f t="shared" si="126"/>
        <v>0</v>
      </c>
      <c r="CS128">
        <f t="shared" si="127"/>
        <v>0</v>
      </c>
      <c r="CT128">
        <f t="shared" si="128"/>
        <v>0</v>
      </c>
      <c r="CU128">
        <f t="shared" si="129"/>
        <v>0</v>
      </c>
      <c r="CV128">
        <f t="shared" si="130"/>
        <v>0</v>
      </c>
      <c r="CW128">
        <f t="shared" si="131"/>
        <v>0</v>
      </c>
      <c r="CX128">
        <f t="shared" si="132"/>
        <v>0.01</v>
      </c>
      <c r="CY128">
        <f>(S128+R128)*(BZ128/100)</f>
        <v>0</v>
      </c>
      <c r="CZ128">
        <f>(S128+R128)*(CA128/100)</f>
        <v>0</v>
      </c>
      <c r="DC128" t="s">
        <v>6</v>
      </c>
      <c r="DD128" t="s">
        <v>6</v>
      </c>
      <c r="DE128" t="s">
        <v>6</v>
      </c>
      <c r="DF128" t="s">
        <v>6</v>
      </c>
      <c r="DG128" t="s">
        <v>6</v>
      </c>
      <c r="DH128" t="s">
        <v>6</v>
      </c>
      <c r="DI128" t="s">
        <v>6</v>
      </c>
      <c r="DJ128" t="s">
        <v>6</v>
      </c>
      <c r="DK128" t="s">
        <v>6</v>
      </c>
      <c r="DL128" t="s">
        <v>6</v>
      </c>
      <c r="DM128" t="s">
        <v>6</v>
      </c>
      <c r="DN128">
        <v>0</v>
      </c>
      <c r="DO128">
        <v>0</v>
      </c>
      <c r="DP128">
        <v>1</v>
      </c>
      <c r="DQ128">
        <v>1</v>
      </c>
      <c r="DU128">
        <v>1010</v>
      </c>
      <c r="DV128" t="s">
        <v>208</v>
      </c>
      <c r="DW128" t="e">
        <f>'2.Лок.смета.и.Акт'!#REF!</f>
        <v>#REF!</v>
      </c>
      <c r="DX128">
        <v>10</v>
      </c>
      <c r="DZ128" t="s">
        <v>6</v>
      </c>
      <c r="EA128" t="s">
        <v>6</v>
      </c>
      <c r="EB128" t="s">
        <v>6</v>
      </c>
      <c r="EC128" t="s">
        <v>6</v>
      </c>
      <c r="EE128">
        <v>54938781</v>
      </c>
      <c r="EF128">
        <v>20</v>
      </c>
      <c r="EG128" t="s">
        <v>35</v>
      </c>
      <c r="EH128">
        <v>0</v>
      </c>
      <c r="EI128" t="s">
        <v>6</v>
      </c>
      <c r="EJ128">
        <v>1</v>
      </c>
      <c r="EK128">
        <v>500001</v>
      </c>
      <c r="EL128" t="s">
        <v>36</v>
      </c>
      <c r="EM128" t="s">
        <v>37</v>
      </c>
      <c r="EO128" t="s">
        <v>6</v>
      </c>
      <c r="EQ128">
        <v>0</v>
      </c>
      <c r="ER128">
        <v>9.9299999999999979</v>
      </c>
      <c r="ES128">
        <v>9.9299999999999979</v>
      </c>
      <c r="ET128">
        <v>0</v>
      </c>
      <c r="EU128">
        <v>0</v>
      </c>
      <c r="EV128">
        <v>0</v>
      </c>
      <c r="EW128">
        <v>0</v>
      </c>
      <c r="EX128">
        <v>0</v>
      </c>
      <c r="EZ128">
        <v>5</v>
      </c>
      <c r="FC128">
        <v>0</v>
      </c>
      <c r="FD128">
        <v>18</v>
      </c>
      <c r="FF128">
        <v>70.8</v>
      </c>
      <c r="FQ128">
        <v>0</v>
      </c>
      <c r="FR128">
        <f t="shared" si="133"/>
        <v>0</v>
      </c>
      <c r="FS128">
        <v>0</v>
      </c>
      <c r="FX128">
        <v>0</v>
      </c>
      <c r="FY128">
        <v>0</v>
      </c>
      <c r="GA128" t="s">
        <v>210</v>
      </c>
      <c r="GD128">
        <v>1</v>
      </c>
      <c r="GF128">
        <v>1676310766</v>
      </c>
      <c r="GG128">
        <v>2</v>
      </c>
      <c r="GH128">
        <v>3</v>
      </c>
      <c r="GI128">
        <v>5</v>
      </c>
      <c r="GJ128">
        <v>0</v>
      </c>
      <c r="GK128">
        <v>0</v>
      </c>
      <c r="GL128">
        <f t="shared" si="134"/>
        <v>0</v>
      </c>
      <c r="GM128">
        <f t="shared" si="135"/>
        <v>3483</v>
      </c>
      <c r="GN128">
        <f t="shared" si="136"/>
        <v>3483</v>
      </c>
      <c r="GO128">
        <f t="shared" si="137"/>
        <v>0</v>
      </c>
      <c r="GP128">
        <f t="shared" si="138"/>
        <v>0</v>
      </c>
      <c r="GR128">
        <v>1</v>
      </c>
      <c r="GS128">
        <v>1</v>
      </c>
      <c r="GT128">
        <v>0</v>
      </c>
      <c r="GU128" t="s">
        <v>6</v>
      </c>
      <c r="GV128">
        <f t="shared" si="139"/>
        <v>0</v>
      </c>
      <c r="GW128">
        <v>1</v>
      </c>
      <c r="GX128">
        <f t="shared" si="140"/>
        <v>0</v>
      </c>
      <c r="HA128">
        <v>0</v>
      </c>
      <c r="HB128">
        <v>0</v>
      </c>
      <c r="HC128">
        <f t="shared" si="141"/>
        <v>0</v>
      </c>
      <c r="HE128" t="s">
        <v>39</v>
      </c>
      <c r="HF128" t="s">
        <v>40</v>
      </c>
      <c r="HM128" t="s">
        <v>6</v>
      </c>
      <c r="HN128" t="s">
        <v>6</v>
      </c>
      <c r="HO128" t="s">
        <v>6</v>
      </c>
      <c r="HP128" t="s">
        <v>6</v>
      </c>
      <c r="HQ128" t="s">
        <v>6</v>
      </c>
      <c r="IF128">
        <v>-1</v>
      </c>
      <c r="IK128">
        <v>0</v>
      </c>
    </row>
    <row r="129" spans="1:255" x14ac:dyDescent="0.2">
      <c r="A129" s="2">
        <v>18</v>
      </c>
      <c r="B129" s="2">
        <v>1</v>
      </c>
      <c r="C129" s="2">
        <v>116</v>
      </c>
      <c r="D129" s="2"/>
      <c r="E129" s="2" t="s">
        <v>211</v>
      </c>
      <c r="F129" s="2" t="s">
        <v>212</v>
      </c>
      <c r="G129" s="2" t="s">
        <v>213</v>
      </c>
      <c r="H129" s="2" t="s">
        <v>44</v>
      </c>
      <c r="I129" s="2">
        <f>I125*J129</f>
        <v>3.6720000000000003E-2</v>
      </c>
      <c r="J129" s="226">
        <f>'5.Ведомость_списания'!F59</f>
        <v>3.9568965517241383E-3</v>
      </c>
      <c r="K129" s="2">
        <v>3.9569000000000002E-3</v>
      </c>
      <c r="L129" s="2"/>
      <c r="M129" s="2"/>
      <c r="N129" s="2"/>
      <c r="O129" s="2">
        <f t="shared" si="110"/>
        <v>23</v>
      </c>
      <c r="P129" s="2">
        <f t="shared" si="111"/>
        <v>23</v>
      </c>
      <c r="Q129" s="2">
        <f t="shared" si="112"/>
        <v>0</v>
      </c>
      <c r="R129" s="2">
        <f t="shared" si="113"/>
        <v>0</v>
      </c>
      <c r="S129" s="2">
        <f t="shared" si="114"/>
        <v>0</v>
      </c>
      <c r="T129" s="2">
        <f t="shared" si="115"/>
        <v>0</v>
      </c>
      <c r="U129" s="2">
        <f t="shared" si="116"/>
        <v>0</v>
      </c>
      <c r="V129" s="2">
        <f t="shared" si="117"/>
        <v>0</v>
      </c>
      <c r="W129" s="2">
        <f t="shared" si="118"/>
        <v>0</v>
      </c>
      <c r="X129" s="2">
        <f t="shared" si="119"/>
        <v>0</v>
      </c>
      <c r="Y129" s="2">
        <f t="shared" si="120"/>
        <v>0</v>
      </c>
      <c r="Z129" s="2"/>
      <c r="AA129" s="2">
        <v>86326987</v>
      </c>
      <c r="AB129" s="2">
        <f t="shared" si="121"/>
        <v>626.89</v>
      </c>
      <c r="AC129" s="2">
        <f t="shared" si="144"/>
        <v>626.89</v>
      </c>
      <c r="AD129" s="2">
        <f t="shared" si="145"/>
        <v>0</v>
      </c>
      <c r="AE129" s="2">
        <f t="shared" si="146"/>
        <v>0</v>
      </c>
      <c r="AF129" s="2">
        <f t="shared" si="146"/>
        <v>0</v>
      </c>
      <c r="AG129" s="2">
        <f t="shared" si="122"/>
        <v>0</v>
      </c>
      <c r="AH129" s="2">
        <f t="shared" si="147"/>
        <v>0</v>
      </c>
      <c r="AI129" s="2">
        <f t="shared" si="147"/>
        <v>0</v>
      </c>
      <c r="AJ129" s="2">
        <f t="shared" si="123"/>
        <v>1.47</v>
      </c>
      <c r="AK129" s="2">
        <v>626.89</v>
      </c>
      <c r="AL129" s="110">
        <f>'1.Лок.смета.и.Акт'!F239</f>
        <v>626.89</v>
      </c>
      <c r="AM129" s="2">
        <v>0</v>
      </c>
      <c r="AN129" s="2">
        <v>0</v>
      </c>
      <c r="AO129" s="2">
        <v>0</v>
      </c>
      <c r="AP129" s="2">
        <v>0</v>
      </c>
      <c r="AQ129" s="2">
        <v>0</v>
      </c>
      <c r="AR129" s="2">
        <v>0</v>
      </c>
      <c r="AS129" s="2">
        <v>1.47</v>
      </c>
      <c r="AT129" s="2">
        <v>0</v>
      </c>
      <c r="AU129" s="2">
        <v>0</v>
      </c>
      <c r="AV129" s="2">
        <v>1</v>
      </c>
      <c r="AW129" s="2">
        <v>1</v>
      </c>
      <c r="AX129" s="2"/>
      <c r="AY129" s="2"/>
      <c r="AZ129" s="2">
        <v>1</v>
      </c>
      <c r="BA129" s="2">
        <v>1</v>
      </c>
      <c r="BB129" s="2">
        <v>1</v>
      </c>
      <c r="BC129" s="2">
        <v>1</v>
      </c>
      <c r="BD129" s="2" t="s">
        <v>6</v>
      </c>
      <c r="BE129" s="2" t="s">
        <v>6</v>
      </c>
      <c r="BF129" s="2" t="s">
        <v>6</v>
      </c>
      <c r="BG129" s="2" t="s">
        <v>6</v>
      </c>
      <c r="BH129" s="2">
        <v>3</v>
      </c>
      <c r="BI129" s="2">
        <v>1</v>
      </c>
      <c r="BJ129" s="2" t="s">
        <v>214</v>
      </c>
      <c r="BK129" s="2"/>
      <c r="BL129" s="2"/>
      <c r="BM129" s="2">
        <v>500001</v>
      </c>
      <c r="BN129" s="2">
        <v>0</v>
      </c>
      <c r="BO129" s="2" t="s">
        <v>6</v>
      </c>
      <c r="BP129" s="2">
        <v>0</v>
      </c>
      <c r="BQ129" s="2">
        <v>20</v>
      </c>
      <c r="BR129" s="2">
        <v>0</v>
      </c>
      <c r="BS129" s="2">
        <v>1</v>
      </c>
      <c r="BT129" s="2">
        <v>1</v>
      </c>
      <c r="BU129" s="2">
        <v>1</v>
      </c>
      <c r="BV129" s="2">
        <v>1</v>
      </c>
      <c r="BW129" s="2">
        <v>1</v>
      </c>
      <c r="BX129" s="2">
        <v>1</v>
      </c>
      <c r="BY129" s="2" t="s">
        <v>6</v>
      </c>
      <c r="BZ129" s="2">
        <v>0</v>
      </c>
      <c r="CA129" s="2">
        <v>0</v>
      </c>
      <c r="CB129" s="2" t="s">
        <v>6</v>
      </c>
      <c r="CC129" s="2"/>
      <c r="CD129" s="2"/>
      <c r="CE129" s="2">
        <v>0</v>
      </c>
      <c r="CF129" s="2">
        <v>0</v>
      </c>
      <c r="CG129" s="2">
        <v>0</v>
      </c>
      <c r="CH129" s="2"/>
      <c r="CI129" s="2"/>
      <c r="CJ129" s="2"/>
      <c r="CK129" s="2"/>
      <c r="CL129" s="2"/>
      <c r="CM129" s="2">
        <v>0</v>
      </c>
      <c r="CN129" s="2" t="s">
        <v>6</v>
      </c>
      <c r="CO129" s="2">
        <v>0</v>
      </c>
      <c r="CP129" s="2">
        <f t="shared" si="124"/>
        <v>23</v>
      </c>
      <c r="CQ129" s="2">
        <f t="shared" si="125"/>
        <v>626.89</v>
      </c>
      <c r="CR129" s="2">
        <f t="shared" si="126"/>
        <v>0</v>
      </c>
      <c r="CS129" s="2">
        <f t="shared" si="127"/>
        <v>0</v>
      </c>
      <c r="CT129" s="2">
        <f t="shared" si="128"/>
        <v>0</v>
      </c>
      <c r="CU129" s="2">
        <f t="shared" si="129"/>
        <v>0</v>
      </c>
      <c r="CV129" s="2">
        <f t="shared" si="130"/>
        <v>0</v>
      </c>
      <c r="CW129" s="2">
        <f t="shared" si="131"/>
        <v>0</v>
      </c>
      <c r="CX129" s="2">
        <f t="shared" si="132"/>
        <v>1.47</v>
      </c>
      <c r="CY129" s="2">
        <f>(((S129+(R129*IF(0,0,1)))*AT129)/100)</f>
        <v>0</v>
      </c>
      <c r="CZ129" s="2">
        <f>(((S129+(R129*IF(0,0,1)))*AU129)/100)</f>
        <v>0</v>
      </c>
      <c r="DA129" s="2"/>
      <c r="DB129" s="2"/>
      <c r="DC129" s="2" t="s">
        <v>6</v>
      </c>
      <c r="DD129" s="2" t="s">
        <v>6</v>
      </c>
      <c r="DE129" s="2" t="s">
        <v>6</v>
      </c>
      <c r="DF129" s="2" t="s">
        <v>6</v>
      </c>
      <c r="DG129" s="2" t="s">
        <v>6</v>
      </c>
      <c r="DH129" s="2" t="s">
        <v>6</v>
      </c>
      <c r="DI129" s="2" t="s">
        <v>6</v>
      </c>
      <c r="DJ129" s="2" t="s">
        <v>6</v>
      </c>
      <c r="DK129" s="2" t="s">
        <v>6</v>
      </c>
      <c r="DL129" s="2" t="s">
        <v>6</v>
      </c>
      <c r="DM129" s="2" t="s">
        <v>6</v>
      </c>
      <c r="DN129" s="2">
        <v>0</v>
      </c>
      <c r="DO129" s="2">
        <v>0</v>
      </c>
      <c r="DP129" s="2">
        <v>1</v>
      </c>
      <c r="DQ129" s="2">
        <v>1</v>
      </c>
      <c r="DR129" s="2"/>
      <c r="DS129" s="2"/>
      <c r="DT129" s="2"/>
      <c r="DU129" s="2">
        <v>1007</v>
      </c>
      <c r="DV129" s="2" t="s">
        <v>44</v>
      </c>
      <c r="DW129" s="2" t="s">
        <v>44</v>
      </c>
      <c r="DX129" s="2">
        <v>1</v>
      </c>
      <c r="DY129" s="2"/>
      <c r="DZ129" s="2" t="s">
        <v>6</v>
      </c>
      <c r="EA129" s="2" t="s">
        <v>6</v>
      </c>
      <c r="EB129" s="2" t="s">
        <v>6</v>
      </c>
      <c r="EC129" s="2" t="s">
        <v>6</v>
      </c>
      <c r="ED129" s="2"/>
      <c r="EE129" s="2">
        <v>54938781</v>
      </c>
      <c r="EF129" s="2">
        <v>20</v>
      </c>
      <c r="EG129" s="2" t="s">
        <v>35</v>
      </c>
      <c r="EH129" s="2">
        <v>0</v>
      </c>
      <c r="EI129" s="2" t="s">
        <v>6</v>
      </c>
      <c r="EJ129" s="2">
        <v>1</v>
      </c>
      <c r="EK129" s="2">
        <v>500001</v>
      </c>
      <c r="EL129" s="2" t="s">
        <v>36</v>
      </c>
      <c r="EM129" s="2" t="s">
        <v>37</v>
      </c>
      <c r="EN129" s="2"/>
      <c r="EO129" s="2" t="s">
        <v>6</v>
      </c>
      <c r="EP129" s="2"/>
      <c r="EQ129" s="2">
        <v>0</v>
      </c>
      <c r="ER129" s="2">
        <v>626.89</v>
      </c>
      <c r="ES129" s="110">
        <f>'1.Лок.смета.и.Акт'!F239</f>
        <v>626.89</v>
      </c>
      <c r="ET129" s="2">
        <v>0</v>
      </c>
      <c r="EU129" s="2">
        <v>0</v>
      </c>
      <c r="EV129" s="2">
        <v>0</v>
      </c>
      <c r="EW129" s="2">
        <v>0</v>
      </c>
      <c r="EX129" s="2">
        <v>0</v>
      </c>
      <c r="EY129" s="2"/>
      <c r="EZ129" s="2"/>
      <c r="FA129" s="2"/>
      <c r="FB129" s="2"/>
      <c r="FC129" s="2"/>
      <c r="FD129" s="2"/>
      <c r="FE129" s="2"/>
      <c r="FF129" s="2"/>
      <c r="FG129" s="2"/>
      <c r="FH129" s="2"/>
      <c r="FI129" s="2"/>
      <c r="FJ129" s="2"/>
      <c r="FK129" s="2"/>
      <c r="FL129" s="2"/>
      <c r="FM129" s="2"/>
      <c r="FN129" s="2"/>
      <c r="FO129" s="2"/>
      <c r="FP129" s="2"/>
      <c r="FQ129" s="2">
        <v>0</v>
      </c>
      <c r="FR129" s="2">
        <f t="shared" si="133"/>
        <v>0</v>
      </c>
      <c r="FS129" s="2">
        <v>0</v>
      </c>
      <c r="FT129" s="2"/>
      <c r="FU129" s="2"/>
      <c r="FV129" s="2"/>
      <c r="FW129" s="2"/>
      <c r="FX129" s="2">
        <v>0</v>
      </c>
      <c r="FY129" s="2">
        <v>0</v>
      </c>
      <c r="FZ129" s="2"/>
      <c r="GA129" s="2" t="s">
        <v>6</v>
      </c>
      <c r="GB129" s="2"/>
      <c r="GC129" s="2"/>
      <c r="GD129" s="2">
        <v>1</v>
      </c>
      <c r="GE129" s="2"/>
      <c r="GF129" s="2">
        <v>2108020173</v>
      </c>
      <c r="GG129" s="2">
        <v>2</v>
      </c>
      <c r="GH129" s="2">
        <v>1</v>
      </c>
      <c r="GI129" s="2">
        <v>-2</v>
      </c>
      <c r="GJ129" s="2">
        <v>0</v>
      </c>
      <c r="GK129" s="2">
        <v>0</v>
      </c>
      <c r="GL129" s="2">
        <f t="shared" si="134"/>
        <v>0</v>
      </c>
      <c r="GM129" s="2">
        <f t="shared" si="135"/>
        <v>23</v>
      </c>
      <c r="GN129" s="2">
        <f t="shared" si="136"/>
        <v>23</v>
      </c>
      <c r="GO129" s="2">
        <f t="shared" si="137"/>
        <v>0</v>
      </c>
      <c r="GP129" s="2">
        <f t="shared" si="138"/>
        <v>0</v>
      </c>
      <c r="GQ129" s="2"/>
      <c r="GR129" s="2">
        <v>0</v>
      </c>
      <c r="GS129" s="2">
        <v>3</v>
      </c>
      <c r="GT129" s="2">
        <v>0</v>
      </c>
      <c r="GU129" s="2" t="s">
        <v>6</v>
      </c>
      <c r="GV129" s="2">
        <f t="shared" si="139"/>
        <v>0</v>
      </c>
      <c r="GW129" s="2">
        <v>1</v>
      </c>
      <c r="GX129" s="2">
        <f t="shared" si="140"/>
        <v>0</v>
      </c>
      <c r="GY129" s="2"/>
      <c r="GZ129" s="2"/>
      <c r="HA129" s="2">
        <v>0</v>
      </c>
      <c r="HB129" s="2">
        <v>0</v>
      </c>
      <c r="HC129" s="2">
        <f t="shared" si="141"/>
        <v>0</v>
      </c>
      <c r="HD129" s="2"/>
      <c r="HE129" s="2" t="s">
        <v>6</v>
      </c>
      <c r="HF129" s="2" t="s">
        <v>6</v>
      </c>
      <c r="HG129" s="2"/>
      <c r="HH129" s="2"/>
      <c r="HI129" s="2"/>
      <c r="HJ129" s="2"/>
      <c r="HK129" s="2"/>
      <c r="HL129" s="2"/>
      <c r="HM129" s="2" t="s">
        <v>6</v>
      </c>
      <c r="HN129" s="2" t="s">
        <v>6</v>
      </c>
      <c r="HO129" s="2" t="s">
        <v>6</v>
      </c>
      <c r="HP129" s="2" t="s">
        <v>6</v>
      </c>
      <c r="HQ129" s="2" t="s">
        <v>6</v>
      </c>
      <c r="HR129" s="2"/>
      <c r="HS129" s="2"/>
      <c r="HT129" s="2"/>
      <c r="HU129" s="2"/>
      <c r="HV129" s="2"/>
      <c r="HW129" s="2"/>
      <c r="HX129" s="2"/>
      <c r="HY129" s="2"/>
      <c r="HZ129" s="2"/>
      <c r="IA129" s="2"/>
      <c r="IB129" s="2"/>
      <c r="IC129" s="2"/>
      <c r="ID129" s="2"/>
      <c r="IE129" s="2"/>
      <c r="IF129" s="2">
        <v>-1</v>
      </c>
      <c r="IG129" s="2"/>
      <c r="IH129" s="2"/>
      <c r="II129" s="2"/>
      <c r="IJ129" s="2"/>
      <c r="IK129" s="2">
        <v>0</v>
      </c>
      <c r="IL129" s="2"/>
      <c r="IM129" s="2"/>
      <c r="IN129" s="2"/>
      <c r="IO129" s="2"/>
      <c r="IP129" s="2"/>
      <c r="IQ129" s="2"/>
      <c r="IR129" s="2"/>
      <c r="IS129" s="2"/>
      <c r="IT129" s="2"/>
      <c r="IU129" s="2"/>
    </row>
    <row r="130" spans="1:255" x14ac:dyDescent="0.2">
      <c r="A130">
        <v>18</v>
      </c>
      <c r="B130">
        <v>1</v>
      </c>
      <c r="C130">
        <v>125</v>
      </c>
      <c r="E130" t="s">
        <v>211</v>
      </c>
      <c r="F130" t="e">
        <f>'2.Лок.смета.и.Акт'!#REF!</f>
        <v>#REF!</v>
      </c>
      <c r="G130" t="s">
        <v>213</v>
      </c>
      <c r="H130" t="s">
        <v>44</v>
      </c>
      <c r="I130">
        <f>I126*J130</f>
        <v>3.6720000000000003E-2</v>
      </c>
      <c r="J130">
        <v>3.9568965517241383E-3</v>
      </c>
      <c r="K130">
        <v>3.9569000000000002E-3</v>
      </c>
      <c r="O130">
        <f t="shared" si="110"/>
        <v>328</v>
      </c>
      <c r="P130">
        <f t="shared" si="111"/>
        <v>328</v>
      </c>
      <c r="Q130">
        <f t="shared" si="112"/>
        <v>0</v>
      </c>
      <c r="R130">
        <f t="shared" si="113"/>
        <v>0</v>
      </c>
      <c r="S130">
        <f t="shared" si="114"/>
        <v>0</v>
      </c>
      <c r="T130">
        <f t="shared" si="115"/>
        <v>0</v>
      </c>
      <c r="U130">
        <f t="shared" si="116"/>
        <v>0</v>
      </c>
      <c r="V130">
        <f t="shared" si="117"/>
        <v>0</v>
      </c>
      <c r="W130">
        <f t="shared" si="118"/>
        <v>0</v>
      </c>
      <c r="X130">
        <f t="shared" si="119"/>
        <v>0</v>
      </c>
      <c r="Y130">
        <f t="shared" si="120"/>
        <v>0</v>
      </c>
      <c r="AA130">
        <v>86326988</v>
      </c>
      <c r="AB130">
        <f t="shared" si="121"/>
        <v>1182.18</v>
      </c>
      <c r="AC130">
        <f t="shared" si="144"/>
        <v>1182.18</v>
      </c>
      <c r="AD130">
        <f t="shared" si="145"/>
        <v>0</v>
      </c>
      <c r="AE130">
        <f t="shared" si="146"/>
        <v>0</v>
      </c>
      <c r="AF130">
        <f t="shared" si="146"/>
        <v>0</v>
      </c>
      <c r="AG130">
        <f t="shared" si="122"/>
        <v>0</v>
      </c>
      <c r="AH130">
        <f t="shared" si="147"/>
        <v>0</v>
      </c>
      <c r="AI130">
        <f t="shared" si="147"/>
        <v>0</v>
      </c>
      <c r="AJ130">
        <f t="shared" si="123"/>
        <v>1.47</v>
      </c>
      <c r="AK130">
        <v>1182.18</v>
      </c>
      <c r="AL130">
        <v>1182.18</v>
      </c>
      <c r="AM130">
        <v>0</v>
      </c>
      <c r="AN130">
        <v>0</v>
      </c>
      <c r="AO130">
        <v>0</v>
      </c>
      <c r="AP130">
        <v>0</v>
      </c>
      <c r="AQ130">
        <v>0</v>
      </c>
      <c r="AR130">
        <v>0</v>
      </c>
      <c r="AS130">
        <v>1.47</v>
      </c>
      <c r="AT130">
        <v>0</v>
      </c>
      <c r="AU130">
        <v>0</v>
      </c>
      <c r="AV130">
        <v>1</v>
      </c>
      <c r="AW130">
        <v>1</v>
      </c>
      <c r="AZ130">
        <v>1</v>
      </c>
      <c r="BA130">
        <v>1</v>
      </c>
      <c r="BB130">
        <v>1</v>
      </c>
      <c r="BC130">
        <v>7.56</v>
      </c>
      <c r="BD130" t="s">
        <v>6</v>
      </c>
      <c r="BE130" t="s">
        <v>6</v>
      </c>
      <c r="BF130" t="s">
        <v>6</v>
      </c>
      <c r="BG130" t="s">
        <v>6</v>
      </c>
      <c r="BH130">
        <v>3</v>
      </c>
      <c r="BI130">
        <v>1</v>
      </c>
      <c r="BJ130" t="s">
        <v>214</v>
      </c>
      <c r="BM130">
        <v>500001</v>
      </c>
      <c r="BN130">
        <v>0</v>
      </c>
      <c r="BO130" t="s">
        <v>6</v>
      </c>
      <c r="BP130">
        <v>0</v>
      </c>
      <c r="BQ130">
        <v>20</v>
      </c>
      <c r="BR130">
        <v>0</v>
      </c>
      <c r="BS130">
        <v>1</v>
      </c>
      <c r="BT130">
        <v>1</v>
      </c>
      <c r="BU130">
        <v>1</v>
      </c>
      <c r="BV130">
        <v>1</v>
      </c>
      <c r="BW130">
        <v>1</v>
      </c>
      <c r="BX130">
        <v>1</v>
      </c>
      <c r="BY130" t="s">
        <v>6</v>
      </c>
      <c r="BZ130">
        <v>0</v>
      </c>
      <c r="CA130">
        <v>0</v>
      </c>
      <c r="CB130" t="s">
        <v>6</v>
      </c>
      <c r="CE130">
        <v>0</v>
      </c>
      <c r="CF130">
        <v>0</v>
      </c>
      <c r="CG130">
        <v>0</v>
      </c>
      <c r="CM130">
        <v>0</v>
      </c>
      <c r="CN130" t="s">
        <v>6</v>
      </c>
      <c r="CO130">
        <v>0</v>
      </c>
      <c r="CP130">
        <f t="shared" si="124"/>
        <v>328</v>
      </c>
      <c r="CQ130">
        <f t="shared" si="125"/>
        <v>8937.2808000000005</v>
      </c>
      <c r="CR130">
        <f t="shared" si="126"/>
        <v>0</v>
      </c>
      <c r="CS130">
        <f t="shared" si="127"/>
        <v>0</v>
      </c>
      <c r="CT130">
        <f t="shared" si="128"/>
        <v>0</v>
      </c>
      <c r="CU130">
        <f t="shared" si="129"/>
        <v>0</v>
      </c>
      <c r="CV130">
        <f t="shared" si="130"/>
        <v>0</v>
      </c>
      <c r="CW130">
        <f t="shared" si="131"/>
        <v>0</v>
      </c>
      <c r="CX130">
        <f t="shared" si="132"/>
        <v>1.47</v>
      </c>
      <c r="CY130">
        <f>(S130+R130)*(BZ130/100)</f>
        <v>0</v>
      </c>
      <c r="CZ130">
        <f>(S130+R130)*(CA130/100)</f>
        <v>0</v>
      </c>
      <c r="DC130" t="s">
        <v>6</v>
      </c>
      <c r="DD130" t="s">
        <v>6</v>
      </c>
      <c r="DE130" t="s">
        <v>6</v>
      </c>
      <c r="DF130" t="s">
        <v>6</v>
      </c>
      <c r="DG130" t="s">
        <v>6</v>
      </c>
      <c r="DH130" t="s">
        <v>6</v>
      </c>
      <c r="DI130" t="s">
        <v>6</v>
      </c>
      <c r="DJ130" t="s">
        <v>6</v>
      </c>
      <c r="DK130" t="s">
        <v>6</v>
      </c>
      <c r="DL130" t="s">
        <v>6</v>
      </c>
      <c r="DM130" t="s">
        <v>6</v>
      </c>
      <c r="DN130">
        <v>0</v>
      </c>
      <c r="DO130">
        <v>0</v>
      </c>
      <c r="DP130">
        <v>1</v>
      </c>
      <c r="DQ130">
        <v>1</v>
      </c>
      <c r="DU130">
        <v>1007</v>
      </c>
      <c r="DV130" t="s">
        <v>44</v>
      </c>
      <c r="DW130" t="e">
        <f>'2.Лок.смета.и.Акт'!#REF!</f>
        <v>#REF!</v>
      </c>
      <c r="DX130">
        <v>1</v>
      </c>
      <c r="DZ130" t="s">
        <v>6</v>
      </c>
      <c r="EA130" t="s">
        <v>6</v>
      </c>
      <c r="EB130" t="s">
        <v>6</v>
      </c>
      <c r="EC130" t="s">
        <v>6</v>
      </c>
      <c r="EE130">
        <v>54938781</v>
      </c>
      <c r="EF130">
        <v>20</v>
      </c>
      <c r="EG130" t="s">
        <v>35</v>
      </c>
      <c r="EH130">
        <v>0</v>
      </c>
      <c r="EI130" t="s">
        <v>6</v>
      </c>
      <c r="EJ130">
        <v>1</v>
      </c>
      <c r="EK130">
        <v>500001</v>
      </c>
      <c r="EL130" t="s">
        <v>36</v>
      </c>
      <c r="EM130" t="s">
        <v>37</v>
      </c>
      <c r="EO130" t="s">
        <v>6</v>
      </c>
      <c r="EQ130">
        <v>0</v>
      </c>
      <c r="ER130">
        <v>8425</v>
      </c>
      <c r="ES130">
        <v>1182.18</v>
      </c>
      <c r="ET130">
        <v>0</v>
      </c>
      <c r="EU130">
        <v>0</v>
      </c>
      <c r="EV130">
        <v>0</v>
      </c>
      <c r="EW130">
        <v>0</v>
      </c>
      <c r="EX130">
        <v>0</v>
      </c>
      <c r="EZ130">
        <v>5</v>
      </c>
      <c r="FC130">
        <v>0</v>
      </c>
      <c r="FD130">
        <v>18</v>
      </c>
      <c r="FF130">
        <v>8425</v>
      </c>
      <c r="FQ130">
        <v>0</v>
      </c>
      <c r="FR130">
        <f t="shared" si="133"/>
        <v>0</v>
      </c>
      <c r="FS130">
        <v>0</v>
      </c>
      <c r="FX130">
        <v>0</v>
      </c>
      <c r="FY130">
        <v>0</v>
      </c>
      <c r="GA130" t="s">
        <v>215</v>
      </c>
      <c r="GD130">
        <v>1</v>
      </c>
      <c r="GF130">
        <v>2108020173</v>
      </c>
      <c r="GG130">
        <v>2</v>
      </c>
      <c r="GH130">
        <v>3</v>
      </c>
      <c r="GI130">
        <v>5</v>
      </c>
      <c r="GJ130">
        <v>0</v>
      </c>
      <c r="GK130">
        <v>0</v>
      </c>
      <c r="GL130">
        <f t="shared" si="134"/>
        <v>0</v>
      </c>
      <c r="GM130">
        <f t="shared" si="135"/>
        <v>328</v>
      </c>
      <c r="GN130">
        <f t="shared" si="136"/>
        <v>328</v>
      </c>
      <c r="GO130">
        <f t="shared" si="137"/>
        <v>0</v>
      </c>
      <c r="GP130">
        <f t="shared" si="138"/>
        <v>0</v>
      </c>
      <c r="GR130">
        <v>1</v>
      </c>
      <c r="GS130">
        <v>1</v>
      </c>
      <c r="GT130">
        <v>0</v>
      </c>
      <c r="GU130" t="s">
        <v>6</v>
      </c>
      <c r="GV130">
        <f t="shared" si="139"/>
        <v>0</v>
      </c>
      <c r="GW130">
        <v>1</v>
      </c>
      <c r="GX130">
        <f t="shared" si="140"/>
        <v>0</v>
      </c>
      <c r="HA130">
        <v>0</v>
      </c>
      <c r="HB130">
        <v>0</v>
      </c>
      <c r="HC130">
        <f t="shared" si="141"/>
        <v>0</v>
      </c>
      <c r="HE130" t="s">
        <v>39</v>
      </c>
      <c r="HF130" t="s">
        <v>40</v>
      </c>
      <c r="HM130" t="s">
        <v>6</v>
      </c>
      <c r="HN130" t="s">
        <v>6</v>
      </c>
      <c r="HO130" t="s">
        <v>6</v>
      </c>
      <c r="HP130" t="s">
        <v>6</v>
      </c>
      <c r="HQ130" t="s">
        <v>6</v>
      </c>
      <c r="IF130">
        <v>-1</v>
      </c>
      <c r="IK130">
        <v>0</v>
      </c>
    </row>
    <row r="131" spans="1:255" x14ac:dyDescent="0.2">
      <c r="A131" s="2">
        <v>18</v>
      </c>
      <c r="B131" s="2">
        <v>1</v>
      </c>
      <c r="C131" s="2">
        <v>117</v>
      </c>
      <c r="D131" s="2"/>
      <c r="E131" s="2" t="s">
        <v>216</v>
      </c>
      <c r="F131" s="2" t="s">
        <v>217</v>
      </c>
      <c r="G131" s="2" t="s">
        <v>218</v>
      </c>
      <c r="H131" s="2" t="s">
        <v>44</v>
      </c>
      <c r="I131" s="2">
        <f>I125*J131</f>
        <v>4.2431999999999999</v>
      </c>
      <c r="J131" s="226">
        <f>'5.Ведомость_списания'!F60</f>
        <v>0.45724137931034486</v>
      </c>
      <c r="K131" s="2">
        <v>0.45724137999999998</v>
      </c>
      <c r="L131" s="2"/>
      <c r="M131" s="2"/>
      <c r="N131" s="2"/>
      <c r="O131" s="2">
        <f t="shared" si="110"/>
        <v>1948</v>
      </c>
      <c r="P131" s="2">
        <f t="shared" si="111"/>
        <v>1948</v>
      </c>
      <c r="Q131" s="2">
        <f t="shared" si="112"/>
        <v>0</v>
      </c>
      <c r="R131" s="2">
        <f t="shared" si="113"/>
        <v>0</v>
      </c>
      <c r="S131" s="2">
        <f t="shared" si="114"/>
        <v>0</v>
      </c>
      <c r="T131" s="2">
        <f t="shared" si="115"/>
        <v>0</v>
      </c>
      <c r="U131" s="2">
        <f t="shared" si="116"/>
        <v>0</v>
      </c>
      <c r="V131" s="2">
        <f t="shared" si="117"/>
        <v>0</v>
      </c>
      <c r="W131" s="2">
        <f t="shared" si="118"/>
        <v>0</v>
      </c>
      <c r="X131" s="2">
        <f t="shared" si="119"/>
        <v>0</v>
      </c>
      <c r="Y131" s="2">
        <f t="shared" si="120"/>
        <v>0</v>
      </c>
      <c r="Z131" s="2"/>
      <c r="AA131" s="2">
        <v>86326987</v>
      </c>
      <c r="AB131" s="2">
        <f t="shared" si="121"/>
        <v>459.1</v>
      </c>
      <c r="AC131" s="2">
        <f t="shared" si="144"/>
        <v>459.1</v>
      </c>
      <c r="AD131" s="2">
        <f t="shared" si="145"/>
        <v>0</v>
      </c>
      <c r="AE131" s="2">
        <f t="shared" si="146"/>
        <v>0</v>
      </c>
      <c r="AF131" s="2">
        <f t="shared" si="146"/>
        <v>0</v>
      </c>
      <c r="AG131" s="2">
        <f t="shared" si="122"/>
        <v>0</v>
      </c>
      <c r="AH131" s="2">
        <f t="shared" si="147"/>
        <v>0</v>
      </c>
      <c r="AI131" s="2">
        <f t="shared" si="147"/>
        <v>0</v>
      </c>
      <c r="AJ131" s="2">
        <f t="shared" si="123"/>
        <v>0</v>
      </c>
      <c r="AK131" s="2">
        <v>459.1</v>
      </c>
      <c r="AL131" s="110">
        <f>'1.Лок.смета.и.Акт'!F241</f>
        <v>459.1</v>
      </c>
      <c r="AM131" s="2">
        <v>0</v>
      </c>
      <c r="AN131" s="2">
        <v>0</v>
      </c>
      <c r="AO131" s="2">
        <v>0</v>
      </c>
      <c r="AP131" s="2">
        <v>0</v>
      </c>
      <c r="AQ131" s="2">
        <v>0</v>
      </c>
      <c r="AR131" s="2">
        <v>0</v>
      </c>
      <c r="AS131" s="2">
        <v>0</v>
      </c>
      <c r="AT131" s="2">
        <v>0</v>
      </c>
      <c r="AU131" s="2">
        <v>0</v>
      </c>
      <c r="AV131" s="2">
        <v>1</v>
      </c>
      <c r="AW131" s="2">
        <v>1</v>
      </c>
      <c r="AX131" s="2"/>
      <c r="AY131" s="2"/>
      <c r="AZ131" s="2">
        <v>1</v>
      </c>
      <c r="BA131" s="2">
        <v>1</v>
      </c>
      <c r="BB131" s="2">
        <v>1</v>
      </c>
      <c r="BC131" s="2">
        <v>1</v>
      </c>
      <c r="BD131" s="2" t="s">
        <v>6</v>
      </c>
      <c r="BE131" s="2" t="s">
        <v>6</v>
      </c>
      <c r="BF131" s="2" t="s">
        <v>6</v>
      </c>
      <c r="BG131" s="2" t="s">
        <v>6</v>
      </c>
      <c r="BH131" s="2">
        <v>3</v>
      </c>
      <c r="BI131" s="2">
        <v>1</v>
      </c>
      <c r="BJ131" s="2" t="s">
        <v>219</v>
      </c>
      <c r="BK131" s="2"/>
      <c r="BL131" s="2"/>
      <c r="BM131" s="2">
        <v>500003</v>
      </c>
      <c r="BN131" s="2">
        <v>0</v>
      </c>
      <c r="BO131" s="2" t="s">
        <v>6</v>
      </c>
      <c r="BP131" s="2">
        <v>0</v>
      </c>
      <c r="BQ131" s="2">
        <v>22</v>
      </c>
      <c r="BR131" s="2">
        <v>0</v>
      </c>
      <c r="BS131" s="2">
        <v>1</v>
      </c>
      <c r="BT131" s="2">
        <v>1</v>
      </c>
      <c r="BU131" s="2">
        <v>1</v>
      </c>
      <c r="BV131" s="2">
        <v>1</v>
      </c>
      <c r="BW131" s="2">
        <v>1</v>
      </c>
      <c r="BX131" s="2">
        <v>1</v>
      </c>
      <c r="BY131" s="2" t="s">
        <v>6</v>
      </c>
      <c r="BZ131" s="2">
        <v>0</v>
      </c>
      <c r="CA131" s="2">
        <v>0</v>
      </c>
      <c r="CB131" s="2" t="s">
        <v>6</v>
      </c>
      <c r="CC131" s="2"/>
      <c r="CD131" s="2"/>
      <c r="CE131" s="2">
        <v>0</v>
      </c>
      <c r="CF131" s="2">
        <v>0</v>
      </c>
      <c r="CG131" s="2">
        <v>0</v>
      </c>
      <c r="CH131" s="2"/>
      <c r="CI131" s="2"/>
      <c r="CJ131" s="2"/>
      <c r="CK131" s="2"/>
      <c r="CL131" s="2"/>
      <c r="CM131" s="2">
        <v>0</v>
      </c>
      <c r="CN131" s="2" t="s">
        <v>6</v>
      </c>
      <c r="CO131" s="2">
        <v>0</v>
      </c>
      <c r="CP131" s="2">
        <f t="shared" si="124"/>
        <v>1948</v>
      </c>
      <c r="CQ131" s="2">
        <f t="shared" si="125"/>
        <v>459.1</v>
      </c>
      <c r="CR131" s="2">
        <f t="shared" si="126"/>
        <v>0</v>
      </c>
      <c r="CS131" s="2">
        <f t="shared" si="127"/>
        <v>0</v>
      </c>
      <c r="CT131" s="2">
        <f t="shared" si="128"/>
        <v>0</v>
      </c>
      <c r="CU131" s="2">
        <f t="shared" si="129"/>
        <v>0</v>
      </c>
      <c r="CV131" s="2">
        <f t="shared" si="130"/>
        <v>0</v>
      </c>
      <c r="CW131" s="2">
        <f t="shared" si="131"/>
        <v>0</v>
      </c>
      <c r="CX131" s="2">
        <f t="shared" si="132"/>
        <v>0</v>
      </c>
      <c r="CY131" s="2">
        <f>(((S131+(R131*IF(0,0,1)))*AT131)/100)</f>
        <v>0</v>
      </c>
      <c r="CZ131" s="2">
        <f>(((S131+(R131*IF(0,0,1)))*AU131)/100)</f>
        <v>0</v>
      </c>
      <c r="DA131" s="2"/>
      <c r="DB131" s="2"/>
      <c r="DC131" s="2" t="s">
        <v>6</v>
      </c>
      <c r="DD131" s="2" t="s">
        <v>6</v>
      </c>
      <c r="DE131" s="2" t="s">
        <v>6</v>
      </c>
      <c r="DF131" s="2" t="s">
        <v>6</v>
      </c>
      <c r="DG131" s="2" t="s">
        <v>6</v>
      </c>
      <c r="DH131" s="2" t="s">
        <v>6</v>
      </c>
      <c r="DI131" s="2" t="s">
        <v>6</v>
      </c>
      <c r="DJ131" s="2" t="s">
        <v>6</v>
      </c>
      <c r="DK131" s="2" t="s">
        <v>6</v>
      </c>
      <c r="DL131" s="2" t="s">
        <v>6</v>
      </c>
      <c r="DM131" s="2" t="s">
        <v>6</v>
      </c>
      <c r="DN131" s="2">
        <v>0</v>
      </c>
      <c r="DO131" s="2">
        <v>0</v>
      </c>
      <c r="DP131" s="2">
        <v>1</v>
      </c>
      <c r="DQ131" s="2">
        <v>1</v>
      </c>
      <c r="DR131" s="2"/>
      <c r="DS131" s="2"/>
      <c r="DT131" s="2"/>
      <c r="DU131" s="2">
        <v>1007</v>
      </c>
      <c r="DV131" s="2" t="s">
        <v>44</v>
      </c>
      <c r="DW131" s="2" t="s">
        <v>44</v>
      </c>
      <c r="DX131" s="2">
        <v>1</v>
      </c>
      <c r="DY131" s="2"/>
      <c r="DZ131" s="2" t="s">
        <v>6</v>
      </c>
      <c r="EA131" s="2" t="s">
        <v>6</v>
      </c>
      <c r="EB131" s="2" t="s">
        <v>6</v>
      </c>
      <c r="EC131" s="2" t="s">
        <v>6</v>
      </c>
      <c r="ED131" s="2"/>
      <c r="EE131" s="2">
        <v>54938783</v>
      </c>
      <c r="EF131" s="2">
        <v>22</v>
      </c>
      <c r="EG131" s="2" t="s">
        <v>57</v>
      </c>
      <c r="EH131" s="2">
        <v>0</v>
      </c>
      <c r="EI131" s="2" t="s">
        <v>6</v>
      </c>
      <c r="EJ131" s="2">
        <v>1</v>
      </c>
      <c r="EK131" s="2">
        <v>500003</v>
      </c>
      <c r="EL131" s="2" t="s">
        <v>58</v>
      </c>
      <c r="EM131" s="2" t="s">
        <v>59</v>
      </c>
      <c r="EN131" s="2"/>
      <c r="EO131" s="2" t="s">
        <v>6</v>
      </c>
      <c r="EP131" s="2"/>
      <c r="EQ131" s="2">
        <v>0</v>
      </c>
      <c r="ER131" s="2">
        <v>459.1</v>
      </c>
      <c r="ES131" s="110">
        <f>'1.Лок.смета.и.Акт'!F241</f>
        <v>459.1</v>
      </c>
      <c r="ET131" s="2">
        <v>0</v>
      </c>
      <c r="EU131" s="2">
        <v>0</v>
      </c>
      <c r="EV131" s="2">
        <v>0</v>
      </c>
      <c r="EW131" s="2">
        <v>0</v>
      </c>
      <c r="EX131" s="2">
        <v>0</v>
      </c>
      <c r="EY131" s="2"/>
      <c r="EZ131" s="2"/>
      <c r="FA131" s="2"/>
      <c r="FB131" s="2"/>
      <c r="FC131" s="2"/>
      <c r="FD131" s="2"/>
      <c r="FE131" s="2"/>
      <c r="FF131" s="2"/>
      <c r="FG131" s="2"/>
      <c r="FH131" s="2"/>
      <c r="FI131" s="2"/>
      <c r="FJ131" s="2"/>
      <c r="FK131" s="2"/>
      <c r="FL131" s="2"/>
      <c r="FM131" s="2"/>
      <c r="FN131" s="2"/>
      <c r="FO131" s="2"/>
      <c r="FP131" s="2"/>
      <c r="FQ131" s="2">
        <v>0</v>
      </c>
      <c r="FR131" s="2">
        <f t="shared" si="133"/>
        <v>0</v>
      </c>
      <c r="FS131" s="2">
        <v>0</v>
      </c>
      <c r="FT131" s="2"/>
      <c r="FU131" s="2"/>
      <c r="FV131" s="2"/>
      <c r="FW131" s="2"/>
      <c r="FX131" s="2">
        <v>0</v>
      </c>
      <c r="FY131" s="2">
        <v>0</v>
      </c>
      <c r="FZ131" s="2"/>
      <c r="GA131" s="2" t="s">
        <v>6</v>
      </c>
      <c r="GB131" s="2"/>
      <c r="GC131" s="2"/>
      <c r="GD131" s="2">
        <v>1</v>
      </c>
      <c r="GE131" s="2"/>
      <c r="GF131" s="2">
        <v>-1920777181</v>
      </c>
      <c r="GG131" s="2">
        <v>2</v>
      </c>
      <c r="GH131" s="2">
        <v>2</v>
      </c>
      <c r="GI131" s="2">
        <v>-2</v>
      </c>
      <c r="GJ131" s="2">
        <v>0</v>
      </c>
      <c r="GK131" s="2">
        <v>0</v>
      </c>
      <c r="GL131" s="2">
        <f t="shared" si="134"/>
        <v>0</v>
      </c>
      <c r="GM131" s="2">
        <f t="shared" si="135"/>
        <v>1948</v>
      </c>
      <c r="GN131" s="2">
        <f t="shared" si="136"/>
        <v>1948</v>
      </c>
      <c r="GO131" s="2">
        <f t="shared" si="137"/>
        <v>0</v>
      </c>
      <c r="GP131" s="2">
        <f t="shared" si="138"/>
        <v>0</v>
      </c>
      <c r="GQ131" s="2"/>
      <c r="GR131" s="2">
        <v>0</v>
      </c>
      <c r="GS131" s="2">
        <v>2</v>
      </c>
      <c r="GT131" s="2">
        <v>0</v>
      </c>
      <c r="GU131" s="2" t="s">
        <v>6</v>
      </c>
      <c r="GV131" s="2">
        <f t="shared" si="139"/>
        <v>0</v>
      </c>
      <c r="GW131" s="2">
        <v>1</v>
      </c>
      <c r="GX131" s="2">
        <f t="shared" si="140"/>
        <v>0</v>
      </c>
      <c r="GY131" s="2"/>
      <c r="GZ131" s="2"/>
      <c r="HA131" s="2">
        <v>0</v>
      </c>
      <c r="HB131" s="2">
        <v>0</v>
      </c>
      <c r="HC131" s="2">
        <f t="shared" si="141"/>
        <v>0</v>
      </c>
      <c r="HD131" s="2"/>
      <c r="HE131" s="2" t="s">
        <v>6</v>
      </c>
      <c r="HF131" s="2" t="s">
        <v>6</v>
      </c>
      <c r="HG131" s="2"/>
      <c r="HH131" s="2"/>
      <c r="HI131" s="2"/>
      <c r="HJ131" s="2"/>
      <c r="HK131" s="2"/>
      <c r="HL131" s="2"/>
      <c r="HM131" s="2" t="s">
        <v>6</v>
      </c>
      <c r="HN131" s="2" t="s">
        <v>6</v>
      </c>
      <c r="HO131" s="2" t="s">
        <v>6</v>
      </c>
      <c r="HP131" s="2" t="s">
        <v>6</v>
      </c>
      <c r="HQ131" s="2" t="s">
        <v>6</v>
      </c>
      <c r="HR131" s="2"/>
      <c r="HS131" s="2"/>
      <c r="HT131" s="2"/>
      <c r="HU131" s="2"/>
      <c r="HV131" s="2"/>
      <c r="HW131" s="2"/>
      <c r="HX131" s="2"/>
      <c r="HY131" s="2"/>
      <c r="HZ131" s="2"/>
      <c r="IA131" s="2"/>
      <c r="IB131" s="2"/>
      <c r="IC131" s="2"/>
      <c r="ID131" s="2"/>
      <c r="IE131" s="2"/>
      <c r="IF131" s="2">
        <v>-1</v>
      </c>
      <c r="IG131" s="2"/>
      <c r="IH131" s="2"/>
      <c r="II131" s="2"/>
      <c r="IJ131" s="2"/>
      <c r="IK131" s="2">
        <v>0</v>
      </c>
      <c r="IL131" s="2"/>
      <c r="IM131" s="2"/>
      <c r="IN131" s="2"/>
      <c r="IO131" s="2"/>
      <c r="IP131" s="2"/>
      <c r="IQ131" s="2"/>
      <c r="IR131" s="2"/>
      <c r="IS131" s="2"/>
      <c r="IT131" s="2"/>
      <c r="IU131" s="2"/>
    </row>
    <row r="132" spans="1:255" x14ac:dyDescent="0.2">
      <c r="A132">
        <v>18</v>
      </c>
      <c r="B132">
        <v>1</v>
      </c>
      <c r="C132">
        <v>126</v>
      </c>
      <c r="E132" t="s">
        <v>216</v>
      </c>
      <c r="F132" t="e">
        <f>'2.Лок.смета.и.Акт'!#REF!</f>
        <v>#REF!</v>
      </c>
      <c r="G132" t="s">
        <v>218</v>
      </c>
      <c r="H132" t="s">
        <v>44</v>
      </c>
      <c r="I132">
        <f>I126*J132</f>
        <v>4.2431999999999999</v>
      </c>
      <c r="J132">
        <v>0.45724137931034486</v>
      </c>
      <c r="K132">
        <v>0.45724137999999998</v>
      </c>
      <c r="O132">
        <f t="shared" si="110"/>
        <v>16903</v>
      </c>
      <c r="P132">
        <f t="shared" si="111"/>
        <v>16903</v>
      </c>
      <c r="Q132">
        <f t="shared" si="112"/>
        <v>0</v>
      </c>
      <c r="R132">
        <f t="shared" si="113"/>
        <v>0</v>
      </c>
      <c r="S132">
        <f t="shared" si="114"/>
        <v>0</v>
      </c>
      <c r="T132">
        <f t="shared" si="115"/>
        <v>0</v>
      </c>
      <c r="U132">
        <f t="shared" si="116"/>
        <v>0</v>
      </c>
      <c r="V132">
        <f t="shared" si="117"/>
        <v>0</v>
      </c>
      <c r="W132">
        <f t="shared" si="118"/>
        <v>0</v>
      </c>
      <c r="X132">
        <f t="shared" si="119"/>
        <v>0</v>
      </c>
      <c r="Y132">
        <f t="shared" si="120"/>
        <v>0</v>
      </c>
      <c r="AA132">
        <v>86326988</v>
      </c>
      <c r="AB132">
        <f t="shared" si="121"/>
        <v>526.94000000000005</v>
      </c>
      <c r="AC132">
        <f t="shared" si="144"/>
        <v>526.94000000000005</v>
      </c>
      <c r="AD132">
        <f t="shared" si="145"/>
        <v>0</v>
      </c>
      <c r="AE132">
        <f t="shared" si="146"/>
        <v>0</v>
      </c>
      <c r="AF132">
        <f t="shared" si="146"/>
        <v>0</v>
      </c>
      <c r="AG132">
        <f t="shared" si="122"/>
        <v>0</v>
      </c>
      <c r="AH132">
        <f t="shared" si="147"/>
        <v>0</v>
      </c>
      <c r="AI132">
        <f t="shared" si="147"/>
        <v>0</v>
      </c>
      <c r="AJ132">
        <f t="shared" si="123"/>
        <v>0</v>
      </c>
      <c r="AK132">
        <v>526.94000000000005</v>
      </c>
      <c r="AL132">
        <v>526.94000000000005</v>
      </c>
      <c r="AM132">
        <v>0</v>
      </c>
      <c r="AN132">
        <v>0</v>
      </c>
      <c r="AO132">
        <v>0</v>
      </c>
      <c r="AP132">
        <v>0</v>
      </c>
      <c r="AQ132">
        <v>0</v>
      </c>
      <c r="AR132">
        <v>0</v>
      </c>
      <c r="AS132">
        <v>0</v>
      </c>
      <c r="AT132">
        <v>0</v>
      </c>
      <c r="AU132">
        <v>0</v>
      </c>
      <c r="AV132">
        <v>1</v>
      </c>
      <c r="AW132">
        <v>1</v>
      </c>
      <c r="AZ132">
        <v>1</v>
      </c>
      <c r="BA132">
        <v>1</v>
      </c>
      <c r="BB132">
        <v>1</v>
      </c>
      <c r="BC132">
        <v>7.56</v>
      </c>
      <c r="BD132" t="s">
        <v>6</v>
      </c>
      <c r="BE132" t="s">
        <v>6</v>
      </c>
      <c r="BF132" t="s">
        <v>6</v>
      </c>
      <c r="BG132" t="s">
        <v>6</v>
      </c>
      <c r="BH132">
        <v>3</v>
      </c>
      <c r="BI132">
        <v>1</v>
      </c>
      <c r="BJ132" t="s">
        <v>219</v>
      </c>
      <c r="BM132">
        <v>500003</v>
      </c>
      <c r="BN132">
        <v>0</v>
      </c>
      <c r="BO132" t="s">
        <v>6</v>
      </c>
      <c r="BP132">
        <v>0</v>
      </c>
      <c r="BQ132">
        <v>22</v>
      </c>
      <c r="BR132">
        <v>0</v>
      </c>
      <c r="BS132">
        <v>1</v>
      </c>
      <c r="BT132">
        <v>1</v>
      </c>
      <c r="BU132">
        <v>1</v>
      </c>
      <c r="BV132">
        <v>1</v>
      </c>
      <c r="BW132">
        <v>1</v>
      </c>
      <c r="BX132">
        <v>1</v>
      </c>
      <c r="BY132" t="s">
        <v>6</v>
      </c>
      <c r="BZ132">
        <v>0</v>
      </c>
      <c r="CA132">
        <v>0</v>
      </c>
      <c r="CB132" t="s">
        <v>6</v>
      </c>
      <c r="CE132">
        <v>0</v>
      </c>
      <c r="CF132">
        <v>0</v>
      </c>
      <c r="CG132">
        <v>0</v>
      </c>
      <c r="CM132">
        <v>0</v>
      </c>
      <c r="CN132" t="s">
        <v>6</v>
      </c>
      <c r="CO132">
        <v>0</v>
      </c>
      <c r="CP132">
        <f t="shared" si="124"/>
        <v>16903</v>
      </c>
      <c r="CQ132">
        <f t="shared" si="125"/>
        <v>3983.6664000000001</v>
      </c>
      <c r="CR132">
        <f t="shared" si="126"/>
        <v>0</v>
      </c>
      <c r="CS132">
        <f t="shared" si="127"/>
        <v>0</v>
      </c>
      <c r="CT132">
        <f t="shared" si="128"/>
        <v>0</v>
      </c>
      <c r="CU132">
        <f t="shared" si="129"/>
        <v>0</v>
      </c>
      <c r="CV132">
        <f t="shared" si="130"/>
        <v>0</v>
      </c>
      <c r="CW132">
        <f t="shared" si="131"/>
        <v>0</v>
      </c>
      <c r="CX132">
        <f t="shared" si="132"/>
        <v>0</v>
      </c>
      <c r="CY132">
        <f>(S132+R132)*(BZ132/100)</f>
        <v>0</v>
      </c>
      <c r="CZ132">
        <f>(S132+R132)*(CA132/100)</f>
        <v>0</v>
      </c>
      <c r="DC132" t="s">
        <v>6</v>
      </c>
      <c r="DD132" t="s">
        <v>6</v>
      </c>
      <c r="DE132" t="s">
        <v>6</v>
      </c>
      <c r="DF132" t="s">
        <v>6</v>
      </c>
      <c r="DG132" t="s">
        <v>6</v>
      </c>
      <c r="DH132" t="s">
        <v>6</v>
      </c>
      <c r="DI132" t="s">
        <v>6</v>
      </c>
      <c r="DJ132" t="s">
        <v>6</v>
      </c>
      <c r="DK132" t="s">
        <v>6</v>
      </c>
      <c r="DL132" t="s">
        <v>6</v>
      </c>
      <c r="DM132" t="s">
        <v>6</v>
      </c>
      <c r="DN132">
        <v>0</v>
      </c>
      <c r="DO132">
        <v>0</v>
      </c>
      <c r="DP132">
        <v>1</v>
      </c>
      <c r="DQ132">
        <v>1</v>
      </c>
      <c r="DU132">
        <v>1007</v>
      </c>
      <c r="DV132" t="s">
        <v>44</v>
      </c>
      <c r="DW132" t="e">
        <f>'2.Лок.смета.и.Акт'!#REF!</f>
        <v>#REF!</v>
      </c>
      <c r="DX132">
        <v>1</v>
      </c>
      <c r="DZ132" t="s">
        <v>6</v>
      </c>
      <c r="EA132" t="s">
        <v>6</v>
      </c>
      <c r="EB132" t="s">
        <v>6</v>
      </c>
      <c r="EC132" t="s">
        <v>6</v>
      </c>
      <c r="EE132">
        <v>54938783</v>
      </c>
      <c r="EF132">
        <v>22</v>
      </c>
      <c r="EG132" t="s">
        <v>57</v>
      </c>
      <c r="EH132">
        <v>0</v>
      </c>
      <c r="EI132" t="s">
        <v>6</v>
      </c>
      <c r="EJ132">
        <v>1</v>
      </c>
      <c r="EK132">
        <v>500003</v>
      </c>
      <c r="EL132" t="s">
        <v>58</v>
      </c>
      <c r="EM132" t="s">
        <v>59</v>
      </c>
      <c r="EO132" t="s">
        <v>6</v>
      </c>
      <c r="EQ132">
        <v>0</v>
      </c>
      <c r="ER132">
        <v>3755.38</v>
      </c>
      <c r="ES132">
        <v>526.94000000000005</v>
      </c>
      <c r="ET132">
        <v>0</v>
      </c>
      <c r="EU132">
        <v>0</v>
      </c>
      <c r="EV132">
        <v>0</v>
      </c>
      <c r="EW132">
        <v>0</v>
      </c>
      <c r="EX132">
        <v>0</v>
      </c>
      <c r="EZ132">
        <v>5</v>
      </c>
      <c r="FC132">
        <v>0</v>
      </c>
      <c r="FD132">
        <v>18</v>
      </c>
      <c r="FF132">
        <v>3755.38</v>
      </c>
      <c r="FQ132">
        <v>0</v>
      </c>
      <c r="FR132">
        <f t="shared" si="133"/>
        <v>0</v>
      </c>
      <c r="FS132">
        <v>0</v>
      </c>
      <c r="FX132">
        <v>0</v>
      </c>
      <c r="FY132">
        <v>0</v>
      </c>
      <c r="GA132" t="s">
        <v>220</v>
      </c>
      <c r="GD132">
        <v>1</v>
      </c>
      <c r="GF132">
        <v>-1920777181</v>
      </c>
      <c r="GG132">
        <v>2</v>
      </c>
      <c r="GH132">
        <v>3</v>
      </c>
      <c r="GI132">
        <v>5</v>
      </c>
      <c r="GJ132">
        <v>0</v>
      </c>
      <c r="GK132">
        <v>0</v>
      </c>
      <c r="GL132">
        <f t="shared" si="134"/>
        <v>0</v>
      </c>
      <c r="GM132">
        <f t="shared" si="135"/>
        <v>16903</v>
      </c>
      <c r="GN132">
        <f t="shared" si="136"/>
        <v>16903</v>
      </c>
      <c r="GO132">
        <f t="shared" si="137"/>
        <v>0</v>
      </c>
      <c r="GP132">
        <f t="shared" si="138"/>
        <v>0</v>
      </c>
      <c r="GR132">
        <v>1</v>
      </c>
      <c r="GS132">
        <v>1</v>
      </c>
      <c r="GT132">
        <v>0</v>
      </c>
      <c r="GU132" t="s">
        <v>6</v>
      </c>
      <c r="GV132">
        <f t="shared" si="139"/>
        <v>0</v>
      </c>
      <c r="GW132">
        <v>1</v>
      </c>
      <c r="GX132">
        <f t="shared" si="140"/>
        <v>0</v>
      </c>
      <c r="HA132">
        <v>0</v>
      </c>
      <c r="HB132">
        <v>0</v>
      </c>
      <c r="HC132">
        <f t="shared" si="141"/>
        <v>0</v>
      </c>
      <c r="HE132" t="s">
        <v>39</v>
      </c>
      <c r="HF132" t="s">
        <v>40</v>
      </c>
      <c r="HM132" t="s">
        <v>6</v>
      </c>
      <c r="HN132" t="s">
        <v>6</v>
      </c>
      <c r="HO132" t="s">
        <v>6</v>
      </c>
      <c r="HP132" t="s">
        <v>6</v>
      </c>
      <c r="HQ132" t="s">
        <v>6</v>
      </c>
      <c r="IF132">
        <v>-1</v>
      </c>
      <c r="IK132">
        <v>0</v>
      </c>
    </row>
    <row r="133" spans="1:255" x14ac:dyDescent="0.2">
      <c r="A133" s="2">
        <v>17</v>
      </c>
      <c r="B133" s="2">
        <v>1</v>
      </c>
      <c r="C133" s="2">
        <f>ROW(SmtRes!A132)</f>
        <v>132</v>
      </c>
      <c r="D133" s="2">
        <f>ROW(EtalonRes!A111)</f>
        <v>111</v>
      </c>
      <c r="E133" s="2" t="s">
        <v>221</v>
      </c>
      <c r="F133" s="2" t="s">
        <v>222</v>
      </c>
      <c r="G133" s="2" t="s">
        <v>223</v>
      </c>
      <c r="H133" s="2" t="s">
        <v>49</v>
      </c>
      <c r="I133" s="2">
        <f>'2.Лок.смета.и.Акт'!E34</f>
        <v>0.66100000000000003</v>
      </c>
      <c r="J133" s="2">
        <v>0</v>
      </c>
      <c r="K133" s="2">
        <v>2.6440000000000001</v>
      </c>
      <c r="L133" s="2"/>
      <c r="M133" s="2"/>
      <c r="N133" s="2"/>
      <c r="O133" s="2">
        <f t="shared" si="110"/>
        <v>475</v>
      </c>
      <c r="P133" s="2">
        <f t="shared" si="111"/>
        <v>0</v>
      </c>
      <c r="Q133" s="2">
        <f t="shared" si="112"/>
        <v>49</v>
      </c>
      <c r="R133" s="2">
        <f t="shared" si="113"/>
        <v>5</v>
      </c>
      <c r="S133" s="2">
        <f t="shared" si="114"/>
        <v>426</v>
      </c>
      <c r="T133" s="2">
        <f t="shared" si="115"/>
        <v>0</v>
      </c>
      <c r="U133" s="2">
        <f t="shared" si="116"/>
        <v>35.767172700000003</v>
      </c>
      <c r="V133" s="2">
        <f t="shared" si="117"/>
        <v>0.34054720000000011</v>
      </c>
      <c r="W133" s="2">
        <f t="shared" si="118"/>
        <v>0</v>
      </c>
      <c r="X133" s="2">
        <f t="shared" si="119"/>
        <v>284</v>
      </c>
      <c r="Y133" s="2">
        <f t="shared" si="120"/>
        <v>259</v>
      </c>
      <c r="Z133" s="2"/>
      <c r="AA133" s="2">
        <v>86326987</v>
      </c>
      <c r="AB133" s="2">
        <f t="shared" si="121"/>
        <v>718.89</v>
      </c>
      <c r="AC133" s="2">
        <f>ROUND((ES133+(SUM(SmtRes!BC127:'SmtRes'!BC132)+SUM(EtalonRes!AL105:'EtalonRes'!AL111))),2)</f>
        <v>0</v>
      </c>
      <c r="AD133" s="2">
        <f>ROUND(((ET133*1.12)),2)</f>
        <v>73.89</v>
      </c>
      <c r="AE133" s="2">
        <f>ROUND(((EU133*1.12)),2)</f>
        <v>7.01</v>
      </c>
      <c r="AF133" s="2">
        <f>ROUND(((EV133*1.05)),2)</f>
        <v>645</v>
      </c>
      <c r="AG133" s="2">
        <f t="shared" si="122"/>
        <v>0</v>
      </c>
      <c r="AH133" s="2">
        <f>((EW133*1.05))</f>
        <v>54.110700000000001</v>
      </c>
      <c r="AI133" s="2">
        <f>((EX133*1.12))</f>
        <v>0.5152000000000001</v>
      </c>
      <c r="AJ133" s="2">
        <f t="shared" si="123"/>
        <v>0</v>
      </c>
      <c r="AK133" s="2">
        <v>5443.87</v>
      </c>
      <c r="AL133" s="2">
        <v>4763.6099999999997</v>
      </c>
      <c r="AM133" s="2">
        <v>65.97</v>
      </c>
      <c r="AN133" s="2">
        <v>6.26</v>
      </c>
      <c r="AO133" s="2">
        <v>614.29</v>
      </c>
      <c r="AP133" s="2">
        <v>0</v>
      </c>
      <c r="AQ133" s="2">
        <v>51.533999999999999</v>
      </c>
      <c r="AR133" s="2">
        <v>0.46</v>
      </c>
      <c r="AS133" s="2">
        <v>0</v>
      </c>
      <c r="AT133" s="2">
        <v>66</v>
      </c>
      <c r="AU133" s="2">
        <v>60</v>
      </c>
      <c r="AV133" s="2">
        <v>1</v>
      </c>
      <c r="AW133" s="2">
        <v>1</v>
      </c>
      <c r="AX133" s="2"/>
      <c r="AY133" s="2"/>
      <c r="AZ133" s="2">
        <v>1</v>
      </c>
      <c r="BA133" s="2">
        <v>1</v>
      </c>
      <c r="BB133" s="2">
        <v>1</v>
      </c>
      <c r="BC133" s="2">
        <v>1</v>
      </c>
      <c r="BD133" s="2" t="s">
        <v>6</v>
      </c>
      <c r="BE133" s="2" t="s">
        <v>6</v>
      </c>
      <c r="BF133" s="2" t="s">
        <v>6</v>
      </c>
      <c r="BG133" s="2" t="s">
        <v>6</v>
      </c>
      <c r="BH133" s="2">
        <v>0</v>
      </c>
      <c r="BI133" s="2">
        <v>1</v>
      </c>
      <c r="BJ133" s="2" t="s">
        <v>224</v>
      </c>
      <c r="BK133" s="2"/>
      <c r="BL133" s="2"/>
      <c r="BM133" s="2">
        <v>501</v>
      </c>
      <c r="BN133" s="2">
        <v>0</v>
      </c>
      <c r="BO133" s="2" t="s">
        <v>6</v>
      </c>
      <c r="BP133" s="2">
        <v>0</v>
      </c>
      <c r="BQ133" s="2">
        <v>1</v>
      </c>
      <c r="BR133" s="2">
        <v>0</v>
      </c>
      <c r="BS133" s="2">
        <v>1</v>
      </c>
      <c r="BT133" s="2">
        <v>1</v>
      </c>
      <c r="BU133" s="2">
        <v>1</v>
      </c>
      <c r="BV133" s="2">
        <v>1</v>
      </c>
      <c r="BW133" s="2">
        <v>1</v>
      </c>
      <c r="BX133" s="2">
        <v>1</v>
      </c>
      <c r="BY133" s="2" t="s">
        <v>6</v>
      </c>
      <c r="BZ133" s="2">
        <v>66</v>
      </c>
      <c r="CA133" s="2">
        <v>60</v>
      </c>
      <c r="CB133" s="2" t="s">
        <v>6</v>
      </c>
      <c r="CC133" s="2"/>
      <c r="CD133" s="2"/>
      <c r="CE133" s="2">
        <v>0</v>
      </c>
      <c r="CF133" s="2">
        <v>0</v>
      </c>
      <c r="CG133" s="2">
        <v>0</v>
      </c>
      <c r="CH133" s="2"/>
      <c r="CI133" s="2"/>
      <c r="CJ133" s="2"/>
      <c r="CK133" s="2"/>
      <c r="CL133" s="2"/>
      <c r="CM133" s="2">
        <v>0</v>
      </c>
      <c r="CN133" s="2" t="s">
        <v>23</v>
      </c>
      <c r="CO133" s="2">
        <v>0</v>
      </c>
      <c r="CP133" s="2">
        <f t="shared" si="124"/>
        <v>475</v>
      </c>
      <c r="CQ133" s="2">
        <f t="shared" si="125"/>
        <v>0</v>
      </c>
      <c r="CR133" s="2">
        <f t="shared" si="126"/>
        <v>73.89</v>
      </c>
      <c r="CS133" s="2">
        <f t="shared" si="127"/>
        <v>7.01</v>
      </c>
      <c r="CT133" s="2">
        <f t="shared" si="128"/>
        <v>645</v>
      </c>
      <c r="CU133" s="2">
        <f t="shared" si="129"/>
        <v>0</v>
      </c>
      <c r="CV133" s="2">
        <f t="shared" si="130"/>
        <v>54.110700000000001</v>
      </c>
      <c r="CW133" s="2">
        <f t="shared" si="131"/>
        <v>0.5152000000000001</v>
      </c>
      <c r="CX133" s="2">
        <f t="shared" si="132"/>
        <v>0</v>
      </c>
      <c r="CY133" s="2">
        <f>(((S133+(R133*IF(0,0,1)))*AT133)/100)</f>
        <v>284.45999999999998</v>
      </c>
      <c r="CZ133" s="2">
        <f>(((S133+(R133*IF(0,0,1)))*AU133)/100)</f>
        <v>258.60000000000002</v>
      </c>
      <c r="DA133" s="2"/>
      <c r="DB133" s="2"/>
      <c r="DC133" s="2" t="s">
        <v>6</v>
      </c>
      <c r="DD133" s="2" t="s">
        <v>6</v>
      </c>
      <c r="DE133" s="2" t="s">
        <v>24</v>
      </c>
      <c r="DF133" s="2" t="s">
        <v>24</v>
      </c>
      <c r="DG133" s="2" t="s">
        <v>25</v>
      </c>
      <c r="DH133" s="2" t="s">
        <v>6</v>
      </c>
      <c r="DI133" s="2" t="s">
        <v>25</v>
      </c>
      <c r="DJ133" s="2" t="s">
        <v>24</v>
      </c>
      <c r="DK133" s="2" t="s">
        <v>6</v>
      </c>
      <c r="DL133" s="2" t="s">
        <v>6</v>
      </c>
      <c r="DM133" s="2" t="s">
        <v>6</v>
      </c>
      <c r="DN133" s="2">
        <v>0</v>
      </c>
      <c r="DO133" s="2">
        <v>0</v>
      </c>
      <c r="DP133" s="2">
        <v>1</v>
      </c>
      <c r="DQ133" s="2">
        <v>1</v>
      </c>
      <c r="DR133" s="2"/>
      <c r="DS133" s="2"/>
      <c r="DT133" s="2"/>
      <c r="DU133" s="2">
        <v>1013</v>
      </c>
      <c r="DV133" s="2" t="s">
        <v>49</v>
      </c>
      <c r="DW133" s="2" t="s">
        <v>49</v>
      </c>
      <c r="DX133" s="2">
        <v>1</v>
      </c>
      <c r="DY133" s="2"/>
      <c r="DZ133" s="2" t="s">
        <v>6</v>
      </c>
      <c r="EA133" s="2" t="s">
        <v>6</v>
      </c>
      <c r="EB133" s="2" t="s">
        <v>6</v>
      </c>
      <c r="EC133" s="2" t="s">
        <v>6</v>
      </c>
      <c r="ED133" s="2"/>
      <c r="EE133" s="2">
        <v>54938567</v>
      </c>
      <c r="EF133" s="2">
        <v>1</v>
      </c>
      <c r="EG133" s="2" t="s">
        <v>26</v>
      </c>
      <c r="EH133" s="2">
        <v>0</v>
      </c>
      <c r="EI133" s="2" t="s">
        <v>6</v>
      </c>
      <c r="EJ133" s="2">
        <v>1</v>
      </c>
      <c r="EK133" s="2">
        <v>501</v>
      </c>
      <c r="EL133" s="2" t="s">
        <v>51</v>
      </c>
      <c r="EM133" s="2" t="s">
        <v>52</v>
      </c>
      <c r="EN133" s="2"/>
      <c r="EO133" s="2" t="s">
        <v>29</v>
      </c>
      <c r="EP133" s="2"/>
      <c r="EQ133" s="2">
        <v>2097152</v>
      </c>
      <c r="ER133" s="2">
        <v>5443.87</v>
      </c>
      <c r="ES133" s="2">
        <v>4763.6099999999997</v>
      </c>
      <c r="ET133" s="2">
        <v>65.97</v>
      </c>
      <c r="EU133" s="2">
        <v>6.26</v>
      </c>
      <c r="EV133" s="2">
        <v>614.29</v>
      </c>
      <c r="EW133" s="2">
        <v>51.533999999999999</v>
      </c>
      <c r="EX133" s="2">
        <v>0.46</v>
      </c>
      <c r="EY133" s="2">
        <v>1</v>
      </c>
      <c r="EZ133" s="2"/>
      <c r="FA133" s="2"/>
      <c r="FB133" s="2"/>
      <c r="FC133" s="2"/>
      <c r="FD133" s="2"/>
      <c r="FE133" s="2"/>
      <c r="FF133" s="2"/>
      <c r="FG133" s="2"/>
      <c r="FH133" s="2"/>
      <c r="FI133" s="2"/>
      <c r="FJ133" s="2"/>
      <c r="FK133" s="2"/>
      <c r="FL133" s="2"/>
      <c r="FM133" s="2"/>
      <c r="FN133" s="2"/>
      <c r="FO133" s="2"/>
      <c r="FP133" s="2"/>
      <c r="FQ133" s="2">
        <v>0</v>
      </c>
      <c r="FR133" s="2">
        <f t="shared" si="133"/>
        <v>0</v>
      </c>
      <c r="FS133" s="2">
        <v>0</v>
      </c>
      <c r="FT133" s="2"/>
      <c r="FU133" s="2"/>
      <c r="FV133" s="2"/>
      <c r="FW133" s="2"/>
      <c r="FX133" s="2">
        <v>66</v>
      </c>
      <c r="FY133" s="2">
        <v>60</v>
      </c>
      <c r="FZ133" s="2"/>
      <c r="GA133" s="2" t="s">
        <v>6</v>
      </c>
      <c r="GB133" s="2"/>
      <c r="GC133" s="2"/>
      <c r="GD133" s="2">
        <v>1</v>
      </c>
      <c r="GE133" s="2"/>
      <c r="GF133" s="2">
        <v>-1867636378</v>
      </c>
      <c r="GG133" s="2">
        <v>2</v>
      </c>
      <c r="GH133" s="2">
        <v>1</v>
      </c>
      <c r="GI133" s="2">
        <v>-2</v>
      </c>
      <c r="GJ133" s="2">
        <v>0</v>
      </c>
      <c r="GK133" s="2">
        <v>0</v>
      </c>
      <c r="GL133" s="2">
        <f t="shared" si="134"/>
        <v>0</v>
      </c>
      <c r="GM133" s="2">
        <f t="shared" si="135"/>
        <v>1018</v>
      </c>
      <c r="GN133" s="2">
        <f t="shared" si="136"/>
        <v>1018</v>
      </c>
      <c r="GO133" s="2">
        <f t="shared" si="137"/>
        <v>0</v>
      </c>
      <c r="GP133" s="2">
        <f t="shared" si="138"/>
        <v>0</v>
      </c>
      <c r="GQ133" s="2"/>
      <c r="GR133" s="2">
        <v>0</v>
      </c>
      <c r="GS133" s="2">
        <v>3</v>
      </c>
      <c r="GT133" s="2">
        <v>0</v>
      </c>
      <c r="GU133" s="2" t="s">
        <v>6</v>
      </c>
      <c r="GV133" s="2">
        <f t="shared" si="139"/>
        <v>0</v>
      </c>
      <c r="GW133" s="2">
        <v>1</v>
      </c>
      <c r="GX133" s="2">
        <f t="shared" si="140"/>
        <v>0</v>
      </c>
      <c r="GY133" s="2"/>
      <c r="GZ133" s="2"/>
      <c r="HA133" s="2">
        <v>0</v>
      </c>
      <c r="HB133" s="2">
        <v>0</v>
      </c>
      <c r="HC133" s="2">
        <f t="shared" si="141"/>
        <v>0</v>
      </c>
      <c r="HD133" s="2"/>
      <c r="HE133" s="2" t="s">
        <v>6</v>
      </c>
      <c r="HF133" s="2" t="s">
        <v>6</v>
      </c>
      <c r="HG133" s="2"/>
      <c r="HH133" s="2"/>
      <c r="HI133" s="2"/>
      <c r="HJ133" s="2"/>
      <c r="HK133" s="2"/>
      <c r="HL133" s="2"/>
      <c r="HM133" s="2" t="s">
        <v>6</v>
      </c>
      <c r="HN133" s="2" t="s">
        <v>6</v>
      </c>
      <c r="HO133" s="2" t="s">
        <v>6</v>
      </c>
      <c r="HP133" s="2" t="s">
        <v>6</v>
      </c>
      <c r="HQ133" s="2" t="s">
        <v>6</v>
      </c>
      <c r="HR133" s="2"/>
      <c r="HS133" s="2"/>
      <c r="HT133" s="2"/>
      <c r="HU133" s="2"/>
      <c r="HV133" s="2"/>
      <c r="HW133" s="2"/>
      <c r="HX133" s="2"/>
      <c r="HY133" s="2"/>
      <c r="HZ133" s="2"/>
      <c r="IA133" s="2"/>
      <c r="IB133" s="2"/>
      <c r="IC133" s="2"/>
      <c r="ID133" s="2"/>
      <c r="IE133" s="2"/>
      <c r="IF133" s="2">
        <v>-1</v>
      </c>
      <c r="IG133" s="2"/>
      <c r="IH133" s="2"/>
      <c r="II133" s="2"/>
      <c r="IJ133" s="2"/>
      <c r="IK133" s="2">
        <v>0</v>
      </c>
      <c r="IL133" s="2"/>
      <c r="IM133" s="2"/>
      <c r="IN133" s="2"/>
      <c r="IO133" s="2"/>
      <c r="IP133" s="2"/>
      <c r="IQ133" s="2"/>
      <c r="IR133" s="2"/>
      <c r="IS133" s="2"/>
      <c r="IT133" s="2"/>
      <c r="IU133" s="2"/>
    </row>
    <row r="134" spans="1:255" x14ac:dyDescent="0.2">
      <c r="A134">
        <v>17</v>
      </c>
      <c r="B134">
        <v>1</v>
      </c>
      <c r="C134">
        <f>ROW(SmtRes!A138)</f>
        <v>138</v>
      </c>
      <c r="D134">
        <f>ROW(EtalonRes!A118)</f>
        <v>118</v>
      </c>
      <c r="E134" t="s">
        <v>221</v>
      </c>
      <c r="F134" t="s">
        <v>222</v>
      </c>
      <c r="G134" t="s">
        <v>223</v>
      </c>
      <c r="H134" t="s">
        <v>49</v>
      </c>
      <c r="I134">
        <f>'2.Лок.смета.и.Акт'!E34</f>
        <v>0.66100000000000003</v>
      </c>
      <c r="J134">
        <v>0</v>
      </c>
      <c r="K134">
        <v>2.6440000000000001</v>
      </c>
      <c r="O134">
        <f t="shared" si="110"/>
        <v>11195</v>
      </c>
      <c r="P134">
        <f t="shared" si="111"/>
        <v>0</v>
      </c>
      <c r="Q134">
        <f t="shared" si="112"/>
        <v>383</v>
      </c>
      <c r="R134">
        <f t="shared" si="113"/>
        <v>92</v>
      </c>
      <c r="S134">
        <f t="shared" si="114"/>
        <v>10812</v>
      </c>
      <c r="T134">
        <f t="shared" si="115"/>
        <v>0</v>
      </c>
      <c r="U134" t="e">
        <f t="shared" si="116"/>
        <v>#REF!</v>
      </c>
      <c r="V134">
        <f t="shared" si="117"/>
        <v>0.34054720000000011</v>
      </c>
      <c r="W134">
        <f t="shared" si="118"/>
        <v>0</v>
      </c>
      <c r="X134" t="e">
        <f t="shared" si="119"/>
        <v>#REF!</v>
      </c>
      <c r="Y134" t="e">
        <f t="shared" si="120"/>
        <v>#REF!</v>
      </c>
      <c r="AA134">
        <v>86326988</v>
      </c>
      <c r="AB134">
        <f t="shared" si="121"/>
        <v>718.89</v>
      </c>
      <c r="AC134">
        <f>ROUND((ES134+(SUM(SmtRes!BC133:'SmtRes'!BC138)+SUM(EtalonRes!AL112:'EtalonRes'!AL118))),2)</f>
        <v>0</v>
      </c>
      <c r="AD134">
        <f>ROUND(((ET134*1.12)),2)</f>
        <v>73.89</v>
      </c>
      <c r="AE134">
        <f>ROUND(((EU134*1.12)),2)</f>
        <v>7.01</v>
      </c>
      <c r="AF134">
        <f>ROUND(((EV134*1.05)),2)</f>
        <v>645</v>
      </c>
      <c r="AG134">
        <f t="shared" si="122"/>
        <v>0</v>
      </c>
      <c r="AH134" t="e">
        <f>((EW134*1.05))</f>
        <v>#REF!</v>
      </c>
      <c r="AI134">
        <f>((EX134*1.12))</f>
        <v>0.5152000000000001</v>
      </c>
      <c r="AJ134">
        <f t="shared" si="123"/>
        <v>0</v>
      </c>
      <c r="AK134">
        <f>AL134+AM134+AO134</f>
        <v>5443.87</v>
      </c>
      <c r="AL134">
        <v>4763.6099999999997</v>
      </c>
      <c r="AM134" s="75">
        <f>'1.Лок.смета.и.Акт'!F248</f>
        <v>65.97</v>
      </c>
      <c r="AN134" s="75">
        <f>'1.Лок.смета.и.Акт'!F249</f>
        <v>6.26</v>
      </c>
      <c r="AO134" s="75">
        <f>'1.Лок.смета.и.Акт'!F247</f>
        <v>614.29</v>
      </c>
      <c r="AP134">
        <v>0</v>
      </c>
      <c r="AQ134" t="e">
        <f>'2.Лок.смета.и.Акт'!#REF!</f>
        <v>#REF!</v>
      </c>
      <c r="AR134">
        <v>0.46</v>
      </c>
      <c r="AS134">
        <v>0</v>
      </c>
      <c r="AT134">
        <v>63</v>
      </c>
      <c r="AU134">
        <v>51</v>
      </c>
      <c r="AV134">
        <v>1</v>
      </c>
      <c r="AW134">
        <v>1</v>
      </c>
      <c r="AZ134">
        <v>1</v>
      </c>
      <c r="BA134">
        <f>'1.Лок.смета.и.Акт'!J247</f>
        <v>25.36</v>
      </c>
      <c r="BB134">
        <f>'1.Лок.смета.и.Акт'!J248</f>
        <v>7.84</v>
      </c>
      <c r="BC134">
        <v>7.56</v>
      </c>
      <c r="BD134" t="s">
        <v>6</v>
      </c>
      <c r="BE134" t="s">
        <v>6</v>
      </c>
      <c r="BF134" t="s">
        <v>6</v>
      </c>
      <c r="BG134" t="s">
        <v>6</v>
      </c>
      <c r="BH134">
        <v>0</v>
      </c>
      <c r="BI134">
        <v>1</v>
      </c>
      <c r="BJ134" t="s">
        <v>224</v>
      </c>
      <c r="BM134">
        <v>501</v>
      </c>
      <c r="BN134">
        <v>0</v>
      </c>
      <c r="BO134" t="s">
        <v>222</v>
      </c>
      <c r="BP134">
        <v>1</v>
      </c>
      <c r="BQ134">
        <v>1</v>
      </c>
      <c r="BR134">
        <v>0</v>
      </c>
      <c r="BS134">
        <f>'1.Лок.смета.и.Акт'!J249</f>
        <v>19.8</v>
      </c>
      <c r="BT134">
        <v>1</v>
      </c>
      <c r="BU134">
        <v>1</v>
      </c>
      <c r="BV134">
        <v>1</v>
      </c>
      <c r="BW134">
        <v>1</v>
      </c>
      <c r="BX134">
        <v>1</v>
      </c>
      <c r="BY134" t="s">
        <v>6</v>
      </c>
      <c r="BZ134" t="e">
        <f>'2.Лок.смета.и.Акт'!#REF!</f>
        <v>#REF!</v>
      </c>
      <c r="CA134" t="e">
        <f>'2.Лок.смета.и.Акт'!#REF!</f>
        <v>#REF!</v>
      </c>
      <c r="CB134" t="s">
        <v>6</v>
      </c>
      <c r="CE134">
        <v>0</v>
      </c>
      <c r="CF134">
        <v>0</v>
      </c>
      <c r="CG134">
        <v>0</v>
      </c>
      <c r="CM134">
        <v>0</v>
      </c>
      <c r="CN134" t="s">
        <v>23</v>
      </c>
      <c r="CO134">
        <v>0</v>
      </c>
      <c r="CP134">
        <f t="shared" si="124"/>
        <v>11195</v>
      </c>
      <c r="CQ134">
        <f t="shared" si="125"/>
        <v>0</v>
      </c>
      <c r="CR134">
        <f t="shared" si="126"/>
        <v>579.29759999999999</v>
      </c>
      <c r="CS134">
        <f t="shared" si="127"/>
        <v>138.798</v>
      </c>
      <c r="CT134">
        <f t="shared" si="128"/>
        <v>16357.199999999999</v>
      </c>
      <c r="CU134">
        <f t="shared" si="129"/>
        <v>0</v>
      </c>
      <c r="CV134" t="e">
        <f t="shared" si="130"/>
        <v>#REF!</v>
      </c>
      <c r="CW134">
        <f t="shared" si="131"/>
        <v>0.5152000000000001</v>
      </c>
      <c r="CX134">
        <f t="shared" si="132"/>
        <v>0</v>
      </c>
      <c r="CY134" t="e">
        <f>(S134+R134)*(BZ134/100)</f>
        <v>#REF!</v>
      </c>
      <c r="CZ134" t="e">
        <f>(S134+R134)*(CA134/100)</f>
        <v>#REF!</v>
      </c>
      <c r="DC134" t="s">
        <v>6</v>
      </c>
      <c r="DD134" t="s">
        <v>6</v>
      </c>
      <c r="DE134" t="s">
        <v>24</v>
      </c>
      <c r="DF134" t="s">
        <v>24</v>
      </c>
      <c r="DG134" t="s">
        <v>25</v>
      </c>
      <c r="DH134" t="s">
        <v>6</v>
      </c>
      <c r="DI134" t="s">
        <v>25</v>
      </c>
      <c r="DJ134" t="s">
        <v>24</v>
      </c>
      <c r="DK134" t="s">
        <v>6</v>
      </c>
      <c r="DL134" t="s">
        <v>6</v>
      </c>
      <c r="DM134" t="s">
        <v>6</v>
      </c>
      <c r="DN134">
        <f>'1.Лок.смета.и.Акт'!E250</f>
        <v>66</v>
      </c>
      <c r="DO134">
        <f>'1.Лок.смета.и.Акт'!E251</f>
        <v>60</v>
      </c>
      <c r="DP134">
        <v>1</v>
      </c>
      <c r="DQ134">
        <v>1</v>
      </c>
      <c r="DU134">
        <v>1013</v>
      </c>
      <c r="DV134" t="s">
        <v>49</v>
      </c>
      <c r="DW134" t="str">
        <f>'2.Лок.смета.и.Акт'!D34</f>
        <v>1 т арматуры, закладных деталей</v>
      </c>
      <c r="DX134">
        <v>1</v>
      </c>
      <c r="DZ134" t="s">
        <v>6</v>
      </c>
      <c r="EA134" t="s">
        <v>6</v>
      </c>
      <c r="EB134" t="s">
        <v>6</v>
      </c>
      <c r="EC134" t="s">
        <v>6</v>
      </c>
      <c r="EE134">
        <v>54938567</v>
      </c>
      <c r="EF134">
        <v>1</v>
      </c>
      <c r="EG134" t="s">
        <v>26</v>
      </c>
      <c r="EH134">
        <v>0</v>
      </c>
      <c r="EI134" t="s">
        <v>6</v>
      </c>
      <c r="EJ134">
        <v>1</v>
      </c>
      <c r="EK134">
        <v>501</v>
      </c>
      <c r="EL134" t="s">
        <v>51</v>
      </c>
      <c r="EM134" t="s">
        <v>52</v>
      </c>
      <c r="EO134" t="s">
        <v>29</v>
      </c>
      <c r="EQ134">
        <v>2097152</v>
      </c>
      <c r="ER134">
        <f>ES134+ET134+EV134</f>
        <v>5443.87</v>
      </c>
      <c r="ES134">
        <v>4763.6099999999997</v>
      </c>
      <c r="ET134" s="75">
        <f>'1.Лок.смета.и.Акт'!F248</f>
        <v>65.97</v>
      </c>
      <c r="EU134" s="75">
        <f>'1.Лок.смета.и.Акт'!F249</f>
        <v>6.26</v>
      </c>
      <c r="EV134" s="75">
        <f>'1.Лок.смета.и.Акт'!F247</f>
        <v>614.29</v>
      </c>
      <c r="EW134" t="e">
        <f>'2.Лок.смета.и.Акт'!#REF!</f>
        <v>#REF!</v>
      </c>
      <c r="EX134">
        <v>0.46</v>
      </c>
      <c r="EY134">
        <v>1</v>
      </c>
      <c r="FQ134">
        <v>0</v>
      </c>
      <c r="FR134">
        <f t="shared" si="133"/>
        <v>0</v>
      </c>
      <c r="FS134">
        <v>0</v>
      </c>
      <c r="FX134">
        <v>66</v>
      </c>
      <c r="FY134">
        <v>60</v>
      </c>
      <c r="GA134" t="s">
        <v>6</v>
      </c>
      <c r="GD134">
        <v>1</v>
      </c>
      <c r="GF134">
        <v>-1867636378</v>
      </c>
      <c r="GG134">
        <v>2</v>
      </c>
      <c r="GH134">
        <v>1</v>
      </c>
      <c r="GI134">
        <v>2</v>
      </c>
      <c r="GJ134">
        <v>0</v>
      </c>
      <c r="GK134">
        <v>0</v>
      </c>
      <c r="GL134">
        <f t="shared" si="134"/>
        <v>0</v>
      </c>
      <c r="GM134" t="e">
        <f t="shared" si="135"/>
        <v>#REF!</v>
      </c>
      <c r="GN134" t="e">
        <f t="shared" si="136"/>
        <v>#REF!</v>
      </c>
      <c r="GO134">
        <f t="shared" si="137"/>
        <v>0</v>
      </c>
      <c r="GP134">
        <f t="shared" si="138"/>
        <v>0</v>
      </c>
      <c r="GR134">
        <v>0</v>
      </c>
      <c r="GS134">
        <v>3</v>
      </c>
      <c r="GT134">
        <v>0</v>
      </c>
      <c r="GU134" t="s">
        <v>6</v>
      </c>
      <c r="GV134">
        <f t="shared" si="139"/>
        <v>0</v>
      </c>
      <c r="GW134">
        <v>1015.2</v>
      </c>
      <c r="GX134">
        <f t="shared" si="140"/>
        <v>0</v>
      </c>
      <c r="HA134">
        <v>0</v>
      </c>
      <c r="HB134">
        <v>0</v>
      </c>
      <c r="HC134">
        <f t="shared" si="141"/>
        <v>0</v>
      </c>
      <c r="HE134" t="s">
        <v>6</v>
      </c>
      <c r="HF134" t="s">
        <v>6</v>
      </c>
      <c r="HM134" t="s">
        <v>6</v>
      </c>
      <c r="HN134" t="s">
        <v>6</v>
      </c>
      <c r="HO134" t="s">
        <v>6</v>
      </c>
      <c r="HP134" t="s">
        <v>6</v>
      </c>
      <c r="HQ134" t="s">
        <v>6</v>
      </c>
      <c r="IF134">
        <v>-1</v>
      </c>
      <c r="IK134">
        <v>0</v>
      </c>
    </row>
    <row r="135" spans="1:255" x14ac:dyDescent="0.2">
      <c r="A135" s="2">
        <v>18</v>
      </c>
      <c r="B135" s="2">
        <v>1</v>
      </c>
      <c r="C135" s="2">
        <v>132</v>
      </c>
      <c r="D135" s="2"/>
      <c r="E135" s="2" t="s">
        <v>225</v>
      </c>
      <c r="F135" s="2" t="s">
        <v>226</v>
      </c>
      <c r="G135" s="2" t="s">
        <v>227</v>
      </c>
      <c r="H135" s="2" t="s">
        <v>33</v>
      </c>
      <c r="I135" s="2">
        <f>I133*J135</f>
        <v>0.66100000000000003</v>
      </c>
      <c r="J135" s="226">
        <f>'5.Ведомость_списания'!F62</f>
        <v>1</v>
      </c>
      <c r="K135" s="2">
        <v>1</v>
      </c>
      <c r="L135" s="2"/>
      <c r="M135" s="2"/>
      <c r="N135" s="2"/>
      <c r="O135" s="2">
        <f t="shared" si="110"/>
        <v>3393</v>
      </c>
      <c r="P135" s="2">
        <f t="shared" si="111"/>
        <v>3393</v>
      </c>
      <c r="Q135" s="2">
        <f t="shared" si="112"/>
        <v>0</v>
      </c>
      <c r="R135" s="2">
        <f t="shared" si="113"/>
        <v>0</v>
      </c>
      <c r="S135" s="2">
        <f t="shared" si="114"/>
        <v>0</v>
      </c>
      <c r="T135" s="2">
        <f t="shared" si="115"/>
        <v>0</v>
      </c>
      <c r="U135" s="2">
        <f t="shared" si="116"/>
        <v>0</v>
      </c>
      <c r="V135" s="2">
        <f t="shared" si="117"/>
        <v>0</v>
      </c>
      <c r="W135" s="2">
        <f t="shared" si="118"/>
        <v>0</v>
      </c>
      <c r="X135" s="2">
        <f t="shared" si="119"/>
        <v>0</v>
      </c>
      <c r="Y135" s="2">
        <f t="shared" si="120"/>
        <v>0</v>
      </c>
      <c r="Z135" s="2"/>
      <c r="AA135" s="2">
        <v>86326987</v>
      </c>
      <c r="AB135" s="2">
        <f t="shared" si="121"/>
        <v>5132.8999999999996</v>
      </c>
      <c r="AC135" s="2">
        <f>ROUND((ES135),2)</f>
        <v>5132.8999999999996</v>
      </c>
      <c r="AD135" s="2">
        <f>ROUND((((ET135)-(EU135))+AE135),2)</f>
        <v>0</v>
      </c>
      <c r="AE135" s="2">
        <f>ROUND((EU135),2)</f>
        <v>0</v>
      </c>
      <c r="AF135" s="2">
        <f>ROUND((EV135),2)</f>
        <v>0</v>
      </c>
      <c r="AG135" s="2">
        <f t="shared" si="122"/>
        <v>0</v>
      </c>
      <c r="AH135" s="2">
        <f>(EW135)</f>
        <v>0</v>
      </c>
      <c r="AI135" s="2">
        <f>(EX135)</f>
        <v>0</v>
      </c>
      <c r="AJ135" s="2">
        <f t="shared" si="123"/>
        <v>0</v>
      </c>
      <c r="AK135" s="2">
        <v>5132.8999999999996</v>
      </c>
      <c r="AL135" s="110">
        <f>'1.Лок.смета.и.Акт'!F253</f>
        <v>5132.8999999999996</v>
      </c>
      <c r="AM135" s="2">
        <v>0</v>
      </c>
      <c r="AN135" s="2">
        <v>0</v>
      </c>
      <c r="AO135" s="2">
        <v>0</v>
      </c>
      <c r="AP135" s="2">
        <v>0</v>
      </c>
      <c r="AQ135" s="2">
        <v>0</v>
      </c>
      <c r="AR135" s="2">
        <v>0</v>
      </c>
      <c r="AS135" s="2">
        <v>0</v>
      </c>
      <c r="AT135" s="2">
        <v>0</v>
      </c>
      <c r="AU135" s="2">
        <v>0</v>
      </c>
      <c r="AV135" s="2">
        <v>1</v>
      </c>
      <c r="AW135" s="2">
        <v>1</v>
      </c>
      <c r="AX135" s="2"/>
      <c r="AY135" s="2"/>
      <c r="AZ135" s="2">
        <v>1</v>
      </c>
      <c r="BA135" s="2">
        <v>1</v>
      </c>
      <c r="BB135" s="2">
        <v>1</v>
      </c>
      <c r="BC135" s="2">
        <v>1</v>
      </c>
      <c r="BD135" s="2" t="s">
        <v>6</v>
      </c>
      <c r="BE135" s="2" t="s">
        <v>6</v>
      </c>
      <c r="BF135" s="2" t="s">
        <v>6</v>
      </c>
      <c r="BG135" s="2" t="s">
        <v>6</v>
      </c>
      <c r="BH135" s="2">
        <v>3</v>
      </c>
      <c r="BI135" s="2">
        <v>1</v>
      </c>
      <c r="BJ135" s="2" t="s">
        <v>228</v>
      </c>
      <c r="BK135" s="2"/>
      <c r="BL135" s="2"/>
      <c r="BM135" s="2">
        <v>500003</v>
      </c>
      <c r="BN135" s="2">
        <v>0</v>
      </c>
      <c r="BO135" s="2" t="s">
        <v>6</v>
      </c>
      <c r="BP135" s="2">
        <v>0</v>
      </c>
      <c r="BQ135" s="2">
        <v>22</v>
      </c>
      <c r="BR135" s="2">
        <v>0</v>
      </c>
      <c r="BS135" s="2">
        <v>1</v>
      </c>
      <c r="BT135" s="2">
        <v>1</v>
      </c>
      <c r="BU135" s="2">
        <v>1</v>
      </c>
      <c r="BV135" s="2">
        <v>1</v>
      </c>
      <c r="BW135" s="2">
        <v>1</v>
      </c>
      <c r="BX135" s="2">
        <v>1</v>
      </c>
      <c r="BY135" s="2" t="s">
        <v>6</v>
      </c>
      <c r="BZ135" s="2">
        <v>0</v>
      </c>
      <c r="CA135" s="2">
        <v>0</v>
      </c>
      <c r="CB135" s="2" t="s">
        <v>6</v>
      </c>
      <c r="CC135" s="2"/>
      <c r="CD135" s="2"/>
      <c r="CE135" s="2">
        <v>0</v>
      </c>
      <c r="CF135" s="2">
        <v>0</v>
      </c>
      <c r="CG135" s="2">
        <v>0</v>
      </c>
      <c r="CH135" s="2"/>
      <c r="CI135" s="2"/>
      <c r="CJ135" s="2"/>
      <c r="CK135" s="2"/>
      <c r="CL135" s="2"/>
      <c r="CM135" s="2">
        <v>0</v>
      </c>
      <c r="CN135" s="2" t="s">
        <v>6</v>
      </c>
      <c r="CO135" s="2">
        <v>0</v>
      </c>
      <c r="CP135" s="2">
        <f t="shared" si="124"/>
        <v>3393</v>
      </c>
      <c r="CQ135" s="2">
        <f t="shared" si="125"/>
        <v>5132.8999999999996</v>
      </c>
      <c r="CR135" s="2">
        <f t="shared" si="126"/>
        <v>0</v>
      </c>
      <c r="CS135" s="2">
        <f t="shared" si="127"/>
        <v>0</v>
      </c>
      <c r="CT135" s="2">
        <f t="shared" si="128"/>
        <v>0</v>
      </c>
      <c r="CU135" s="2">
        <f t="shared" si="129"/>
        <v>0</v>
      </c>
      <c r="CV135" s="2">
        <f t="shared" si="130"/>
        <v>0</v>
      </c>
      <c r="CW135" s="2">
        <f t="shared" si="131"/>
        <v>0</v>
      </c>
      <c r="CX135" s="2">
        <f t="shared" si="132"/>
        <v>0</v>
      </c>
      <c r="CY135" s="2">
        <f>(((S135+(R135*IF(0,0,1)))*AT135)/100)</f>
        <v>0</v>
      </c>
      <c r="CZ135" s="2">
        <f>(((S135+(R135*IF(0,0,1)))*AU135)/100)</f>
        <v>0</v>
      </c>
      <c r="DA135" s="2"/>
      <c r="DB135" s="2"/>
      <c r="DC135" s="2" t="s">
        <v>6</v>
      </c>
      <c r="DD135" s="2" t="s">
        <v>6</v>
      </c>
      <c r="DE135" s="2" t="s">
        <v>6</v>
      </c>
      <c r="DF135" s="2" t="s">
        <v>6</v>
      </c>
      <c r="DG135" s="2" t="s">
        <v>6</v>
      </c>
      <c r="DH135" s="2" t="s">
        <v>6</v>
      </c>
      <c r="DI135" s="2" t="s">
        <v>6</v>
      </c>
      <c r="DJ135" s="2" t="s">
        <v>6</v>
      </c>
      <c r="DK135" s="2" t="s">
        <v>6</v>
      </c>
      <c r="DL135" s="2" t="s">
        <v>6</v>
      </c>
      <c r="DM135" s="2" t="s">
        <v>6</v>
      </c>
      <c r="DN135" s="2">
        <v>0</v>
      </c>
      <c r="DO135" s="2">
        <v>0</v>
      </c>
      <c r="DP135" s="2">
        <v>1</v>
      </c>
      <c r="DQ135" s="2">
        <v>1</v>
      </c>
      <c r="DR135" s="2"/>
      <c r="DS135" s="2"/>
      <c r="DT135" s="2"/>
      <c r="DU135" s="2">
        <v>1009</v>
      </c>
      <c r="DV135" s="2" t="s">
        <v>33</v>
      </c>
      <c r="DW135" s="2" t="s">
        <v>33</v>
      </c>
      <c r="DX135" s="2">
        <v>1000</v>
      </c>
      <c r="DY135" s="2"/>
      <c r="DZ135" s="2" t="s">
        <v>6</v>
      </c>
      <c r="EA135" s="2" t="s">
        <v>6</v>
      </c>
      <c r="EB135" s="2" t="s">
        <v>6</v>
      </c>
      <c r="EC135" s="2" t="s">
        <v>6</v>
      </c>
      <c r="ED135" s="2"/>
      <c r="EE135" s="2">
        <v>54938783</v>
      </c>
      <c r="EF135" s="2">
        <v>22</v>
      </c>
      <c r="EG135" s="2" t="s">
        <v>57</v>
      </c>
      <c r="EH135" s="2">
        <v>0</v>
      </c>
      <c r="EI135" s="2" t="s">
        <v>6</v>
      </c>
      <c r="EJ135" s="2">
        <v>1</v>
      </c>
      <c r="EK135" s="2">
        <v>500003</v>
      </c>
      <c r="EL135" s="2" t="s">
        <v>58</v>
      </c>
      <c r="EM135" s="2" t="s">
        <v>59</v>
      </c>
      <c r="EN135" s="2"/>
      <c r="EO135" s="2" t="s">
        <v>6</v>
      </c>
      <c r="EP135" s="2"/>
      <c r="EQ135" s="2">
        <v>0</v>
      </c>
      <c r="ER135" s="2">
        <v>5132.8999999999996</v>
      </c>
      <c r="ES135" s="110">
        <f>'1.Лок.смета.и.Акт'!F253</f>
        <v>5132.8999999999996</v>
      </c>
      <c r="ET135" s="2">
        <v>0</v>
      </c>
      <c r="EU135" s="2">
        <v>0</v>
      </c>
      <c r="EV135" s="2">
        <v>0</v>
      </c>
      <c r="EW135" s="2">
        <v>0</v>
      </c>
      <c r="EX135" s="2">
        <v>0</v>
      </c>
      <c r="EY135" s="2"/>
      <c r="EZ135" s="2"/>
      <c r="FA135" s="2"/>
      <c r="FB135" s="2"/>
      <c r="FC135" s="2"/>
      <c r="FD135" s="2"/>
      <c r="FE135" s="2"/>
      <c r="FF135" s="2"/>
      <c r="FG135" s="2"/>
      <c r="FH135" s="2"/>
      <c r="FI135" s="2"/>
      <c r="FJ135" s="2"/>
      <c r="FK135" s="2"/>
      <c r="FL135" s="2"/>
      <c r="FM135" s="2"/>
      <c r="FN135" s="2"/>
      <c r="FO135" s="2"/>
      <c r="FP135" s="2"/>
      <c r="FQ135" s="2">
        <v>0</v>
      </c>
      <c r="FR135" s="2">
        <f t="shared" si="133"/>
        <v>0</v>
      </c>
      <c r="FS135" s="2">
        <v>0</v>
      </c>
      <c r="FT135" s="2"/>
      <c r="FU135" s="2"/>
      <c r="FV135" s="2"/>
      <c r="FW135" s="2"/>
      <c r="FX135" s="2">
        <v>0</v>
      </c>
      <c r="FY135" s="2">
        <v>0</v>
      </c>
      <c r="FZ135" s="2"/>
      <c r="GA135" s="2" t="s">
        <v>6</v>
      </c>
      <c r="GB135" s="2"/>
      <c r="GC135" s="2"/>
      <c r="GD135" s="2">
        <v>1</v>
      </c>
      <c r="GE135" s="2"/>
      <c r="GF135" s="2">
        <v>-1683247353</v>
      </c>
      <c r="GG135" s="2">
        <v>2</v>
      </c>
      <c r="GH135" s="2">
        <v>1</v>
      </c>
      <c r="GI135" s="2">
        <v>-2</v>
      </c>
      <c r="GJ135" s="2">
        <v>0</v>
      </c>
      <c r="GK135" s="2">
        <v>0</v>
      </c>
      <c r="GL135" s="2">
        <f t="shared" si="134"/>
        <v>0</v>
      </c>
      <c r="GM135" s="2">
        <f t="shared" si="135"/>
        <v>3393</v>
      </c>
      <c r="GN135" s="2">
        <f t="shared" si="136"/>
        <v>3393</v>
      </c>
      <c r="GO135" s="2">
        <f t="shared" si="137"/>
        <v>0</v>
      </c>
      <c r="GP135" s="2">
        <f t="shared" si="138"/>
        <v>0</v>
      </c>
      <c r="GQ135" s="2"/>
      <c r="GR135" s="2">
        <v>0</v>
      </c>
      <c r="GS135" s="2">
        <v>3</v>
      </c>
      <c r="GT135" s="2">
        <v>0</v>
      </c>
      <c r="GU135" s="2" t="s">
        <v>6</v>
      </c>
      <c r="GV135" s="2">
        <f t="shared" si="139"/>
        <v>0</v>
      </c>
      <c r="GW135" s="2">
        <v>1</v>
      </c>
      <c r="GX135" s="2">
        <f t="shared" si="140"/>
        <v>0</v>
      </c>
      <c r="GY135" s="2"/>
      <c r="GZ135" s="2"/>
      <c r="HA135" s="2">
        <v>0</v>
      </c>
      <c r="HB135" s="2">
        <v>0</v>
      </c>
      <c r="HC135" s="2">
        <f t="shared" si="141"/>
        <v>0</v>
      </c>
      <c r="HD135" s="2"/>
      <c r="HE135" s="2" t="s">
        <v>6</v>
      </c>
      <c r="HF135" s="2" t="s">
        <v>6</v>
      </c>
      <c r="HG135" s="2"/>
      <c r="HH135" s="2"/>
      <c r="HI135" s="2"/>
      <c r="HJ135" s="2"/>
      <c r="HK135" s="2"/>
      <c r="HL135" s="2"/>
      <c r="HM135" s="2" t="s">
        <v>6</v>
      </c>
      <c r="HN135" s="2" t="s">
        <v>6</v>
      </c>
      <c r="HO135" s="2" t="s">
        <v>6</v>
      </c>
      <c r="HP135" s="2" t="s">
        <v>6</v>
      </c>
      <c r="HQ135" s="2" t="s">
        <v>6</v>
      </c>
      <c r="HR135" s="2"/>
      <c r="HS135" s="2"/>
      <c r="HT135" s="2"/>
      <c r="HU135" s="2"/>
      <c r="HV135" s="2"/>
      <c r="HW135" s="2"/>
      <c r="HX135" s="2"/>
      <c r="HY135" s="2"/>
      <c r="HZ135" s="2"/>
      <c r="IA135" s="2"/>
      <c r="IB135" s="2"/>
      <c r="IC135" s="2"/>
      <c r="ID135" s="2"/>
      <c r="IE135" s="2"/>
      <c r="IF135" s="2">
        <v>-1</v>
      </c>
      <c r="IG135" s="2"/>
      <c r="IH135" s="2"/>
      <c r="II135" s="2"/>
      <c r="IJ135" s="2"/>
      <c r="IK135" s="2">
        <v>0</v>
      </c>
      <c r="IL135" s="2"/>
      <c r="IM135" s="2"/>
      <c r="IN135" s="2"/>
      <c r="IO135" s="2"/>
      <c r="IP135" s="2"/>
      <c r="IQ135" s="2"/>
      <c r="IR135" s="2"/>
      <c r="IS135" s="2"/>
      <c r="IT135" s="2"/>
      <c r="IU135" s="2"/>
    </row>
    <row r="136" spans="1:255" x14ac:dyDescent="0.2">
      <c r="A136">
        <v>18</v>
      </c>
      <c r="B136">
        <v>1</v>
      </c>
      <c r="C136">
        <v>138</v>
      </c>
      <c r="E136" t="s">
        <v>225</v>
      </c>
      <c r="F136" t="e">
        <f>'2.Лок.смета.и.Акт'!#REF!</f>
        <v>#REF!</v>
      </c>
      <c r="G136" t="s">
        <v>227</v>
      </c>
      <c r="H136" t="s">
        <v>33</v>
      </c>
      <c r="I136">
        <f>I134*J136</f>
        <v>0.66100000000000003</v>
      </c>
      <c r="J136">
        <v>1</v>
      </c>
      <c r="K136">
        <v>1</v>
      </c>
      <c r="O136">
        <f t="shared" si="110"/>
        <v>41130</v>
      </c>
      <c r="P136">
        <f t="shared" si="111"/>
        <v>41130</v>
      </c>
      <c r="Q136">
        <f t="shared" si="112"/>
        <v>0</v>
      </c>
      <c r="R136">
        <f t="shared" si="113"/>
        <v>0</v>
      </c>
      <c r="S136">
        <f t="shared" si="114"/>
        <v>0</v>
      </c>
      <c r="T136">
        <f t="shared" si="115"/>
        <v>0</v>
      </c>
      <c r="U136">
        <f t="shared" si="116"/>
        <v>0</v>
      </c>
      <c r="V136">
        <f t="shared" si="117"/>
        <v>0</v>
      </c>
      <c r="W136">
        <f t="shared" si="118"/>
        <v>0</v>
      </c>
      <c r="X136">
        <f t="shared" si="119"/>
        <v>0</v>
      </c>
      <c r="Y136">
        <f t="shared" si="120"/>
        <v>0</v>
      </c>
      <c r="AA136">
        <v>86326988</v>
      </c>
      <c r="AB136">
        <f t="shared" si="121"/>
        <v>8230.68</v>
      </c>
      <c r="AC136">
        <f>ROUND((ES136),2)</f>
        <v>8230.68</v>
      </c>
      <c r="AD136">
        <f>ROUND((((ET136)-(EU136))+AE136),2)</f>
        <v>0</v>
      </c>
      <c r="AE136">
        <f>ROUND((EU136),2)</f>
        <v>0</v>
      </c>
      <c r="AF136">
        <f>ROUND((EV136),2)</f>
        <v>0</v>
      </c>
      <c r="AG136">
        <f t="shared" si="122"/>
        <v>0</v>
      </c>
      <c r="AH136">
        <f>(EW136)</f>
        <v>0</v>
      </c>
      <c r="AI136">
        <f>(EX136)</f>
        <v>0</v>
      </c>
      <c r="AJ136">
        <f t="shared" si="123"/>
        <v>0</v>
      </c>
      <c r="AK136">
        <v>8230.68</v>
      </c>
      <c r="AL136">
        <v>8230.68</v>
      </c>
      <c r="AM136">
        <v>0</v>
      </c>
      <c r="AN136">
        <v>0</v>
      </c>
      <c r="AO136">
        <v>0</v>
      </c>
      <c r="AP136">
        <v>0</v>
      </c>
      <c r="AQ136">
        <v>0</v>
      </c>
      <c r="AR136">
        <v>0</v>
      </c>
      <c r="AS136">
        <v>0</v>
      </c>
      <c r="AT136">
        <v>0</v>
      </c>
      <c r="AU136">
        <v>0</v>
      </c>
      <c r="AV136">
        <v>1</v>
      </c>
      <c r="AW136">
        <v>1</v>
      </c>
      <c r="AZ136">
        <v>1</v>
      </c>
      <c r="BA136">
        <v>1</v>
      </c>
      <c r="BB136">
        <v>1</v>
      </c>
      <c r="BC136">
        <v>7.56</v>
      </c>
      <c r="BD136" t="s">
        <v>6</v>
      </c>
      <c r="BE136" t="s">
        <v>6</v>
      </c>
      <c r="BF136" t="s">
        <v>6</v>
      </c>
      <c r="BG136" t="s">
        <v>6</v>
      </c>
      <c r="BH136">
        <v>3</v>
      </c>
      <c r="BI136">
        <v>1</v>
      </c>
      <c r="BJ136" t="s">
        <v>228</v>
      </c>
      <c r="BM136">
        <v>500003</v>
      </c>
      <c r="BN136">
        <v>0</v>
      </c>
      <c r="BO136" t="s">
        <v>6</v>
      </c>
      <c r="BP136">
        <v>0</v>
      </c>
      <c r="BQ136">
        <v>22</v>
      </c>
      <c r="BR136">
        <v>0</v>
      </c>
      <c r="BS136">
        <v>1</v>
      </c>
      <c r="BT136">
        <v>1</v>
      </c>
      <c r="BU136">
        <v>1</v>
      </c>
      <c r="BV136">
        <v>1</v>
      </c>
      <c r="BW136">
        <v>1</v>
      </c>
      <c r="BX136">
        <v>1</v>
      </c>
      <c r="BY136" t="s">
        <v>6</v>
      </c>
      <c r="BZ136">
        <v>0</v>
      </c>
      <c r="CA136">
        <v>0</v>
      </c>
      <c r="CB136" t="s">
        <v>6</v>
      </c>
      <c r="CE136">
        <v>0</v>
      </c>
      <c r="CF136">
        <v>0</v>
      </c>
      <c r="CG136">
        <v>0</v>
      </c>
      <c r="CM136">
        <v>0</v>
      </c>
      <c r="CN136" t="s">
        <v>6</v>
      </c>
      <c r="CO136">
        <v>0</v>
      </c>
      <c r="CP136">
        <f t="shared" si="124"/>
        <v>41130</v>
      </c>
      <c r="CQ136">
        <f t="shared" si="125"/>
        <v>62223.940799999997</v>
      </c>
      <c r="CR136">
        <f t="shared" si="126"/>
        <v>0</v>
      </c>
      <c r="CS136">
        <f t="shared" si="127"/>
        <v>0</v>
      </c>
      <c r="CT136">
        <f t="shared" si="128"/>
        <v>0</v>
      </c>
      <c r="CU136">
        <f t="shared" si="129"/>
        <v>0</v>
      </c>
      <c r="CV136">
        <f t="shared" si="130"/>
        <v>0</v>
      </c>
      <c r="CW136">
        <f t="shared" si="131"/>
        <v>0</v>
      </c>
      <c r="CX136">
        <f t="shared" si="132"/>
        <v>0</v>
      </c>
      <c r="CY136">
        <f>(S136+R136)*(BZ136/100)</f>
        <v>0</v>
      </c>
      <c r="CZ136">
        <f>(S136+R136)*(CA136/100)</f>
        <v>0</v>
      </c>
      <c r="DC136" t="s">
        <v>6</v>
      </c>
      <c r="DD136" t="s">
        <v>6</v>
      </c>
      <c r="DE136" t="s">
        <v>6</v>
      </c>
      <c r="DF136" t="s">
        <v>6</v>
      </c>
      <c r="DG136" t="s">
        <v>6</v>
      </c>
      <c r="DH136" t="s">
        <v>6</v>
      </c>
      <c r="DI136" t="s">
        <v>6</v>
      </c>
      <c r="DJ136" t="s">
        <v>6</v>
      </c>
      <c r="DK136" t="s">
        <v>6</v>
      </c>
      <c r="DL136" t="s">
        <v>6</v>
      </c>
      <c r="DM136" t="s">
        <v>6</v>
      </c>
      <c r="DN136">
        <v>0</v>
      </c>
      <c r="DO136">
        <v>0</v>
      </c>
      <c r="DP136">
        <v>1</v>
      </c>
      <c r="DQ136">
        <v>1</v>
      </c>
      <c r="DU136">
        <v>1009</v>
      </c>
      <c r="DV136" t="s">
        <v>33</v>
      </c>
      <c r="DW136" t="e">
        <f>'2.Лок.смета.и.Акт'!#REF!</f>
        <v>#REF!</v>
      </c>
      <c r="DX136">
        <v>1000</v>
      </c>
      <c r="DZ136" t="s">
        <v>6</v>
      </c>
      <c r="EA136" t="s">
        <v>6</v>
      </c>
      <c r="EB136" t="s">
        <v>6</v>
      </c>
      <c r="EC136" t="s">
        <v>6</v>
      </c>
      <c r="EE136">
        <v>54938783</v>
      </c>
      <c r="EF136">
        <v>22</v>
      </c>
      <c r="EG136" t="s">
        <v>57</v>
      </c>
      <c r="EH136">
        <v>0</v>
      </c>
      <c r="EI136" t="s">
        <v>6</v>
      </c>
      <c r="EJ136">
        <v>1</v>
      </c>
      <c r="EK136">
        <v>500003</v>
      </c>
      <c r="EL136" t="s">
        <v>58</v>
      </c>
      <c r="EM136" t="s">
        <v>59</v>
      </c>
      <c r="EO136" t="s">
        <v>6</v>
      </c>
      <c r="EQ136">
        <v>0</v>
      </c>
      <c r="ER136">
        <v>59385.33</v>
      </c>
      <c r="ES136">
        <v>8230.68</v>
      </c>
      <c r="ET136">
        <v>0</v>
      </c>
      <c r="EU136">
        <v>0</v>
      </c>
      <c r="EV136">
        <v>0</v>
      </c>
      <c r="EW136">
        <v>0</v>
      </c>
      <c r="EX136">
        <v>0</v>
      </c>
      <c r="EZ136">
        <v>5</v>
      </c>
      <c r="FC136">
        <v>0</v>
      </c>
      <c r="FD136">
        <v>18</v>
      </c>
      <c r="FF136">
        <v>59385.33</v>
      </c>
      <c r="FQ136">
        <v>0</v>
      </c>
      <c r="FR136">
        <f t="shared" si="133"/>
        <v>0</v>
      </c>
      <c r="FS136">
        <v>0</v>
      </c>
      <c r="FX136">
        <v>0</v>
      </c>
      <c r="FY136">
        <v>0</v>
      </c>
      <c r="GA136" t="s">
        <v>229</v>
      </c>
      <c r="GD136">
        <v>1</v>
      </c>
      <c r="GF136">
        <v>-1683247353</v>
      </c>
      <c r="GG136">
        <v>2</v>
      </c>
      <c r="GH136">
        <v>3</v>
      </c>
      <c r="GI136">
        <v>5</v>
      </c>
      <c r="GJ136">
        <v>0</v>
      </c>
      <c r="GK136">
        <v>0</v>
      </c>
      <c r="GL136">
        <f t="shared" si="134"/>
        <v>0</v>
      </c>
      <c r="GM136">
        <f t="shared" si="135"/>
        <v>41130</v>
      </c>
      <c r="GN136">
        <f t="shared" si="136"/>
        <v>41130</v>
      </c>
      <c r="GO136">
        <f t="shared" si="137"/>
        <v>0</v>
      </c>
      <c r="GP136">
        <f t="shared" si="138"/>
        <v>0</v>
      </c>
      <c r="GR136">
        <v>1</v>
      </c>
      <c r="GS136">
        <v>1</v>
      </c>
      <c r="GT136">
        <v>0</v>
      </c>
      <c r="GU136" t="s">
        <v>6</v>
      </c>
      <c r="GV136">
        <f t="shared" si="139"/>
        <v>0</v>
      </c>
      <c r="GW136">
        <v>1</v>
      </c>
      <c r="GX136">
        <f t="shared" si="140"/>
        <v>0</v>
      </c>
      <c r="HA136">
        <v>0</v>
      </c>
      <c r="HB136">
        <v>0</v>
      </c>
      <c r="HC136">
        <f t="shared" si="141"/>
        <v>0</v>
      </c>
      <c r="HE136" t="s">
        <v>39</v>
      </c>
      <c r="HF136" t="s">
        <v>61</v>
      </c>
      <c r="HM136" t="s">
        <v>6</v>
      </c>
      <c r="HN136" t="s">
        <v>6</v>
      </c>
      <c r="HO136" t="s">
        <v>6</v>
      </c>
      <c r="HP136" t="s">
        <v>6</v>
      </c>
      <c r="HQ136" t="s">
        <v>6</v>
      </c>
      <c r="IF136">
        <v>-1</v>
      </c>
      <c r="IK136">
        <v>0</v>
      </c>
    </row>
    <row r="137" spans="1:255" x14ac:dyDescent="0.2">
      <c r="A137" s="2">
        <v>17</v>
      </c>
      <c r="B137" s="2">
        <v>1</v>
      </c>
      <c r="C137" s="2">
        <f>ROW(SmtRes!A145)</f>
        <v>145</v>
      </c>
      <c r="D137" s="2">
        <f>ROW(EtalonRes!A125)</f>
        <v>125</v>
      </c>
      <c r="E137" s="2" t="s">
        <v>230</v>
      </c>
      <c r="F137" s="2" t="s">
        <v>231</v>
      </c>
      <c r="G137" s="2" t="s">
        <v>232</v>
      </c>
      <c r="H137" s="2" t="s">
        <v>49</v>
      </c>
      <c r="I137" s="2">
        <f>'2.Лок.смета.и.Акт'!E35</f>
        <v>10.11375</v>
      </c>
      <c r="J137" s="2">
        <v>0</v>
      </c>
      <c r="K137" s="2">
        <v>40.454999999999998</v>
      </c>
      <c r="L137" s="2"/>
      <c r="M137" s="2"/>
      <c r="N137" s="2"/>
      <c r="O137" s="2">
        <f t="shared" si="110"/>
        <v>7247</v>
      </c>
      <c r="P137" s="2">
        <f t="shared" si="111"/>
        <v>0</v>
      </c>
      <c r="Q137" s="2">
        <f t="shared" si="112"/>
        <v>724</v>
      </c>
      <c r="R137" s="2">
        <f t="shared" si="113"/>
        <v>69</v>
      </c>
      <c r="S137" s="2">
        <f t="shared" si="114"/>
        <v>6523</v>
      </c>
      <c r="T137" s="2">
        <f t="shared" si="115"/>
        <v>0</v>
      </c>
      <c r="U137" s="2">
        <f t="shared" si="116"/>
        <v>547.26209212499998</v>
      </c>
      <c r="V137" s="2">
        <f t="shared" si="117"/>
        <v>5.0973300000000012</v>
      </c>
      <c r="W137" s="2">
        <f t="shared" si="118"/>
        <v>0</v>
      </c>
      <c r="X137" s="2">
        <f t="shared" si="119"/>
        <v>4351</v>
      </c>
      <c r="Y137" s="2">
        <f t="shared" si="120"/>
        <v>3955</v>
      </c>
      <c r="Z137" s="2"/>
      <c r="AA137" s="2">
        <v>86326987</v>
      </c>
      <c r="AB137" s="2">
        <f t="shared" si="121"/>
        <v>716.58</v>
      </c>
      <c r="AC137" s="2">
        <f>ROUND((ES137+(SUM(SmtRes!BC139:'SmtRes'!BC145)+SUM(EtalonRes!AL119:'EtalonRes'!AL125))),2)</f>
        <v>0</v>
      </c>
      <c r="AD137" s="2">
        <f>ROUND(((ET137*1.12)),2)</f>
        <v>71.58</v>
      </c>
      <c r="AE137" s="2">
        <f>ROUND(((EU137*1.12)),2)</f>
        <v>6.85</v>
      </c>
      <c r="AF137" s="2">
        <f>ROUND(((EV137*1.05)),2)</f>
        <v>645</v>
      </c>
      <c r="AG137" s="2">
        <f t="shared" si="122"/>
        <v>0</v>
      </c>
      <c r="AH137" s="2">
        <f>((EW137*1.05))</f>
        <v>54.110700000000001</v>
      </c>
      <c r="AI137" s="2">
        <f>((EX137*1.12))</f>
        <v>0.50400000000000011</v>
      </c>
      <c r="AJ137" s="2">
        <f t="shared" si="123"/>
        <v>0</v>
      </c>
      <c r="AK137" s="2">
        <v>5431.26</v>
      </c>
      <c r="AL137" s="2">
        <v>4753.0600000000004</v>
      </c>
      <c r="AM137" s="2">
        <v>63.91</v>
      </c>
      <c r="AN137" s="2">
        <v>6.12</v>
      </c>
      <c r="AO137" s="2">
        <v>614.29</v>
      </c>
      <c r="AP137" s="2">
        <v>0</v>
      </c>
      <c r="AQ137" s="2">
        <v>51.533999999999999</v>
      </c>
      <c r="AR137" s="2">
        <v>0.45</v>
      </c>
      <c r="AS137" s="2">
        <v>0</v>
      </c>
      <c r="AT137" s="2">
        <v>66</v>
      </c>
      <c r="AU137" s="2">
        <v>60</v>
      </c>
      <c r="AV137" s="2">
        <v>1</v>
      </c>
      <c r="AW137" s="2">
        <v>1</v>
      </c>
      <c r="AX137" s="2"/>
      <c r="AY137" s="2"/>
      <c r="AZ137" s="2">
        <v>1</v>
      </c>
      <c r="BA137" s="2">
        <v>1</v>
      </c>
      <c r="BB137" s="2">
        <v>1</v>
      </c>
      <c r="BC137" s="2">
        <v>1</v>
      </c>
      <c r="BD137" s="2" t="s">
        <v>6</v>
      </c>
      <c r="BE137" s="2" t="s">
        <v>6</v>
      </c>
      <c r="BF137" s="2" t="s">
        <v>6</v>
      </c>
      <c r="BG137" s="2" t="s">
        <v>6</v>
      </c>
      <c r="BH137" s="2">
        <v>0</v>
      </c>
      <c r="BI137" s="2">
        <v>1</v>
      </c>
      <c r="BJ137" s="2" t="s">
        <v>233</v>
      </c>
      <c r="BK137" s="2"/>
      <c r="BL137" s="2"/>
      <c r="BM137" s="2">
        <v>501</v>
      </c>
      <c r="BN137" s="2">
        <v>0</v>
      </c>
      <c r="BO137" s="2" t="s">
        <v>6</v>
      </c>
      <c r="BP137" s="2">
        <v>0</v>
      </c>
      <c r="BQ137" s="2">
        <v>1</v>
      </c>
      <c r="BR137" s="2">
        <v>0</v>
      </c>
      <c r="BS137" s="2">
        <v>1</v>
      </c>
      <c r="BT137" s="2">
        <v>1</v>
      </c>
      <c r="BU137" s="2">
        <v>1</v>
      </c>
      <c r="BV137" s="2">
        <v>1</v>
      </c>
      <c r="BW137" s="2">
        <v>1</v>
      </c>
      <c r="BX137" s="2">
        <v>1</v>
      </c>
      <c r="BY137" s="2" t="s">
        <v>6</v>
      </c>
      <c r="BZ137" s="2">
        <v>66</v>
      </c>
      <c r="CA137" s="2">
        <v>60</v>
      </c>
      <c r="CB137" s="2" t="s">
        <v>6</v>
      </c>
      <c r="CC137" s="2"/>
      <c r="CD137" s="2"/>
      <c r="CE137" s="2">
        <v>0</v>
      </c>
      <c r="CF137" s="2">
        <v>0</v>
      </c>
      <c r="CG137" s="2">
        <v>0</v>
      </c>
      <c r="CH137" s="2"/>
      <c r="CI137" s="2"/>
      <c r="CJ137" s="2"/>
      <c r="CK137" s="2"/>
      <c r="CL137" s="2"/>
      <c r="CM137" s="2">
        <v>0</v>
      </c>
      <c r="CN137" s="2" t="s">
        <v>23</v>
      </c>
      <c r="CO137" s="2">
        <v>0</v>
      </c>
      <c r="CP137" s="2">
        <f t="shared" si="124"/>
        <v>7247</v>
      </c>
      <c r="CQ137" s="2">
        <f t="shared" si="125"/>
        <v>0</v>
      </c>
      <c r="CR137" s="2">
        <f t="shared" si="126"/>
        <v>71.58</v>
      </c>
      <c r="CS137" s="2">
        <f t="shared" si="127"/>
        <v>6.85</v>
      </c>
      <c r="CT137" s="2">
        <f t="shared" si="128"/>
        <v>645</v>
      </c>
      <c r="CU137" s="2">
        <f t="shared" si="129"/>
        <v>0</v>
      </c>
      <c r="CV137" s="2">
        <f t="shared" si="130"/>
        <v>54.110700000000001</v>
      </c>
      <c r="CW137" s="2">
        <f t="shared" si="131"/>
        <v>0.50400000000000011</v>
      </c>
      <c r="CX137" s="2">
        <f t="shared" si="132"/>
        <v>0</v>
      </c>
      <c r="CY137" s="2">
        <f>(((S137+(R137*IF(0,0,1)))*AT137)/100)</f>
        <v>4350.72</v>
      </c>
      <c r="CZ137" s="2">
        <f>(((S137+(R137*IF(0,0,1)))*AU137)/100)</f>
        <v>3955.2</v>
      </c>
      <c r="DA137" s="2"/>
      <c r="DB137" s="2"/>
      <c r="DC137" s="2" t="s">
        <v>6</v>
      </c>
      <c r="DD137" s="2" t="s">
        <v>6</v>
      </c>
      <c r="DE137" s="2" t="s">
        <v>24</v>
      </c>
      <c r="DF137" s="2" t="s">
        <v>24</v>
      </c>
      <c r="DG137" s="2" t="s">
        <v>25</v>
      </c>
      <c r="DH137" s="2" t="s">
        <v>6</v>
      </c>
      <c r="DI137" s="2" t="s">
        <v>25</v>
      </c>
      <c r="DJ137" s="2" t="s">
        <v>24</v>
      </c>
      <c r="DK137" s="2" t="s">
        <v>6</v>
      </c>
      <c r="DL137" s="2" t="s">
        <v>6</v>
      </c>
      <c r="DM137" s="2" t="s">
        <v>6</v>
      </c>
      <c r="DN137" s="2">
        <v>0</v>
      </c>
      <c r="DO137" s="2">
        <v>0</v>
      </c>
      <c r="DP137" s="2">
        <v>1</v>
      </c>
      <c r="DQ137" s="2">
        <v>1</v>
      </c>
      <c r="DR137" s="2"/>
      <c r="DS137" s="2"/>
      <c r="DT137" s="2"/>
      <c r="DU137" s="2">
        <v>1013</v>
      </c>
      <c r="DV137" s="2" t="s">
        <v>49</v>
      </c>
      <c r="DW137" s="2" t="s">
        <v>49</v>
      </c>
      <c r="DX137" s="2">
        <v>1</v>
      </c>
      <c r="DY137" s="2"/>
      <c r="DZ137" s="2" t="s">
        <v>6</v>
      </c>
      <c r="EA137" s="2" t="s">
        <v>6</v>
      </c>
      <c r="EB137" s="2" t="s">
        <v>6</v>
      </c>
      <c r="EC137" s="2" t="s">
        <v>6</v>
      </c>
      <c r="ED137" s="2"/>
      <c r="EE137" s="2">
        <v>54938567</v>
      </c>
      <c r="EF137" s="2">
        <v>1</v>
      </c>
      <c r="EG137" s="2" t="s">
        <v>26</v>
      </c>
      <c r="EH137" s="2">
        <v>0</v>
      </c>
      <c r="EI137" s="2" t="s">
        <v>6</v>
      </c>
      <c r="EJ137" s="2">
        <v>1</v>
      </c>
      <c r="EK137" s="2">
        <v>501</v>
      </c>
      <c r="EL137" s="2" t="s">
        <v>51</v>
      </c>
      <c r="EM137" s="2" t="s">
        <v>52</v>
      </c>
      <c r="EN137" s="2"/>
      <c r="EO137" s="2" t="s">
        <v>29</v>
      </c>
      <c r="EP137" s="2"/>
      <c r="EQ137" s="2">
        <v>2097152</v>
      </c>
      <c r="ER137" s="2">
        <v>5431.26</v>
      </c>
      <c r="ES137" s="2">
        <v>4753.0600000000004</v>
      </c>
      <c r="ET137" s="2">
        <v>63.91</v>
      </c>
      <c r="EU137" s="2">
        <v>6.12</v>
      </c>
      <c r="EV137" s="2">
        <v>614.29</v>
      </c>
      <c r="EW137" s="2">
        <v>51.533999999999999</v>
      </c>
      <c r="EX137" s="2">
        <v>0.45</v>
      </c>
      <c r="EY137" s="2">
        <v>1</v>
      </c>
      <c r="EZ137" s="2"/>
      <c r="FA137" s="2"/>
      <c r="FB137" s="2"/>
      <c r="FC137" s="2"/>
      <c r="FD137" s="2"/>
      <c r="FE137" s="2"/>
      <c r="FF137" s="2"/>
      <c r="FG137" s="2"/>
      <c r="FH137" s="2"/>
      <c r="FI137" s="2"/>
      <c r="FJ137" s="2"/>
      <c r="FK137" s="2"/>
      <c r="FL137" s="2"/>
      <c r="FM137" s="2"/>
      <c r="FN137" s="2"/>
      <c r="FO137" s="2"/>
      <c r="FP137" s="2"/>
      <c r="FQ137" s="2">
        <v>0</v>
      </c>
      <c r="FR137" s="2">
        <f t="shared" si="133"/>
        <v>0</v>
      </c>
      <c r="FS137" s="2">
        <v>0</v>
      </c>
      <c r="FT137" s="2"/>
      <c r="FU137" s="2"/>
      <c r="FV137" s="2"/>
      <c r="FW137" s="2"/>
      <c r="FX137" s="2">
        <v>66</v>
      </c>
      <c r="FY137" s="2">
        <v>60</v>
      </c>
      <c r="FZ137" s="2"/>
      <c r="GA137" s="2" t="s">
        <v>6</v>
      </c>
      <c r="GB137" s="2"/>
      <c r="GC137" s="2"/>
      <c r="GD137" s="2">
        <v>1</v>
      </c>
      <c r="GE137" s="2"/>
      <c r="GF137" s="2">
        <v>-901703880</v>
      </c>
      <c r="GG137" s="2">
        <v>2</v>
      </c>
      <c r="GH137" s="2">
        <v>1</v>
      </c>
      <c r="GI137" s="2">
        <v>-2</v>
      </c>
      <c r="GJ137" s="2">
        <v>0</v>
      </c>
      <c r="GK137" s="2">
        <v>0</v>
      </c>
      <c r="GL137" s="2">
        <f t="shared" si="134"/>
        <v>0</v>
      </c>
      <c r="GM137" s="2">
        <f t="shared" si="135"/>
        <v>15553</v>
      </c>
      <c r="GN137" s="2">
        <f t="shared" si="136"/>
        <v>15553</v>
      </c>
      <c r="GO137" s="2">
        <f t="shared" si="137"/>
        <v>0</v>
      </c>
      <c r="GP137" s="2">
        <f t="shared" si="138"/>
        <v>0</v>
      </c>
      <c r="GQ137" s="2"/>
      <c r="GR137" s="2">
        <v>0</v>
      </c>
      <c r="GS137" s="2">
        <v>3</v>
      </c>
      <c r="GT137" s="2">
        <v>0</v>
      </c>
      <c r="GU137" s="2" t="s">
        <v>6</v>
      </c>
      <c r="GV137" s="2">
        <f t="shared" si="139"/>
        <v>0</v>
      </c>
      <c r="GW137" s="2">
        <v>1</v>
      </c>
      <c r="GX137" s="2">
        <f t="shared" si="140"/>
        <v>0</v>
      </c>
      <c r="GY137" s="2"/>
      <c r="GZ137" s="2"/>
      <c r="HA137" s="2">
        <v>0</v>
      </c>
      <c r="HB137" s="2">
        <v>0</v>
      </c>
      <c r="HC137" s="2">
        <f t="shared" si="141"/>
        <v>0</v>
      </c>
      <c r="HD137" s="2"/>
      <c r="HE137" s="2" t="s">
        <v>6</v>
      </c>
      <c r="HF137" s="2" t="s">
        <v>6</v>
      </c>
      <c r="HG137" s="2"/>
      <c r="HH137" s="2"/>
      <c r="HI137" s="2"/>
      <c r="HJ137" s="2"/>
      <c r="HK137" s="2"/>
      <c r="HL137" s="2"/>
      <c r="HM137" s="2" t="s">
        <v>6</v>
      </c>
      <c r="HN137" s="2" t="s">
        <v>6</v>
      </c>
      <c r="HO137" s="2" t="s">
        <v>6</v>
      </c>
      <c r="HP137" s="2" t="s">
        <v>6</v>
      </c>
      <c r="HQ137" s="2" t="s">
        <v>6</v>
      </c>
      <c r="HR137" s="2"/>
      <c r="HS137" s="2"/>
      <c r="HT137" s="2"/>
      <c r="HU137" s="2"/>
      <c r="HV137" s="2"/>
      <c r="HW137" s="2"/>
      <c r="HX137" s="2"/>
      <c r="HY137" s="2"/>
      <c r="HZ137" s="2"/>
      <c r="IA137" s="2"/>
      <c r="IB137" s="2"/>
      <c r="IC137" s="2"/>
      <c r="ID137" s="2"/>
      <c r="IE137" s="2"/>
      <c r="IF137" s="2">
        <v>-1</v>
      </c>
      <c r="IG137" s="2"/>
      <c r="IH137" s="2"/>
      <c r="II137" s="2"/>
      <c r="IJ137" s="2"/>
      <c r="IK137" s="2">
        <v>0</v>
      </c>
      <c r="IL137" s="2"/>
      <c r="IM137" s="2"/>
      <c r="IN137" s="2"/>
      <c r="IO137" s="2"/>
      <c r="IP137" s="2"/>
      <c r="IQ137" s="2"/>
      <c r="IR137" s="2"/>
      <c r="IS137" s="2"/>
      <c r="IT137" s="2"/>
      <c r="IU137" s="2"/>
    </row>
    <row r="138" spans="1:255" x14ac:dyDescent="0.2">
      <c r="A138">
        <v>17</v>
      </c>
      <c r="B138">
        <v>1</v>
      </c>
      <c r="C138">
        <f>ROW(SmtRes!A152)</f>
        <v>152</v>
      </c>
      <c r="D138">
        <f>ROW(EtalonRes!A132)</f>
        <v>132</v>
      </c>
      <c r="E138" t="s">
        <v>230</v>
      </c>
      <c r="F138" t="s">
        <v>231</v>
      </c>
      <c r="G138" t="s">
        <v>232</v>
      </c>
      <c r="H138" t="s">
        <v>49</v>
      </c>
      <c r="I138">
        <f>'2.Лок.смета.и.Акт'!E35</f>
        <v>10.11375</v>
      </c>
      <c r="J138">
        <v>0</v>
      </c>
      <c r="K138">
        <v>40.454999999999998</v>
      </c>
      <c r="O138">
        <f t="shared" si="110"/>
        <v>171109</v>
      </c>
      <c r="P138">
        <f t="shared" si="111"/>
        <v>0</v>
      </c>
      <c r="Q138">
        <f t="shared" si="112"/>
        <v>5676</v>
      </c>
      <c r="R138">
        <f t="shared" si="113"/>
        <v>1372</v>
      </c>
      <c r="S138">
        <f t="shared" si="114"/>
        <v>165433</v>
      </c>
      <c r="T138">
        <f t="shared" si="115"/>
        <v>0</v>
      </c>
      <c r="U138" t="e">
        <f t="shared" si="116"/>
        <v>#REF!</v>
      </c>
      <c r="V138">
        <f t="shared" si="117"/>
        <v>5.0973300000000012</v>
      </c>
      <c r="W138">
        <f t="shared" si="118"/>
        <v>0</v>
      </c>
      <c r="X138" t="e">
        <f t="shared" si="119"/>
        <v>#REF!</v>
      </c>
      <c r="Y138" t="e">
        <f t="shared" si="120"/>
        <v>#REF!</v>
      </c>
      <c r="AA138">
        <v>86326988</v>
      </c>
      <c r="AB138">
        <f t="shared" si="121"/>
        <v>716.58</v>
      </c>
      <c r="AC138">
        <f>ROUND((ES138+(SUM(SmtRes!BC146:'SmtRes'!BC152)+SUM(EtalonRes!AL126:'EtalonRes'!AL132))),2)</f>
        <v>0</v>
      </c>
      <c r="AD138">
        <f>ROUND(((ET138*1.12)),2)</f>
        <v>71.58</v>
      </c>
      <c r="AE138">
        <f>ROUND(((EU138*1.12)),2)</f>
        <v>6.85</v>
      </c>
      <c r="AF138">
        <f>ROUND(((EV138*1.05)),2)</f>
        <v>645</v>
      </c>
      <c r="AG138">
        <f t="shared" si="122"/>
        <v>0</v>
      </c>
      <c r="AH138" t="e">
        <f>((EW138*1.05))</f>
        <v>#REF!</v>
      </c>
      <c r="AI138">
        <f>((EX138*1.12))</f>
        <v>0.50400000000000011</v>
      </c>
      <c r="AJ138">
        <f t="shared" si="123"/>
        <v>0</v>
      </c>
      <c r="AK138">
        <f>AL138+AM138+AO138</f>
        <v>5431.26</v>
      </c>
      <c r="AL138">
        <v>4753.0600000000004</v>
      </c>
      <c r="AM138" s="75">
        <f>'1.Лок.смета.и.Акт'!F260</f>
        <v>63.91</v>
      </c>
      <c r="AN138" s="75">
        <f>'1.Лок.смета.и.Акт'!F261</f>
        <v>6.12</v>
      </c>
      <c r="AO138" s="75">
        <f>'1.Лок.смета.и.Акт'!F259</f>
        <v>614.29</v>
      </c>
      <c r="AP138">
        <v>0</v>
      </c>
      <c r="AQ138" t="e">
        <f>'2.Лок.смета.и.Акт'!#REF!</f>
        <v>#REF!</v>
      </c>
      <c r="AR138">
        <v>0.45</v>
      </c>
      <c r="AS138">
        <v>0</v>
      </c>
      <c r="AT138">
        <v>63</v>
      </c>
      <c r="AU138">
        <v>51</v>
      </c>
      <c r="AV138">
        <v>1</v>
      </c>
      <c r="AW138">
        <v>1</v>
      </c>
      <c r="AZ138">
        <v>1</v>
      </c>
      <c r="BA138">
        <f>'1.Лок.смета.и.Акт'!J259</f>
        <v>25.36</v>
      </c>
      <c r="BB138">
        <f>'1.Лок.смета.и.Акт'!J260</f>
        <v>7.84</v>
      </c>
      <c r="BC138">
        <v>7.56</v>
      </c>
      <c r="BD138" t="s">
        <v>6</v>
      </c>
      <c r="BE138" t="s">
        <v>6</v>
      </c>
      <c r="BF138" t="s">
        <v>6</v>
      </c>
      <c r="BG138" t="s">
        <v>6</v>
      </c>
      <c r="BH138">
        <v>0</v>
      </c>
      <c r="BI138">
        <v>1</v>
      </c>
      <c r="BJ138" t="s">
        <v>233</v>
      </c>
      <c r="BM138">
        <v>501</v>
      </c>
      <c r="BN138">
        <v>0</v>
      </c>
      <c r="BO138" t="s">
        <v>231</v>
      </c>
      <c r="BP138">
        <v>1</v>
      </c>
      <c r="BQ138">
        <v>1</v>
      </c>
      <c r="BR138">
        <v>0</v>
      </c>
      <c r="BS138">
        <f>'1.Лок.смета.и.Акт'!J261</f>
        <v>19.8</v>
      </c>
      <c r="BT138">
        <v>1</v>
      </c>
      <c r="BU138">
        <v>1</v>
      </c>
      <c r="BV138">
        <v>1</v>
      </c>
      <c r="BW138">
        <v>1</v>
      </c>
      <c r="BX138">
        <v>1</v>
      </c>
      <c r="BY138" t="s">
        <v>6</v>
      </c>
      <c r="BZ138" t="e">
        <f>'2.Лок.смета.и.Акт'!#REF!</f>
        <v>#REF!</v>
      </c>
      <c r="CA138" t="e">
        <f>'2.Лок.смета.и.Акт'!#REF!</f>
        <v>#REF!</v>
      </c>
      <c r="CB138" t="s">
        <v>6</v>
      </c>
      <c r="CE138">
        <v>0</v>
      </c>
      <c r="CF138">
        <v>0</v>
      </c>
      <c r="CG138">
        <v>0</v>
      </c>
      <c r="CM138">
        <v>0</v>
      </c>
      <c r="CN138" t="s">
        <v>23</v>
      </c>
      <c r="CO138">
        <v>0</v>
      </c>
      <c r="CP138">
        <f t="shared" si="124"/>
        <v>171109</v>
      </c>
      <c r="CQ138">
        <f t="shared" si="125"/>
        <v>0</v>
      </c>
      <c r="CR138">
        <f t="shared" si="126"/>
        <v>561.18719999999996</v>
      </c>
      <c r="CS138">
        <f t="shared" si="127"/>
        <v>135.63</v>
      </c>
      <c r="CT138">
        <f t="shared" si="128"/>
        <v>16357.199999999999</v>
      </c>
      <c r="CU138">
        <f t="shared" si="129"/>
        <v>0</v>
      </c>
      <c r="CV138" t="e">
        <f t="shared" si="130"/>
        <v>#REF!</v>
      </c>
      <c r="CW138">
        <f t="shared" si="131"/>
        <v>0.50400000000000011</v>
      </c>
      <c r="CX138">
        <f t="shared" si="132"/>
        <v>0</v>
      </c>
      <c r="CY138" t="e">
        <f>(S138+R138)*(BZ138/100)</f>
        <v>#REF!</v>
      </c>
      <c r="CZ138" t="e">
        <f>(S138+R138)*(CA138/100)</f>
        <v>#REF!</v>
      </c>
      <c r="DC138" t="s">
        <v>6</v>
      </c>
      <c r="DD138" t="s">
        <v>6</v>
      </c>
      <c r="DE138" t="s">
        <v>24</v>
      </c>
      <c r="DF138" t="s">
        <v>24</v>
      </c>
      <c r="DG138" t="s">
        <v>25</v>
      </c>
      <c r="DH138" t="s">
        <v>6</v>
      </c>
      <c r="DI138" t="s">
        <v>25</v>
      </c>
      <c r="DJ138" t="s">
        <v>24</v>
      </c>
      <c r="DK138" t="s">
        <v>6</v>
      </c>
      <c r="DL138" t="s">
        <v>6</v>
      </c>
      <c r="DM138" t="s">
        <v>6</v>
      </c>
      <c r="DN138">
        <f>'1.Лок.смета.и.Акт'!E262</f>
        <v>66</v>
      </c>
      <c r="DO138">
        <f>'1.Лок.смета.и.Акт'!E263</f>
        <v>60</v>
      </c>
      <c r="DP138">
        <v>1</v>
      </c>
      <c r="DQ138">
        <v>1</v>
      </c>
      <c r="DU138">
        <v>1013</v>
      </c>
      <c r="DV138" t="s">
        <v>49</v>
      </c>
      <c r="DW138" t="str">
        <f>'2.Лок.смета.и.Акт'!D35</f>
        <v>1 т арматуры, закладных деталей</v>
      </c>
      <c r="DX138">
        <v>1</v>
      </c>
      <c r="DZ138" t="s">
        <v>6</v>
      </c>
      <c r="EA138" t="s">
        <v>6</v>
      </c>
      <c r="EB138" t="s">
        <v>6</v>
      </c>
      <c r="EC138" t="s">
        <v>6</v>
      </c>
      <c r="EE138">
        <v>54938567</v>
      </c>
      <c r="EF138">
        <v>1</v>
      </c>
      <c r="EG138" t="s">
        <v>26</v>
      </c>
      <c r="EH138">
        <v>0</v>
      </c>
      <c r="EI138" t="s">
        <v>6</v>
      </c>
      <c r="EJ138">
        <v>1</v>
      </c>
      <c r="EK138">
        <v>501</v>
      </c>
      <c r="EL138" t="s">
        <v>51</v>
      </c>
      <c r="EM138" t="s">
        <v>52</v>
      </c>
      <c r="EO138" t="s">
        <v>29</v>
      </c>
      <c r="EQ138">
        <v>2097152</v>
      </c>
      <c r="ER138">
        <f>ES138+ET138+EV138</f>
        <v>5431.26</v>
      </c>
      <c r="ES138">
        <v>4753.0600000000004</v>
      </c>
      <c r="ET138" s="75">
        <f>'1.Лок.смета.и.Акт'!F260</f>
        <v>63.91</v>
      </c>
      <c r="EU138" s="75">
        <f>'1.Лок.смета.и.Акт'!F261</f>
        <v>6.12</v>
      </c>
      <c r="EV138" s="75">
        <f>'1.Лок.смета.и.Акт'!F259</f>
        <v>614.29</v>
      </c>
      <c r="EW138" t="e">
        <f>'2.Лок.смета.и.Акт'!#REF!</f>
        <v>#REF!</v>
      </c>
      <c r="EX138">
        <v>0.45</v>
      </c>
      <c r="EY138">
        <v>1</v>
      </c>
      <c r="FQ138">
        <v>0</v>
      </c>
      <c r="FR138">
        <f t="shared" si="133"/>
        <v>0</v>
      </c>
      <c r="FS138">
        <v>0</v>
      </c>
      <c r="FX138">
        <v>66</v>
      </c>
      <c r="FY138">
        <v>60</v>
      </c>
      <c r="GA138" t="s">
        <v>6</v>
      </c>
      <c r="GD138">
        <v>1</v>
      </c>
      <c r="GF138">
        <v>-901703880</v>
      </c>
      <c r="GG138">
        <v>2</v>
      </c>
      <c r="GH138">
        <v>1</v>
      </c>
      <c r="GI138">
        <v>2</v>
      </c>
      <c r="GJ138">
        <v>0</v>
      </c>
      <c r="GK138">
        <v>0</v>
      </c>
      <c r="GL138">
        <f t="shared" si="134"/>
        <v>0</v>
      </c>
      <c r="GM138" t="e">
        <f t="shared" si="135"/>
        <v>#REF!</v>
      </c>
      <c r="GN138" t="e">
        <f t="shared" si="136"/>
        <v>#REF!</v>
      </c>
      <c r="GO138">
        <f t="shared" si="137"/>
        <v>0</v>
      </c>
      <c r="GP138">
        <f t="shared" si="138"/>
        <v>0</v>
      </c>
      <c r="GR138">
        <v>0</v>
      </c>
      <c r="GS138">
        <v>3</v>
      </c>
      <c r="GT138">
        <v>0</v>
      </c>
      <c r="GU138" t="s">
        <v>6</v>
      </c>
      <c r="GV138">
        <f t="shared" si="139"/>
        <v>0</v>
      </c>
      <c r="GW138">
        <v>1015.2</v>
      </c>
      <c r="GX138">
        <f t="shared" si="140"/>
        <v>0</v>
      </c>
      <c r="HA138">
        <v>0</v>
      </c>
      <c r="HB138">
        <v>0</v>
      </c>
      <c r="HC138">
        <f t="shared" si="141"/>
        <v>0</v>
      </c>
      <c r="HE138" t="s">
        <v>6</v>
      </c>
      <c r="HF138" t="s">
        <v>6</v>
      </c>
      <c r="HM138" t="s">
        <v>6</v>
      </c>
      <c r="HN138" t="s">
        <v>6</v>
      </c>
      <c r="HO138" t="s">
        <v>6</v>
      </c>
      <c r="HP138" t="s">
        <v>6</v>
      </c>
      <c r="HQ138" t="s">
        <v>6</v>
      </c>
      <c r="IF138">
        <v>-1</v>
      </c>
      <c r="IK138">
        <v>0</v>
      </c>
    </row>
    <row r="139" spans="1:255" x14ac:dyDescent="0.2">
      <c r="A139" s="2">
        <v>18</v>
      </c>
      <c r="B139" s="2">
        <v>1</v>
      </c>
      <c r="C139" s="2">
        <v>144</v>
      </c>
      <c r="D139" s="2"/>
      <c r="E139" s="2" t="s">
        <v>234</v>
      </c>
      <c r="F139" s="2" t="s">
        <v>226</v>
      </c>
      <c r="G139" s="2" t="s">
        <v>227</v>
      </c>
      <c r="H139" s="2" t="s">
        <v>33</v>
      </c>
      <c r="I139" s="2">
        <f>I137*J139</f>
        <v>10.112</v>
      </c>
      <c r="J139" s="226">
        <f>'5.Ведомость_списания'!F64</f>
        <v>0.99982696823631201</v>
      </c>
      <c r="K139" s="2">
        <v>0.99982696999999998</v>
      </c>
      <c r="L139" s="2"/>
      <c r="M139" s="2"/>
      <c r="N139" s="2"/>
      <c r="O139" s="2">
        <f t="shared" si="110"/>
        <v>51904</v>
      </c>
      <c r="P139" s="2">
        <f t="shared" si="111"/>
        <v>51904</v>
      </c>
      <c r="Q139" s="2">
        <f t="shared" si="112"/>
        <v>0</v>
      </c>
      <c r="R139" s="2">
        <f t="shared" si="113"/>
        <v>0</v>
      </c>
      <c r="S139" s="2">
        <f t="shared" si="114"/>
        <v>0</v>
      </c>
      <c r="T139" s="2">
        <f t="shared" si="115"/>
        <v>0</v>
      </c>
      <c r="U139" s="2">
        <f t="shared" si="116"/>
        <v>0</v>
      </c>
      <c r="V139" s="2">
        <f t="shared" si="117"/>
        <v>0</v>
      </c>
      <c r="W139" s="2">
        <f t="shared" si="118"/>
        <v>0</v>
      </c>
      <c r="X139" s="2">
        <f t="shared" si="119"/>
        <v>0</v>
      </c>
      <c r="Y139" s="2">
        <f t="shared" si="120"/>
        <v>0</v>
      </c>
      <c r="Z139" s="2"/>
      <c r="AA139" s="2">
        <v>86326987</v>
      </c>
      <c r="AB139" s="2">
        <f t="shared" si="121"/>
        <v>5132.8999999999996</v>
      </c>
      <c r="AC139" s="2">
        <f>ROUND((ES139),2)</f>
        <v>5132.8999999999996</v>
      </c>
      <c r="AD139" s="2">
        <f>ROUND((((ET139)-(EU139))+AE139),2)</f>
        <v>0</v>
      </c>
      <c r="AE139" s="2">
        <f t="shared" ref="AE139:AF142" si="148">ROUND((EU139),2)</f>
        <v>0</v>
      </c>
      <c r="AF139" s="2">
        <f t="shared" si="148"/>
        <v>0</v>
      </c>
      <c r="AG139" s="2">
        <f t="shared" si="122"/>
        <v>0</v>
      </c>
      <c r="AH139" s="2">
        <f t="shared" ref="AH139:AI142" si="149">(EW139)</f>
        <v>0</v>
      </c>
      <c r="AI139" s="2">
        <f t="shared" si="149"/>
        <v>0</v>
      </c>
      <c r="AJ139" s="2">
        <f t="shared" si="123"/>
        <v>0</v>
      </c>
      <c r="AK139" s="2">
        <v>5132.8999999999996</v>
      </c>
      <c r="AL139" s="110">
        <f>'1.Лок.смета.и.Акт'!F265</f>
        <v>5132.8999999999996</v>
      </c>
      <c r="AM139" s="2">
        <v>0</v>
      </c>
      <c r="AN139" s="2">
        <v>0</v>
      </c>
      <c r="AO139" s="2">
        <v>0</v>
      </c>
      <c r="AP139" s="2">
        <v>0</v>
      </c>
      <c r="AQ139" s="2">
        <v>0</v>
      </c>
      <c r="AR139" s="2">
        <v>0</v>
      </c>
      <c r="AS139" s="2">
        <v>0</v>
      </c>
      <c r="AT139" s="2">
        <v>0</v>
      </c>
      <c r="AU139" s="2">
        <v>0</v>
      </c>
      <c r="AV139" s="2">
        <v>1</v>
      </c>
      <c r="AW139" s="2">
        <v>1</v>
      </c>
      <c r="AX139" s="2"/>
      <c r="AY139" s="2"/>
      <c r="AZ139" s="2">
        <v>1</v>
      </c>
      <c r="BA139" s="2">
        <v>1</v>
      </c>
      <c r="BB139" s="2">
        <v>1</v>
      </c>
      <c r="BC139" s="2">
        <v>1</v>
      </c>
      <c r="BD139" s="2" t="s">
        <v>6</v>
      </c>
      <c r="BE139" s="2" t="s">
        <v>6</v>
      </c>
      <c r="BF139" s="2" t="s">
        <v>6</v>
      </c>
      <c r="BG139" s="2" t="s">
        <v>6</v>
      </c>
      <c r="BH139" s="2">
        <v>3</v>
      </c>
      <c r="BI139" s="2">
        <v>1</v>
      </c>
      <c r="BJ139" s="2" t="s">
        <v>228</v>
      </c>
      <c r="BK139" s="2"/>
      <c r="BL139" s="2"/>
      <c r="BM139" s="2">
        <v>500003</v>
      </c>
      <c r="BN139" s="2">
        <v>0</v>
      </c>
      <c r="BO139" s="2" t="s">
        <v>6</v>
      </c>
      <c r="BP139" s="2">
        <v>0</v>
      </c>
      <c r="BQ139" s="2">
        <v>22</v>
      </c>
      <c r="BR139" s="2">
        <v>0</v>
      </c>
      <c r="BS139" s="2">
        <v>1</v>
      </c>
      <c r="BT139" s="2">
        <v>1</v>
      </c>
      <c r="BU139" s="2">
        <v>1</v>
      </c>
      <c r="BV139" s="2">
        <v>1</v>
      </c>
      <c r="BW139" s="2">
        <v>1</v>
      </c>
      <c r="BX139" s="2">
        <v>1</v>
      </c>
      <c r="BY139" s="2" t="s">
        <v>6</v>
      </c>
      <c r="BZ139" s="2">
        <v>0</v>
      </c>
      <c r="CA139" s="2">
        <v>0</v>
      </c>
      <c r="CB139" s="2" t="s">
        <v>6</v>
      </c>
      <c r="CC139" s="2"/>
      <c r="CD139" s="2"/>
      <c r="CE139" s="2">
        <v>0</v>
      </c>
      <c r="CF139" s="2">
        <v>0</v>
      </c>
      <c r="CG139" s="2">
        <v>0</v>
      </c>
      <c r="CH139" s="2"/>
      <c r="CI139" s="2"/>
      <c r="CJ139" s="2"/>
      <c r="CK139" s="2"/>
      <c r="CL139" s="2"/>
      <c r="CM139" s="2">
        <v>0</v>
      </c>
      <c r="CN139" s="2" t="s">
        <v>6</v>
      </c>
      <c r="CO139" s="2">
        <v>0</v>
      </c>
      <c r="CP139" s="2">
        <f t="shared" si="124"/>
        <v>51904</v>
      </c>
      <c r="CQ139" s="2">
        <f t="shared" si="125"/>
        <v>5132.8999999999996</v>
      </c>
      <c r="CR139" s="2">
        <f t="shared" si="126"/>
        <v>0</v>
      </c>
      <c r="CS139" s="2">
        <f t="shared" si="127"/>
        <v>0</v>
      </c>
      <c r="CT139" s="2">
        <f t="shared" si="128"/>
        <v>0</v>
      </c>
      <c r="CU139" s="2">
        <f t="shared" si="129"/>
        <v>0</v>
      </c>
      <c r="CV139" s="2">
        <f t="shared" si="130"/>
        <v>0</v>
      </c>
      <c r="CW139" s="2">
        <f t="shared" si="131"/>
        <v>0</v>
      </c>
      <c r="CX139" s="2">
        <f t="shared" si="132"/>
        <v>0</v>
      </c>
      <c r="CY139" s="2">
        <f>(((S139+(R139*IF(0,0,1)))*AT139)/100)</f>
        <v>0</v>
      </c>
      <c r="CZ139" s="2">
        <f>(((S139+(R139*IF(0,0,1)))*AU139)/100)</f>
        <v>0</v>
      </c>
      <c r="DA139" s="2"/>
      <c r="DB139" s="2"/>
      <c r="DC139" s="2" t="s">
        <v>6</v>
      </c>
      <c r="DD139" s="2" t="s">
        <v>6</v>
      </c>
      <c r="DE139" s="2" t="s">
        <v>6</v>
      </c>
      <c r="DF139" s="2" t="s">
        <v>6</v>
      </c>
      <c r="DG139" s="2" t="s">
        <v>6</v>
      </c>
      <c r="DH139" s="2" t="s">
        <v>6</v>
      </c>
      <c r="DI139" s="2" t="s">
        <v>6</v>
      </c>
      <c r="DJ139" s="2" t="s">
        <v>6</v>
      </c>
      <c r="DK139" s="2" t="s">
        <v>6</v>
      </c>
      <c r="DL139" s="2" t="s">
        <v>6</v>
      </c>
      <c r="DM139" s="2" t="s">
        <v>6</v>
      </c>
      <c r="DN139" s="2">
        <v>0</v>
      </c>
      <c r="DO139" s="2">
        <v>0</v>
      </c>
      <c r="DP139" s="2">
        <v>1</v>
      </c>
      <c r="DQ139" s="2">
        <v>1</v>
      </c>
      <c r="DR139" s="2"/>
      <c r="DS139" s="2"/>
      <c r="DT139" s="2"/>
      <c r="DU139" s="2">
        <v>1009</v>
      </c>
      <c r="DV139" s="2" t="s">
        <v>33</v>
      </c>
      <c r="DW139" s="2" t="s">
        <v>33</v>
      </c>
      <c r="DX139" s="2">
        <v>1000</v>
      </c>
      <c r="DY139" s="2"/>
      <c r="DZ139" s="2" t="s">
        <v>6</v>
      </c>
      <c r="EA139" s="2" t="s">
        <v>6</v>
      </c>
      <c r="EB139" s="2" t="s">
        <v>6</v>
      </c>
      <c r="EC139" s="2" t="s">
        <v>6</v>
      </c>
      <c r="ED139" s="2"/>
      <c r="EE139" s="2">
        <v>54938783</v>
      </c>
      <c r="EF139" s="2">
        <v>22</v>
      </c>
      <c r="EG139" s="2" t="s">
        <v>57</v>
      </c>
      <c r="EH139" s="2">
        <v>0</v>
      </c>
      <c r="EI139" s="2" t="s">
        <v>6</v>
      </c>
      <c r="EJ139" s="2">
        <v>1</v>
      </c>
      <c r="EK139" s="2">
        <v>500003</v>
      </c>
      <c r="EL139" s="2" t="s">
        <v>58</v>
      </c>
      <c r="EM139" s="2" t="s">
        <v>59</v>
      </c>
      <c r="EN139" s="2"/>
      <c r="EO139" s="2" t="s">
        <v>6</v>
      </c>
      <c r="EP139" s="2"/>
      <c r="EQ139" s="2">
        <v>0</v>
      </c>
      <c r="ER139" s="2">
        <v>5132.8999999999996</v>
      </c>
      <c r="ES139" s="110">
        <f>'1.Лок.смета.и.Акт'!F265</f>
        <v>5132.8999999999996</v>
      </c>
      <c r="ET139" s="2">
        <v>0</v>
      </c>
      <c r="EU139" s="2">
        <v>0</v>
      </c>
      <c r="EV139" s="2">
        <v>0</v>
      </c>
      <c r="EW139" s="2">
        <v>0</v>
      </c>
      <c r="EX139" s="2">
        <v>0</v>
      </c>
      <c r="EY139" s="2"/>
      <c r="EZ139" s="2"/>
      <c r="FA139" s="2"/>
      <c r="FB139" s="2"/>
      <c r="FC139" s="2"/>
      <c r="FD139" s="2"/>
      <c r="FE139" s="2"/>
      <c r="FF139" s="2"/>
      <c r="FG139" s="2"/>
      <c r="FH139" s="2"/>
      <c r="FI139" s="2"/>
      <c r="FJ139" s="2"/>
      <c r="FK139" s="2"/>
      <c r="FL139" s="2"/>
      <c r="FM139" s="2"/>
      <c r="FN139" s="2"/>
      <c r="FO139" s="2"/>
      <c r="FP139" s="2"/>
      <c r="FQ139" s="2">
        <v>0</v>
      </c>
      <c r="FR139" s="2">
        <f t="shared" si="133"/>
        <v>0</v>
      </c>
      <c r="FS139" s="2">
        <v>0</v>
      </c>
      <c r="FT139" s="2"/>
      <c r="FU139" s="2"/>
      <c r="FV139" s="2"/>
      <c r="FW139" s="2"/>
      <c r="FX139" s="2">
        <v>0</v>
      </c>
      <c r="FY139" s="2">
        <v>0</v>
      </c>
      <c r="FZ139" s="2"/>
      <c r="GA139" s="2" t="s">
        <v>6</v>
      </c>
      <c r="GB139" s="2"/>
      <c r="GC139" s="2"/>
      <c r="GD139" s="2">
        <v>1</v>
      </c>
      <c r="GE139" s="2"/>
      <c r="GF139" s="2">
        <v>-1683247353</v>
      </c>
      <c r="GG139" s="2">
        <v>2</v>
      </c>
      <c r="GH139" s="2">
        <v>1</v>
      </c>
      <c r="GI139" s="2">
        <v>-2</v>
      </c>
      <c r="GJ139" s="2">
        <v>0</v>
      </c>
      <c r="GK139" s="2">
        <v>0</v>
      </c>
      <c r="GL139" s="2">
        <f t="shared" si="134"/>
        <v>0</v>
      </c>
      <c r="GM139" s="2">
        <f t="shared" si="135"/>
        <v>51904</v>
      </c>
      <c r="GN139" s="2">
        <f t="shared" si="136"/>
        <v>51904</v>
      </c>
      <c r="GO139" s="2">
        <f t="shared" si="137"/>
        <v>0</v>
      </c>
      <c r="GP139" s="2">
        <f t="shared" si="138"/>
        <v>0</v>
      </c>
      <c r="GQ139" s="2"/>
      <c r="GR139" s="2">
        <v>0</v>
      </c>
      <c r="GS139" s="2">
        <v>3</v>
      </c>
      <c r="GT139" s="2">
        <v>0</v>
      </c>
      <c r="GU139" s="2" t="s">
        <v>6</v>
      </c>
      <c r="GV139" s="2">
        <f t="shared" si="139"/>
        <v>0</v>
      </c>
      <c r="GW139" s="2">
        <v>1</v>
      </c>
      <c r="GX139" s="2">
        <f t="shared" si="140"/>
        <v>0</v>
      </c>
      <c r="GY139" s="2"/>
      <c r="GZ139" s="2"/>
      <c r="HA139" s="2">
        <v>0</v>
      </c>
      <c r="HB139" s="2">
        <v>0</v>
      </c>
      <c r="HC139" s="2">
        <f t="shared" si="141"/>
        <v>0</v>
      </c>
      <c r="HD139" s="2"/>
      <c r="HE139" s="2" t="s">
        <v>6</v>
      </c>
      <c r="HF139" s="2" t="s">
        <v>6</v>
      </c>
      <c r="HG139" s="2"/>
      <c r="HH139" s="2"/>
      <c r="HI139" s="2"/>
      <c r="HJ139" s="2"/>
      <c r="HK139" s="2"/>
      <c r="HL139" s="2"/>
      <c r="HM139" s="2" t="s">
        <v>6</v>
      </c>
      <c r="HN139" s="2" t="s">
        <v>6</v>
      </c>
      <c r="HO139" s="2" t="s">
        <v>6</v>
      </c>
      <c r="HP139" s="2" t="s">
        <v>6</v>
      </c>
      <c r="HQ139" s="2" t="s">
        <v>6</v>
      </c>
      <c r="HR139" s="2"/>
      <c r="HS139" s="2"/>
      <c r="HT139" s="2"/>
      <c r="HU139" s="2"/>
      <c r="HV139" s="2"/>
      <c r="HW139" s="2"/>
      <c r="HX139" s="2"/>
      <c r="HY139" s="2"/>
      <c r="HZ139" s="2"/>
      <c r="IA139" s="2"/>
      <c r="IB139" s="2"/>
      <c r="IC139" s="2"/>
      <c r="ID139" s="2"/>
      <c r="IE139" s="2"/>
      <c r="IF139" s="2">
        <v>-1</v>
      </c>
      <c r="IG139" s="2"/>
      <c r="IH139" s="2"/>
      <c r="II139" s="2"/>
      <c r="IJ139" s="2"/>
      <c r="IK139" s="2">
        <v>0</v>
      </c>
      <c r="IL139" s="2"/>
      <c r="IM139" s="2"/>
      <c r="IN139" s="2"/>
      <c r="IO139" s="2"/>
      <c r="IP139" s="2"/>
      <c r="IQ139" s="2"/>
      <c r="IR139" s="2"/>
      <c r="IS139" s="2"/>
      <c r="IT139" s="2"/>
      <c r="IU139" s="2"/>
    </row>
    <row r="140" spans="1:255" x14ac:dyDescent="0.2">
      <c r="A140">
        <v>18</v>
      </c>
      <c r="B140">
        <v>1</v>
      </c>
      <c r="C140">
        <v>151</v>
      </c>
      <c r="E140" t="s">
        <v>234</v>
      </c>
      <c r="F140" t="e">
        <f>'2.Лок.смета.и.Акт'!#REF!</f>
        <v>#REF!</v>
      </c>
      <c r="G140" t="s">
        <v>227</v>
      </c>
      <c r="H140" t="s">
        <v>33</v>
      </c>
      <c r="I140">
        <f>I138*J140</f>
        <v>10.112</v>
      </c>
      <c r="J140">
        <v>0.99982696823631201</v>
      </c>
      <c r="K140">
        <v>0.99982696999999998</v>
      </c>
      <c r="O140">
        <f t="shared" si="110"/>
        <v>629208</v>
      </c>
      <c r="P140">
        <f t="shared" si="111"/>
        <v>629208</v>
      </c>
      <c r="Q140">
        <f t="shared" si="112"/>
        <v>0</v>
      </c>
      <c r="R140">
        <f t="shared" si="113"/>
        <v>0</v>
      </c>
      <c r="S140">
        <f t="shared" si="114"/>
        <v>0</v>
      </c>
      <c r="T140">
        <f t="shared" si="115"/>
        <v>0</v>
      </c>
      <c r="U140">
        <f t="shared" si="116"/>
        <v>0</v>
      </c>
      <c r="V140">
        <f t="shared" si="117"/>
        <v>0</v>
      </c>
      <c r="W140">
        <f t="shared" si="118"/>
        <v>0</v>
      </c>
      <c r="X140">
        <f t="shared" si="119"/>
        <v>0</v>
      </c>
      <c r="Y140">
        <f t="shared" si="120"/>
        <v>0</v>
      </c>
      <c r="AA140">
        <v>86326988</v>
      </c>
      <c r="AB140">
        <f t="shared" si="121"/>
        <v>8230.68</v>
      </c>
      <c r="AC140">
        <f>ROUND((ES140),2)</f>
        <v>8230.68</v>
      </c>
      <c r="AD140">
        <f>ROUND((((ET140)-(EU140))+AE140),2)</f>
        <v>0</v>
      </c>
      <c r="AE140">
        <f t="shared" si="148"/>
        <v>0</v>
      </c>
      <c r="AF140">
        <f t="shared" si="148"/>
        <v>0</v>
      </c>
      <c r="AG140">
        <f t="shared" si="122"/>
        <v>0</v>
      </c>
      <c r="AH140">
        <f t="shared" si="149"/>
        <v>0</v>
      </c>
      <c r="AI140">
        <f t="shared" si="149"/>
        <v>0</v>
      </c>
      <c r="AJ140">
        <f t="shared" si="123"/>
        <v>0</v>
      </c>
      <c r="AK140">
        <v>8230.68</v>
      </c>
      <c r="AL140">
        <v>8230.68</v>
      </c>
      <c r="AM140">
        <v>0</v>
      </c>
      <c r="AN140">
        <v>0</v>
      </c>
      <c r="AO140">
        <v>0</v>
      </c>
      <c r="AP140">
        <v>0</v>
      </c>
      <c r="AQ140">
        <v>0</v>
      </c>
      <c r="AR140">
        <v>0</v>
      </c>
      <c r="AS140">
        <v>0</v>
      </c>
      <c r="AT140">
        <v>0</v>
      </c>
      <c r="AU140">
        <v>0</v>
      </c>
      <c r="AV140">
        <v>1</v>
      </c>
      <c r="AW140">
        <v>1</v>
      </c>
      <c r="AZ140">
        <v>1</v>
      </c>
      <c r="BA140">
        <v>1</v>
      </c>
      <c r="BB140">
        <v>1</v>
      </c>
      <c r="BC140">
        <v>7.56</v>
      </c>
      <c r="BD140" t="s">
        <v>6</v>
      </c>
      <c r="BE140" t="s">
        <v>6</v>
      </c>
      <c r="BF140" t="s">
        <v>6</v>
      </c>
      <c r="BG140" t="s">
        <v>6</v>
      </c>
      <c r="BH140">
        <v>3</v>
      </c>
      <c r="BI140">
        <v>1</v>
      </c>
      <c r="BJ140" t="s">
        <v>228</v>
      </c>
      <c r="BM140">
        <v>500003</v>
      </c>
      <c r="BN140">
        <v>0</v>
      </c>
      <c r="BO140" t="s">
        <v>6</v>
      </c>
      <c r="BP140">
        <v>0</v>
      </c>
      <c r="BQ140">
        <v>22</v>
      </c>
      <c r="BR140">
        <v>0</v>
      </c>
      <c r="BS140">
        <v>1</v>
      </c>
      <c r="BT140">
        <v>1</v>
      </c>
      <c r="BU140">
        <v>1</v>
      </c>
      <c r="BV140">
        <v>1</v>
      </c>
      <c r="BW140">
        <v>1</v>
      </c>
      <c r="BX140">
        <v>1</v>
      </c>
      <c r="BY140" t="s">
        <v>6</v>
      </c>
      <c r="BZ140">
        <v>0</v>
      </c>
      <c r="CA140">
        <v>0</v>
      </c>
      <c r="CB140" t="s">
        <v>6</v>
      </c>
      <c r="CE140">
        <v>0</v>
      </c>
      <c r="CF140">
        <v>0</v>
      </c>
      <c r="CG140">
        <v>0</v>
      </c>
      <c r="CM140">
        <v>0</v>
      </c>
      <c r="CN140" t="s">
        <v>6</v>
      </c>
      <c r="CO140">
        <v>0</v>
      </c>
      <c r="CP140">
        <f t="shared" si="124"/>
        <v>629208</v>
      </c>
      <c r="CQ140">
        <f t="shared" si="125"/>
        <v>62223.940799999997</v>
      </c>
      <c r="CR140">
        <f t="shared" si="126"/>
        <v>0</v>
      </c>
      <c r="CS140">
        <f t="shared" si="127"/>
        <v>0</v>
      </c>
      <c r="CT140">
        <f t="shared" si="128"/>
        <v>0</v>
      </c>
      <c r="CU140">
        <f t="shared" si="129"/>
        <v>0</v>
      </c>
      <c r="CV140">
        <f t="shared" si="130"/>
        <v>0</v>
      </c>
      <c r="CW140">
        <f t="shared" si="131"/>
        <v>0</v>
      </c>
      <c r="CX140">
        <f t="shared" si="132"/>
        <v>0</v>
      </c>
      <c r="CY140">
        <f>(S140+R140)*(BZ140/100)</f>
        <v>0</v>
      </c>
      <c r="CZ140">
        <f>(S140+R140)*(CA140/100)</f>
        <v>0</v>
      </c>
      <c r="DC140" t="s">
        <v>6</v>
      </c>
      <c r="DD140" t="s">
        <v>6</v>
      </c>
      <c r="DE140" t="s">
        <v>6</v>
      </c>
      <c r="DF140" t="s">
        <v>6</v>
      </c>
      <c r="DG140" t="s">
        <v>6</v>
      </c>
      <c r="DH140" t="s">
        <v>6</v>
      </c>
      <c r="DI140" t="s">
        <v>6</v>
      </c>
      <c r="DJ140" t="s">
        <v>6</v>
      </c>
      <c r="DK140" t="s">
        <v>6</v>
      </c>
      <c r="DL140" t="s">
        <v>6</v>
      </c>
      <c r="DM140" t="s">
        <v>6</v>
      </c>
      <c r="DN140">
        <v>0</v>
      </c>
      <c r="DO140">
        <v>0</v>
      </c>
      <c r="DP140">
        <v>1</v>
      </c>
      <c r="DQ140">
        <v>1</v>
      </c>
      <c r="DU140">
        <v>1009</v>
      </c>
      <c r="DV140" t="s">
        <v>33</v>
      </c>
      <c r="DW140" t="e">
        <f>'2.Лок.смета.и.Акт'!#REF!</f>
        <v>#REF!</v>
      </c>
      <c r="DX140">
        <v>1000</v>
      </c>
      <c r="DZ140" t="s">
        <v>6</v>
      </c>
      <c r="EA140" t="s">
        <v>6</v>
      </c>
      <c r="EB140" t="s">
        <v>6</v>
      </c>
      <c r="EC140" t="s">
        <v>6</v>
      </c>
      <c r="EE140">
        <v>54938783</v>
      </c>
      <c r="EF140">
        <v>22</v>
      </c>
      <c r="EG140" t="s">
        <v>57</v>
      </c>
      <c r="EH140">
        <v>0</v>
      </c>
      <c r="EI140" t="s">
        <v>6</v>
      </c>
      <c r="EJ140">
        <v>1</v>
      </c>
      <c r="EK140">
        <v>500003</v>
      </c>
      <c r="EL140" t="s">
        <v>58</v>
      </c>
      <c r="EM140" t="s">
        <v>59</v>
      </c>
      <c r="EO140" t="s">
        <v>6</v>
      </c>
      <c r="EQ140">
        <v>0</v>
      </c>
      <c r="ER140">
        <v>59385.33</v>
      </c>
      <c r="ES140">
        <v>8230.68</v>
      </c>
      <c r="ET140">
        <v>0</v>
      </c>
      <c r="EU140">
        <v>0</v>
      </c>
      <c r="EV140">
        <v>0</v>
      </c>
      <c r="EW140">
        <v>0</v>
      </c>
      <c r="EX140">
        <v>0</v>
      </c>
      <c r="EZ140">
        <v>5</v>
      </c>
      <c r="FC140">
        <v>0</v>
      </c>
      <c r="FD140">
        <v>18</v>
      </c>
      <c r="FF140">
        <v>59385.33</v>
      </c>
      <c r="FQ140">
        <v>0</v>
      </c>
      <c r="FR140">
        <f t="shared" si="133"/>
        <v>0</v>
      </c>
      <c r="FS140">
        <v>0</v>
      </c>
      <c r="FX140">
        <v>0</v>
      </c>
      <c r="FY140">
        <v>0</v>
      </c>
      <c r="GA140" t="s">
        <v>229</v>
      </c>
      <c r="GD140">
        <v>1</v>
      </c>
      <c r="GF140">
        <v>-1683247353</v>
      </c>
      <c r="GG140">
        <v>2</v>
      </c>
      <c r="GH140">
        <v>3</v>
      </c>
      <c r="GI140">
        <v>5</v>
      </c>
      <c r="GJ140">
        <v>0</v>
      </c>
      <c r="GK140">
        <v>0</v>
      </c>
      <c r="GL140">
        <f t="shared" si="134"/>
        <v>0</v>
      </c>
      <c r="GM140">
        <f t="shared" si="135"/>
        <v>629208</v>
      </c>
      <c r="GN140">
        <f t="shared" si="136"/>
        <v>629208</v>
      </c>
      <c r="GO140">
        <f t="shared" si="137"/>
        <v>0</v>
      </c>
      <c r="GP140">
        <f t="shared" si="138"/>
        <v>0</v>
      </c>
      <c r="GR140">
        <v>1</v>
      </c>
      <c r="GS140">
        <v>1</v>
      </c>
      <c r="GT140">
        <v>0</v>
      </c>
      <c r="GU140" t="s">
        <v>6</v>
      </c>
      <c r="GV140">
        <f t="shared" si="139"/>
        <v>0</v>
      </c>
      <c r="GW140">
        <v>1</v>
      </c>
      <c r="GX140">
        <f t="shared" si="140"/>
        <v>0</v>
      </c>
      <c r="HA140">
        <v>0</v>
      </c>
      <c r="HB140">
        <v>0</v>
      </c>
      <c r="HC140">
        <f t="shared" si="141"/>
        <v>0</v>
      </c>
      <c r="HE140" t="s">
        <v>39</v>
      </c>
      <c r="HF140" t="s">
        <v>61</v>
      </c>
      <c r="HM140" t="s">
        <v>6</v>
      </c>
      <c r="HN140" t="s">
        <v>6</v>
      </c>
      <c r="HO140" t="s">
        <v>6</v>
      </c>
      <c r="HP140" t="s">
        <v>6</v>
      </c>
      <c r="HQ140" t="s">
        <v>6</v>
      </c>
      <c r="IF140">
        <v>-1</v>
      </c>
      <c r="IK140">
        <v>0</v>
      </c>
    </row>
    <row r="141" spans="1:255" x14ac:dyDescent="0.2">
      <c r="A141" s="2">
        <v>18</v>
      </c>
      <c r="B141" s="2">
        <v>1</v>
      </c>
      <c r="C141" s="2">
        <v>145</v>
      </c>
      <c r="D141" s="2"/>
      <c r="E141" s="2" t="s">
        <v>235</v>
      </c>
      <c r="F141" s="2" t="s">
        <v>236</v>
      </c>
      <c r="G141" s="2" t="s">
        <v>237</v>
      </c>
      <c r="H141" s="2" t="s">
        <v>33</v>
      </c>
      <c r="I141" s="2">
        <f>I137*J141</f>
        <v>1.8450000000000001E-3</v>
      </c>
      <c r="J141" s="226">
        <f>'5.Ведомость_списания'!F65</f>
        <v>1.8242491657397109E-4</v>
      </c>
      <c r="K141" s="2">
        <v>1.8242000000000001E-4</v>
      </c>
      <c r="L141" s="2"/>
      <c r="M141" s="2"/>
      <c r="N141" s="2"/>
      <c r="O141" s="2">
        <f t="shared" si="110"/>
        <v>34</v>
      </c>
      <c r="P141" s="2">
        <f t="shared" si="111"/>
        <v>34</v>
      </c>
      <c r="Q141" s="2">
        <f t="shared" si="112"/>
        <v>0</v>
      </c>
      <c r="R141" s="2">
        <f t="shared" si="113"/>
        <v>0</v>
      </c>
      <c r="S141" s="2">
        <f t="shared" si="114"/>
        <v>0</v>
      </c>
      <c r="T141" s="2">
        <f t="shared" si="115"/>
        <v>0</v>
      </c>
      <c r="U141" s="2">
        <f t="shared" si="116"/>
        <v>0</v>
      </c>
      <c r="V141" s="2">
        <f t="shared" si="117"/>
        <v>0</v>
      </c>
      <c r="W141" s="2">
        <f t="shared" si="118"/>
        <v>0</v>
      </c>
      <c r="X141" s="2">
        <f t="shared" si="119"/>
        <v>0</v>
      </c>
      <c r="Y141" s="2">
        <f t="shared" si="120"/>
        <v>0</v>
      </c>
      <c r="Z141" s="2"/>
      <c r="AA141" s="2">
        <v>86326987</v>
      </c>
      <c r="AB141" s="2">
        <f t="shared" si="121"/>
        <v>18322.43</v>
      </c>
      <c r="AC141" s="2">
        <f>ROUND((ES141),2)</f>
        <v>18322.43</v>
      </c>
      <c r="AD141" s="2">
        <f>ROUND((((ET141)-(EU141))+AE141),2)</f>
        <v>0</v>
      </c>
      <c r="AE141" s="2">
        <f t="shared" si="148"/>
        <v>0</v>
      </c>
      <c r="AF141" s="2">
        <f t="shared" si="148"/>
        <v>0</v>
      </c>
      <c r="AG141" s="2">
        <f t="shared" si="122"/>
        <v>0</v>
      </c>
      <c r="AH141" s="2">
        <f t="shared" si="149"/>
        <v>0</v>
      </c>
      <c r="AI141" s="2">
        <f t="shared" si="149"/>
        <v>0</v>
      </c>
      <c r="AJ141" s="2">
        <f t="shared" si="123"/>
        <v>0</v>
      </c>
      <c r="AK141" s="2">
        <v>18322.43</v>
      </c>
      <c r="AL141" s="110">
        <f>'1.Лок.смета.и.Акт'!F267</f>
        <v>18322.43</v>
      </c>
      <c r="AM141" s="2">
        <v>0</v>
      </c>
      <c r="AN141" s="2">
        <v>0</v>
      </c>
      <c r="AO141" s="2">
        <v>0</v>
      </c>
      <c r="AP141" s="2">
        <v>0</v>
      </c>
      <c r="AQ141" s="2">
        <v>0</v>
      </c>
      <c r="AR141" s="2">
        <v>0</v>
      </c>
      <c r="AS141" s="2">
        <v>0</v>
      </c>
      <c r="AT141" s="2">
        <v>0</v>
      </c>
      <c r="AU141" s="2">
        <v>0</v>
      </c>
      <c r="AV141" s="2">
        <v>1</v>
      </c>
      <c r="AW141" s="2">
        <v>1</v>
      </c>
      <c r="AX141" s="2"/>
      <c r="AY141" s="2"/>
      <c r="AZ141" s="2">
        <v>1</v>
      </c>
      <c r="BA141" s="2">
        <v>1</v>
      </c>
      <c r="BB141" s="2">
        <v>1</v>
      </c>
      <c r="BC141" s="2">
        <v>1</v>
      </c>
      <c r="BD141" s="2" t="s">
        <v>6</v>
      </c>
      <c r="BE141" s="2" t="s">
        <v>6</v>
      </c>
      <c r="BF141" s="2" t="s">
        <v>6</v>
      </c>
      <c r="BG141" s="2" t="s">
        <v>6</v>
      </c>
      <c r="BH141" s="2">
        <v>3</v>
      </c>
      <c r="BI141" s="2">
        <v>1</v>
      </c>
      <c r="BJ141" s="2" t="s">
        <v>228</v>
      </c>
      <c r="BK141" s="2"/>
      <c r="BL141" s="2"/>
      <c r="BM141" s="2">
        <v>500003</v>
      </c>
      <c r="BN141" s="2">
        <v>0</v>
      </c>
      <c r="BO141" s="2" t="s">
        <v>6</v>
      </c>
      <c r="BP141" s="2">
        <v>0</v>
      </c>
      <c r="BQ141" s="2">
        <v>22</v>
      </c>
      <c r="BR141" s="2">
        <v>0</v>
      </c>
      <c r="BS141" s="2">
        <v>1</v>
      </c>
      <c r="BT141" s="2">
        <v>1</v>
      </c>
      <c r="BU141" s="2">
        <v>1</v>
      </c>
      <c r="BV141" s="2">
        <v>1</v>
      </c>
      <c r="BW141" s="2">
        <v>1</v>
      </c>
      <c r="BX141" s="2">
        <v>1</v>
      </c>
      <c r="BY141" s="2" t="s">
        <v>6</v>
      </c>
      <c r="BZ141" s="2">
        <v>0</v>
      </c>
      <c r="CA141" s="2">
        <v>0</v>
      </c>
      <c r="CB141" s="2" t="s">
        <v>6</v>
      </c>
      <c r="CC141" s="2"/>
      <c r="CD141" s="2"/>
      <c r="CE141" s="2">
        <v>0</v>
      </c>
      <c r="CF141" s="2">
        <v>0</v>
      </c>
      <c r="CG141" s="2">
        <v>0</v>
      </c>
      <c r="CH141" s="2"/>
      <c r="CI141" s="2"/>
      <c r="CJ141" s="2"/>
      <c r="CK141" s="2"/>
      <c r="CL141" s="2"/>
      <c r="CM141" s="2">
        <v>0</v>
      </c>
      <c r="CN141" s="2" t="s">
        <v>6</v>
      </c>
      <c r="CO141" s="2">
        <v>0</v>
      </c>
      <c r="CP141" s="2">
        <f t="shared" si="124"/>
        <v>34</v>
      </c>
      <c r="CQ141" s="2">
        <f t="shared" si="125"/>
        <v>18322.43</v>
      </c>
      <c r="CR141" s="2">
        <f t="shared" si="126"/>
        <v>0</v>
      </c>
      <c r="CS141" s="2">
        <f t="shared" si="127"/>
        <v>0</v>
      </c>
      <c r="CT141" s="2">
        <f t="shared" si="128"/>
        <v>0</v>
      </c>
      <c r="CU141" s="2">
        <f t="shared" si="129"/>
        <v>0</v>
      </c>
      <c r="CV141" s="2">
        <f t="shared" si="130"/>
        <v>0</v>
      </c>
      <c r="CW141" s="2">
        <f t="shared" si="131"/>
        <v>0</v>
      </c>
      <c r="CX141" s="2">
        <f t="shared" si="132"/>
        <v>0</v>
      </c>
      <c r="CY141" s="2">
        <f>(((S141+(R141*IF(0,0,1)))*AT141)/100)</f>
        <v>0</v>
      </c>
      <c r="CZ141" s="2">
        <f>(((S141+(R141*IF(0,0,1)))*AU141)/100)</f>
        <v>0</v>
      </c>
      <c r="DA141" s="2"/>
      <c r="DB141" s="2"/>
      <c r="DC141" s="2" t="s">
        <v>6</v>
      </c>
      <c r="DD141" s="2" t="s">
        <v>6</v>
      </c>
      <c r="DE141" s="2" t="s">
        <v>6</v>
      </c>
      <c r="DF141" s="2" t="s">
        <v>6</v>
      </c>
      <c r="DG141" s="2" t="s">
        <v>6</v>
      </c>
      <c r="DH141" s="2" t="s">
        <v>6</v>
      </c>
      <c r="DI141" s="2" t="s">
        <v>6</v>
      </c>
      <c r="DJ141" s="2" t="s">
        <v>6</v>
      </c>
      <c r="DK141" s="2" t="s">
        <v>6</v>
      </c>
      <c r="DL141" s="2" t="s">
        <v>6</v>
      </c>
      <c r="DM141" s="2" t="s">
        <v>6</v>
      </c>
      <c r="DN141" s="2">
        <v>0</v>
      </c>
      <c r="DO141" s="2">
        <v>0</v>
      </c>
      <c r="DP141" s="2">
        <v>1</v>
      </c>
      <c r="DQ141" s="2">
        <v>1</v>
      </c>
      <c r="DR141" s="2"/>
      <c r="DS141" s="2"/>
      <c r="DT141" s="2"/>
      <c r="DU141" s="2">
        <v>1009</v>
      </c>
      <c r="DV141" s="2" t="s">
        <v>33</v>
      </c>
      <c r="DW141" s="2" t="s">
        <v>33</v>
      </c>
      <c r="DX141" s="2">
        <v>1000</v>
      </c>
      <c r="DY141" s="2"/>
      <c r="DZ141" s="2" t="s">
        <v>6</v>
      </c>
      <c r="EA141" s="2" t="s">
        <v>6</v>
      </c>
      <c r="EB141" s="2" t="s">
        <v>6</v>
      </c>
      <c r="EC141" s="2" t="s">
        <v>6</v>
      </c>
      <c r="ED141" s="2"/>
      <c r="EE141" s="2">
        <v>54938783</v>
      </c>
      <c r="EF141" s="2">
        <v>22</v>
      </c>
      <c r="EG141" s="2" t="s">
        <v>57</v>
      </c>
      <c r="EH141" s="2">
        <v>0</v>
      </c>
      <c r="EI141" s="2" t="s">
        <v>6</v>
      </c>
      <c r="EJ141" s="2">
        <v>1</v>
      </c>
      <c r="EK141" s="2">
        <v>500003</v>
      </c>
      <c r="EL141" s="2" t="s">
        <v>58</v>
      </c>
      <c r="EM141" s="2" t="s">
        <v>59</v>
      </c>
      <c r="EN141" s="2"/>
      <c r="EO141" s="2" t="s">
        <v>6</v>
      </c>
      <c r="EP141" s="2"/>
      <c r="EQ141" s="2">
        <v>0</v>
      </c>
      <c r="ER141" s="2">
        <v>5132.8999999999996</v>
      </c>
      <c r="ES141" s="110">
        <f>'1.Лок.смета.и.Акт'!F267</f>
        <v>18322.43</v>
      </c>
      <c r="ET141" s="2">
        <v>0</v>
      </c>
      <c r="EU141" s="2">
        <v>0</v>
      </c>
      <c r="EV141" s="2">
        <v>0</v>
      </c>
      <c r="EW141" s="2">
        <v>0</v>
      </c>
      <c r="EX141" s="2">
        <v>0</v>
      </c>
      <c r="EY141" s="2"/>
      <c r="EZ141" s="2"/>
      <c r="FA141" s="2"/>
      <c r="FB141" s="2"/>
      <c r="FC141" s="2"/>
      <c r="FD141" s="2"/>
      <c r="FE141" s="2"/>
      <c r="FF141" s="2"/>
      <c r="FG141" s="2"/>
      <c r="FH141" s="2"/>
      <c r="FI141" s="2"/>
      <c r="FJ141" s="2"/>
      <c r="FK141" s="2"/>
      <c r="FL141" s="2"/>
      <c r="FM141" s="2"/>
      <c r="FN141" s="2"/>
      <c r="FO141" s="2"/>
      <c r="FP141" s="2"/>
      <c r="FQ141" s="2">
        <v>0</v>
      </c>
      <c r="FR141" s="2">
        <f t="shared" si="133"/>
        <v>0</v>
      </c>
      <c r="FS141" s="2">
        <v>0</v>
      </c>
      <c r="FT141" s="2"/>
      <c r="FU141" s="2"/>
      <c r="FV141" s="2"/>
      <c r="FW141" s="2"/>
      <c r="FX141" s="2">
        <v>0</v>
      </c>
      <c r="FY141" s="2">
        <v>0</v>
      </c>
      <c r="FZ141" s="2"/>
      <c r="GA141" s="2" t="s">
        <v>238</v>
      </c>
      <c r="GB141" s="2"/>
      <c r="GC141" s="2"/>
      <c r="GD141" s="2">
        <v>1</v>
      </c>
      <c r="GE141" s="2"/>
      <c r="GF141" s="2">
        <v>-1565279954</v>
      </c>
      <c r="GG141" s="2">
        <v>2</v>
      </c>
      <c r="GH141" s="2">
        <v>4</v>
      </c>
      <c r="GI141" s="2">
        <v>-2</v>
      </c>
      <c r="GJ141" s="2">
        <v>0</v>
      </c>
      <c r="GK141" s="2">
        <v>0</v>
      </c>
      <c r="GL141" s="2">
        <f t="shared" si="134"/>
        <v>0</v>
      </c>
      <c r="GM141" s="2">
        <f t="shared" si="135"/>
        <v>34</v>
      </c>
      <c r="GN141" s="2">
        <f t="shared" si="136"/>
        <v>34</v>
      </c>
      <c r="GO141" s="2">
        <f t="shared" si="137"/>
        <v>0</v>
      </c>
      <c r="GP141" s="2">
        <f t="shared" si="138"/>
        <v>0</v>
      </c>
      <c r="GQ141" s="2"/>
      <c r="GR141" s="2">
        <v>0</v>
      </c>
      <c r="GS141" s="2">
        <v>2</v>
      </c>
      <c r="GT141" s="2">
        <v>0</v>
      </c>
      <c r="GU141" s="2" t="s">
        <v>6</v>
      </c>
      <c r="GV141" s="2">
        <f t="shared" si="139"/>
        <v>0</v>
      </c>
      <c r="GW141" s="2">
        <v>1</v>
      </c>
      <c r="GX141" s="2">
        <f t="shared" si="140"/>
        <v>0</v>
      </c>
      <c r="GY141" s="2"/>
      <c r="GZ141" s="2"/>
      <c r="HA141" s="2">
        <v>0</v>
      </c>
      <c r="HB141" s="2">
        <v>0</v>
      </c>
      <c r="HC141" s="2">
        <f t="shared" si="141"/>
        <v>0</v>
      </c>
      <c r="HD141" s="2"/>
      <c r="HE141" s="2" t="s">
        <v>39</v>
      </c>
      <c r="HF141" s="2" t="s">
        <v>61</v>
      </c>
      <c r="HG141" s="2"/>
      <c r="HH141" s="2"/>
      <c r="HI141" s="2"/>
      <c r="HJ141" s="2"/>
      <c r="HK141" s="2"/>
      <c r="HL141" s="2"/>
      <c r="HM141" s="2" t="s">
        <v>6</v>
      </c>
      <c r="HN141" s="2" t="s">
        <v>6</v>
      </c>
      <c r="HO141" s="2" t="s">
        <v>6</v>
      </c>
      <c r="HP141" s="2" t="s">
        <v>6</v>
      </c>
      <c r="HQ141" s="2" t="s">
        <v>6</v>
      </c>
      <c r="HR141" s="2"/>
      <c r="HS141" s="2"/>
      <c r="HT141" s="2"/>
      <c r="HU141" s="2"/>
      <c r="HV141" s="2"/>
      <c r="HW141" s="2"/>
      <c r="HX141" s="2"/>
      <c r="HY141" s="2"/>
      <c r="HZ141" s="2"/>
      <c r="IA141" s="2"/>
      <c r="IB141" s="2"/>
      <c r="IC141" s="2"/>
      <c r="ID141" s="2"/>
      <c r="IE141" s="2"/>
      <c r="IF141" s="2">
        <v>-1</v>
      </c>
      <c r="IG141" s="2"/>
      <c r="IH141" s="2"/>
      <c r="II141" s="2"/>
      <c r="IJ141" s="2"/>
      <c r="IK141" s="2">
        <v>0</v>
      </c>
      <c r="IL141" s="2"/>
      <c r="IM141" s="2"/>
      <c r="IN141" s="2"/>
      <c r="IO141" s="2"/>
      <c r="IP141" s="2"/>
      <c r="IQ141" s="2"/>
      <c r="IR141" s="2"/>
      <c r="IS141" s="2"/>
      <c r="IT141" s="2"/>
      <c r="IU141" s="2"/>
    </row>
    <row r="142" spans="1:255" x14ac:dyDescent="0.2">
      <c r="A142">
        <v>18</v>
      </c>
      <c r="B142">
        <v>1</v>
      </c>
      <c r="C142">
        <v>152</v>
      </c>
      <c r="E142" t="s">
        <v>235</v>
      </c>
      <c r="F142" t="e">
        <f>'2.Лок.смета.и.Акт'!#REF!</f>
        <v>#REF!</v>
      </c>
      <c r="G142" t="s">
        <v>237</v>
      </c>
      <c r="H142" t="s">
        <v>33</v>
      </c>
      <c r="I142">
        <f>I138*J142</f>
        <v>1.8450000000000001E-3</v>
      </c>
      <c r="J142">
        <v>1.8242491657397109E-4</v>
      </c>
      <c r="K142">
        <v>1.8242000000000001E-4</v>
      </c>
      <c r="O142">
        <f t="shared" si="110"/>
        <v>256</v>
      </c>
      <c r="P142">
        <f t="shared" si="111"/>
        <v>256</v>
      </c>
      <c r="Q142">
        <f t="shared" si="112"/>
        <v>0</v>
      </c>
      <c r="R142">
        <f t="shared" si="113"/>
        <v>0</v>
      </c>
      <c r="S142">
        <f t="shared" si="114"/>
        <v>0</v>
      </c>
      <c r="T142">
        <f t="shared" si="115"/>
        <v>0</v>
      </c>
      <c r="U142">
        <f t="shared" si="116"/>
        <v>0</v>
      </c>
      <c r="V142">
        <f t="shared" si="117"/>
        <v>0</v>
      </c>
      <c r="W142">
        <f t="shared" si="118"/>
        <v>0</v>
      </c>
      <c r="X142">
        <f t="shared" si="119"/>
        <v>0</v>
      </c>
      <c r="Y142">
        <f t="shared" si="120"/>
        <v>0</v>
      </c>
      <c r="AA142">
        <v>86326988</v>
      </c>
      <c r="AB142">
        <f t="shared" si="121"/>
        <v>18322.43</v>
      </c>
      <c r="AC142">
        <f>ROUND((ES142),2)</f>
        <v>18322.43</v>
      </c>
      <c r="AD142">
        <f>ROUND((((ET142)-(EU142))+AE142),2)</f>
        <v>0</v>
      </c>
      <c r="AE142">
        <f t="shared" si="148"/>
        <v>0</v>
      </c>
      <c r="AF142">
        <f t="shared" si="148"/>
        <v>0</v>
      </c>
      <c r="AG142">
        <f t="shared" si="122"/>
        <v>0</v>
      </c>
      <c r="AH142">
        <f t="shared" si="149"/>
        <v>0</v>
      </c>
      <c r="AI142">
        <f t="shared" si="149"/>
        <v>0</v>
      </c>
      <c r="AJ142">
        <f t="shared" si="123"/>
        <v>0</v>
      </c>
      <c r="AK142">
        <v>18322.43</v>
      </c>
      <c r="AL142">
        <v>18322.43</v>
      </c>
      <c r="AM142">
        <v>0</v>
      </c>
      <c r="AN142">
        <v>0</v>
      </c>
      <c r="AO142">
        <v>0</v>
      </c>
      <c r="AP142">
        <v>0</v>
      </c>
      <c r="AQ142">
        <v>0</v>
      </c>
      <c r="AR142">
        <v>0</v>
      </c>
      <c r="AS142">
        <v>0</v>
      </c>
      <c r="AT142">
        <v>0</v>
      </c>
      <c r="AU142">
        <v>0</v>
      </c>
      <c r="AV142">
        <v>1</v>
      </c>
      <c r="AW142">
        <v>1</v>
      </c>
      <c r="AZ142">
        <v>1</v>
      </c>
      <c r="BA142">
        <v>1</v>
      </c>
      <c r="BB142">
        <v>1</v>
      </c>
      <c r="BC142">
        <v>7.56</v>
      </c>
      <c r="BD142" t="s">
        <v>6</v>
      </c>
      <c r="BE142" t="s">
        <v>6</v>
      </c>
      <c r="BF142" t="s">
        <v>6</v>
      </c>
      <c r="BG142" t="s">
        <v>6</v>
      </c>
      <c r="BH142">
        <v>3</v>
      </c>
      <c r="BI142">
        <v>1</v>
      </c>
      <c r="BJ142" t="s">
        <v>228</v>
      </c>
      <c r="BM142">
        <v>500003</v>
      </c>
      <c r="BN142">
        <v>0</v>
      </c>
      <c r="BO142" t="s">
        <v>6</v>
      </c>
      <c r="BP142">
        <v>0</v>
      </c>
      <c r="BQ142">
        <v>22</v>
      </c>
      <c r="BR142">
        <v>0</v>
      </c>
      <c r="BS142">
        <v>1</v>
      </c>
      <c r="BT142">
        <v>1</v>
      </c>
      <c r="BU142">
        <v>1</v>
      </c>
      <c r="BV142">
        <v>1</v>
      </c>
      <c r="BW142">
        <v>1</v>
      </c>
      <c r="BX142">
        <v>1</v>
      </c>
      <c r="BY142" t="s">
        <v>6</v>
      </c>
      <c r="BZ142">
        <v>0</v>
      </c>
      <c r="CA142">
        <v>0</v>
      </c>
      <c r="CB142" t="s">
        <v>6</v>
      </c>
      <c r="CE142">
        <v>0</v>
      </c>
      <c r="CF142">
        <v>0</v>
      </c>
      <c r="CG142">
        <v>0</v>
      </c>
      <c r="CM142">
        <v>0</v>
      </c>
      <c r="CN142" t="s">
        <v>6</v>
      </c>
      <c r="CO142">
        <v>0</v>
      </c>
      <c r="CP142">
        <f t="shared" si="124"/>
        <v>256</v>
      </c>
      <c r="CQ142">
        <f t="shared" si="125"/>
        <v>138517.57079999999</v>
      </c>
      <c r="CR142">
        <f t="shared" si="126"/>
        <v>0</v>
      </c>
      <c r="CS142">
        <f t="shared" si="127"/>
        <v>0</v>
      </c>
      <c r="CT142">
        <f t="shared" si="128"/>
        <v>0</v>
      </c>
      <c r="CU142">
        <f t="shared" si="129"/>
        <v>0</v>
      </c>
      <c r="CV142">
        <f t="shared" si="130"/>
        <v>0</v>
      </c>
      <c r="CW142">
        <f t="shared" si="131"/>
        <v>0</v>
      </c>
      <c r="CX142">
        <f t="shared" si="132"/>
        <v>0</v>
      </c>
      <c r="CY142">
        <f>(S142+R142)*(BZ142/100)</f>
        <v>0</v>
      </c>
      <c r="CZ142">
        <f>(S142+R142)*(CA142/100)</f>
        <v>0</v>
      </c>
      <c r="DC142" t="s">
        <v>6</v>
      </c>
      <c r="DD142" t="s">
        <v>6</v>
      </c>
      <c r="DE142" t="s">
        <v>6</v>
      </c>
      <c r="DF142" t="s">
        <v>6</v>
      </c>
      <c r="DG142" t="s">
        <v>6</v>
      </c>
      <c r="DH142" t="s">
        <v>6</v>
      </c>
      <c r="DI142" t="s">
        <v>6</v>
      </c>
      <c r="DJ142" t="s">
        <v>6</v>
      </c>
      <c r="DK142" t="s">
        <v>6</v>
      </c>
      <c r="DL142" t="s">
        <v>6</v>
      </c>
      <c r="DM142" t="s">
        <v>6</v>
      </c>
      <c r="DN142">
        <v>0</v>
      </c>
      <c r="DO142">
        <v>0</v>
      </c>
      <c r="DP142">
        <v>1</v>
      </c>
      <c r="DQ142">
        <v>1</v>
      </c>
      <c r="DU142">
        <v>1009</v>
      </c>
      <c r="DV142" t="s">
        <v>33</v>
      </c>
      <c r="DW142" t="e">
        <f>'2.Лок.смета.и.Акт'!#REF!</f>
        <v>#REF!</v>
      </c>
      <c r="DX142">
        <v>1000</v>
      </c>
      <c r="DZ142" t="s">
        <v>6</v>
      </c>
      <c r="EA142" t="s">
        <v>6</v>
      </c>
      <c r="EB142" t="s">
        <v>6</v>
      </c>
      <c r="EC142" t="s">
        <v>6</v>
      </c>
      <c r="EE142">
        <v>54938783</v>
      </c>
      <c r="EF142">
        <v>22</v>
      </c>
      <c r="EG142" t="s">
        <v>57</v>
      </c>
      <c r="EH142">
        <v>0</v>
      </c>
      <c r="EI142" t="s">
        <v>6</v>
      </c>
      <c r="EJ142">
        <v>1</v>
      </c>
      <c r="EK142">
        <v>500003</v>
      </c>
      <c r="EL142" t="s">
        <v>58</v>
      </c>
      <c r="EM142" t="s">
        <v>59</v>
      </c>
      <c r="EO142" t="s">
        <v>6</v>
      </c>
      <c r="EQ142">
        <v>0</v>
      </c>
      <c r="ER142">
        <v>18322.43</v>
      </c>
      <c r="ES142">
        <v>18322.43</v>
      </c>
      <c r="ET142">
        <v>0</v>
      </c>
      <c r="EU142">
        <v>0</v>
      </c>
      <c r="EV142">
        <v>0</v>
      </c>
      <c r="EW142">
        <v>0</v>
      </c>
      <c r="EX142">
        <v>0</v>
      </c>
      <c r="EZ142">
        <v>5</v>
      </c>
      <c r="FC142">
        <v>0</v>
      </c>
      <c r="FD142">
        <v>18</v>
      </c>
      <c r="FF142">
        <v>132198.48000000001</v>
      </c>
      <c r="FQ142">
        <v>0</v>
      </c>
      <c r="FR142">
        <f t="shared" si="133"/>
        <v>0</v>
      </c>
      <c r="FS142">
        <v>0</v>
      </c>
      <c r="FX142">
        <v>0</v>
      </c>
      <c r="FY142">
        <v>0</v>
      </c>
      <c r="GA142" t="s">
        <v>238</v>
      </c>
      <c r="GD142">
        <v>1</v>
      </c>
      <c r="GF142">
        <v>-1565279954</v>
      </c>
      <c r="GG142">
        <v>2</v>
      </c>
      <c r="GH142">
        <v>3</v>
      </c>
      <c r="GI142">
        <v>5</v>
      </c>
      <c r="GJ142">
        <v>0</v>
      </c>
      <c r="GK142">
        <v>0</v>
      </c>
      <c r="GL142">
        <f t="shared" si="134"/>
        <v>0</v>
      </c>
      <c r="GM142">
        <f t="shared" si="135"/>
        <v>256</v>
      </c>
      <c r="GN142">
        <f t="shared" si="136"/>
        <v>256</v>
      </c>
      <c r="GO142">
        <f t="shared" si="137"/>
        <v>0</v>
      </c>
      <c r="GP142">
        <f t="shared" si="138"/>
        <v>0</v>
      </c>
      <c r="GR142">
        <v>1</v>
      </c>
      <c r="GS142">
        <v>1</v>
      </c>
      <c r="GT142">
        <v>0</v>
      </c>
      <c r="GU142" t="s">
        <v>6</v>
      </c>
      <c r="GV142">
        <f t="shared" si="139"/>
        <v>0</v>
      </c>
      <c r="GW142">
        <v>1</v>
      </c>
      <c r="GX142">
        <f t="shared" si="140"/>
        <v>0</v>
      </c>
      <c r="HA142">
        <v>0</v>
      </c>
      <c r="HB142">
        <v>0</v>
      </c>
      <c r="HC142">
        <f t="shared" si="141"/>
        <v>0</v>
      </c>
      <c r="HE142" t="s">
        <v>39</v>
      </c>
      <c r="HF142" t="s">
        <v>61</v>
      </c>
      <c r="HM142" t="s">
        <v>6</v>
      </c>
      <c r="HN142" t="s">
        <v>6</v>
      </c>
      <c r="HO142" t="s">
        <v>6</v>
      </c>
      <c r="HP142" t="s">
        <v>6</v>
      </c>
      <c r="HQ142" t="s">
        <v>6</v>
      </c>
      <c r="IF142">
        <v>-1</v>
      </c>
      <c r="IK142">
        <v>0</v>
      </c>
    </row>
    <row r="143" spans="1:255" x14ac:dyDescent="0.2">
      <c r="A143" s="2">
        <v>17</v>
      </c>
      <c r="B143" s="2">
        <v>1</v>
      </c>
      <c r="C143" s="2">
        <f>ROW(SmtRes!A165)</f>
        <v>165</v>
      </c>
      <c r="D143" s="2">
        <f>ROW(EtalonRes!A139)</f>
        <v>139</v>
      </c>
      <c r="E143" s="2" t="s">
        <v>239</v>
      </c>
      <c r="F143" s="2" t="s">
        <v>240</v>
      </c>
      <c r="G143" s="2" t="s">
        <v>241</v>
      </c>
      <c r="H143" s="2" t="s">
        <v>21</v>
      </c>
      <c r="I143" s="2">
        <f>'2.Лок.смета.и.Акт'!E36</f>
        <v>4.9504999999999999</v>
      </c>
      <c r="J143" s="2">
        <v>0</v>
      </c>
      <c r="K143" s="2">
        <v>19.802</v>
      </c>
      <c r="L143" s="2"/>
      <c r="M143" s="2"/>
      <c r="N143" s="2"/>
      <c r="O143" s="2">
        <f t="shared" si="110"/>
        <v>936</v>
      </c>
      <c r="P143" s="2">
        <f t="shared" si="111"/>
        <v>0</v>
      </c>
      <c r="Q143" s="2">
        <f t="shared" si="112"/>
        <v>766</v>
      </c>
      <c r="R143" s="2">
        <f t="shared" si="113"/>
        <v>112</v>
      </c>
      <c r="S143" s="2">
        <f t="shared" si="114"/>
        <v>170</v>
      </c>
      <c r="T143" s="2">
        <f t="shared" si="115"/>
        <v>0</v>
      </c>
      <c r="U143" s="2">
        <f t="shared" si="116"/>
        <v>19.492593750000001</v>
      </c>
      <c r="V143" s="2">
        <f t="shared" si="117"/>
        <v>8.2059488000000016</v>
      </c>
      <c r="W143" s="2">
        <f t="shared" si="118"/>
        <v>0</v>
      </c>
      <c r="X143" s="2">
        <f t="shared" si="119"/>
        <v>338</v>
      </c>
      <c r="Y143" s="2">
        <f t="shared" si="120"/>
        <v>217</v>
      </c>
      <c r="Z143" s="2"/>
      <c r="AA143" s="2">
        <v>86326987</v>
      </c>
      <c r="AB143" s="2">
        <f t="shared" si="121"/>
        <v>188.97</v>
      </c>
      <c r="AC143" s="2">
        <f>ROUND((ES143+(SUM(SmtRes!BC153:'SmtRes'!BC165)+SUM(EtalonRes!AL133:'EtalonRes'!AL139))),2)</f>
        <v>0</v>
      </c>
      <c r="AD143" s="2">
        <f>ROUND(((((ET143*1.12))-((EU143*1.12)))+AE143),2)</f>
        <v>154.68</v>
      </c>
      <c r="AE143" s="2">
        <f>ROUND(((EU143*1.12)),2)</f>
        <v>22.56</v>
      </c>
      <c r="AF143" s="2">
        <f>ROUND(((EV143*1.05)),2)</f>
        <v>34.29</v>
      </c>
      <c r="AG143" s="2">
        <f t="shared" si="122"/>
        <v>0</v>
      </c>
      <c r="AH143" s="2">
        <f>((EW143*1.05))</f>
        <v>3.9375</v>
      </c>
      <c r="AI143" s="2">
        <f>((EX143*1.12))</f>
        <v>1.6576000000000002</v>
      </c>
      <c r="AJ143" s="2">
        <f t="shared" si="123"/>
        <v>0</v>
      </c>
      <c r="AK143" s="2">
        <v>177.88</v>
      </c>
      <c r="AL143" s="2">
        <v>7.12</v>
      </c>
      <c r="AM143" s="2">
        <v>138.1</v>
      </c>
      <c r="AN143" s="2">
        <v>20.14</v>
      </c>
      <c r="AO143" s="2">
        <v>32.659999999999997</v>
      </c>
      <c r="AP143" s="2">
        <v>0</v>
      </c>
      <c r="AQ143" s="2">
        <v>3.75</v>
      </c>
      <c r="AR143" s="2">
        <v>1.48</v>
      </c>
      <c r="AS143" s="2">
        <v>0</v>
      </c>
      <c r="AT143" s="2">
        <v>120</v>
      </c>
      <c r="AU143" s="2">
        <v>77</v>
      </c>
      <c r="AV143" s="2">
        <v>1</v>
      </c>
      <c r="AW143" s="2">
        <v>1</v>
      </c>
      <c r="AX143" s="2"/>
      <c r="AY143" s="2"/>
      <c r="AZ143" s="2">
        <v>1</v>
      </c>
      <c r="BA143" s="2">
        <v>1</v>
      </c>
      <c r="BB143" s="2">
        <v>1</v>
      </c>
      <c r="BC143" s="2">
        <v>1</v>
      </c>
      <c r="BD143" s="2" t="s">
        <v>6</v>
      </c>
      <c r="BE143" s="2" t="s">
        <v>6</v>
      </c>
      <c r="BF143" s="2" t="s">
        <v>6</v>
      </c>
      <c r="BG143" s="2" t="s">
        <v>6</v>
      </c>
      <c r="BH143" s="2">
        <v>0</v>
      </c>
      <c r="BI143" s="2">
        <v>1</v>
      </c>
      <c r="BJ143" s="2" t="s">
        <v>242</v>
      </c>
      <c r="BK143" s="2"/>
      <c r="BL143" s="2"/>
      <c r="BM143" s="2">
        <v>6002</v>
      </c>
      <c r="BN143" s="2">
        <v>0</v>
      </c>
      <c r="BO143" s="2" t="s">
        <v>6</v>
      </c>
      <c r="BP143" s="2">
        <v>0</v>
      </c>
      <c r="BQ143" s="2">
        <v>1</v>
      </c>
      <c r="BR143" s="2">
        <v>0</v>
      </c>
      <c r="BS143" s="2">
        <v>1</v>
      </c>
      <c r="BT143" s="2">
        <v>1</v>
      </c>
      <c r="BU143" s="2">
        <v>1</v>
      </c>
      <c r="BV143" s="2">
        <v>1</v>
      </c>
      <c r="BW143" s="2">
        <v>1</v>
      </c>
      <c r="BX143" s="2">
        <v>1</v>
      </c>
      <c r="BY143" s="2" t="s">
        <v>6</v>
      </c>
      <c r="BZ143" s="2">
        <v>120</v>
      </c>
      <c r="CA143" s="2">
        <v>77</v>
      </c>
      <c r="CB143" s="2" t="s">
        <v>6</v>
      </c>
      <c r="CC143" s="2"/>
      <c r="CD143" s="2"/>
      <c r="CE143" s="2">
        <v>0</v>
      </c>
      <c r="CF143" s="2">
        <v>0</v>
      </c>
      <c r="CG143" s="2">
        <v>0</v>
      </c>
      <c r="CH143" s="2"/>
      <c r="CI143" s="2"/>
      <c r="CJ143" s="2"/>
      <c r="CK143" s="2"/>
      <c r="CL143" s="2"/>
      <c r="CM143" s="2">
        <v>0</v>
      </c>
      <c r="CN143" s="2" t="s">
        <v>23</v>
      </c>
      <c r="CO143" s="2">
        <v>0</v>
      </c>
      <c r="CP143" s="2">
        <f t="shared" si="124"/>
        <v>936</v>
      </c>
      <c r="CQ143" s="2">
        <f t="shared" si="125"/>
        <v>0</v>
      </c>
      <c r="CR143" s="2">
        <f t="shared" si="126"/>
        <v>154.68</v>
      </c>
      <c r="CS143" s="2">
        <f t="shared" si="127"/>
        <v>22.56</v>
      </c>
      <c r="CT143" s="2">
        <f t="shared" si="128"/>
        <v>34.29</v>
      </c>
      <c r="CU143" s="2">
        <f t="shared" si="129"/>
        <v>0</v>
      </c>
      <c r="CV143" s="2">
        <f t="shared" si="130"/>
        <v>3.9375</v>
      </c>
      <c r="CW143" s="2">
        <f t="shared" si="131"/>
        <v>1.6576000000000002</v>
      </c>
      <c r="CX143" s="2">
        <f t="shared" si="132"/>
        <v>0</v>
      </c>
      <c r="CY143" s="2">
        <f>(((S143+(R143*IF(0,0,1)))*AT143)/100)</f>
        <v>338.4</v>
      </c>
      <c r="CZ143" s="2">
        <f>(((S143+(R143*IF(0,0,1)))*AU143)/100)</f>
        <v>217.14</v>
      </c>
      <c r="DA143" s="2"/>
      <c r="DB143" s="2"/>
      <c r="DC143" s="2" t="s">
        <v>6</v>
      </c>
      <c r="DD143" s="2" t="s">
        <v>6</v>
      </c>
      <c r="DE143" s="2" t="s">
        <v>24</v>
      </c>
      <c r="DF143" s="2" t="s">
        <v>24</v>
      </c>
      <c r="DG143" s="2" t="s">
        <v>25</v>
      </c>
      <c r="DH143" s="2" t="s">
        <v>6</v>
      </c>
      <c r="DI143" s="2" t="s">
        <v>25</v>
      </c>
      <c r="DJ143" s="2" t="s">
        <v>24</v>
      </c>
      <c r="DK143" s="2" t="s">
        <v>6</v>
      </c>
      <c r="DL143" s="2" t="s">
        <v>6</v>
      </c>
      <c r="DM143" s="2" t="s">
        <v>6</v>
      </c>
      <c r="DN143" s="2">
        <v>0</v>
      </c>
      <c r="DO143" s="2">
        <v>0</v>
      </c>
      <c r="DP143" s="2">
        <v>1</v>
      </c>
      <c r="DQ143" s="2">
        <v>1</v>
      </c>
      <c r="DR143" s="2"/>
      <c r="DS143" s="2"/>
      <c r="DT143" s="2"/>
      <c r="DU143" s="2">
        <v>1013</v>
      </c>
      <c r="DV143" s="2" t="s">
        <v>21</v>
      </c>
      <c r="DW143" s="2" t="s">
        <v>21</v>
      </c>
      <c r="DX143" s="2">
        <v>1</v>
      </c>
      <c r="DY143" s="2"/>
      <c r="DZ143" s="2" t="s">
        <v>6</v>
      </c>
      <c r="EA143" s="2" t="s">
        <v>6</v>
      </c>
      <c r="EB143" s="2" t="s">
        <v>6</v>
      </c>
      <c r="EC143" s="2" t="s">
        <v>6</v>
      </c>
      <c r="ED143" s="2"/>
      <c r="EE143" s="2">
        <v>54938592</v>
      </c>
      <c r="EF143" s="2">
        <v>1</v>
      </c>
      <c r="EG143" s="2" t="s">
        <v>26</v>
      </c>
      <c r="EH143" s="2">
        <v>0</v>
      </c>
      <c r="EI143" s="2" t="s">
        <v>6</v>
      </c>
      <c r="EJ143" s="2">
        <v>1</v>
      </c>
      <c r="EK143" s="2">
        <v>6002</v>
      </c>
      <c r="EL143" s="2" t="s">
        <v>27</v>
      </c>
      <c r="EM143" s="2" t="s">
        <v>28</v>
      </c>
      <c r="EN143" s="2"/>
      <c r="EO143" s="2" t="s">
        <v>29</v>
      </c>
      <c r="EP143" s="2"/>
      <c r="EQ143" s="2">
        <v>2097152</v>
      </c>
      <c r="ER143" s="2">
        <v>177.88</v>
      </c>
      <c r="ES143" s="2">
        <v>7.12</v>
      </c>
      <c r="ET143" s="2">
        <v>138.1</v>
      </c>
      <c r="EU143" s="2">
        <v>20.14</v>
      </c>
      <c r="EV143" s="2">
        <v>32.659999999999997</v>
      </c>
      <c r="EW143" s="2">
        <v>3.75</v>
      </c>
      <c r="EX143" s="2">
        <v>1.48</v>
      </c>
      <c r="EY143" s="2">
        <v>1</v>
      </c>
      <c r="EZ143" s="2"/>
      <c r="FA143" s="2"/>
      <c r="FB143" s="2"/>
      <c r="FC143" s="2"/>
      <c r="FD143" s="2"/>
      <c r="FE143" s="2"/>
      <c r="FF143" s="2"/>
      <c r="FG143" s="2"/>
      <c r="FH143" s="2"/>
      <c r="FI143" s="2"/>
      <c r="FJ143" s="2"/>
      <c r="FK143" s="2"/>
      <c r="FL143" s="2"/>
      <c r="FM143" s="2"/>
      <c r="FN143" s="2"/>
      <c r="FO143" s="2"/>
      <c r="FP143" s="2"/>
      <c r="FQ143" s="2">
        <v>0</v>
      </c>
      <c r="FR143" s="2">
        <f t="shared" si="133"/>
        <v>0</v>
      </c>
      <c r="FS143" s="2">
        <v>0</v>
      </c>
      <c r="FT143" s="2"/>
      <c r="FU143" s="2"/>
      <c r="FV143" s="2"/>
      <c r="FW143" s="2"/>
      <c r="FX143" s="2">
        <v>120</v>
      </c>
      <c r="FY143" s="2">
        <v>77</v>
      </c>
      <c r="FZ143" s="2"/>
      <c r="GA143" s="2" t="s">
        <v>6</v>
      </c>
      <c r="GB143" s="2"/>
      <c r="GC143" s="2"/>
      <c r="GD143" s="2">
        <v>1</v>
      </c>
      <c r="GE143" s="2"/>
      <c r="GF143" s="2">
        <v>1667971247</v>
      </c>
      <c r="GG143" s="2">
        <v>2</v>
      </c>
      <c r="GH143" s="2">
        <v>1</v>
      </c>
      <c r="GI143" s="2">
        <v>-2</v>
      </c>
      <c r="GJ143" s="2">
        <v>0</v>
      </c>
      <c r="GK143" s="2">
        <v>0</v>
      </c>
      <c r="GL143" s="2">
        <f t="shared" si="134"/>
        <v>0</v>
      </c>
      <c r="GM143" s="2">
        <f t="shared" si="135"/>
        <v>1491</v>
      </c>
      <c r="GN143" s="2">
        <f t="shared" si="136"/>
        <v>1491</v>
      </c>
      <c r="GO143" s="2">
        <f t="shared" si="137"/>
        <v>0</v>
      </c>
      <c r="GP143" s="2">
        <f t="shared" si="138"/>
        <v>0</v>
      </c>
      <c r="GQ143" s="2"/>
      <c r="GR143" s="2">
        <v>0</v>
      </c>
      <c r="GS143" s="2">
        <v>3</v>
      </c>
      <c r="GT143" s="2">
        <v>0</v>
      </c>
      <c r="GU143" s="2" t="s">
        <v>6</v>
      </c>
      <c r="GV143" s="2">
        <f t="shared" si="139"/>
        <v>0</v>
      </c>
      <c r="GW143" s="2">
        <v>1</v>
      </c>
      <c r="GX143" s="2">
        <f t="shared" si="140"/>
        <v>0</v>
      </c>
      <c r="GY143" s="2"/>
      <c r="GZ143" s="2"/>
      <c r="HA143" s="2">
        <v>0</v>
      </c>
      <c r="HB143" s="2">
        <v>0</v>
      </c>
      <c r="HC143" s="2">
        <f t="shared" si="141"/>
        <v>0</v>
      </c>
      <c r="HD143" s="2"/>
      <c r="HE143" s="2" t="s">
        <v>6</v>
      </c>
      <c r="HF143" s="2" t="s">
        <v>6</v>
      </c>
      <c r="HG143" s="2"/>
      <c r="HH143" s="2"/>
      <c r="HI143" s="2"/>
      <c r="HJ143" s="2"/>
      <c r="HK143" s="2"/>
      <c r="HL143" s="2"/>
      <c r="HM143" s="2" t="s">
        <v>6</v>
      </c>
      <c r="HN143" s="2" t="s">
        <v>6</v>
      </c>
      <c r="HO143" s="2" t="s">
        <v>6</v>
      </c>
      <c r="HP143" s="2" t="s">
        <v>6</v>
      </c>
      <c r="HQ143" s="2" t="s">
        <v>6</v>
      </c>
      <c r="HR143" s="2"/>
      <c r="HS143" s="2"/>
      <c r="HT143" s="2"/>
      <c r="HU143" s="2"/>
      <c r="HV143" s="2"/>
      <c r="HW143" s="2"/>
      <c r="HX143" s="2"/>
      <c r="HY143" s="2"/>
      <c r="HZ143" s="2"/>
      <c r="IA143" s="2"/>
      <c r="IB143" s="2"/>
      <c r="IC143" s="2"/>
      <c r="ID143" s="2"/>
      <c r="IE143" s="2"/>
      <c r="IF143" s="2">
        <v>-1</v>
      </c>
      <c r="IG143" s="2"/>
      <c r="IH143" s="2"/>
      <c r="II143" s="2"/>
      <c r="IJ143" s="2"/>
      <c r="IK143" s="2">
        <v>0</v>
      </c>
      <c r="IL143" s="2"/>
      <c r="IM143" s="2"/>
      <c r="IN143" s="2"/>
      <c r="IO143" s="2"/>
      <c r="IP143" s="2"/>
      <c r="IQ143" s="2"/>
      <c r="IR143" s="2"/>
      <c r="IS143" s="2"/>
      <c r="IT143" s="2"/>
      <c r="IU143" s="2"/>
    </row>
    <row r="144" spans="1:255" x14ac:dyDescent="0.2">
      <c r="A144">
        <v>17</v>
      </c>
      <c r="B144">
        <v>1</v>
      </c>
      <c r="C144">
        <f>ROW(SmtRes!A178)</f>
        <v>178</v>
      </c>
      <c r="D144">
        <f>ROW(EtalonRes!A146)</f>
        <v>146</v>
      </c>
      <c r="E144" t="s">
        <v>239</v>
      </c>
      <c r="F144" t="s">
        <v>240</v>
      </c>
      <c r="G144" t="s">
        <v>241</v>
      </c>
      <c r="H144" t="s">
        <v>21</v>
      </c>
      <c r="I144">
        <f>'2.Лок.смета.и.Акт'!E36</f>
        <v>4.9504999999999999</v>
      </c>
      <c r="J144">
        <v>0</v>
      </c>
      <c r="K144">
        <v>19.802</v>
      </c>
      <c r="O144">
        <f t="shared" si="110"/>
        <v>13244</v>
      </c>
      <c r="P144">
        <f t="shared" si="111"/>
        <v>0</v>
      </c>
      <c r="Q144">
        <f t="shared" si="112"/>
        <v>7121</v>
      </c>
      <c r="R144">
        <f t="shared" si="113"/>
        <v>2211</v>
      </c>
      <c r="S144">
        <f t="shared" si="114"/>
        <v>6123</v>
      </c>
      <c r="T144">
        <f t="shared" si="115"/>
        <v>0</v>
      </c>
      <c r="U144" t="e">
        <f t="shared" si="116"/>
        <v>#REF!</v>
      </c>
      <c r="V144">
        <f t="shared" si="117"/>
        <v>8.2059488000000016</v>
      </c>
      <c r="W144">
        <f t="shared" si="118"/>
        <v>0</v>
      </c>
      <c r="X144" t="e">
        <f t="shared" si="119"/>
        <v>#REF!</v>
      </c>
      <c r="Y144" t="e">
        <f t="shared" si="120"/>
        <v>#REF!</v>
      </c>
      <c r="AA144">
        <v>86326988</v>
      </c>
      <c r="AB144">
        <f t="shared" si="121"/>
        <v>188.97</v>
      </c>
      <c r="AC144">
        <f>ROUND((ES144+(SUM(SmtRes!BC166:'SmtRes'!BC178)+SUM(EtalonRes!AL140:'EtalonRes'!AL146))),2)</f>
        <v>0</v>
      </c>
      <c r="AD144">
        <f>ROUND(((((ET144*1.12))-((EU144*1.12)))+AE144),2)</f>
        <v>154.68</v>
      </c>
      <c r="AE144">
        <f>ROUND(((EU144*1.12)),2)</f>
        <v>22.56</v>
      </c>
      <c r="AF144">
        <f>ROUND(((EV144*1.05)),2)</f>
        <v>34.29</v>
      </c>
      <c r="AG144">
        <f t="shared" si="122"/>
        <v>0</v>
      </c>
      <c r="AH144" t="e">
        <f>((EW144*1.05))</f>
        <v>#REF!</v>
      </c>
      <c r="AI144">
        <f>((EX144*1.12))</f>
        <v>1.6576000000000002</v>
      </c>
      <c r="AJ144">
        <f t="shared" si="123"/>
        <v>0</v>
      </c>
      <c r="AK144">
        <f>AL144+AM144+AO144</f>
        <v>177.88</v>
      </c>
      <c r="AL144">
        <v>7.12</v>
      </c>
      <c r="AM144" s="75">
        <f>'1.Лок.смета.и.Акт'!F274</f>
        <v>138.1</v>
      </c>
      <c r="AN144" s="75">
        <f>'1.Лок.смета.и.Акт'!F275</f>
        <v>20.14</v>
      </c>
      <c r="AO144" s="75">
        <f>'1.Лок.смета.и.Акт'!F273</f>
        <v>32.659999999999997</v>
      </c>
      <c r="AP144">
        <v>0</v>
      </c>
      <c r="AQ144" t="e">
        <f>'2.Лок.смета.и.Акт'!#REF!</f>
        <v>#REF!</v>
      </c>
      <c r="AR144">
        <v>1.48</v>
      </c>
      <c r="AS144">
        <v>0</v>
      </c>
      <c r="AT144">
        <v>114</v>
      </c>
      <c r="AU144">
        <v>65</v>
      </c>
      <c r="AV144">
        <v>1</v>
      </c>
      <c r="AW144">
        <v>1</v>
      </c>
      <c r="AZ144">
        <v>1</v>
      </c>
      <c r="BA144">
        <f>'1.Лок.смета.и.Акт'!J273</f>
        <v>36.07</v>
      </c>
      <c r="BB144">
        <f>'1.Лок.смета.и.Акт'!J274</f>
        <v>9.3000000000000007</v>
      </c>
      <c r="BC144">
        <v>7.56</v>
      </c>
      <c r="BD144" t="s">
        <v>6</v>
      </c>
      <c r="BE144" t="s">
        <v>6</v>
      </c>
      <c r="BF144" t="s">
        <v>6</v>
      </c>
      <c r="BG144" t="s">
        <v>6</v>
      </c>
      <c r="BH144">
        <v>0</v>
      </c>
      <c r="BI144">
        <v>1</v>
      </c>
      <c r="BJ144" t="s">
        <v>242</v>
      </c>
      <c r="BM144">
        <v>6002</v>
      </c>
      <c r="BN144">
        <v>0</v>
      </c>
      <c r="BO144" t="s">
        <v>240</v>
      </c>
      <c r="BP144">
        <v>1</v>
      </c>
      <c r="BQ144">
        <v>1</v>
      </c>
      <c r="BR144">
        <v>0</v>
      </c>
      <c r="BS144">
        <f>'1.Лок.смета.и.Акт'!J275</f>
        <v>19.8</v>
      </c>
      <c r="BT144">
        <v>1</v>
      </c>
      <c r="BU144">
        <v>1</v>
      </c>
      <c r="BV144">
        <v>1</v>
      </c>
      <c r="BW144">
        <v>1</v>
      </c>
      <c r="BX144">
        <v>1</v>
      </c>
      <c r="BY144" t="s">
        <v>6</v>
      </c>
      <c r="BZ144" t="e">
        <f>'2.Лок.смета.и.Акт'!#REF!</f>
        <v>#REF!</v>
      </c>
      <c r="CA144" t="e">
        <f>'2.Лок.смета.и.Акт'!#REF!</f>
        <v>#REF!</v>
      </c>
      <c r="CB144" t="s">
        <v>6</v>
      </c>
      <c r="CE144">
        <v>0</v>
      </c>
      <c r="CF144">
        <v>0</v>
      </c>
      <c r="CG144">
        <v>0</v>
      </c>
      <c r="CM144">
        <v>0</v>
      </c>
      <c r="CN144" t="s">
        <v>23</v>
      </c>
      <c r="CO144">
        <v>0</v>
      </c>
      <c r="CP144">
        <f t="shared" si="124"/>
        <v>13244</v>
      </c>
      <c r="CQ144">
        <f t="shared" si="125"/>
        <v>0</v>
      </c>
      <c r="CR144">
        <f t="shared" si="126"/>
        <v>1438.5240000000001</v>
      </c>
      <c r="CS144">
        <f t="shared" si="127"/>
        <v>446.68799999999999</v>
      </c>
      <c r="CT144">
        <f t="shared" si="128"/>
        <v>1236.8403000000001</v>
      </c>
      <c r="CU144">
        <f t="shared" si="129"/>
        <v>0</v>
      </c>
      <c r="CV144" t="e">
        <f t="shared" si="130"/>
        <v>#REF!</v>
      </c>
      <c r="CW144">
        <f t="shared" si="131"/>
        <v>1.6576000000000002</v>
      </c>
      <c r="CX144">
        <f t="shared" si="132"/>
        <v>0</v>
      </c>
      <c r="CY144" t="e">
        <f>(S144+R144)*(BZ144/100)</f>
        <v>#REF!</v>
      </c>
      <c r="CZ144" t="e">
        <f>(S144+R144)*(CA144/100)</f>
        <v>#REF!</v>
      </c>
      <c r="DC144" t="s">
        <v>6</v>
      </c>
      <c r="DD144" t="s">
        <v>6</v>
      </c>
      <c r="DE144" t="s">
        <v>24</v>
      </c>
      <c r="DF144" t="s">
        <v>24</v>
      </c>
      <c r="DG144" t="s">
        <v>25</v>
      </c>
      <c r="DH144" t="s">
        <v>6</v>
      </c>
      <c r="DI144" t="s">
        <v>25</v>
      </c>
      <c r="DJ144" t="s">
        <v>24</v>
      </c>
      <c r="DK144" t="s">
        <v>6</v>
      </c>
      <c r="DL144" t="s">
        <v>6</v>
      </c>
      <c r="DM144" t="s">
        <v>6</v>
      </c>
      <c r="DN144">
        <f>'1.Лок.смета.и.Акт'!E276</f>
        <v>120</v>
      </c>
      <c r="DO144">
        <f>'1.Лок.смета.и.Акт'!E277</f>
        <v>77</v>
      </c>
      <c r="DP144">
        <v>1</v>
      </c>
      <c r="DQ144">
        <v>1</v>
      </c>
      <c r="DU144">
        <v>1013</v>
      </c>
      <c r="DV144" t="s">
        <v>21</v>
      </c>
      <c r="DW144" t="str">
        <f>'2.Лок.смета.и.Акт'!D36</f>
        <v>10 м2 конструкций</v>
      </c>
      <c r="DX144">
        <v>1</v>
      </c>
      <c r="DZ144" t="s">
        <v>6</v>
      </c>
      <c r="EA144" t="s">
        <v>6</v>
      </c>
      <c r="EB144" t="s">
        <v>6</v>
      </c>
      <c r="EC144" t="s">
        <v>6</v>
      </c>
      <c r="EE144">
        <v>54938592</v>
      </c>
      <c r="EF144">
        <v>1</v>
      </c>
      <c r="EG144" t="s">
        <v>26</v>
      </c>
      <c r="EH144">
        <v>0</v>
      </c>
      <c r="EI144" t="s">
        <v>6</v>
      </c>
      <c r="EJ144">
        <v>1</v>
      </c>
      <c r="EK144">
        <v>6002</v>
      </c>
      <c r="EL144" t="s">
        <v>27</v>
      </c>
      <c r="EM144" t="s">
        <v>28</v>
      </c>
      <c r="EO144" t="s">
        <v>29</v>
      </c>
      <c r="EQ144">
        <v>2097152</v>
      </c>
      <c r="ER144">
        <f>ES144+ET144+EV144</f>
        <v>177.88</v>
      </c>
      <c r="ES144">
        <v>7.12</v>
      </c>
      <c r="ET144" s="75">
        <f>'1.Лок.смета.и.Акт'!F274</f>
        <v>138.1</v>
      </c>
      <c r="EU144" s="75">
        <f>'1.Лок.смета.и.Акт'!F275</f>
        <v>20.14</v>
      </c>
      <c r="EV144" s="75">
        <f>'1.Лок.смета.и.Акт'!F273</f>
        <v>32.659999999999997</v>
      </c>
      <c r="EW144" t="e">
        <f>'2.Лок.смета.и.Акт'!#REF!</f>
        <v>#REF!</v>
      </c>
      <c r="EX144">
        <v>1.48</v>
      </c>
      <c r="EY144">
        <v>1</v>
      </c>
      <c r="FQ144">
        <v>0</v>
      </c>
      <c r="FR144">
        <f t="shared" si="133"/>
        <v>0</v>
      </c>
      <c r="FS144">
        <v>0</v>
      </c>
      <c r="FX144">
        <v>120</v>
      </c>
      <c r="FY144">
        <v>77</v>
      </c>
      <c r="GA144" t="s">
        <v>6</v>
      </c>
      <c r="GD144">
        <v>1</v>
      </c>
      <c r="GF144">
        <v>1667971247</v>
      </c>
      <c r="GG144">
        <v>2</v>
      </c>
      <c r="GH144">
        <v>1</v>
      </c>
      <c r="GI144">
        <v>2</v>
      </c>
      <c r="GJ144">
        <v>0</v>
      </c>
      <c r="GK144">
        <v>0</v>
      </c>
      <c r="GL144">
        <f t="shared" si="134"/>
        <v>0</v>
      </c>
      <c r="GM144" t="e">
        <f t="shared" si="135"/>
        <v>#REF!</v>
      </c>
      <c r="GN144" t="e">
        <f t="shared" si="136"/>
        <v>#REF!</v>
      </c>
      <c r="GO144">
        <f t="shared" si="137"/>
        <v>0</v>
      </c>
      <c r="GP144">
        <f t="shared" si="138"/>
        <v>0</v>
      </c>
      <c r="GR144">
        <v>0</v>
      </c>
      <c r="GS144">
        <v>3</v>
      </c>
      <c r="GT144">
        <v>0</v>
      </c>
      <c r="GU144" t="s">
        <v>6</v>
      </c>
      <c r="GV144">
        <f t="shared" si="139"/>
        <v>0</v>
      </c>
      <c r="GW144">
        <v>1003.4</v>
      </c>
      <c r="GX144">
        <f t="shared" si="140"/>
        <v>0</v>
      </c>
      <c r="HA144">
        <v>0</v>
      </c>
      <c r="HB144">
        <v>0</v>
      </c>
      <c r="HC144">
        <f t="shared" si="141"/>
        <v>0</v>
      </c>
      <c r="HE144" t="s">
        <v>6</v>
      </c>
      <c r="HF144" t="s">
        <v>6</v>
      </c>
      <c r="HM144" t="s">
        <v>6</v>
      </c>
      <c r="HN144" t="s">
        <v>6</v>
      </c>
      <c r="HO144" t="s">
        <v>6</v>
      </c>
      <c r="HP144" t="s">
        <v>6</v>
      </c>
      <c r="HQ144" t="s">
        <v>6</v>
      </c>
      <c r="IF144">
        <v>-1</v>
      </c>
      <c r="IK144">
        <v>0</v>
      </c>
    </row>
    <row r="145" spans="1:255" x14ac:dyDescent="0.2">
      <c r="A145" s="2">
        <v>18</v>
      </c>
      <c r="B145" s="2">
        <v>1</v>
      </c>
      <c r="C145" s="2">
        <v>157</v>
      </c>
      <c r="D145" s="2"/>
      <c r="E145" s="2" t="s">
        <v>243</v>
      </c>
      <c r="F145" s="2" t="s">
        <v>71</v>
      </c>
      <c r="G145" s="2" t="s">
        <v>72</v>
      </c>
      <c r="H145" s="2" t="s">
        <v>33</v>
      </c>
      <c r="I145" s="2">
        <f>I143*J145</f>
        <v>2.0792000000000001E-2</v>
      </c>
      <c r="J145" s="226">
        <f>'5.Ведомость_списания'!F67</f>
        <v>4.1999798000202006E-3</v>
      </c>
      <c r="K145" s="2">
        <v>4.1999999999999997E-3</v>
      </c>
      <c r="L145" s="2"/>
      <c r="M145" s="2"/>
      <c r="N145" s="2"/>
      <c r="O145" s="2">
        <f t="shared" si="110"/>
        <v>35</v>
      </c>
      <c r="P145" s="2">
        <f t="shared" si="111"/>
        <v>35</v>
      </c>
      <c r="Q145" s="2">
        <f t="shared" si="112"/>
        <v>0</v>
      </c>
      <c r="R145" s="2">
        <f t="shared" si="113"/>
        <v>0</v>
      </c>
      <c r="S145" s="2">
        <f t="shared" si="114"/>
        <v>0</v>
      </c>
      <c r="T145" s="2">
        <f t="shared" si="115"/>
        <v>0</v>
      </c>
      <c r="U145" s="2">
        <f t="shared" si="116"/>
        <v>0</v>
      </c>
      <c r="V145" s="2">
        <f t="shared" si="117"/>
        <v>0</v>
      </c>
      <c r="W145" s="2">
        <f t="shared" si="118"/>
        <v>0</v>
      </c>
      <c r="X145" s="2">
        <f t="shared" si="119"/>
        <v>0</v>
      </c>
      <c r="Y145" s="2">
        <f t="shared" si="120"/>
        <v>0</v>
      </c>
      <c r="Z145" s="2"/>
      <c r="AA145" s="2">
        <v>86326987</v>
      </c>
      <c r="AB145" s="2">
        <f t="shared" si="121"/>
        <v>1696.01</v>
      </c>
      <c r="AC145" s="2">
        <f t="shared" ref="AC145:AC162" si="150">ROUND((ES145),2)</f>
        <v>1696.01</v>
      </c>
      <c r="AD145" s="2">
        <f>ROUND((((ET145)-(EU145))+AE145),2)</f>
        <v>0</v>
      </c>
      <c r="AE145" s="2">
        <f t="shared" ref="AE145:AE162" si="151">ROUND((EU145),2)</f>
        <v>0</v>
      </c>
      <c r="AF145" s="2">
        <f t="shared" ref="AF145:AF162" si="152">ROUND((EV145),2)</f>
        <v>0</v>
      </c>
      <c r="AG145" s="2">
        <f t="shared" si="122"/>
        <v>0</v>
      </c>
      <c r="AH145" s="2">
        <f t="shared" ref="AH145:AH162" si="153">(EW145)</f>
        <v>0</v>
      </c>
      <c r="AI145" s="2">
        <f t="shared" ref="AI145:AI162" si="154">(EX145)</f>
        <v>0</v>
      </c>
      <c r="AJ145" s="2">
        <f t="shared" si="123"/>
        <v>0</v>
      </c>
      <c r="AK145" s="2">
        <v>1696.01</v>
      </c>
      <c r="AL145" s="110">
        <f>'1.Лок.смета.и.Акт'!F279</f>
        <v>1696.01</v>
      </c>
      <c r="AM145" s="2">
        <v>0</v>
      </c>
      <c r="AN145" s="2">
        <v>0</v>
      </c>
      <c r="AO145" s="2">
        <v>0</v>
      </c>
      <c r="AP145" s="2">
        <v>0</v>
      </c>
      <c r="AQ145" s="2">
        <v>0</v>
      </c>
      <c r="AR145" s="2">
        <v>0</v>
      </c>
      <c r="AS145" s="2">
        <v>0</v>
      </c>
      <c r="AT145" s="2">
        <v>0</v>
      </c>
      <c r="AU145" s="2">
        <v>0</v>
      </c>
      <c r="AV145" s="2">
        <v>1</v>
      </c>
      <c r="AW145" s="2">
        <v>1</v>
      </c>
      <c r="AX145" s="2"/>
      <c r="AY145" s="2"/>
      <c r="AZ145" s="2">
        <v>1</v>
      </c>
      <c r="BA145" s="2">
        <v>1</v>
      </c>
      <c r="BB145" s="2">
        <v>1</v>
      </c>
      <c r="BC145" s="2">
        <v>1</v>
      </c>
      <c r="BD145" s="2" t="s">
        <v>6</v>
      </c>
      <c r="BE145" s="2" t="s">
        <v>6</v>
      </c>
      <c r="BF145" s="2" t="s">
        <v>6</v>
      </c>
      <c r="BG145" s="2" t="s">
        <v>6</v>
      </c>
      <c r="BH145" s="2">
        <v>3</v>
      </c>
      <c r="BI145" s="2">
        <v>1</v>
      </c>
      <c r="BJ145" s="2" t="s">
        <v>73</v>
      </c>
      <c r="BK145" s="2"/>
      <c r="BL145" s="2"/>
      <c r="BM145" s="2">
        <v>500001</v>
      </c>
      <c r="BN145" s="2">
        <v>0</v>
      </c>
      <c r="BO145" s="2" t="s">
        <v>6</v>
      </c>
      <c r="BP145" s="2">
        <v>0</v>
      </c>
      <c r="BQ145" s="2">
        <v>20</v>
      </c>
      <c r="BR145" s="2">
        <v>0</v>
      </c>
      <c r="BS145" s="2">
        <v>1</v>
      </c>
      <c r="BT145" s="2">
        <v>1</v>
      </c>
      <c r="BU145" s="2">
        <v>1</v>
      </c>
      <c r="BV145" s="2">
        <v>1</v>
      </c>
      <c r="BW145" s="2">
        <v>1</v>
      </c>
      <c r="BX145" s="2">
        <v>1</v>
      </c>
      <c r="BY145" s="2" t="s">
        <v>6</v>
      </c>
      <c r="BZ145" s="2">
        <v>0</v>
      </c>
      <c r="CA145" s="2">
        <v>0</v>
      </c>
      <c r="CB145" s="2" t="s">
        <v>6</v>
      </c>
      <c r="CC145" s="2"/>
      <c r="CD145" s="2"/>
      <c r="CE145" s="2">
        <v>0</v>
      </c>
      <c r="CF145" s="2">
        <v>0</v>
      </c>
      <c r="CG145" s="2">
        <v>0</v>
      </c>
      <c r="CH145" s="2"/>
      <c r="CI145" s="2"/>
      <c r="CJ145" s="2"/>
      <c r="CK145" s="2"/>
      <c r="CL145" s="2"/>
      <c r="CM145" s="2">
        <v>0</v>
      </c>
      <c r="CN145" s="2" t="s">
        <v>6</v>
      </c>
      <c r="CO145" s="2">
        <v>0</v>
      </c>
      <c r="CP145" s="2">
        <f t="shared" si="124"/>
        <v>35</v>
      </c>
      <c r="CQ145" s="2">
        <f t="shared" si="125"/>
        <v>1696.01</v>
      </c>
      <c r="CR145" s="2">
        <f t="shared" si="126"/>
        <v>0</v>
      </c>
      <c r="CS145" s="2">
        <f t="shared" si="127"/>
        <v>0</v>
      </c>
      <c r="CT145" s="2">
        <f t="shared" si="128"/>
        <v>0</v>
      </c>
      <c r="CU145" s="2">
        <f t="shared" si="129"/>
        <v>0</v>
      </c>
      <c r="CV145" s="2">
        <f t="shared" si="130"/>
        <v>0</v>
      </c>
      <c r="CW145" s="2">
        <f t="shared" si="131"/>
        <v>0</v>
      </c>
      <c r="CX145" s="2">
        <f t="shared" si="132"/>
        <v>0</v>
      </c>
      <c r="CY145" s="2">
        <f>(((S145+(R145*IF(0,0,1)))*AT145)/100)</f>
        <v>0</v>
      </c>
      <c r="CZ145" s="2">
        <f>(((S145+(R145*IF(0,0,1)))*AU145)/100)</f>
        <v>0</v>
      </c>
      <c r="DA145" s="2"/>
      <c r="DB145" s="2"/>
      <c r="DC145" s="2" t="s">
        <v>6</v>
      </c>
      <c r="DD145" s="2" t="s">
        <v>6</v>
      </c>
      <c r="DE145" s="2" t="s">
        <v>6</v>
      </c>
      <c r="DF145" s="2" t="s">
        <v>6</v>
      </c>
      <c r="DG145" s="2" t="s">
        <v>6</v>
      </c>
      <c r="DH145" s="2" t="s">
        <v>6</v>
      </c>
      <c r="DI145" s="2" t="s">
        <v>6</v>
      </c>
      <c r="DJ145" s="2" t="s">
        <v>6</v>
      </c>
      <c r="DK145" s="2" t="s">
        <v>6</v>
      </c>
      <c r="DL145" s="2" t="s">
        <v>6</v>
      </c>
      <c r="DM145" s="2" t="s">
        <v>6</v>
      </c>
      <c r="DN145" s="2">
        <v>0</v>
      </c>
      <c r="DO145" s="2">
        <v>0</v>
      </c>
      <c r="DP145" s="2">
        <v>1</v>
      </c>
      <c r="DQ145" s="2">
        <v>1</v>
      </c>
      <c r="DR145" s="2"/>
      <c r="DS145" s="2"/>
      <c r="DT145" s="2"/>
      <c r="DU145" s="2">
        <v>1009</v>
      </c>
      <c r="DV145" s="2" t="s">
        <v>33</v>
      </c>
      <c r="DW145" s="2" t="s">
        <v>33</v>
      </c>
      <c r="DX145" s="2">
        <v>1000</v>
      </c>
      <c r="DY145" s="2"/>
      <c r="DZ145" s="2" t="s">
        <v>6</v>
      </c>
      <c r="EA145" s="2" t="s">
        <v>6</v>
      </c>
      <c r="EB145" s="2" t="s">
        <v>6</v>
      </c>
      <c r="EC145" s="2" t="s">
        <v>6</v>
      </c>
      <c r="ED145" s="2"/>
      <c r="EE145" s="2">
        <v>54938781</v>
      </c>
      <c r="EF145" s="2">
        <v>20</v>
      </c>
      <c r="EG145" s="2" t="s">
        <v>35</v>
      </c>
      <c r="EH145" s="2">
        <v>0</v>
      </c>
      <c r="EI145" s="2" t="s">
        <v>6</v>
      </c>
      <c r="EJ145" s="2">
        <v>1</v>
      </c>
      <c r="EK145" s="2">
        <v>500001</v>
      </c>
      <c r="EL145" s="2" t="s">
        <v>36</v>
      </c>
      <c r="EM145" s="2" t="s">
        <v>37</v>
      </c>
      <c r="EN145" s="2"/>
      <c r="EO145" s="2" t="s">
        <v>6</v>
      </c>
      <c r="EP145" s="2"/>
      <c r="EQ145" s="2">
        <v>0</v>
      </c>
      <c r="ER145" s="2">
        <v>1696.01</v>
      </c>
      <c r="ES145" s="110">
        <f>'1.Лок.смета.и.Акт'!F279</f>
        <v>1696.01</v>
      </c>
      <c r="ET145" s="2">
        <v>0</v>
      </c>
      <c r="EU145" s="2">
        <v>0</v>
      </c>
      <c r="EV145" s="2">
        <v>0</v>
      </c>
      <c r="EW145" s="2">
        <v>0</v>
      </c>
      <c r="EX145" s="2">
        <v>0</v>
      </c>
      <c r="EY145" s="2"/>
      <c r="EZ145" s="2"/>
      <c r="FA145" s="2"/>
      <c r="FB145" s="2"/>
      <c r="FC145" s="2"/>
      <c r="FD145" s="2"/>
      <c r="FE145" s="2"/>
      <c r="FF145" s="2"/>
      <c r="FG145" s="2"/>
      <c r="FH145" s="2"/>
      <c r="FI145" s="2"/>
      <c r="FJ145" s="2"/>
      <c r="FK145" s="2"/>
      <c r="FL145" s="2"/>
      <c r="FM145" s="2"/>
      <c r="FN145" s="2"/>
      <c r="FO145" s="2"/>
      <c r="FP145" s="2"/>
      <c r="FQ145" s="2">
        <v>0</v>
      </c>
      <c r="FR145" s="2">
        <f t="shared" si="133"/>
        <v>0</v>
      </c>
      <c r="FS145" s="2">
        <v>0</v>
      </c>
      <c r="FT145" s="2"/>
      <c r="FU145" s="2"/>
      <c r="FV145" s="2"/>
      <c r="FW145" s="2"/>
      <c r="FX145" s="2">
        <v>0</v>
      </c>
      <c r="FY145" s="2">
        <v>0</v>
      </c>
      <c r="FZ145" s="2"/>
      <c r="GA145" s="2" t="s">
        <v>6</v>
      </c>
      <c r="GB145" s="2"/>
      <c r="GC145" s="2"/>
      <c r="GD145" s="2">
        <v>1</v>
      </c>
      <c r="GE145" s="2"/>
      <c r="GF145" s="2">
        <v>-81122142</v>
      </c>
      <c r="GG145" s="2">
        <v>2</v>
      </c>
      <c r="GH145" s="2">
        <v>0</v>
      </c>
      <c r="GI145" s="2">
        <v>-2</v>
      </c>
      <c r="GJ145" s="2">
        <v>0</v>
      </c>
      <c r="GK145" s="2">
        <v>0</v>
      </c>
      <c r="GL145" s="2">
        <f t="shared" si="134"/>
        <v>0</v>
      </c>
      <c r="GM145" s="2">
        <f t="shared" si="135"/>
        <v>35</v>
      </c>
      <c r="GN145" s="2">
        <f t="shared" si="136"/>
        <v>35</v>
      </c>
      <c r="GO145" s="2">
        <f t="shared" si="137"/>
        <v>0</v>
      </c>
      <c r="GP145" s="2">
        <f t="shared" si="138"/>
        <v>0</v>
      </c>
      <c r="GQ145" s="2"/>
      <c r="GR145" s="2">
        <v>0</v>
      </c>
      <c r="GS145" s="2">
        <v>3</v>
      </c>
      <c r="GT145" s="2">
        <v>0</v>
      </c>
      <c r="GU145" s="2" t="s">
        <v>6</v>
      </c>
      <c r="GV145" s="2">
        <f t="shared" si="139"/>
        <v>0</v>
      </c>
      <c r="GW145" s="2">
        <v>1</v>
      </c>
      <c r="GX145" s="2">
        <f t="shared" si="140"/>
        <v>0</v>
      </c>
      <c r="GY145" s="2"/>
      <c r="GZ145" s="2"/>
      <c r="HA145" s="2">
        <v>0</v>
      </c>
      <c r="HB145" s="2">
        <v>0</v>
      </c>
      <c r="HC145" s="2">
        <f t="shared" si="141"/>
        <v>0</v>
      </c>
      <c r="HD145" s="2"/>
      <c r="HE145" s="2" t="s">
        <v>6</v>
      </c>
      <c r="HF145" s="2" t="s">
        <v>6</v>
      </c>
      <c r="HG145" s="2"/>
      <c r="HH145" s="2"/>
      <c r="HI145" s="2"/>
      <c r="HJ145" s="2"/>
      <c r="HK145" s="2"/>
      <c r="HL145" s="2"/>
      <c r="HM145" s="2" t="s">
        <v>6</v>
      </c>
      <c r="HN145" s="2" t="s">
        <v>6</v>
      </c>
      <c r="HO145" s="2" t="s">
        <v>6</v>
      </c>
      <c r="HP145" s="2" t="s">
        <v>6</v>
      </c>
      <c r="HQ145" s="2" t="s">
        <v>6</v>
      </c>
      <c r="HR145" s="2"/>
      <c r="HS145" s="2"/>
      <c r="HT145" s="2"/>
      <c r="HU145" s="2"/>
      <c r="HV145" s="2"/>
      <c r="HW145" s="2"/>
      <c r="HX145" s="2"/>
      <c r="HY145" s="2"/>
      <c r="HZ145" s="2"/>
      <c r="IA145" s="2"/>
      <c r="IB145" s="2"/>
      <c r="IC145" s="2"/>
      <c r="ID145" s="2"/>
      <c r="IE145" s="2"/>
      <c r="IF145" s="2">
        <v>-1</v>
      </c>
      <c r="IG145" s="2"/>
      <c r="IH145" s="2"/>
      <c r="II145" s="2"/>
      <c r="IJ145" s="2"/>
      <c r="IK145" s="2">
        <v>0</v>
      </c>
      <c r="IL145" s="2"/>
      <c r="IM145" s="2"/>
      <c r="IN145" s="2"/>
      <c r="IO145" s="2"/>
      <c r="IP145" s="2"/>
      <c r="IQ145" s="2"/>
      <c r="IR145" s="2"/>
      <c r="IS145" s="2"/>
      <c r="IT145" s="2"/>
      <c r="IU145" s="2"/>
    </row>
    <row r="146" spans="1:255" x14ac:dyDescent="0.2">
      <c r="A146">
        <v>18</v>
      </c>
      <c r="B146">
        <v>1</v>
      </c>
      <c r="C146">
        <v>170</v>
      </c>
      <c r="E146" t="s">
        <v>243</v>
      </c>
      <c r="F146" t="e">
        <f>'2.Лок.смета.и.Акт'!#REF!</f>
        <v>#REF!</v>
      </c>
      <c r="G146" t="s">
        <v>72</v>
      </c>
      <c r="H146" t="s">
        <v>33</v>
      </c>
      <c r="I146">
        <f>I144*J146</f>
        <v>2.0792000000000001E-2</v>
      </c>
      <c r="J146">
        <v>4.1999798000202006E-3</v>
      </c>
      <c r="K146">
        <v>4.1999999999999997E-3</v>
      </c>
      <c r="O146">
        <f t="shared" si="110"/>
        <v>1820</v>
      </c>
      <c r="P146">
        <f t="shared" si="111"/>
        <v>1820</v>
      </c>
      <c r="Q146">
        <f t="shared" si="112"/>
        <v>0</v>
      </c>
      <c r="R146">
        <f t="shared" si="113"/>
        <v>0</v>
      </c>
      <c r="S146">
        <f t="shared" si="114"/>
        <v>0</v>
      </c>
      <c r="T146">
        <f t="shared" si="115"/>
        <v>0</v>
      </c>
      <c r="U146">
        <f t="shared" si="116"/>
        <v>0</v>
      </c>
      <c r="V146">
        <f t="shared" si="117"/>
        <v>0</v>
      </c>
      <c r="W146">
        <f t="shared" si="118"/>
        <v>0</v>
      </c>
      <c r="X146">
        <f t="shared" si="119"/>
        <v>0</v>
      </c>
      <c r="Y146">
        <f t="shared" si="120"/>
        <v>0</v>
      </c>
      <c r="AA146">
        <v>86326988</v>
      </c>
      <c r="AB146">
        <f t="shared" si="121"/>
        <v>11576.19</v>
      </c>
      <c r="AC146">
        <f t="shared" si="150"/>
        <v>11576.19</v>
      </c>
      <c r="AD146">
        <f>ROUND((((ET146)-(EU146))+AE146),2)</f>
        <v>0</v>
      </c>
      <c r="AE146">
        <f t="shared" si="151"/>
        <v>0</v>
      </c>
      <c r="AF146">
        <f t="shared" si="152"/>
        <v>0</v>
      </c>
      <c r="AG146">
        <f t="shared" si="122"/>
        <v>0</v>
      </c>
      <c r="AH146">
        <f t="shared" si="153"/>
        <v>0</v>
      </c>
      <c r="AI146">
        <f t="shared" si="154"/>
        <v>0</v>
      </c>
      <c r="AJ146">
        <f t="shared" si="123"/>
        <v>0</v>
      </c>
      <c r="AK146">
        <v>11576.19</v>
      </c>
      <c r="AL146">
        <v>11576.19</v>
      </c>
      <c r="AM146">
        <v>0</v>
      </c>
      <c r="AN146">
        <v>0</v>
      </c>
      <c r="AO146">
        <v>0</v>
      </c>
      <c r="AP146">
        <v>0</v>
      </c>
      <c r="AQ146">
        <v>0</v>
      </c>
      <c r="AR146">
        <v>0</v>
      </c>
      <c r="AS146">
        <v>0</v>
      </c>
      <c r="AT146">
        <v>0</v>
      </c>
      <c r="AU146">
        <v>0</v>
      </c>
      <c r="AV146">
        <v>1</v>
      </c>
      <c r="AW146">
        <v>1</v>
      </c>
      <c r="AZ146">
        <v>1</v>
      </c>
      <c r="BA146">
        <v>1</v>
      </c>
      <c r="BB146">
        <v>1</v>
      </c>
      <c r="BC146">
        <v>7.56</v>
      </c>
      <c r="BD146" t="s">
        <v>6</v>
      </c>
      <c r="BE146" t="s">
        <v>6</v>
      </c>
      <c r="BF146" t="s">
        <v>6</v>
      </c>
      <c r="BG146" t="s">
        <v>6</v>
      </c>
      <c r="BH146">
        <v>3</v>
      </c>
      <c r="BI146">
        <v>1</v>
      </c>
      <c r="BJ146" t="s">
        <v>73</v>
      </c>
      <c r="BM146">
        <v>500001</v>
      </c>
      <c r="BN146">
        <v>0</v>
      </c>
      <c r="BO146" t="s">
        <v>6</v>
      </c>
      <c r="BP146">
        <v>0</v>
      </c>
      <c r="BQ146">
        <v>20</v>
      </c>
      <c r="BR146">
        <v>0</v>
      </c>
      <c r="BS146">
        <v>1</v>
      </c>
      <c r="BT146">
        <v>1</v>
      </c>
      <c r="BU146">
        <v>1</v>
      </c>
      <c r="BV146">
        <v>1</v>
      </c>
      <c r="BW146">
        <v>1</v>
      </c>
      <c r="BX146">
        <v>1</v>
      </c>
      <c r="BY146" t="s">
        <v>6</v>
      </c>
      <c r="BZ146">
        <v>0</v>
      </c>
      <c r="CA146">
        <v>0</v>
      </c>
      <c r="CB146" t="s">
        <v>6</v>
      </c>
      <c r="CE146">
        <v>0</v>
      </c>
      <c r="CF146">
        <v>0</v>
      </c>
      <c r="CG146">
        <v>0</v>
      </c>
      <c r="CM146">
        <v>0</v>
      </c>
      <c r="CN146" t="s">
        <v>6</v>
      </c>
      <c r="CO146">
        <v>0</v>
      </c>
      <c r="CP146">
        <f t="shared" si="124"/>
        <v>1820</v>
      </c>
      <c r="CQ146">
        <f t="shared" si="125"/>
        <v>87515.996400000004</v>
      </c>
      <c r="CR146">
        <f t="shared" si="126"/>
        <v>0</v>
      </c>
      <c r="CS146">
        <f t="shared" si="127"/>
        <v>0</v>
      </c>
      <c r="CT146">
        <f t="shared" si="128"/>
        <v>0</v>
      </c>
      <c r="CU146">
        <f t="shared" si="129"/>
        <v>0</v>
      </c>
      <c r="CV146">
        <f t="shared" si="130"/>
        <v>0</v>
      </c>
      <c r="CW146">
        <f t="shared" si="131"/>
        <v>0</v>
      </c>
      <c r="CX146">
        <f t="shared" si="132"/>
        <v>0</v>
      </c>
      <c r="CY146">
        <f>(S146+R146)*(BZ146/100)</f>
        <v>0</v>
      </c>
      <c r="CZ146">
        <f>(S146+R146)*(CA146/100)</f>
        <v>0</v>
      </c>
      <c r="DC146" t="s">
        <v>6</v>
      </c>
      <c r="DD146" t="s">
        <v>6</v>
      </c>
      <c r="DE146" t="s">
        <v>6</v>
      </c>
      <c r="DF146" t="s">
        <v>6</v>
      </c>
      <c r="DG146" t="s">
        <v>6</v>
      </c>
      <c r="DH146" t="s">
        <v>6</v>
      </c>
      <c r="DI146" t="s">
        <v>6</v>
      </c>
      <c r="DJ146" t="s">
        <v>6</v>
      </c>
      <c r="DK146" t="s">
        <v>6</v>
      </c>
      <c r="DL146" t="s">
        <v>6</v>
      </c>
      <c r="DM146" t="s">
        <v>6</v>
      </c>
      <c r="DN146">
        <v>0</v>
      </c>
      <c r="DO146">
        <v>0</v>
      </c>
      <c r="DP146">
        <v>1</v>
      </c>
      <c r="DQ146">
        <v>1</v>
      </c>
      <c r="DU146">
        <v>1009</v>
      </c>
      <c r="DV146" t="s">
        <v>33</v>
      </c>
      <c r="DW146" t="e">
        <f>'2.Лок.смета.и.Акт'!#REF!</f>
        <v>#REF!</v>
      </c>
      <c r="DX146">
        <v>1000</v>
      </c>
      <c r="DZ146" t="s">
        <v>6</v>
      </c>
      <c r="EA146" t="s">
        <v>6</v>
      </c>
      <c r="EB146" t="s">
        <v>6</v>
      </c>
      <c r="EC146" t="s">
        <v>6</v>
      </c>
      <c r="EE146">
        <v>54938781</v>
      </c>
      <c r="EF146">
        <v>20</v>
      </c>
      <c r="EG146" t="s">
        <v>35</v>
      </c>
      <c r="EH146">
        <v>0</v>
      </c>
      <c r="EI146" t="s">
        <v>6</v>
      </c>
      <c r="EJ146">
        <v>1</v>
      </c>
      <c r="EK146">
        <v>500001</v>
      </c>
      <c r="EL146" t="s">
        <v>36</v>
      </c>
      <c r="EM146" t="s">
        <v>37</v>
      </c>
      <c r="EO146" t="s">
        <v>6</v>
      </c>
      <c r="EQ146">
        <v>0</v>
      </c>
      <c r="ER146">
        <v>82500</v>
      </c>
      <c r="ES146">
        <v>11576.19</v>
      </c>
      <c r="ET146">
        <v>0</v>
      </c>
      <c r="EU146">
        <v>0</v>
      </c>
      <c r="EV146">
        <v>0</v>
      </c>
      <c r="EW146">
        <v>0</v>
      </c>
      <c r="EX146">
        <v>0</v>
      </c>
      <c r="EZ146">
        <v>5</v>
      </c>
      <c r="FC146">
        <v>0</v>
      </c>
      <c r="FD146">
        <v>18</v>
      </c>
      <c r="FF146">
        <v>82500</v>
      </c>
      <c r="FQ146">
        <v>0</v>
      </c>
      <c r="FR146">
        <f t="shared" si="133"/>
        <v>0</v>
      </c>
      <c r="FS146">
        <v>0</v>
      </c>
      <c r="FX146">
        <v>0</v>
      </c>
      <c r="FY146">
        <v>0</v>
      </c>
      <c r="GA146" t="s">
        <v>74</v>
      </c>
      <c r="GD146">
        <v>1</v>
      </c>
      <c r="GF146">
        <v>-81122142</v>
      </c>
      <c r="GG146">
        <v>2</v>
      </c>
      <c r="GH146">
        <v>3</v>
      </c>
      <c r="GI146">
        <v>5</v>
      </c>
      <c r="GJ146">
        <v>0</v>
      </c>
      <c r="GK146">
        <v>0</v>
      </c>
      <c r="GL146">
        <f t="shared" si="134"/>
        <v>0</v>
      </c>
      <c r="GM146">
        <f t="shared" si="135"/>
        <v>1820</v>
      </c>
      <c r="GN146">
        <f t="shared" si="136"/>
        <v>1820</v>
      </c>
      <c r="GO146">
        <f t="shared" si="137"/>
        <v>0</v>
      </c>
      <c r="GP146">
        <f t="shared" si="138"/>
        <v>0</v>
      </c>
      <c r="GR146">
        <v>1</v>
      </c>
      <c r="GS146">
        <v>1</v>
      </c>
      <c r="GT146">
        <v>0</v>
      </c>
      <c r="GU146" t="s">
        <v>6</v>
      </c>
      <c r="GV146">
        <f t="shared" si="139"/>
        <v>0</v>
      </c>
      <c r="GW146">
        <v>1</v>
      </c>
      <c r="GX146">
        <f t="shared" si="140"/>
        <v>0</v>
      </c>
      <c r="HA146">
        <v>0</v>
      </c>
      <c r="HB146">
        <v>0</v>
      </c>
      <c r="HC146">
        <f t="shared" si="141"/>
        <v>0</v>
      </c>
      <c r="HE146" t="s">
        <v>39</v>
      </c>
      <c r="HF146" t="s">
        <v>40</v>
      </c>
      <c r="HM146" t="s">
        <v>6</v>
      </c>
      <c r="HN146" t="s">
        <v>6</v>
      </c>
      <c r="HO146" t="s">
        <v>6</v>
      </c>
      <c r="HP146" t="s">
        <v>6</v>
      </c>
      <c r="HQ146" t="s">
        <v>6</v>
      </c>
      <c r="IF146">
        <v>-1</v>
      </c>
      <c r="IK146">
        <v>0</v>
      </c>
    </row>
    <row r="147" spans="1:255" x14ac:dyDescent="0.2">
      <c r="A147" s="2">
        <v>18</v>
      </c>
      <c r="B147" s="2">
        <v>1</v>
      </c>
      <c r="C147" s="2">
        <v>161</v>
      </c>
      <c r="D147" s="2"/>
      <c r="E147" s="2" t="s">
        <v>244</v>
      </c>
      <c r="F147" s="2" t="s">
        <v>76</v>
      </c>
      <c r="G147" s="2" t="s">
        <v>245</v>
      </c>
      <c r="H147" s="2" t="s">
        <v>78</v>
      </c>
      <c r="I147" s="2">
        <f>I143*J147</f>
        <v>8.7899999999999991</v>
      </c>
      <c r="J147" s="226">
        <f>'5.Ведомость_списания'!F68</f>
        <v>1.7755782244217755</v>
      </c>
      <c r="K147" s="2">
        <v>1.7755782</v>
      </c>
      <c r="L147" s="2"/>
      <c r="M147" s="2"/>
      <c r="N147" s="2"/>
      <c r="O147" s="2">
        <f t="shared" si="110"/>
        <v>770</v>
      </c>
      <c r="P147" s="2">
        <f t="shared" si="111"/>
        <v>770</v>
      </c>
      <c r="Q147" s="2">
        <f t="shared" si="112"/>
        <v>0</v>
      </c>
      <c r="R147" s="2">
        <f t="shared" si="113"/>
        <v>0</v>
      </c>
      <c r="S147" s="2">
        <f t="shared" si="114"/>
        <v>0</v>
      </c>
      <c r="T147" s="2">
        <f t="shared" si="115"/>
        <v>0</v>
      </c>
      <c r="U147" s="2">
        <f t="shared" si="116"/>
        <v>0</v>
      </c>
      <c r="V147" s="2">
        <f t="shared" si="117"/>
        <v>0</v>
      </c>
      <c r="W147" s="2">
        <f t="shared" si="118"/>
        <v>0</v>
      </c>
      <c r="X147" s="2">
        <f t="shared" si="119"/>
        <v>0</v>
      </c>
      <c r="Y147" s="2">
        <f t="shared" si="120"/>
        <v>0</v>
      </c>
      <c r="Z147" s="2"/>
      <c r="AA147" s="2">
        <v>86326987</v>
      </c>
      <c r="AB147" s="2">
        <f t="shared" si="121"/>
        <v>87.58</v>
      </c>
      <c r="AC147" s="2">
        <f t="shared" si="150"/>
        <v>87.58</v>
      </c>
      <c r="AD147" s="2">
        <f>ROUND((ET147),2)</f>
        <v>0</v>
      </c>
      <c r="AE147" s="2">
        <f t="shared" si="151"/>
        <v>0</v>
      </c>
      <c r="AF147" s="2">
        <f t="shared" si="152"/>
        <v>0</v>
      </c>
      <c r="AG147" s="2">
        <f t="shared" si="122"/>
        <v>0</v>
      </c>
      <c r="AH147" s="2">
        <f t="shared" si="153"/>
        <v>0</v>
      </c>
      <c r="AI147" s="2">
        <f t="shared" si="154"/>
        <v>0</v>
      </c>
      <c r="AJ147" s="2">
        <f t="shared" si="123"/>
        <v>0</v>
      </c>
      <c r="AK147" s="2">
        <v>87.58</v>
      </c>
      <c r="AL147" s="110">
        <f>'1.Лок.смета.и.Акт'!F281</f>
        <v>87.58</v>
      </c>
      <c r="AM147" s="2">
        <v>0</v>
      </c>
      <c r="AN147" s="2">
        <v>0</v>
      </c>
      <c r="AO147" s="2">
        <v>0</v>
      </c>
      <c r="AP147" s="2">
        <v>0</v>
      </c>
      <c r="AQ147" s="2">
        <v>0</v>
      </c>
      <c r="AR147" s="2">
        <v>0</v>
      </c>
      <c r="AS147" s="2">
        <v>0</v>
      </c>
      <c r="AT147" s="2">
        <v>0</v>
      </c>
      <c r="AU147" s="2">
        <v>0</v>
      </c>
      <c r="AV147" s="2">
        <v>1</v>
      </c>
      <c r="AW147" s="2">
        <v>1</v>
      </c>
      <c r="AX147" s="2"/>
      <c r="AY147" s="2"/>
      <c r="AZ147" s="2">
        <v>1</v>
      </c>
      <c r="BA147" s="2">
        <v>1</v>
      </c>
      <c r="BB147" s="2">
        <v>1</v>
      </c>
      <c r="BC147" s="2">
        <v>1</v>
      </c>
      <c r="BD147" s="2" t="s">
        <v>6</v>
      </c>
      <c r="BE147" s="2" t="s">
        <v>6</v>
      </c>
      <c r="BF147" s="2" t="s">
        <v>6</v>
      </c>
      <c r="BG147" s="2" t="s">
        <v>6</v>
      </c>
      <c r="BH147" s="2">
        <v>3</v>
      </c>
      <c r="BI147" s="2">
        <v>1</v>
      </c>
      <c r="BJ147" s="2" t="s">
        <v>79</v>
      </c>
      <c r="BK147" s="2"/>
      <c r="BL147" s="2"/>
      <c r="BM147" s="2">
        <v>3101</v>
      </c>
      <c r="BN147" s="2">
        <v>0</v>
      </c>
      <c r="BO147" s="2" t="s">
        <v>6</v>
      </c>
      <c r="BP147" s="2">
        <v>0</v>
      </c>
      <c r="BQ147" s="2">
        <v>0</v>
      </c>
      <c r="BR147" s="2">
        <v>0</v>
      </c>
      <c r="BS147" s="2">
        <v>1</v>
      </c>
      <c r="BT147" s="2">
        <v>1</v>
      </c>
      <c r="BU147" s="2">
        <v>1</v>
      </c>
      <c r="BV147" s="2">
        <v>1</v>
      </c>
      <c r="BW147" s="2">
        <v>1</v>
      </c>
      <c r="BX147" s="2">
        <v>1</v>
      </c>
      <c r="BY147" s="2" t="s">
        <v>6</v>
      </c>
      <c r="BZ147" s="2">
        <v>0</v>
      </c>
      <c r="CA147" s="2">
        <v>0</v>
      </c>
      <c r="CB147" s="2" t="s">
        <v>6</v>
      </c>
      <c r="CC147" s="2"/>
      <c r="CD147" s="2"/>
      <c r="CE147" s="2">
        <v>0</v>
      </c>
      <c r="CF147" s="2">
        <v>0</v>
      </c>
      <c r="CG147" s="2">
        <v>0</v>
      </c>
      <c r="CH147" s="2"/>
      <c r="CI147" s="2"/>
      <c r="CJ147" s="2"/>
      <c r="CK147" s="2"/>
      <c r="CL147" s="2"/>
      <c r="CM147" s="2">
        <v>0</v>
      </c>
      <c r="CN147" s="2" t="s">
        <v>6</v>
      </c>
      <c r="CO147" s="2">
        <v>0</v>
      </c>
      <c r="CP147" s="2">
        <f t="shared" si="124"/>
        <v>770</v>
      </c>
      <c r="CQ147" s="2">
        <f t="shared" si="125"/>
        <v>87.58</v>
      </c>
      <c r="CR147" s="2">
        <f t="shared" si="126"/>
        <v>0</v>
      </c>
      <c r="CS147" s="2">
        <f t="shared" si="127"/>
        <v>0</v>
      </c>
      <c r="CT147" s="2">
        <f t="shared" si="128"/>
        <v>0</v>
      </c>
      <c r="CU147" s="2">
        <f t="shared" si="129"/>
        <v>0</v>
      </c>
      <c r="CV147" s="2">
        <f t="shared" si="130"/>
        <v>0</v>
      </c>
      <c r="CW147" s="2">
        <f t="shared" si="131"/>
        <v>0</v>
      </c>
      <c r="CX147" s="2">
        <f t="shared" si="132"/>
        <v>0</v>
      </c>
      <c r="CY147" s="2">
        <f>0</f>
        <v>0</v>
      </c>
      <c r="CZ147" s="2">
        <f>0</f>
        <v>0</v>
      </c>
      <c r="DA147" s="2"/>
      <c r="DB147" s="2"/>
      <c r="DC147" s="2" t="s">
        <v>6</v>
      </c>
      <c r="DD147" s="2" t="s">
        <v>6</v>
      </c>
      <c r="DE147" s="2" t="s">
        <v>6</v>
      </c>
      <c r="DF147" s="2" t="s">
        <v>6</v>
      </c>
      <c r="DG147" s="2" t="s">
        <v>6</v>
      </c>
      <c r="DH147" s="2" t="s">
        <v>6</v>
      </c>
      <c r="DI147" s="2" t="s">
        <v>6</v>
      </c>
      <c r="DJ147" s="2" t="s">
        <v>6</v>
      </c>
      <c r="DK147" s="2" t="s">
        <v>6</v>
      </c>
      <c r="DL147" s="2" t="s">
        <v>6</v>
      </c>
      <c r="DM147" s="2" t="s">
        <v>6</v>
      </c>
      <c r="DN147" s="2">
        <v>0</v>
      </c>
      <c r="DO147" s="2">
        <v>0</v>
      </c>
      <c r="DP147" s="2">
        <v>1</v>
      </c>
      <c r="DQ147" s="2">
        <v>1</v>
      </c>
      <c r="DR147" s="2"/>
      <c r="DS147" s="2"/>
      <c r="DT147" s="2"/>
      <c r="DU147" s="2">
        <v>1013</v>
      </c>
      <c r="DV147" s="2" t="s">
        <v>78</v>
      </c>
      <c r="DW147" s="2" t="s">
        <v>78</v>
      </c>
      <c r="DX147" s="2">
        <v>1</v>
      </c>
      <c r="DY147" s="2"/>
      <c r="DZ147" s="2" t="s">
        <v>6</v>
      </c>
      <c r="EA147" s="2" t="s">
        <v>6</v>
      </c>
      <c r="EB147" s="2" t="s">
        <v>6</v>
      </c>
      <c r="EC147" s="2" t="s">
        <v>6</v>
      </c>
      <c r="ED147" s="2"/>
      <c r="EE147" s="2">
        <v>0</v>
      </c>
      <c r="EF147" s="2">
        <v>0</v>
      </c>
      <c r="EG147" s="2" t="s">
        <v>6</v>
      </c>
      <c r="EH147" s="2">
        <v>0</v>
      </c>
      <c r="EI147" s="2" t="s">
        <v>6</v>
      </c>
      <c r="EJ147" s="2">
        <v>0</v>
      </c>
      <c r="EK147" s="2">
        <v>3101</v>
      </c>
      <c r="EL147" s="2" t="s">
        <v>6</v>
      </c>
      <c r="EM147" s="2" t="s">
        <v>6</v>
      </c>
      <c r="EN147" s="2"/>
      <c r="EO147" s="2" t="s">
        <v>6</v>
      </c>
      <c r="EP147" s="2"/>
      <c r="EQ147" s="2">
        <v>0</v>
      </c>
      <c r="ER147" s="2">
        <v>87.58</v>
      </c>
      <c r="ES147" s="110">
        <f>'1.Лок.смета.и.Акт'!F281</f>
        <v>87.58</v>
      </c>
      <c r="ET147" s="2">
        <v>0</v>
      </c>
      <c r="EU147" s="2">
        <v>0</v>
      </c>
      <c r="EV147" s="2">
        <v>0</v>
      </c>
      <c r="EW147" s="2">
        <v>0</v>
      </c>
      <c r="EX147" s="2">
        <v>0</v>
      </c>
      <c r="EY147" s="2"/>
      <c r="EZ147" s="2"/>
      <c r="FA147" s="2"/>
      <c r="FB147" s="2"/>
      <c r="FC147" s="2"/>
      <c r="FD147" s="2"/>
      <c r="FE147" s="2"/>
      <c r="FF147" s="2"/>
      <c r="FG147" s="2"/>
      <c r="FH147" s="2"/>
      <c r="FI147" s="2"/>
      <c r="FJ147" s="2"/>
      <c r="FK147" s="2"/>
      <c r="FL147" s="2"/>
      <c r="FM147" s="2"/>
      <c r="FN147" s="2"/>
      <c r="FO147" s="2"/>
      <c r="FP147" s="2"/>
      <c r="FQ147" s="2">
        <v>0</v>
      </c>
      <c r="FR147" s="2">
        <f t="shared" si="133"/>
        <v>0</v>
      </c>
      <c r="FS147" s="2">
        <v>0</v>
      </c>
      <c r="FT147" s="2"/>
      <c r="FU147" s="2"/>
      <c r="FV147" s="2"/>
      <c r="FW147" s="2"/>
      <c r="FX147" s="2">
        <v>0</v>
      </c>
      <c r="FY147" s="2">
        <v>0</v>
      </c>
      <c r="FZ147" s="2"/>
      <c r="GA147" s="2" t="s">
        <v>6</v>
      </c>
      <c r="GB147" s="2"/>
      <c r="GC147" s="2"/>
      <c r="GD147" s="2">
        <v>1</v>
      </c>
      <c r="GE147" s="2"/>
      <c r="GF147" s="2">
        <v>1869088844</v>
      </c>
      <c r="GG147" s="2">
        <v>2</v>
      </c>
      <c r="GH147" s="2">
        <v>1</v>
      </c>
      <c r="GI147" s="2">
        <v>-2</v>
      </c>
      <c r="GJ147" s="2">
        <v>0</v>
      </c>
      <c r="GK147" s="2">
        <v>0</v>
      </c>
      <c r="GL147" s="2">
        <f t="shared" si="134"/>
        <v>0</v>
      </c>
      <c r="GM147" s="2">
        <f t="shared" si="135"/>
        <v>770</v>
      </c>
      <c r="GN147" s="2">
        <f t="shared" si="136"/>
        <v>770</v>
      </c>
      <c r="GO147" s="2">
        <f t="shared" si="137"/>
        <v>0</v>
      </c>
      <c r="GP147" s="2">
        <f t="shared" si="138"/>
        <v>0</v>
      </c>
      <c r="GQ147" s="2"/>
      <c r="GR147" s="2">
        <v>0</v>
      </c>
      <c r="GS147" s="2">
        <v>3</v>
      </c>
      <c r="GT147" s="2">
        <v>0</v>
      </c>
      <c r="GU147" s="2" t="s">
        <v>6</v>
      </c>
      <c r="GV147" s="2">
        <f t="shared" si="139"/>
        <v>0</v>
      </c>
      <c r="GW147" s="2">
        <v>1</v>
      </c>
      <c r="GX147" s="2">
        <f t="shared" si="140"/>
        <v>0</v>
      </c>
      <c r="GY147" s="2"/>
      <c r="GZ147" s="2"/>
      <c r="HA147" s="2">
        <v>0</v>
      </c>
      <c r="HB147" s="2">
        <v>0</v>
      </c>
      <c r="HC147" s="2">
        <f t="shared" si="141"/>
        <v>0</v>
      </c>
      <c r="HD147" s="2"/>
      <c r="HE147" s="2" t="s">
        <v>6</v>
      </c>
      <c r="HF147" s="2" t="s">
        <v>6</v>
      </c>
      <c r="HG147" s="2"/>
      <c r="HH147" s="2"/>
      <c r="HI147" s="2"/>
      <c r="HJ147" s="2"/>
      <c r="HK147" s="2"/>
      <c r="HL147" s="2"/>
      <c r="HM147" s="2" t="s">
        <v>6</v>
      </c>
      <c r="HN147" s="2" t="s">
        <v>6</v>
      </c>
      <c r="HO147" s="2" t="s">
        <v>6</v>
      </c>
      <c r="HP147" s="2" t="s">
        <v>6</v>
      </c>
      <c r="HQ147" s="2" t="s">
        <v>6</v>
      </c>
      <c r="HR147" s="2"/>
      <c r="HS147" s="2"/>
      <c r="HT147" s="2"/>
      <c r="HU147" s="2"/>
      <c r="HV147" s="2"/>
      <c r="HW147" s="2"/>
      <c r="HX147" s="2"/>
      <c r="HY147" s="2"/>
      <c r="HZ147" s="2"/>
      <c r="IA147" s="2"/>
      <c r="IB147" s="2"/>
      <c r="IC147" s="2"/>
      <c r="ID147" s="2"/>
      <c r="IE147" s="2"/>
      <c r="IF147" s="2">
        <v>-1</v>
      </c>
      <c r="IG147" s="2"/>
      <c r="IH147" s="2"/>
      <c r="II147" s="2"/>
      <c r="IJ147" s="2"/>
      <c r="IK147" s="2">
        <v>0</v>
      </c>
      <c r="IL147" s="2"/>
      <c r="IM147" s="2"/>
      <c r="IN147" s="2"/>
      <c r="IO147" s="2"/>
      <c r="IP147" s="2"/>
      <c r="IQ147" s="2"/>
      <c r="IR147" s="2"/>
      <c r="IS147" s="2"/>
      <c r="IT147" s="2"/>
      <c r="IU147" s="2"/>
    </row>
    <row r="148" spans="1:255" x14ac:dyDescent="0.2">
      <c r="A148">
        <v>18</v>
      </c>
      <c r="B148">
        <v>1</v>
      </c>
      <c r="C148">
        <v>174</v>
      </c>
      <c r="E148" t="s">
        <v>244</v>
      </c>
      <c r="F148" t="e">
        <f>'2.Лок.смета.и.Акт'!#REF!</f>
        <v>#REF!</v>
      </c>
      <c r="G148" t="s">
        <v>245</v>
      </c>
      <c r="H148" t="s">
        <v>78</v>
      </c>
      <c r="I148">
        <f>I144*J148</f>
        <v>8.7899999999999991</v>
      </c>
      <c r="J148">
        <v>1.7755782244217755</v>
      </c>
      <c r="K148">
        <v>1.7755782</v>
      </c>
      <c r="O148">
        <f t="shared" si="110"/>
        <v>3071</v>
      </c>
      <c r="P148">
        <f t="shared" si="111"/>
        <v>3071</v>
      </c>
      <c r="Q148">
        <f t="shared" si="112"/>
        <v>0</v>
      </c>
      <c r="R148">
        <f t="shared" si="113"/>
        <v>0</v>
      </c>
      <c r="S148">
        <f t="shared" si="114"/>
        <v>0</v>
      </c>
      <c r="T148">
        <f t="shared" si="115"/>
        <v>0</v>
      </c>
      <c r="U148">
        <f t="shared" si="116"/>
        <v>0</v>
      </c>
      <c r="V148">
        <f t="shared" si="117"/>
        <v>0</v>
      </c>
      <c r="W148">
        <f t="shared" si="118"/>
        <v>0</v>
      </c>
      <c r="X148">
        <f t="shared" si="119"/>
        <v>0</v>
      </c>
      <c r="Y148">
        <f t="shared" si="120"/>
        <v>0</v>
      </c>
      <c r="AA148">
        <v>86326988</v>
      </c>
      <c r="AB148">
        <f t="shared" si="121"/>
        <v>46.21</v>
      </c>
      <c r="AC148">
        <f t="shared" si="150"/>
        <v>46.21</v>
      </c>
      <c r="AD148">
        <f>ROUND((ET148),2)</f>
        <v>0</v>
      </c>
      <c r="AE148">
        <f t="shared" si="151"/>
        <v>0</v>
      </c>
      <c r="AF148">
        <f t="shared" si="152"/>
        <v>0</v>
      </c>
      <c r="AG148">
        <f t="shared" si="122"/>
        <v>0</v>
      </c>
      <c r="AH148">
        <f t="shared" si="153"/>
        <v>0</v>
      </c>
      <c r="AI148">
        <f t="shared" si="154"/>
        <v>0</v>
      </c>
      <c r="AJ148">
        <f t="shared" si="123"/>
        <v>0</v>
      </c>
      <c r="AK148">
        <v>46.21</v>
      </c>
      <c r="AL148">
        <v>46.21</v>
      </c>
      <c r="AM148">
        <v>0</v>
      </c>
      <c r="AN148">
        <v>0</v>
      </c>
      <c r="AO148">
        <v>0</v>
      </c>
      <c r="AP148">
        <v>0</v>
      </c>
      <c r="AQ148">
        <v>0</v>
      </c>
      <c r="AR148">
        <v>0</v>
      </c>
      <c r="AS148">
        <v>0</v>
      </c>
      <c r="AT148">
        <v>0</v>
      </c>
      <c r="AU148">
        <v>0</v>
      </c>
      <c r="AV148">
        <v>1</v>
      </c>
      <c r="AW148">
        <v>1</v>
      </c>
      <c r="AZ148">
        <v>1</v>
      </c>
      <c r="BA148">
        <v>1</v>
      </c>
      <c r="BB148">
        <v>1</v>
      </c>
      <c r="BC148">
        <v>7.56</v>
      </c>
      <c r="BD148" t="s">
        <v>6</v>
      </c>
      <c r="BE148" t="s">
        <v>6</v>
      </c>
      <c r="BF148" t="s">
        <v>6</v>
      </c>
      <c r="BG148" t="s">
        <v>6</v>
      </c>
      <c r="BH148">
        <v>3</v>
      </c>
      <c r="BI148">
        <v>1</v>
      </c>
      <c r="BJ148" t="s">
        <v>79</v>
      </c>
      <c r="BM148">
        <v>3101</v>
      </c>
      <c r="BN148">
        <v>0</v>
      </c>
      <c r="BO148" t="s">
        <v>6</v>
      </c>
      <c r="BP148">
        <v>0</v>
      </c>
      <c r="BQ148">
        <v>0</v>
      </c>
      <c r="BR148">
        <v>0</v>
      </c>
      <c r="BS148">
        <v>1</v>
      </c>
      <c r="BT148">
        <v>1</v>
      </c>
      <c r="BU148">
        <v>1</v>
      </c>
      <c r="BV148">
        <v>1</v>
      </c>
      <c r="BW148">
        <v>1</v>
      </c>
      <c r="BX148">
        <v>1</v>
      </c>
      <c r="BY148" t="s">
        <v>6</v>
      </c>
      <c r="BZ148">
        <v>0</v>
      </c>
      <c r="CA148">
        <v>0</v>
      </c>
      <c r="CB148" t="s">
        <v>6</v>
      </c>
      <c r="CE148">
        <v>0</v>
      </c>
      <c r="CF148">
        <v>0</v>
      </c>
      <c r="CG148">
        <v>0</v>
      </c>
      <c r="CM148">
        <v>0</v>
      </c>
      <c r="CN148" t="s">
        <v>6</v>
      </c>
      <c r="CO148">
        <v>0</v>
      </c>
      <c r="CP148">
        <f t="shared" si="124"/>
        <v>3071</v>
      </c>
      <c r="CQ148">
        <f t="shared" si="125"/>
        <v>349.3476</v>
      </c>
      <c r="CR148">
        <f t="shared" si="126"/>
        <v>0</v>
      </c>
      <c r="CS148">
        <f t="shared" si="127"/>
        <v>0</v>
      </c>
      <c r="CT148">
        <f t="shared" si="128"/>
        <v>0</v>
      </c>
      <c r="CU148">
        <f t="shared" si="129"/>
        <v>0</v>
      </c>
      <c r="CV148">
        <f t="shared" si="130"/>
        <v>0</v>
      </c>
      <c r="CW148">
        <f t="shared" si="131"/>
        <v>0</v>
      </c>
      <c r="CX148">
        <f t="shared" si="132"/>
        <v>0</v>
      </c>
      <c r="CY148">
        <f>(S148+R148)*(BZ148/100)</f>
        <v>0</v>
      </c>
      <c r="CZ148">
        <f>(S148+R148)*(CA148/100)</f>
        <v>0</v>
      </c>
      <c r="DC148" t="s">
        <v>6</v>
      </c>
      <c r="DD148" t="s">
        <v>6</v>
      </c>
      <c r="DE148" t="s">
        <v>6</v>
      </c>
      <c r="DF148" t="s">
        <v>6</v>
      </c>
      <c r="DG148" t="s">
        <v>6</v>
      </c>
      <c r="DH148" t="s">
        <v>6</v>
      </c>
      <c r="DI148" t="s">
        <v>6</v>
      </c>
      <c r="DJ148" t="s">
        <v>6</v>
      </c>
      <c r="DK148" t="s">
        <v>6</v>
      </c>
      <c r="DL148" t="s">
        <v>6</v>
      </c>
      <c r="DM148" t="s">
        <v>6</v>
      </c>
      <c r="DN148">
        <v>0</v>
      </c>
      <c r="DO148">
        <v>0</v>
      </c>
      <c r="DP148">
        <v>1</v>
      </c>
      <c r="DQ148">
        <v>1</v>
      </c>
      <c r="DU148">
        <v>1013</v>
      </c>
      <c r="DV148" t="s">
        <v>78</v>
      </c>
      <c r="DW148" t="e">
        <f>'2.Лок.смета.и.Акт'!#REF!</f>
        <v>#REF!</v>
      </c>
      <c r="DX148">
        <v>1</v>
      </c>
      <c r="DZ148" t="s">
        <v>6</v>
      </c>
      <c r="EA148" t="s">
        <v>6</v>
      </c>
      <c r="EB148" t="s">
        <v>6</v>
      </c>
      <c r="EC148" t="s">
        <v>6</v>
      </c>
      <c r="EE148">
        <v>0</v>
      </c>
      <c r="EF148">
        <v>0</v>
      </c>
      <c r="EG148" t="s">
        <v>6</v>
      </c>
      <c r="EH148">
        <v>0</v>
      </c>
      <c r="EI148" t="s">
        <v>6</v>
      </c>
      <c r="EJ148">
        <v>0</v>
      </c>
      <c r="EK148">
        <v>3101</v>
      </c>
      <c r="EL148" t="s">
        <v>6</v>
      </c>
      <c r="EM148" t="s">
        <v>6</v>
      </c>
      <c r="EO148" t="s">
        <v>6</v>
      </c>
      <c r="EQ148">
        <v>0</v>
      </c>
      <c r="ER148">
        <v>333.45</v>
      </c>
      <c r="ES148">
        <v>46.21</v>
      </c>
      <c r="ET148">
        <v>0</v>
      </c>
      <c r="EU148">
        <v>0</v>
      </c>
      <c r="EV148">
        <v>0</v>
      </c>
      <c r="EW148">
        <v>0</v>
      </c>
      <c r="EX148">
        <v>0</v>
      </c>
      <c r="EZ148">
        <v>5</v>
      </c>
      <c r="FC148">
        <v>0</v>
      </c>
      <c r="FD148">
        <v>18</v>
      </c>
      <c r="FF148">
        <v>333.45</v>
      </c>
      <c r="FQ148">
        <v>0</v>
      </c>
      <c r="FR148">
        <f t="shared" si="133"/>
        <v>0</v>
      </c>
      <c r="FS148">
        <v>0</v>
      </c>
      <c r="FX148">
        <v>0</v>
      </c>
      <c r="FY148">
        <v>0</v>
      </c>
      <c r="GA148" t="s">
        <v>80</v>
      </c>
      <c r="GD148">
        <v>1</v>
      </c>
      <c r="GF148">
        <v>1869088844</v>
      </c>
      <c r="GG148">
        <v>2</v>
      </c>
      <c r="GH148">
        <v>3</v>
      </c>
      <c r="GI148">
        <v>5</v>
      </c>
      <c r="GJ148">
        <v>0</v>
      </c>
      <c r="GK148">
        <v>0</v>
      </c>
      <c r="GL148">
        <f t="shared" si="134"/>
        <v>0</v>
      </c>
      <c r="GM148">
        <f t="shared" si="135"/>
        <v>3071</v>
      </c>
      <c r="GN148">
        <f t="shared" si="136"/>
        <v>3071</v>
      </c>
      <c r="GO148">
        <f t="shared" si="137"/>
        <v>0</v>
      </c>
      <c r="GP148">
        <f t="shared" si="138"/>
        <v>0</v>
      </c>
      <c r="GR148">
        <v>1</v>
      </c>
      <c r="GS148">
        <v>1</v>
      </c>
      <c r="GT148">
        <v>0</v>
      </c>
      <c r="GU148" t="s">
        <v>6</v>
      </c>
      <c r="GV148">
        <f t="shared" si="139"/>
        <v>0</v>
      </c>
      <c r="GW148">
        <v>1</v>
      </c>
      <c r="GX148">
        <f t="shared" si="140"/>
        <v>0</v>
      </c>
      <c r="HA148">
        <v>0</v>
      </c>
      <c r="HB148">
        <v>0</v>
      </c>
      <c r="HC148">
        <f t="shared" si="141"/>
        <v>0</v>
      </c>
      <c r="HE148" t="s">
        <v>39</v>
      </c>
      <c r="HF148" t="s">
        <v>61</v>
      </c>
      <c r="HM148" t="s">
        <v>6</v>
      </c>
      <c r="HN148" t="s">
        <v>6</v>
      </c>
      <c r="HO148" t="s">
        <v>6</v>
      </c>
      <c r="HP148" t="s">
        <v>6</v>
      </c>
      <c r="HQ148" t="s">
        <v>6</v>
      </c>
      <c r="IF148">
        <v>-1</v>
      </c>
      <c r="IK148">
        <v>0</v>
      </c>
    </row>
    <row r="149" spans="1:255" x14ac:dyDescent="0.2">
      <c r="A149" s="2">
        <v>18</v>
      </c>
      <c r="B149" s="2">
        <v>1</v>
      </c>
      <c r="C149" s="2">
        <v>162</v>
      </c>
      <c r="D149" s="2"/>
      <c r="E149" s="2" t="s">
        <v>246</v>
      </c>
      <c r="F149" s="2" t="s">
        <v>82</v>
      </c>
      <c r="G149" s="2" t="s">
        <v>247</v>
      </c>
      <c r="H149" s="2" t="s">
        <v>78</v>
      </c>
      <c r="I149" s="2">
        <f>I143*J149</f>
        <v>8.7899999999999991</v>
      </c>
      <c r="J149" s="226">
        <f>'5.Ведомость_списания'!F69</f>
        <v>1.7755782244217755</v>
      </c>
      <c r="K149" s="2">
        <v>1.7755782</v>
      </c>
      <c r="L149" s="2"/>
      <c r="M149" s="2"/>
      <c r="N149" s="2"/>
      <c r="O149" s="2">
        <f t="shared" si="110"/>
        <v>497</v>
      </c>
      <c r="P149" s="2">
        <f t="shared" si="111"/>
        <v>497</v>
      </c>
      <c r="Q149" s="2">
        <f t="shared" si="112"/>
        <v>0</v>
      </c>
      <c r="R149" s="2">
        <f t="shared" si="113"/>
        <v>0</v>
      </c>
      <c r="S149" s="2">
        <f t="shared" si="114"/>
        <v>0</v>
      </c>
      <c r="T149" s="2">
        <f t="shared" si="115"/>
        <v>0</v>
      </c>
      <c r="U149" s="2">
        <f t="shared" si="116"/>
        <v>0</v>
      </c>
      <c r="V149" s="2">
        <f t="shared" si="117"/>
        <v>0</v>
      </c>
      <c r="W149" s="2">
        <f t="shared" si="118"/>
        <v>0</v>
      </c>
      <c r="X149" s="2">
        <f t="shared" si="119"/>
        <v>0</v>
      </c>
      <c r="Y149" s="2">
        <f t="shared" si="120"/>
        <v>0</v>
      </c>
      <c r="Z149" s="2"/>
      <c r="AA149" s="2">
        <v>86326987</v>
      </c>
      <c r="AB149" s="2">
        <f t="shared" si="121"/>
        <v>56.57</v>
      </c>
      <c r="AC149" s="2">
        <f t="shared" si="150"/>
        <v>56.57</v>
      </c>
      <c r="AD149" s="2">
        <f>ROUND((ET149),2)</f>
        <v>0</v>
      </c>
      <c r="AE149" s="2">
        <f t="shared" si="151"/>
        <v>0</v>
      </c>
      <c r="AF149" s="2">
        <f t="shared" si="152"/>
        <v>0</v>
      </c>
      <c r="AG149" s="2">
        <f t="shared" si="122"/>
        <v>0</v>
      </c>
      <c r="AH149" s="2">
        <f t="shared" si="153"/>
        <v>0</v>
      </c>
      <c r="AI149" s="2">
        <f t="shared" si="154"/>
        <v>0</v>
      </c>
      <c r="AJ149" s="2">
        <f t="shared" si="123"/>
        <v>0</v>
      </c>
      <c r="AK149" s="2">
        <v>56.57</v>
      </c>
      <c r="AL149" s="110">
        <f>'1.Лок.смета.и.Акт'!F283</f>
        <v>56.57</v>
      </c>
      <c r="AM149" s="2">
        <v>0</v>
      </c>
      <c r="AN149" s="2">
        <v>0</v>
      </c>
      <c r="AO149" s="2">
        <v>0</v>
      </c>
      <c r="AP149" s="2">
        <v>0</v>
      </c>
      <c r="AQ149" s="2">
        <v>0</v>
      </c>
      <c r="AR149" s="2">
        <v>0</v>
      </c>
      <c r="AS149" s="2">
        <v>0</v>
      </c>
      <c r="AT149" s="2">
        <v>0</v>
      </c>
      <c r="AU149" s="2">
        <v>0</v>
      </c>
      <c r="AV149" s="2">
        <v>1</v>
      </c>
      <c r="AW149" s="2">
        <v>1</v>
      </c>
      <c r="AX149" s="2"/>
      <c r="AY149" s="2"/>
      <c r="AZ149" s="2">
        <v>1</v>
      </c>
      <c r="BA149" s="2">
        <v>1</v>
      </c>
      <c r="BB149" s="2">
        <v>1</v>
      </c>
      <c r="BC149" s="2">
        <v>1</v>
      </c>
      <c r="BD149" s="2" t="s">
        <v>6</v>
      </c>
      <c r="BE149" s="2" t="s">
        <v>6</v>
      </c>
      <c r="BF149" s="2" t="s">
        <v>6</v>
      </c>
      <c r="BG149" s="2" t="s">
        <v>6</v>
      </c>
      <c r="BH149" s="2">
        <v>3</v>
      </c>
      <c r="BI149" s="2">
        <v>1</v>
      </c>
      <c r="BJ149" s="2" t="s">
        <v>84</v>
      </c>
      <c r="BK149" s="2"/>
      <c r="BL149" s="2"/>
      <c r="BM149" s="2">
        <v>3101</v>
      </c>
      <c r="BN149" s="2">
        <v>0</v>
      </c>
      <c r="BO149" s="2" t="s">
        <v>6</v>
      </c>
      <c r="BP149" s="2">
        <v>0</v>
      </c>
      <c r="BQ149" s="2">
        <v>0</v>
      </c>
      <c r="BR149" s="2">
        <v>0</v>
      </c>
      <c r="BS149" s="2">
        <v>1</v>
      </c>
      <c r="BT149" s="2">
        <v>1</v>
      </c>
      <c r="BU149" s="2">
        <v>1</v>
      </c>
      <c r="BV149" s="2">
        <v>1</v>
      </c>
      <c r="BW149" s="2">
        <v>1</v>
      </c>
      <c r="BX149" s="2">
        <v>1</v>
      </c>
      <c r="BY149" s="2" t="s">
        <v>6</v>
      </c>
      <c r="BZ149" s="2">
        <v>0</v>
      </c>
      <c r="CA149" s="2">
        <v>0</v>
      </c>
      <c r="CB149" s="2" t="s">
        <v>6</v>
      </c>
      <c r="CC149" s="2"/>
      <c r="CD149" s="2"/>
      <c r="CE149" s="2">
        <v>0</v>
      </c>
      <c r="CF149" s="2">
        <v>0</v>
      </c>
      <c r="CG149" s="2">
        <v>0</v>
      </c>
      <c r="CH149" s="2"/>
      <c r="CI149" s="2"/>
      <c r="CJ149" s="2"/>
      <c r="CK149" s="2"/>
      <c r="CL149" s="2"/>
      <c r="CM149" s="2">
        <v>0</v>
      </c>
      <c r="CN149" s="2" t="s">
        <v>6</v>
      </c>
      <c r="CO149" s="2">
        <v>0</v>
      </c>
      <c r="CP149" s="2">
        <f t="shared" si="124"/>
        <v>497</v>
      </c>
      <c r="CQ149" s="2">
        <f t="shared" si="125"/>
        <v>56.57</v>
      </c>
      <c r="CR149" s="2">
        <f t="shared" si="126"/>
        <v>0</v>
      </c>
      <c r="CS149" s="2">
        <f t="shared" si="127"/>
        <v>0</v>
      </c>
      <c r="CT149" s="2">
        <f t="shared" si="128"/>
        <v>0</v>
      </c>
      <c r="CU149" s="2">
        <f t="shared" si="129"/>
        <v>0</v>
      </c>
      <c r="CV149" s="2">
        <f t="shared" si="130"/>
        <v>0</v>
      </c>
      <c r="CW149" s="2">
        <f t="shared" si="131"/>
        <v>0</v>
      </c>
      <c r="CX149" s="2">
        <f t="shared" si="132"/>
        <v>0</v>
      </c>
      <c r="CY149" s="2">
        <f>0</f>
        <v>0</v>
      </c>
      <c r="CZ149" s="2">
        <f>0</f>
        <v>0</v>
      </c>
      <c r="DA149" s="2"/>
      <c r="DB149" s="2"/>
      <c r="DC149" s="2" t="s">
        <v>6</v>
      </c>
      <c r="DD149" s="2" t="s">
        <v>6</v>
      </c>
      <c r="DE149" s="2" t="s">
        <v>6</v>
      </c>
      <c r="DF149" s="2" t="s">
        <v>6</v>
      </c>
      <c r="DG149" s="2" t="s">
        <v>6</v>
      </c>
      <c r="DH149" s="2" t="s">
        <v>6</v>
      </c>
      <c r="DI149" s="2" t="s">
        <v>6</v>
      </c>
      <c r="DJ149" s="2" t="s">
        <v>6</v>
      </c>
      <c r="DK149" s="2" t="s">
        <v>6</v>
      </c>
      <c r="DL149" s="2" t="s">
        <v>6</v>
      </c>
      <c r="DM149" s="2" t="s">
        <v>6</v>
      </c>
      <c r="DN149" s="2">
        <v>0</v>
      </c>
      <c r="DO149" s="2">
        <v>0</v>
      </c>
      <c r="DP149" s="2">
        <v>1</v>
      </c>
      <c r="DQ149" s="2">
        <v>1</v>
      </c>
      <c r="DR149" s="2"/>
      <c r="DS149" s="2"/>
      <c r="DT149" s="2"/>
      <c r="DU149" s="2">
        <v>1013</v>
      </c>
      <c r="DV149" s="2" t="s">
        <v>78</v>
      </c>
      <c r="DW149" s="2" t="s">
        <v>78</v>
      </c>
      <c r="DX149" s="2">
        <v>1</v>
      </c>
      <c r="DY149" s="2"/>
      <c r="DZ149" s="2" t="s">
        <v>6</v>
      </c>
      <c r="EA149" s="2" t="s">
        <v>6</v>
      </c>
      <c r="EB149" s="2" t="s">
        <v>6</v>
      </c>
      <c r="EC149" s="2" t="s">
        <v>6</v>
      </c>
      <c r="ED149" s="2"/>
      <c r="EE149" s="2">
        <v>0</v>
      </c>
      <c r="EF149" s="2">
        <v>0</v>
      </c>
      <c r="EG149" s="2" t="s">
        <v>6</v>
      </c>
      <c r="EH149" s="2">
        <v>0</v>
      </c>
      <c r="EI149" s="2" t="s">
        <v>6</v>
      </c>
      <c r="EJ149" s="2">
        <v>0</v>
      </c>
      <c r="EK149" s="2">
        <v>3101</v>
      </c>
      <c r="EL149" s="2" t="s">
        <v>6</v>
      </c>
      <c r="EM149" s="2" t="s">
        <v>6</v>
      </c>
      <c r="EN149" s="2"/>
      <c r="EO149" s="2" t="s">
        <v>6</v>
      </c>
      <c r="EP149" s="2"/>
      <c r="EQ149" s="2">
        <v>0</v>
      </c>
      <c r="ER149" s="2">
        <v>56.57</v>
      </c>
      <c r="ES149" s="110">
        <f>'1.Лок.смета.и.Акт'!F283</f>
        <v>56.57</v>
      </c>
      <c r="ET149" s="2">
        <v>0</v>
      </c>
      <c r="EU149" s="2">
        <v>0</v>
      </c>
      <c r="EV149" s="2">
        <v>0</v>
      </c>
      <c r="EW149" s="2">
        <v>0</v>
      </c>
      <c r="EX149" s="2">
        <v>0</v>
      </c>
      <c r="EY149" s="2"/>
      <c r="EZ149" s="2"/>
      <c r="FA149" s="2"/>
      <c r="FB149" s="2"/>
      <c r="FC149" s="2"/>
      <c r="FD149" s="2"/>
      <c r="FE149" s="2"/>
      <c r="FF149" s="2"/>
      <c r="FG149" s="2"/>
      <c r="FH149" s="2"/>
      <c r="FI149" s="2"/>
      <c r="FJ149" s="2"/>
      <c r="FK149" s="2"/>
      <c r="FL149" s="2"/>
      <c r="FM149" s="2"/>
      <c r="FN149" s="2"/>
      <c r="FO149" s="2"/>
      <c r="FP149" s="2"/>
      <c r="FQ149" s="2">
        <v>0</v>
      </c>
      <c r="FR149" s="2">
        <f t="shared" si="133"/>
        <v>0</v>
      </c>
      <c r="FS149" s="2">
        <v>0</v>
      </c>
      <c r="FT149" s="2"/>
      <c r="FU149" s="2"/>
      <c r="FV149" s="2"/>
      <c r="FW149" s="2"/>
      <c r="FX149" s="2">
        <v>0</v>
      </c>
      <c r="FY149" s="2">
        <v>0</v>
      </c>
      <c r="FZ149" s="2"/>
      <c r="GA149" s="2" t="s">
        <v>6</v>
      </c>
      <c r="GB149" s="2"/>
      <c r="GC149" s="2"/>
      <c r="GD149" s="2">
        <v>1</v>
      </c>
      <c r="GE149" s="2"/>
      <c r="GF149" s="2">
        <v>-1555597847</v>
      </c>
      <c r="GG149" s="2">
        <v>2</v>
      </c>
      <c r="GH149" s="2">
        <v>1</v>
      </c>
      <c r="GI149" s="2">
        <v>-2</v>
      </c>
      <c r="GJ149" s="2">
        <v>0</v>
      </c>
      <c r="GK149" s="2">
        <v>0</v>
      </c>
      <c r="GL149" s="2">
        <f t="shared" si="134"/>
        <v>0</v>
      </c>
      <c r="GM149" s="2">
        <f t="shared" si="135"/>
        <v>497</v>
      </c>
      <c r="GN149" s="2">
        <f t="shared" si="136"/>
        <v>497</v>
      </c>
      <c r="GO149" s="2">
        <f t="shared" si="137"/>
        <v>0</v>
      </c>
      <c r="GP149" s="2">
        <f t="shared" si="138"/>
        <v>0</v>
      </c>
      <c r="GQ149" s="2"/>
      <c r="GR149" s="2">
        <v>0</v>
      </c>
      <c r="GS149" s="2">
        <v>3</v>
      </c>
      <c r="GT149" s="2">
        <v>0</v>
      </c>
      <c r="GU149" s="2" t="s">
        <v>6</v>
      </c>
      <c r="GV149" s="2">
        <f t="shared" si="139"/>
        <v>0</v>
      </c>
      <c r="GW149" s="2">
        <v>1</v>
      </c>
      <c r="GX149" s="2">
        <f t="shared" si="140"/>
        <v>0</v>
      </c>
      <c r="GY149" s="2"/>
      <c r="GZ149" s="2"/>
      <c r="HA149" s="2">
        <v>0</v>
      </c>
      <c r="HB149" s="2">
        <v>0</v>
      </c>
      <c r="HC149" s="2">
        <f t="shared" si="141"/>
        <v>0</v>
      </c>
      <c r="HD149" s="2"/>
      <c r="HE149" s="2" t="s">
        <v>6</v>
      </c>
      <c r="HF149" s="2" t="s">
        <v>6</v>
      </c>
      <c r="HG149" s="2"/>
      <c r="HH149" s="2"/>
      <c r="HI149" s="2"/>
      <c r="HJ149" s="2"/>
      <c r="HK149" s="2"/>
      <c r="HL149" s="2"/>
      <c r="HM149" s="2" t="s">
        <v>6</v>
      </c>
      <c r="HN149" s="2" t="s">
        <v>6</v>
      </c>
      <c r="HO149" s="2" t="s">
        <v>6</v>
      </c>
      <c r="HP149" s="2" t="s">
        <v>6</v>
      </c>
      <c r="HQ149" s="2" t="s">
        <v>6</v>
      </c>
      <c r="HR149" s="2"/>
      <c r="HS149" s="2"/>
      <c r="HT149" s="2"/>
      <c r="HU149" s="2"/>
      <c r="HV149" s="2"/>
      <c r="HW149" s="2"/>
      <c r="HX149" s="2"/>
      <c r="HY149" s="2"/>
      <c r="HZ149" s="2"/>
      <c r="IA149" s="2"/>
      <c r="IB149" s="2"/>
      <c r="IC149" s="2"/>
      <c r="ID149" s="2"/>
      <c r="IE149" s="2"/>
      <c r="IF149" s="2">
        <v>-1</v>
      </c>
      <c r="IG149" s="2"/>
      <c r="IH149" s="2"/>
      <c r="II149" s="2"/>
      <c r="IJ149" s="2"/>
      <c r="IK149" s="2">
        <v>0</v>
      </c>
      <c r="IL149" s="2"/>
      <c r="IM149" s="2"/>
      <c r="IN149" s="2"/>
      <c r="IO149" s="2"/>
      <c r="IP149" s="2"/>
      <c r="IQ149" s="2"/>
      <c r="IR149" s="2"/>
      <c r="IS149" s="2"/>
      <c r="IT149" s="2"/>
      <c r="IU149" s="2"/>
    </row>
    <row r="150" spans="1:255" x14ac:dyDescent="0.2">
      <c r="A150">
        <v>18</v>
      </c>
      <c r="B150">
        <v>1</v>
      </c>
      <c r="C150">
        <v>175</v>
      </c>
      <c r="E150" t="s">
        <v>246</v>
      </c>
      <c r="F150" t="e">
        <f>'2.Лок.смета.и.Акт'!#REF!</f>
        <v>#REF!</v>
      </c>
      <c r="G150" t="s">
        <v>247</v>
      </c>
      <c r="H150" t="s">
        <v>78</v>
      </c>
      <c r="I150">
        <f>I144*J150</f>
        <v>8.7899999999999991</v>
      </c>
      <c r="J150">
        <v>1.7755782244217755</v>
      </c>
      <c r="K150">
        <v>1.7755782</v>
      </c>
      <c r="O150">
        <f t="shared" si="110"/>
        <v>2008</v>
      </c>
      <c r="P150">
        <f t="shared" si="111"/>
        <v>2008</v>
      </c>
      <c r="Q150">
        <f t="shared" si="112"/>
        <v>0</v>
      </c>
      <c r="R150">
        <f t="shared" si="113"/>
        <v>0</v>
      </c>
      <c r="S150">
        <f t="shared" si="114"/>
        <v>0</v>
      </c>
      <c r="T150">
        <f t="shared" si="115"/>
        <v>0</v>
      </c>
      <c r="U150">
        <f t="shared" si="116"/>
        <v>0</v>
      </c>
      <c r="V150">
        <f t="shared" si="117"/>
        <v>0</v>
      </c>
      <c r="W150">
        <f t="shared" si="118"/>
        <v>0</v>
      </c>
      <c r="X150">
        <f t="shared" si="119"/>
        <v>0</v>
      </c>
      <c r="Y150">
        <f t="shared" si="120"/>
        <v>0</v>
      </c>
      <c r="AA150">
        <v>86326988</v>
      </c>
      <c r="AB150">
        <f t="shared" si="121"/>
        <v>30.22</v>
      </c>
      <c r="AC150">
        <f t="shared" si="150"/>
        <v>30.22</v>
      </c>
      <c r="AD150">
        <f>ROUND((ET150),2)</f>
        <v>0</v>
      </c>
      <c r="AE150">
        <f t="shared" si="151"/>
        <v>0</v>
      </c>
      <c r="AF150">
        <f t="shared" si="152"/>
        <v>0</v>
      </c>
      <c r="AG150">
        <f t="shared" si="122"/>
        <v>0</v>
      </c>
      <c r="AH150">
        <f t="shared" si="153"/>
        <v>0</v>
      </c>
      <c r="AI150">
        <f t="shared" si="154"/>
        <v>0</v>
      </c>
      <c r="AJ150">
        <f t="shared" si="123"/>
        <v>0</v>
      </c>
      <c r="AK150">
        <v>30.22</v>
      </c>
      <c r="AL150">
        <v>30.22</v>
      </c>
      <c r="AM150">
        <v>0</v>
      </c>
      <c r="AN150">
        <v>0</v>
      </c>
      <c r="AO150">
        <v>0</v>
      </c>
      <c r="AP150">
        <v>0</v>
      </c>
      <c r="AQ150">
        <v>0</v>
      </c>
      <c r="AR150">
        <v>0</v>
      </c>
      <c r="AS150">
        <v>0</v>
      </c>
      <c r="AT150">
        <v>0</v>
      </c>
      <c r="AU150">
        <v>0</v>
      </c>
      <c r="AV150">
        <v>1</v>
      </c>
      <c r="AW150">
        <v>1</v>
      </c>
      <c r="AZ150">
        <v>1</v>
      </c>
      <c r="BA150">
        <v>1</v>
      </c>
      <c r="BB150">
        <v>1</v>
      </c>
      <c r="BC150">
        <v>7.56</v>
      </c>
      <c r="BD150" t="s">
        <v>6</v>
      </c>
      <c r="BE150" t="s">
        <v>6</v>
      </c>
      <c r="BF150" t="s">
        <v>6</v>
      </c>
      <c r="BG150" t="s">
        <v>6</v>
      </c>
      <c r="BH150">
        <v>3</v>
      </c>
      <c r="BI150">
        <v>1</v>
      </c>
      <c r="BJ150" t="s">
        <v>84</v>
      </c>
      <c r="BM150">
        <v>3101</v>
      </c>
      <c r="BN150">
        <v>0</v>
      </c>
      <c r="BO150" t="s">
        <v>6</v>
      </c>
      <c r="BP150">
        <v>0</v>
      </c>
      <c r="BQ150">
        <v>0</v>
      </c>
      <c r="BR150">
        <v>0</v>
      </c>
      <c r="BS150">
        <v>1</v>
      </c>
      <c r="BT150">
        <v>1</v>
      </c>
      <c r="BU150">
        <v>1</v>
      </c>
      <c r="BV150">
        <v>1</v>
      </c>
      <c r="BW150">
        <v>1</v>
      </c>
      <c r="BX150">
        <v>1</v>
      </c>
      <c r="BY150" t="s">
        <v>6</v>
      </c>
      <c r="BZ150">
        <v>0</v>
      </c>
      <c r="CA150">
        <v>0</v>
      </c>
      <c r="CB150" t="s">
        <v>6</v>
      </c>
      <c r="CE150">
        <v>0</v>
      </c>
      <c r="CF150">
        <v>0</v>
      </c>
      <c r="CG150">
        <v>0</v>
      </c>
      <c r="CM150">
        <v>0</v>
      </c>
      <c r="CN150" t="s">
        <v>6</v>
      </c>
      <c r="CO150">
        <v>0</v>
      </c>
      <c r="CP150">
        <f t="shared" si="124"/>
        <v>2008</v>
      </c>
      <c r="CQ150">
        <f t="shared" si="125"/>
        <v>228.46319999999997</v>
      </c>
      <c r="CR150">
        <f t="shared" si="126"/>
        <v>0</v>
      </c>
      <c r="CS150">
        <f t="shared" si="127"/>
        <v>0</v>
      </c>
      <c r="CT150">
        <f t="shared" si="128"/>
        <v>0</v>
      </c>
      <c r="CU150">
        <f t="shared" si="129"/>
        <v>0</v>
      </c>
      <c r="CV150">
        <f t="shared" si="130"/>
        <v>0</v>
      </c>
      <c r="CW150">
        <f t="shared" si="131"/>
        <v>0</v>
      </c>
      <c r="CX150">
        <f t="shared" si="132"/>
        <v>0</v>
      </c>
      <c r="CY150">
        <f>(S150+R150)*(BZ150/100)</f>
        <v>0</v>
      </c>
      <c r="CZ150">
        <f>(S150+R150)*(CA150/100)</f>
        <v>0</v>
      </c>
      <c r="DC150" t="s">
        <v>6</v>
      </c>
      <c r="DD150" t="s">
        <v>6</v>
      </c>
      <c r="DE150" t="s">
        <v>6</v>
      </c>
      <c r="DF150" t="s">
        <v>6</v>
      </c>
      <c r="DG150" t="s">
        <v>6</v>
      </c>
      <c r="DH150" t="s">
        <v>6</v>
      </c>
      <c r="DI150" t="s">
        <v>6</v>
      </c>
      <c r="DJ150" t="s">
        <v>6</v>
      </c>
      <c r="DK150" t="s">
        <v>6</v>
      </c>
      <c r="DL150" t="s">
        <v>6</v>
      </c>
      <c r="DM150" t="s">
        <v>6</v>
      </c>
      <c r="DN150">
        <v>0</v>
      </c>
      <c r="DO150">
        <v>0</v>
      </c>
      <c r="DP150">
        <v>1</v>
      </c>
      <c r="DQ150">
        <v>1</v>
      </c>
      <c r="DU150">
        <v>1013</v>
      </c>
      <c r="DV150" t="s">
        <v>78</v>
      </c>
      <c r="DW150" t="e">
        <f>'2.Лок.смета.и.Акт'!#REF!</f>
        <v>#REF!</v>
      </c>
      <c r="DX150">
        <v>1</v>
      </c>
      <c r="DZ150" t="s">
        <v>6</v>
      </c>
      <c r="EA150" t="s">
        <v>6</v>
      </c>
      <c r="EB150" t="s">
        <v>6</v>
      </c>
      <c r="EC150" t="s">
        <v>6</v>
      </c>
      <c r="EE150">
        <v>0</v>
      </c>
      <c r="EF150">
        <v>0</v>
      </c>
      <c r="EG150" t="s">
        <v>6</v>
      </c>
      <c r="EH150">
        <v>0</v>
      </c>
      <c r="EI150" t="s">
        <v>6</v>
      </c>
      <c r="EJ150">
        <v>0</v>
      </c>
      <c r="EK150">
        <v>3101</v>
      </c>
      <c r="EL150" t="s">
        <v>6</v>
      </c>
      <c r="EM150" t="s">
        <v>6</v>
      </c>
      <c r="EO150" t="s">
        <v>6</v>
      </c>
      <c r="EQ150">
        <v>0</v>
      </c>
      <c r="ER150">
        <v>215.4</v>
      </c>
      <c r="ES150">
        <v>30.22</v>
      </c>
      <c r="ET150">
        <v>0</v>
      </c>
      <c r="EU150">
        <v>0</v>
      </c>
      <c r="EV150">
        <v>0</v>
      </c>
      <c r="EW150">
        <v>0</v>
      </c>
      <c r="EX150">
        <v>0</v>
      </c>
      <c r="EZ150">
        <v>5</v>
      </c>
      <c r="FC150">
        <v>0</v>
      </c>
      <c r="FD150">
        <v>18</v>
      </c>
      <c r="FF150">
        <v>215.4</v>
      </c>
      <c r="FQ150">
        <v>0</v>
      </c>
      <c r="FR150">
        <f t="shared" si="133"/>
        <v>0</v>
      </c>
      <c r="FS150">
        <v>0</v>
      </c>
      <c r="FX150">
        <v>0</v>
      </c>
      <c r="FY150">
        <v>0</v>
      </c>
      <c r="GA150" t="s">
        <v>85</v>
      </c>
      <c r="GD150">
        <v>1</v>
      </c>
      <c r="GF150">
        <v>-1555597847</v>
      </c>
      <c r="GG150">
        <v>2</v>
      </c>
      <c r="GH150">
        <v>3</v>
      </c>
      <c r="GI150">
        <v>5</v>
      </c>
      <c r="GJ150">
        <v>0</v>
      </c>
      <c r="GK150">
        <v>0</v>
      </c>
      <c r="GL150">
        <f t="shared" si="134"/>
        <v>0</v>
      </c>
      <c r="GM150">
        <f t="shared" si="135"/>
        <v>2008</v>
      </c>
      <c r="GN150">
        <f t="shared" si="136"/>
        <v>2008</v>
      </c>
      <c r="GO150">
        <f t="shared" si="137"/>
        <v>0</v>
      </c>
      <c r="GP150">
        <f t="shared" si="138"/>
        <v>0</v>
      </c>
      <c r="GR150">
        <v>1</v>
      </c>
      <c r="GS150">
        <v>1</v>
      </c>
      <c r="GT150">
        <v>0</v>
      </c>
      <c r="GU150" t="s">
        <v>6</v>
      </c>
      <c r="GV150">
        <f t="shared" si="139"/>
        <v>0</v>
      </c>
      <c r="GW150">
        <v>1</v>
      </c>
      <c r="GX150">
        <f t="shared" si="140"/>
        <v>0</v>
      </c>
      <c r="HA150">
        <v>0</v>
      </c>
      <c r="HB150">
        <v>0</v>
      </c>
      <c r="HC150">
        <f t="shared" si="141"/>
        <v>0</v>
      </c>
      <c r="HE150" t="s">
        <v>39</v>
      </c>
      <c r="HF150" t="s">
        <v>40</v>
      </c>
      <c r="HM150" t="s">
        <v>6</v>
      </c>
      <c r="HN150" t="s">
        <v>6</v>
      </c>
      <c r="HO150" t="s">
        <v>6</v>
      </c>
      <c r="HP150" t="s">
        <v>6</v>
      </c>
      <c r="HQ150" t="s">
        <v>6</v>
      </c>
      <c r="IF150">
        <v>-1</v>
      </c>
      <c r="IK150">
        <v>0</v>
      </c>
    </row>
    <row r="151" spans="1:255" x14ac:dyDescent="0.2">
      <c r="A151" s="2">
        <v>18</v>
      </c>
      <c r="B151" s="2">
        <v>1</v>
      </c>
      <c r="C151" s="2">
        <v>165</v>
      </c>
      <c r="D151" s="2"/>
      <c r="E151" s="2" t="s">
        <v>248</v>
      </c>
      <c r="F151" s="2" t="s">
        <v>87</v>
      </c>
      <c r="G151" s="2" t="s">
        <v>88</v>
      </c>
      <c r="H151" s="2" t="s">
        <v>44</v>
      </c>
      <c r="I151" s="2">
        <f>I143*J151</f>
        <v>8.9218499999999992</v>
      </c>
      <c r="J151" s="226">
        <f>'5.Ведомость_списания'!F70</f>
        <v>1.8022118977881021</v>
      </c>
      <c r="K151" s="2">
        <v>1.8022119000000001</v>
      </c>
      <c r="L151" s="2"/>
      <c r="M151" s="2"/>
      <c r="N151" s="2"/>
      <c r="O151" s="2">
        <f t="shared" ref="O151:O182" si="155">ROUND(CP151,0)</f>
        <v>7840</v>
      </c>
      <c r="P151" s="2">
        <f t="shared" ref="P151:P182" si="156">ROUND(CQ151*I151,0)</f>
        <v>7840</v>
      </c>
      <c r="Q151" s="2">
        <f t="shared" ref="Q151:Q182" si="157">ROUND(CR151*I151,0)</f>
        <v>0</v>
      </c>
      <c r="R151" s="2">
        <f t="shared" ref="R151:R182" si="158">ROUND(CS151*I151,0)</f>
        <v>0</v>
      </c>
      <c r="S151" s="2">
        <f t="shared" ref="S151:S182" si="159">ROUND(CT151*I151,0)</f>
        <v>0</v>
      </c>
      <c r="T151" s="2">
        <f t="shared" ref="T151:T182" si="160">ROUND(CU151*I151,0)</f>
        <v>0</v>
      </c>
      <c r="U151" s="2">
        <f t="shared" ref="U151:U182" si="161">CV151*I151</f>
        <v>0</v>
      </c>
      <c r="V151" s="2">
        <f t="shared" ref="V151:V182" si="162">CW151*I151</f>
        <v>0</v>
      </c>
      <c r="W151" s="2">
        <f t="shared" ref="W151:W182" si="163">ROUND(CX151*I151,0)</f>
        <v>0</v>
      </c>
      <c r="X151" s="2">
        <f t="shared" ref="X151:X182" si="164">ROUND(CY151,0)</f>
        <v>0</v>
      </c>
      <c r="Y151" s="2">
        <f t="shared" ref="Y151:Y182" si="165">ROUND(CZ151,0)</f>
        <v>0</v>
      </c>
      <c r="Z151" s="2"/>
      <c r="AA151" s="2">
        <v>86326987</v>
      </c>
      <c r="AB151" s="2">
        <f t="shared" ref="AB151:AB182" si="166">ROUND((AC151+AD151+AF151),2)</f>
        <v>878.79</v>
      </c>
      <c r="AC151" s="2">
        <f t="shared" si="150"/>
        <v>878.79</v>
      </c>
      <c r="AD151" s="2">
        <f>ROUND((((ET151)-(EU151))+AE151),2)</f>
        <v>0</v>
      </c>
      <c r="AE151" s="2">
        <f t="shared" si="151"/>
        <v>0</v>
      </c>
      <c r="AF151" s="2">
        <f t="shared" si="152"/>
        <v>0</v>
      </c>
      <c r="AG151" s="2">
        <f t="shared" ref="AG151:AG182" si="167">ROUND((AP151),2)</f>
        <v>0</v>
      </c>
      <c r="AH151" s="2">
        <f t="shared" si="153"/>
        <v>0</v>
      </c>
      <c r="AI151" s="2">
        <f t="shared" si="154"/>
        <v>0</v>
      </c>
      <c r="AJ151" s="2">
        <f t="shared" ref="AJ151:AJ182" si="168">(AS151)</f>
        <v>0</v>
      </c>
      <c r="AK151" s="2">
        <v>878.79</v>
      </c>
      <c r="AL151" s="110">
        <f>'1.Лок.смета.и.Акт'!F285</f>
        <v>878.79</v>
      </c>
      <c r="AM151" s="2">
        <v>0</v>
      </c>
      <c r="AN151" s="2">
        <v>0</v>
      </c>
      <c r="AO151" s="2">
        <v>0</v>
      </c>
      <c r="AP151" s="2">
        <v>0</v>
      </c>
      <c r="AQ151" s="2">
        <v>0</v>
      </c>
      <c r="AR151" s="2">
        <v>0</v>
      </c>
      <c r="AS151" s="2">
        <v>0</v>
      </c>
      <c r="AT151" s="2">
        <v>0</v>
      </c>
      <c r="AU151" s="2">
        <v>0</v>
      </c>
      <c r="AV151" s="2">
        <v>1</v>
      </c>
      <c r="AW151" s="2">
        <v>1</v>
      </c>
      <c r="AX151" s="2"/>
      <c r="AY151" s="2"/>
      <c r="AZ151" s="2">
        <v>1</v>
      </c>
      <c r="BA151" s="2">
        <v>1</v>
      </c>
      <c r="BB151" s="2">
        <v>1</v>
      </c>
      <c r="BC151" s="2">
        <v>1</v>
      </c>
      <c r="BD151" s="2" t="s">
        <v>6</v>
      </c>
      <c r="BE151" s="2" t="s">
        <v>6</v>
      </c>
      <c r="BF151" s="2" t="s">
        <v>6</v>
      </c>
      <c r="BG151" s="2" t="s">
        <v>6</v>
      </c>
      <c r="BH151" s="2">
        <v>3</v>
      </c>
      <c r="BI151" s="2">
        <v>1</v>
      </c>
      <c r="BJ151" s="2" t="s">
        <v>89</v>
      </c>
      <c r="BK151" s="2"/>
      <c r="BL151" s="2"/>
      <c r="BM151" s="2">
        <v>500003</v>
      </c>
      <c r="BN151" s="2">
        <v>0</v>
      </c>
      <c r="BO151" s="2" t="s">
        <v>6</v>
      </c>
      <c r="BP151" s="2">
        <v>0</v>
      </c>
      <c r="BQ151" s="2">
        <v>22</v>
      </c>
      <c r="BR151" s="2">
        <v>0</v>
      </c>
      <c r="BS151" s="2">
        <v>1</v>
      </c>
      <c r="BT151" s="2">
        <v>1</v>
      </c>
      <c r="BU151" s="2">
        <v>1</v>
      </c>
      <c r="BV151" s="2">
        <v>1</v>
      </c>
      <c r="BW151" s="2">
        <v>1</v>
      </c>
      <c r="BX151" s="2">
        <v>1</v>
      </c>
      <c r="BY151" s="2" t="s">
        <v>6</v>
      </c>
      <c r="BZ151" s="2">
        <v>0</v>
      </c>
      <c r="CA151" s="2">
        <v>0</v>
      </c>
      <c r="CB151" s="2" t="s">
        <v>6</v>
      </c>
      <c r="CC151" s="2"/>
      <c r="CD151" s="2"/>
      <c r="CE151" s="2">
        <v>0</v>
      </c>
      <c r="CF151" s="2">
        <v>0</v>
      </c>
      <c r="CG151" s="2">
        <v>0</v>
      </c>
      <c r="CH151" s="2"/>
      <c r="CI151" s="2"/>
      <c r="CJ151" s="2"/>
      <c r="CK151" s="2"/>
      <c r="CL151" s="2"/>
      <c r="CM151" s="2">
        <v>0</v>
      </c>
      <c r="CN151" s="2" t="s">
        <v>6</v>
      </c>
      <c r="CO151" s="2">
        <v>0</v>
      </c>
      <c r="CP151" s="2">
        <f t="shared" ref="CP151:CP182" si="169">(P151+Q151+S151)</f>
        <v>7840</v>
      </c>
      <c r="CQ151" s="2">
        <f t="shared" ref="CQ151:CQ182" si="170">AC151*BC151</f>
        <v>878.79</v>
      </c>
      <c r="CR151" s="2">
        <f t="shared" ref="CR151:CR182" si="171">AD151*BB151</f>
        <v>0</v>
      </c>
      <c r="CS151" s="2">
        <f t="shared" ref="CS151:CS182" si="172">AE151*BS151</f>
        <v>0</v>
      </c>
      <c r="CT151" s="2">
        <f t="shared" ref="CT151:CT182" si="173">AF151*BA151</f>
        <v>0</v>
      </c>
      <c r="CU151" s="2">
        <f t="shared" ref="CU151:CU182" si="174">AG151</f>
        <v>0</v>
      </c>
      <c r="CV151" s="2">
        <f t="shared" ref="CV151:CV182" si="175">AH151</f>
        <v>0</v>
      </c>
      <c r="CW151" s="2">
        <f t="shared" ref="CW151:CW182" si="176">AI151</f>
        <v>0</v>
      </c>
      <c r="CX151" s="2">
        <f t="shared" ref="CX151:CX182" si="177">AJ151</f>
        <v>0</v>
      </c>
      <c r="CY151" s="2">
        <f>(((S151+(R151*IF(0,0,1)))*AT151)/100)</f>
        <v>0</v>
      </c>
      <c r="CZ151" s="2">
        <f>(((S151+(R151*IF(0,0,1)))*AU151)/100)</f>
        <v>0</v>
      </c>
      <c r="DA151" s="2"/>
      <c r="DB151" s="2"/>
      <c r="DC151" s="2" t="s">
        <v>6</v>
      </c>
      <c r="DD151" s="2" t="s">
        <v>6</v>
      </c>
      <c r="DE151" s="2" t="s">
        <v>6</v>
      </c>
      <c r="DF151" s="2" t="s">
        <v>6</v>
      </c>
      <c r="DG151" s="2" t="s">
        <v>6</v>
      </c>
      <c r="DH151" s="2" t="s">
        <v>6</v>
      </c>
      <c r="DI151" s="2" t="s">
        <v>6</v>
      </c>
      <c r="DJ151" s="2" t="s">
        <v>6</v>
      </c>
      <c r="DK151" s="2" t="s">
        <v>6</v>
      </c>
      <c r="DL151" s="2" t="s">
        <v>6</v>
      </c>
      <c r="DM151" s="2" t="s">
        <v>6</v>
      </c>
      <c r="DN151" s="2">
        <v>0</v>
      </c>
      <c r="DO151" s="2">
        <v>0</v>
      </c>
      <c r="DP151" s="2">
        <v>1</v>
      </c>
      <c r="DQ151" s="2">
        <v>1</v>
      </c>
      <c r="DR151" s="2"/>
      <c r="DS151" s="2"/>
      <c r="DT151" s="2"/>
      <c r="DU151" s="2">
        <v>1007</v>
      </c>
      <c r="DV151" s="2" t="s">
        <v>44</v>
      </c>
      <c r="DW151" s="2" t="s">
        <v>44</v>
      </c>
      <c r="DX151" s="2">
        <v>1</v>
      </c>
      <c r="DY151" s="2"/>
      <c r="DZ151" s="2" t="s">
        <v>6</v>
      </c>
      <c r="EA151" s="2" t="s">
        <v>6</v>
      </c>
      <c r="EB151" s="2" t="s">
        <v>6</v>
      </c>
      <c r="EC151" s="2" t="s">
        <v>6</v>
      </c>
      <c r="ED151" s="2"/>
      <c r="EE151" s="2">
        <v>54938783</v>
      </c>
      <c r="EF151" s="2">
        <v>22</v>
      </c>
      <c r="EG151" s="2" t="s">
        <v>57</v>
      </c>
      <c r="EH151" s="2">
        <v>0</v>
      </c>
      <c r="EI151" s="2" t="s">
        <v>6</v>
      </c>
      <c r="EJ151" s="2">
        <v>1</v>
      </c>
      <c r="EK151" s="2">
        <v>500003</v>
      </c>
      <c r="EL151" s="2" t="s">
        <v>58</v>
      </c>
      <c r="EM151" s="2" t="s">
        <v>59</v>
      </c>
      <c r="EN151" s="2"/>
      <c r="EO151" s="2" t="s">
        <v>6</v>
      </c>
      <c r="EP151" s="2"/>
      <c r="EQ151" s="2">
        <v>0</v>
      </c>
      <c r="ER151" s="2">
        <v>878.79</v>
      </c>
      <c r="ES151" s="110">
        <f>'1.Лок.смета.и.Акт'!F285</f>
        <v>878.79</v>
      </c>
      <c r="ET151" s="2">
        <v>0</v>
      </c>
      <c r="EU151" s="2">
        <v>0</v>
      </c>
      <c r="EV151" s="2">
        <v>0</v>
      </c>
      <c r="EW151" s="2">
        <v>0</v>
      </c>
      <c r="EX151" s="2">
        <v>0</v>
      </c>
      <c r="EY151" s="2"/>
      <c r="EZ151" s="2"/>
      <c r="FA151" s="2"/>
      <c r="FB151" s="2"/>
      <c r="FC151" s="2"/>
      <c r="FD151" s="2"/>
      <c r="FE151" s="2"/>
      <c r="FF151" s="2"/>
      <c r="FG151" s="2"/>
      <c r="FH151" s="2"/>
      <c r="FI151" s="2"/>
      <c r="FJ151" s="2"/>
      <c r="FK151" s="2"/>
      <c r="FL151" s="2"/>
      <c r="FM151" s="2"/>
      <c r="FN151" s="2"/>
      <c r="FO151" s="2"/>
      <c r="FP151" s="2"/>
      <c r="FQ151" s="2">
        <v>0</v>
      </c>
      <c r="FR151" s="2">
        <f t="shared" ref="FR151:FR182" si="178">ROUND(IF(BI151=3,GM151,0),0)</f>
        <v>0</v>
      </c>
      <c r="FS151" s="2">
        <v>0</v>
      </c>
      <c r="FT151" s="2"/>
      <c r="FU151" s="2"/>
      <c r="FV151" s="2"/>
      <c r="FW151" s="2"/>
      <c r="FX151" s="2">
        <v>0</v>
      </c>
      <c r="FY151" s="2">
        <v>0</v>
      </c>
      <c r="FZ151" s="2"/>
      <c r="GA151" s="2" t="s">
        <v>6</v>
      </c>
      <c r="GB151" s="2"/>
      <c r="GC151" s="2"/>
      <c r="GD151" s="2">
        <v>1</v>
      </c>
      <c r="GE151" s="2"/>
      <c r="GF151" s="2">
        <v>-183216560</v>
      </c>
      <c r="GG151" s="2">
        <v>2</v>
      </c>
      <c r="GH151" s="2">
        <v>2</v>
      </c>
      <c r="GI151" s="2">
        <v>-2</v>
      </c>
      <c r="GJ151" s="2">
        <v>0</v>
      </c>
      <c r="GK151" s="2">
        <v>0</v>
      </c>
      <c r="GL151" s="2">
        <f t="shared" ref="GL151:GL182" si="179">ROUND(IF(AND(BH151=3,BI151=3,FS151&lt;&gt;0),P151,0),0)</f>
        <v>0</v>
      </c>
      <c r="GM151" s="2">
        <f t="shared" ref="GM151:GM182" si="180">ROUND(O151+X151+Y151,0)+GX151</f>
        <v>7840</v>
      </c>
      <c r="GN151" s="2">
        <f t="shared" ref="GN151:GN182" si="181">IF(OR(BI151=0,BI151=1),GM151-GX151,0)</f>
        <v>7840</v>
      </c>
      <c r="GO151" s="2">
        <f t="shared" ref="GO151:GO182" si="182">IF(BI151=2,GM151-GX151,0)</f>
        <v>0</v>
      </c>
      <c r="GP151" s="2">
        <f t="shared" ref="GP151:GP182" si="183">IF(BI151=4,GM151-GX151,0)</f>
        <v>0</v>
      </c>
      <c r="GQ151" s="2"/>
      <c r="GR151" s="2">
        <v>0</v>
      </c>
      <c r="GS151" s="2">
        <v>2</v>
      </c>
      <c r="GT151" s="2">
        <v>0</v>
      </c>
      <c r="GU151" s="2" t="s">
        <v>6</v>
      </c>
      <c r="GV151" s="2">
        <f t="shared" ref="GV151:GV182" si="184">ROUND((GT151),2)</f>
        <v>0</v>
      </c>
      <c r="GW151" s="2">
        <v>1</v>
      </c>
      <c r="GX151" s="2">
        <f t="shared" ref="GX151:GX182" si="185">ROUND(HC151*I151,0)</f>
        <v>0</v>
      </c>
      <c r="GY151" s="2"/>
      <c r="GZ151" s="2"/>
      <c r="HA151" s="2">
        <v>0</v>
      </c>
      <c r="HB151" s="2">
        <v>0</v>
      </c>
      <c r="HC151" s="2">
        <f t="shared" ref="HC151:HC182" si="186">GV151*GW151</f>
        <v>0</v>
      </c>
      <c r="HD151" s="2"/>
      <c r="HE151" s="2" t="s">
        <v>6</v>
      </c>
      <c r="HF151" s="2" t="s">
        <v>6</v>
      </c>
      <c r="HG151" s="2"/>
      <c r="HH151" s="2"/>
      <c r="HI151" s="2"/>
      <c r="HJ151" s="2"/>
      <c r="HK151" s="2"/>
      <c r="HL151" s="2"/>
      <c r="HM151" s="2" t="s">
        <v>6</v>
      </c>
      <c r="HN151" s="2" t="s">
        <v>6</v>
      </c>
      <c r="HO151" s="2" t="s">
        <v>6</v>
      </c>
      <c r="HP151" s="2" t="s">
        <v>6</v>
      </c>
      <c r="HQ151" s="2" t="s">
        <v>6</v>
      </c>
      <c r="HR151" s="2"/>
      <c r="HS151" s="2"/>
      <c r="HT151" s="2"/>
      <c r="HU151" s="2"/>
      <c r="HV151" s="2"/>
      <c r="HW151" s="2"/>
      <c r="HX151" s="2"/>
      <c r="HY151" s="2"/>
      <c r="HZ151" s="2"/>
      <c r="IA151" s="2"/>
      <c r="IB151" s="2"/>
      <c r="IC151" s="2"/>
      <c r="ID151" s="2"/>
      <c r="IE151" s="2"/>
      <c r="IF151" s="2">
        <v>-1</v>
      </c>
      <c r="IG151" s="2"/>
      <c r="IH151" s="2"/>
      <c r="II151" s="2"/>
      <c r="IJ151" s="2"/>
      <c r="IK151" s="2">
        <v>0</v>
      </c>
      <c r="IL151" s="2"/>
      <c r="IM151" s="2"/>
      <c r="IN151" s="2"/>
      <c r="IO151" s="2"/>
      <c r="IP151" s="2"/>
      <c r="IQ151" s="2"/>
      <c r="IR151" s="2"/>
      <c r="IS151" s="2"/>
      <c r="IT151" s="2"/>
      <c r="IU151" s="2"/>
    </row>
    <row r="152" spans="1:255" x14ac:dyDescent="0.2">
      <c r="A152">
        <v>18</v>
      </c>
      <c r="B152">
        <v>1</v>
      </c>
      <c r="C152">
        <v>178</v>
      </c>
      <c r="E152" t="s">
        <v>248</v>
      </c>
      <c r="F152" t="e">
        <f>'2.Лок.смета.и.Акт'!#REF!</f>
        <v>#REF!</v>
      </c>
      <c r="G152" t="s">
        <v>88</v>
      </c>
      <c r="H152" t="s">
        <v>44</v>
      </c>
      <c r="I152">
        <f>I144*J152</f>
        <v>8.9218499999999992</v>
      </c>
      <c r="J152">
        <v>1.8022118977881021</v>
      </c>
      <c r="K152">
        <v>1.8022119000000001</v>
      </c>
      <c r="O152">
        <f t="shared" si="155"/>
        <v>65763</v>
      </c>
      <c r="P152">
        <f t="shared" si="156"/>
        <v>65763</v>
      </c>
      <c r="Q152">
        <f t="shared" si="157"/>
        <v>0</v>
      </c>
      <c r="R152">
        <f t="shared" si="158"/>
        <v>0</v>
      </c>
      <c r="S152">
        <f t="shared" si="159"/>
        <v>0</v>
      </c>
      <c r="T152">
        <f t="shared" si="160"/>
        <v>0</v>
      </c>
      <c r="U152">
        <f t="shared" si="161"/>
        <v>0</v>
      </c>
      <c r="V152">
        <f t="shared" si="162"/>
        <v>0</v>
      </c>
      <c r="W152">
        <f t="shared" si="163"/>
        <v>0</v>
      </c>
      <c r="X152">
        <f t="shared" si="164"/>
        <v>0</v>
      </c>
      <c r="Y152">
        <f t="shared" si="165"/>
        <v>0</v>
      </c>
      <c r="AA152">
        <v>86326988</v>
      </c>
      <c r="AB152">
        <f t="shared" si="166"/>
        <v>975</v>
      </c>
      <c r="AC152">
        <f t="shared" si="150"/>
        <v>975</v>
      </c>
      <c r="AD152">
        <f>ROUND((((ET152)-(EU152))+AE152),2)</f>
        <v>0</v>
      </c>
      <c r="AE152">
        <f t="shared" si="151"/>
        <v>0</v>
      </c>
      <c r="AF152">
        <f t="shared" si="152"/>
        <v>0</v>
      </c>
      <c r="AG152">
        <f t="shared" si="167"/>
        <v>0</v>
      </c>
      <c r="AH152">
        <f t="shared" si="153"/>
        <v>0</v>
      </c>
      <c r="AI152">
        <f t="shared" si="154"/>
        <v>0</v>
      </c>
      <c r="AJ152">
        <f t="shared" si="168"/>
        <v>0</v>
      </c>
      <c r="AK152">
        <v>975</v>
      </c>
      <c r="AL152">
        <v>975</v>
      </c>
      <c r="AM152">
        <v>0</v>
      </c>
      <c r="AN152">
        <v>0</v>
      </c>
      <c r="AO152">
        <v>0</v>
      </c>
      <c r="AP152">
        <v>0</v>
      </c>
      <c r="AQ152">
        <v>0</v>
      </c>
      <c r="AR152">
        <v>0</v>
      </c>
      <c r="AS152">
        <v>0</v>
      </c>
      <c r="AT152">
        <v>0</v>
      </c>
      <c r="AU152">
        <v>0</v>
      </c>
      <c r="AV152">
        <v>1</v>
      </c>
      <c r="AW152">
        <v>1</v>
      </c>
      <c r="AZ152">
        <v>1</v>
      </c>
      <c r="BA152">
        <v>1</v>
      </c>
      <c r="BB152">
        <v>1</v>
      </c>
      <c r="BC152">
        <v>7.56</v>
      </c>
      <c r="BD152" t="s">
        <v>6</v>
      </c>
      <c r="BE152" t="s">
        <v>6</v>
      </c>
      <c r="BF152" t="s">
        <v>6</v>
      </c>
      <c r="BG152" t="s">
        <v>6</v>
      </c>
      <c r="BH152">
        <v>3</v>
      </c>
      <c r="BI152">
        <v>1</v>
      </c>
      <c r="BJ152" t="s">
        <v>89</v>
      </c>
      <c r="BM152">
        <v>500003</v>
      </c>
      <c r="BN152">
        <v>0</v>
      </c>
      <c r="BO152" t="s">
        <v>6</v>
      </c>
      <c r="BP152">
        <v>0</v>
      </c>
      <c r="BQ152">
        <v>22</v>
      </c>
      <c r="BR152">
        <v>0</v>
      </c>
      <c r="BS152">
        <v>1</v>
      </c>
      <c r="BT152">
        <v>1</v>
      </c>
      <c r="BU152">
        <v>1</v>
      </c>
      <c r="BV152">
        <v>1</v>
      </c>
      <c r="BW152">
        <v>1</v>
      </c>
      <c r="BX152">
        <v>1</v>
      </c>
      <c r="BY152" t="s">
        <v>6</v>
      </c>
      <c r="BZ152">
        <v>0</v>
      </c>
      <c r="CA152">
        <v>0</v>
      </c>
      <c r="CB152" t="s">
        <v>6</v>
      </c>
      <c r="CE152">
        <v>0</v>
      </c>
      <c r="CF152">
        <v>0</v>
      </c>
      <c r="CG152">
        <v>0</v>
      </c>
      <c r="CM152">
        <v>0</v>
      </c>
      <c r="CN152" t="s">
        <v>6</v>
      </c>
      <c r="CO152">
        <v>0</v>
      </c>
      <c r="CP152">
        <f t="shared" si="169"/>
        <v>65763</v>
      </c>
      <c r="CQ152">
        <f t="shared" si="170"/>
        <v>7371</v>
      </c>
      <c r="CR152">
        <f t="shared" si="171"/>
        <v>0</v>
      </c>
      <c r="CS152">
        <f t="shared" si="172"/>
        <v>0</v>
      </c>
      <c r="CT152">
        <f t="shared" si="173"/>
        <v>0</v>
      </c>
      <c r="CU152">
        <f t="shared" si="174"/>
        <v>0</v>
      </c>
      <c r="CV152">
        <f t="shared" si="175"/>
        <v>0</v>
      </c>
      <c r="CW152">
        <f t="shared" si="176"/>
        <v>0</v>
      </c>
      <c r="CX152">
        <f t="shared" si="177"/>
        <v>0</v>
      </c>
      <c r="CY152">
        <f>(S152+R152)*(BZ152/100)</f>
        <v>0</v>
      </c>
      <c r="CZ152">
        <f>(S152+R152)*(CA152/100)</f>
        <v>0</v>
      </c>
      <c r="DC152" t="s">
        <v>6</v>
      </c>
      <c r="DD152" t="s">
        <v>6</v>
      </c>
      <c r="DE152" t="s">
        <v>6</v>
      </c>
      <c r="DF152" t="s">
        <v>6</v>
      </c>
      <c r="DG152" t="s">
        <v>6</v>
      </c>
      <c r="DH152" t="s">
        <v>6</v>
      </c>
      <c r="DI152" t="s">
        <v>6</v>
      </c>
      <c r="DJ152" t="s">
        <v>6</v>
      </c>
      <c r="DK152" t="s">
        <v>6</v>
      </c>
      <c r="DL152" t="s">
        <v>6</v>
      </c>
      <c r="DM152" t="s">
        <v>6</v>
      </c>
      <c r="DN152">
        <v>0</v>
      </c>
      <c r="DO152">
        <v>0</v>
      </c>
      <c r="DP152">
        <v>1</v>
      </c>
      <c r="DQ152">
        <v>1</v>
      </c>
      <c r="DU152">
        <v>1007</v>
      </c>
      <c r="DV152" t="s">
        <v>44</v>
      </c>
      <c r="DW152" t="e">
        <f>'2.Лок.смета.и.Акт'!#REF!</f>
        <v>#REF!</v>
      </c>
      <c r="DX152">
        <v>1</v>
      </c>
      <c r="DZ152" t="s">
        <v>6</v>
      </c>
      <c r="EA152" t="s">
        <v>6</v>
      </c>
      <c r="EB152" t="s">
        <v>6</v>
      </c>
      <c r="EC152" t="s">
        <v>6</v>
      </c>
      <c r="EE152">
        <v>54938783</v>
      </c>
      <c r="EF152">
        <v>22</v>
      </c>
      <c r="EG152" t="s">
        <v>57</v>
      </c>
      <c r="EH152">
        <v>0</v>
      </c>
      <c r="EI152" t="s">
        <v>6</v>
      </c>
      <c r="EJ152">
        <v>1</v>
      </c>
      <c r="EK152">
        <v>500003</v>
      </c>
      <c r="EL152" t="s">
        <v>58</v>
      </c>
      <c r="EM152" t="s">
        <v>59</v>
      </c>
      <c r="EO152" t="s">
        <v>6</v>
      </c>
      <c r="EQ152">
        <v>0</v>
      </c>
      <c r="ER152">
        <v>6948.56</v>
      </c>
      <c r="ES152">
        <v>975</v>
      </c>
      <c r="ET152">
        <v>0</v>
      </c>
      <c r="EU152">
        <v>0</v>
      </c>
      <c r="EV152">
        <v>0</v>
      </c>
      <c r="EW152">
        <v>0</v>
      </c>
      <c r="EX152">
        <v>0</v>
      </c>
      <c r="EZ152">
        <v>5</v>
      </c>
      <c r="FC152">
        <v>0</v>
      </c>
      <c r="FD152">
        <v>18</v>
      </c>
      <c r="FF152">
        <v>6948.56</v>
      </c>
      <c r="FQ152">
        <v>0</v>
      </c>
      <c r="FR152">
        <f t="shared" si="178"/>
        <v>0</v>
      </c>
      <c r="FS152">
        <v>0</v>
      </c>
      <c r="FX152">
        <v>0</v>
      </c>
      <c r="FY152">
        <v>0</v>
      </c>
      <c r="GA152" t="s">
        <v>90</v>
      </c>
      <c r="GD152">
        <v>1</v>
      </c>
      <c r="GF152">
        <v>-183216560</v>
      </c>
      <c r="GG152">
        <v>2</v>
      </c>
      <c r="GH152">
        <v>3</v>
      </c>
      <c r="GI152">
        <v>5</v>
      </c>
      <c r="GJ152">
        <v>0</v>
      </c>
      <c r="GK152">
        <v>0</v>
      </c>
      <c r="GL152">
        <f t="shared" si="179"/>
        <v>0</v>
      </c>
      <c r="GM152">
        <f t="shared" si="180"/>
        <v>65763</v>
      </c>
      <c r="GN152">
        <f t="shared" si="181"/>
        <v>65763</v>
      </c>
      <c r="GO152">
        <f t="shared" si="182"/>
        <v>0</v>
      </c>
      <c r="GP152">
        <f t="shared" si="183"/>
        <v>0</v>
      </c>
      <c r="GR152">
        <v>1</v>
      </c>
      <c r="GS152">
        <v>1</v>
      </c>
      <c r="GT152">
        <v>0</v>
      </c>
      <c r="GU152" t="s">
        <v>6</v>
      </c>
      <c r="GV152">
        <f t="shared" si="184"/>
        <v>0</v>
      </c>
      <c r="GW152">
        <v>1</v>
      </c>
      <c r="GX152">
        <f t="shared" si="185"/>
        <v>0</v>
      </c>
      <c r="HA152">
        <v>0</v>
      </c>
      <c r="HB152">
        <v>0</v>
      </c>
      <c r="HC152">
        <f t="shared" si="186"/>
        <v>0</v>
      </c>
      <c r="HE152" t="s">
        <v>39</v>
      </c>
      <c r="HF152" t="s">
        <v>40</v>
      </c>
      <c r="HM152" t="s">
        <v>6</v>
      </c>
      <c r="HN152" t="s">
        <v>6</v>
      </c>
      <c r="HO152" t="s">
        <v>6</v>
      </c>
      <c r="HP152" t="s">
        <v>6</v>
      </c>
      <c r="HQ152" t="s">
        <v>6</v>
      </c>
      <c r="IF152">
        <v>-1</v>
      </c>
      <c r="IK152">
        <v>0</v>
      </c>
    </row>
    <row r="153" spans="1:255" x14ac:dyDescent="0.2">
      <c r="A153" s="2">
        <v>18</v>
      </c>
      <c r="B153" s="2">
        <v>1</v>
      </c>
      <c r="C153" s="2">
        <v>163</v>
      </c>
      <c r="D153" s="2"/>
      <c r="E153" s="2" t="s">
        <v>249</v>
      </c>
      <c r="F153" s="2" t="s">
        <v>92</v>
      </c>
      <c r="G153" s="2" t="s">
        <v>93</v>
      </c>
      <c r="H153" s="2" t="s">
        <v>94</v>
      </c>
      <c r="I153" s="2">
        <f>I143*J153</f>
        <v>26.673293999999999</v>
      </c>
      <c r="J153" s="226">
        <f>'5.Ведомость_списания'!F71</f>
        <v>5.3879999999999999</v>
      </c>
      <c r="K153" s="2">
        <v>5.3879999999999999</v>
      </c>
      <c r="L153" s="2"/>
      <c r="M153" s="2"/>
      <c r="N153" s="2"/>
      <c r="O153" s="2">
        <f t="shared" si="155"/>
        <v>125</v>
      </c>
      <c r="P153" s="2">
        <f t="shared" si="156"/>
        <v>125</v>
      </c>
      <c r="Q153" s="2">
        <f t="shared" si="157"/>
        <v>0</v>
      </c>
      <c r="R153" s="2">
        <f t="shared" si="158"/>
        <v>0</v>
      </c>
      <c r="S153" s="2">
        <f t="shared" si="159"/>
        <v>0</v>
      </c>
      <c r="T153" s="2">
        <f t="shared" si="160"/>
        <v>0</v>
      </c>
      <c r="U153" s="2">
        <f t="shared" si="161"/>
        <v>0</v>
      </c>
      <c r="V153" s="2">
        <f t="shared" si="162"/>
        <v>0</v>
      </c>
      <c r="W153" s="2">
        <f t="shared" si="163"/>
        <v>0</v>
      </c>
      <c r="X153" s="2">
        <f t="shared" si="164"/>
        <v>0</v>
      </c>
      <c r="Y153" s="2">
        <f t="shared" si="165"/>
        <v>0</v>
      </c>
      <c r="Z153" s="2"/>
      <c r="AA153" s="2">
        <v>86326987</v>
      </c>
      <c r="AB153" s="2">
        <f t="shared" si="166"/>
        <v>4.6900000000000004</v>
      </c>
      <c r="AC153" s="2">
        <f t="shared" si="150"/>
        <v>4.6900000000000004</v>
      </c>
      <c r="AD153" s="2">
        <f>ROUND((((ET153)-(EU153))+AE153),2)</f>
        <v>0</v>
      </c>
      <c r="AE153" s="2">
        <f t="shared" si="151"/>
        <v>0</v>
      </c>
      <c r="AF153" s="2">
        <f t="shared" si="152"/>
        <v>0</v>
      </c>
      <c r="AG153" s="2">
        <f t="shared" si="167"/>
        <v>0</v>
      </c>
      <c r="AH153" s="2">
        <f t="shared" si="153"/>
        <v>0</v>
      </c>
      <c r="AI153" s="2">
        <f t="shared" si="154"/>
        <v>0</v>
      </c>
      <c r="AJ153" s="2">
        <f t="shared" si="168"/>
        <v>0.01</v>
      </c>
      <c r="AK153" s="2">
        <v>4.6900000000000004</v>
      </c>
      <c r="AL153" s="110">
        <f>'1.Лок.смета.и.Акт'!F287</f>
        <v>4.6900000000000004</v>
      </c>
      <c r="AM153" s="2">
        <v>0</v>
      </c>
      <c r="AN153" s="2">
        <v>0</v>
      </c>
      <c r="AO153" s="2">
        <v>0</v>
      </c>
      <c r="AP153" s="2">
        <v>0</v>
      </c>
      <c r="AQ153" s="2">
        <v>0</v>
      </c>
      <c r="AR153" s="2">
        <v>0</v>
      </c>
      <c r="AS153" s="2">
        <v>0.01</v>
      </c>
      <c r="AT153" s="2">
        <v>0</v>
      </c>
      <c r="AU153" s="2">
        <v>0</v>
      </c>
      <c r="AV153" s="2">
        <v>1</v>
      </c>
      <c r="AW153" s="2">
        <v>1</v>
      </c>
      <c r="AX153" s="2"/>
      <c r="AY153" s="2"/>
      <c r="AZ153" s="2">
        <v>1</v>
      </c>
      <c r="BA153" s="2">
        <v>1</v>
      </c>
      <c r="BB153" s="2">
        <v>1</v>
      </c>
      <c r="BC153" s="2">
        <v>1</v>
      </c>
      <c r="BD153" s="2" t="s">
        <v>6</v>
      </c>
      <c r="BE153" s="2" t="s">
        <v>6</v>
      </c>
      <c r="BF153" s="2" t="s">
        <v>6</v>
      </c>
      <c r="BG153" s="2" t="s">
        <v>6</v>
      </c>
      <c r="BH153" s="2">
        <v>3</v>
      </c>
      <c r="BI153" s="2">
        <v>2</v>
      </c>
      <c r="BJ153" s="2" t="s">
        <v>95</v>
      </c>
      <c r="BK153" s="2"/>
      <c r="BL153" s="2"/>
      <c r="BM153" s="2">
        <v>500002</v>
      </c>
      <c r="BN153" s="2">
        <v>0</v>
      </c>
      <c r="BO153" s="2" t="s">
        <v>6</v>
      </c>
      <c r="BP153" s="2">
        <v>0</v>
      </c>
      <c r="BQ153" s="2">
        <v>21</v>
      </c>
      <c r="BR153" s="2">
        <v>0</v>
      </c>
      <c r="BS153" s="2">
        <v>1</v>
      </c>
      <c r="BT153" s="2">
        <v>1</v>
      </c>
      <c r="BU153" s="2">
        <v>1</v>
      </c>
      <c r="BV153" s="2">
        <v>1</v>
      </c>
      <c r="BW153" s="2">
        <v>1</v>
      </c>
      <c r="BX153" s="2">
        <v>1</v>
      </c>
      <c r="BY153" s="2" t="s">
        <v>6</v>
      </c>
      <c r="BZ153" s="2">
        <v>0</v>
      </c>
      <c r="CA153" s="2">
        <v>0</v>
      </c>
      <c r="CB153" s="2" t="s">
        <v>6</v>
      </c>
      <c r="CC153" s="2"/>
      <c r="CD153" s="2"/>
      <c r="CE153" s="2">
        <v>0</v>
      </c>
      <c r="CF153" s="2">
        <v>0</v>
      </c>
      <c r="CG153" s="2">
        <v>0</v>
      </c>
      <c r="CH153" s="2"/>
      <c r="CI153" s="2"/>
      <c r="CJ153" s="2"/>
      <c r="CK153" s="2"/>
      <c r="CL153" s="2"/>
      <c r="CM153" s="2">
        <v>0</v>
      </c>
      <c r="CN153" s="2" t="s">
        <v>6</v>
      </c>
      <c r="CO153" s="2">
        <v>0</v>
      </c>
      <c r="CP153" s="2">
        <f t="shared" si="169"/>
        <v>125</v>
      </c>
      <c r="CQ153" s="2">
        <f t="shared" si="170"/>
        <v>4.6900000000000004</v>
      </c>
      <c r="CR153" s="2">
        <f t="shared" si="171"/>
        <v>0</v>
      </c>
      <c r="CS153" s="2">
        <f t="shared" si="172"/>
        <v>0</v>
      </c>
      <c r="CT153" s="2">
        <f t="shared" si="173"/>
        <v>0</v>
      </c>
      <c r="CU153" s="2">
        <f t="shared" si="174"/>
        <v>0</v>
      </c>
      <c r="CV153" s="2">
        <f t="shared" si="175"/>
        <v>0</v>
      </c>
      <c r="CW153" s="2">
        <f t="shared" si="176"/>
        <v>0</v>
      </c>
      <c r="CX153" s="2">
        <f t="shared" si="177"/>
        <v>0.01</v>
      </c>
      <c r="CY153" s="2">
        <f>(((S153+(R153*IF(0,0,1)))*AT153)/100)</f>
        <v>0</v>
      </c>
      <c r="CZ153" s="2">
        <f>(((S153+(R153*IF(0,0,1)))*AU153)/100)</f>
        <v>0</v>
      </c>
      <c r="DA153" s="2"/>
      <c r="DB153" s="2"/>
      <c r="DC153" s="2" t="s">
        <v>6</v>
      </c>
      <c r="DD153" s="2" t="s">
        <v>6</v>
      </c>
      <c r="DE153" s="2" t="s">
        <v>6</v>
      </c>
      <c r="DF153" s="2" t="s">
        <v>6</v>
      </c>
      <c r="DG153" s="2" t="s">
        <v>6</v>
      </c>
      <c r="DH153" s="2" t="s">
        <v>6</v>
      </c>
      <c r="DI153" s="2" t="s">
        <v>6</v>
      </c>
      <c r="DJ153" s="2" t="s">
        <v>6</v>
      </c>
      <c r="DK153" s="2" t="s">
        <v>6</v>
      </c>
      <c r="DL153" s="2" t="s">
        <v>6</v>
      </c>
      <c r="DM153" s="2" t="s">
        <v>6</v>
      </c>
      <c r="DN153" s="2">
        <v>0</v>
      </c>
      <c r="DO153" s="2">
        <v>0</v>
      </c>
      <c r="DP153" s="2">
        <v>1</v>
      </c>
      <c r="DQ153" s="2">
        <v>1</v>
      </c>
      <c r="DR153" s="2"/>
      <c r="DS153" s="2"/>
      <c r="DT153" s="2"/>
      <c r="DU153" s="2">
        <v>1003</v>
      </c>
      <c r="DV153" s="2" t="s">
        <v>94</v>
      </c>
      <c r="DW153" s="2" t="s">
        <v>94</v>
      </c>
      <c r="DX153" s="2">
        <v>1</v>
      </c>
      <c r="DY153" s="2"/>
      <c r="DZ153" s="2" t="s">
        <v>6</v>
      </c>
      <c r="EA153" s="2" t="s">
        <v>6</v>
      </c>
      <c r="EB153" s="2" t="s">
        <v>6</v>
      </c>
      <c r="EC153" s="2" t="s">
        <v>6</v>
      </c>
      <c r="ED153" s="2"/>
      <c r="EE153" s="2">
        <v>54938782</v>
      </c>
      <c r="EF153" s="2">
        <v>21</v>
      </c>
      <c r="EG153" s="2" t="s">
        <v>96</v>
      </c>
      <c r="EH153" s="2">
        <v>0</v>
      </c>
      <c r="EI153" s="2" t="s">
        <v>6</v>
      </c>
      <c r="EJ153" s="2">
        <v>2</v>
      </c>
      <c r="EK153" s="2">
        <v>500002</v>
      </c>
      <c r="EL153" s="2" t="s">
        <v>97</v>
      </c>
      <c r="EM153" s="2" t="s">
        <v>98</v>
      </c>
      <c r="EN153" s="2"/>
      <c r="EO153" s="2" t="s">
        <v>6</v>
      </c>
      <c r="EP153" s="2"/>
      <c r="EQ153" s="2">
        <v>0</v>
      </c>
      <c r="ER153" s="2">
        <v>4.6900000000000004</v>
      </c>
      <c r="ES153" s="110">
        <f>'1.Лок.смета.и.Акт'!F287</f>
        <v>4.6900000000000004</v>
      </c>
      <c r="ET153" s="2">
        <v>0</v>
      </c>
      <c r="EU153" s="2">
        <v>0</v>
      </c>
      <c r="EV153" s="2">
        <v>0</v>
      </c>
      <c r="EW153" s="2">
        <v>0</v>
      </c>
      <c r="EX153" s="2">
        <v>0</v>
      </c>
      <c r="EY153" s="2"/>
      <c r="EZ153" s="2"/>
      <c r="FA153" s="2"/>
      <c r="FB153" s="2"/>
      <c r="FC153" s="2"/>
      <c r="FD153" s="2"/>
      <c r="FE153" s="2"/>
      <c r="FF153" s="2"/>
      <c r="FG153" s="2"/>
      <c r="FH153" s="2"/>
      <c r="FI153" s="2"/>
      <c r="FJ153" s="2"/>
      <c r="FK153" s="2"/>
      <c r="FL153" s="2"/>
      <c r="FM153" s="2"/>
      <c r="FN153" s="2"/>
      <c r="FO153" s="2"/>
      <c r="FP153" s="2"/>
      <c r="FQ153" s="2">
        <v>0</v>
      </c>
      <c r="FR153" s="2">
        <f t="shared" si="178"/>
        <v>0</v>
      </c>
      <c r="FS153" s="2">
        <v>0</v>
      </c>
      <c r="FT153" s="2"/>
      <c r="FU153" s="2"/>
      <c r="FV153" s="2"/>
      <c r="FW153" s="2"/>
      <c r="FX153" s="2">
        <v>0</v>
      </c>
      <c r="FY153" s="2">
        <v>0</v>
      </c>
      <c r="FZ153" s="2"/>
      <c r="GA153" s="2" t="s">
        <v>6</v>
      </c>
      <c r="GB153" s="2"/>
      <c r="GC153" s="2"/>
      <c r="GD153" s="2">
        <v>1</v>
      </c>
      <c r="GE153" s="2"/>
      <c r="GF153" s="2">
        <v>-1608277363</v>
      </c>
      <c r="GG153" s="2">
        <v>2</v>
      </c>
      <c r="GH153" s="2">
        <v>0</v>
      </c>
      <c r="GI153" s="2">
        <v>-2</v>
      </c>
      <c r="GJ153" s="2">
        <v>0</v>
      </c>
      <c r="GK153" s="2">
        <v>0</v>
      </c>
      <c r="GL153" s="2">
        <f t="shared" si="179"/>
        <v>0</v>
      </c>
      <c r="GM153" s="2">
        <f t="shared" si="180"/>
        <v>125</v>
      </c>
      <c r="GN153" s="2">
        <f t="shared" si="181"/>
        <v>0</v>
      </c>
      <c r="GO153" s="2">
        <f t="shared" si="182"/>
        <v>125</v>
      </c>
      <c r="GP153" s="2">
        <f t="shared" si="183"/>
        <v>0</v>
      </c>
      <c r="GQ153" s="2"/>
      <c r="GR153" s="2">
        <v>0</v>
      </c>
      <c r="GS153" s="2">
        <v>3</v>
      </c>
      <c r="GT153" s="2">
        <v>0</v>
      </c>
      <c r="GU153" s="2" t="s">
        <v>6</v>
      </c>
      <c r="GV153" s="2">
        <f t="shared" si="184"/>
        <v>0</v>
      </c>
      <c r="GW153" s="2">
        <v>1</v>
      </c>
      <c r="GX153" s="2">
        <f t="shared" si="185"/>
        <v>0</v>
      </c>
      <c r="GY153" s="2"/>
      <c r="GZ153" s="2"/>
      <c r="HA153" s="2">
        <v>0</v>
      </c>
      <c r="HB153" s="2">
        <v>0</v>
      </c>
      <c r="HC153" s="2">
        <f t="shared" si="186"/>
        <v>0</v>
      </c>
      <c r="HD153" s="2"/>
      <c r="HE153" s="2" t="s">
        <v>6</v>
      </c>
      <c r="HF153" s="2" t="s">
        <v>6</v>
      </c>
      <c r="HG153" s="2"/>
      <c r="HH153" s="2"/>
      <c r="HI153" s="2"/>
      <c r="HJ153" s="2"/>
      <c r="HK153" s="2"/>
      <c r="HL153" s="2"/>
      <c r="HM153" s="2" t="s">
        <v>6</v>
      </c>
      <c r="HN153" s="2" t="s">
        <v>6</v>
      </c>
      <c r="HO153" s="2" t="s">
        <v>6</v>
      </c>
      <c r="HP153" s="2" t="s">
        <v>6</v>
      </c>
      <c r="HQ153" s="2" t="s">
        <v>6</v>
      </c>
      <c r="HR153" s="2"/>
      <c r="HS153" s="2"/>
      <c r="HT153" s="2"/>
      <c r="HU153" s="2"/>
      <c r="HV153" s="2"/>
      <c r="HW153" s="2"/>
      <c r="HX153" s="2"/>
      <c r="HY153" s="2"/>
      <c r="HZ153" s="2"/>
      <c r="IA153" s="2"/>
      <c r="IB153" s="2"/>
      <c r="IC153" s="2"/>
      <c r="ID153" s="2"/>
      <c r="IE153" s="2"/>
      <c r="IF153" s="2">
        <v>-1</v>
      </c>
      <c r="IG153" s="2"/>
      <c r="IH153" s="2"/>
      <c r="II153" s="2"/>
      <c r="IJ153" s="2"/>
      <c r="IK153" s="2">
        <v>0</v>
      </c>
      <c r="IL153" s="2"/>
      <c r="IM153" s="2"/>
      <c r="IN153" s="2"/>
      <c r="IO153" s="2"/>
      <c r="IP153" s="2"/>
      <c r="IQ153" s="2"/>
      <c r="IR153" s="2"/>
      <c r="IS153" s="2"/>
      <c r="IT153" s="2"/>
      <c r="IU153" s="2"/>
    </row>
    <row r="154" spans="1:255" x14ac:dyDescent="0.2">
      <c r="A154">
        <v>18</v>
      </c>
      <c r="B154">
        <v>1</v>
      </c>
      <c r="C154">
        <v>176</v>
      </c>
      <c r="E154" t="s">
        <v>249</v>
      </c>
      <c r="F154" t="e">
        <f>'2.Лок.смета.и.Акт'!#REF!</f>
        <v>#REF!</v>
      </c>
      <c r="G154" t="s">
        <v>93</v>
      </c>
      <c r="H154" t="s">
        <v>94</v>
      </c>
      <c r="I154">
        <f>I144*J154</f>
        <v>26.673293999999999</v>
      </c>
      <c r="J154">
        <v>5.3879999999999999</v>
      </c>
      <c r="K154">
        <v>5.3879999999999999</v>
      </c>
      <c r="O154">
        <f t="shared" si="155"/>
        <v>863</v>
      </c>
      <c r="P154">
        <f t="shared" si="156"/>
        <v>863</v>
      </c>
      <c r="Q154">
        <f t="shared" si="157"/>
        <v>0</v>
      </c>
      <c r="R154">
        <f t="shared" si="158"/>
        <v>0</v>
      </c>
      <c r="S154">
        <f t="shared" si="159"/>
        <v>0</v>
      </c>
      <c r="T154">
        <f t="shared" si="160"/>
        <v>0</v>
      </c>
      <c r="U154">
        <f t="shared" si="161"/>
        <v>0</v>
      </c>
      <c r="V154">
        <f t="shared" si="162"/>
        <v>0</v>
      </c>
      <c r="W154">
        <f t="shared" si="163"/>
        <v>0</v>
      </c>
      <c r="X154">
        <f t="shared" si="164"/>
        <v>0</v>
      </c>
      <c r="Y154">
        <f t="shared" si="165"/>
        <v>0</v>
      </c>
      <c r="AA154">
        <v>86326988</v>
      </c>
      <c r="AB154">
        <f t="shared" si="166"/>
        <v>4.28</v>
      </c>
      <c r="AC154">
        <f t="shared" si="150"/>
        <v>4.28</v>
      </c>
      <c r="AD154">
        <f>ROUND((((ET154)-(EU154))+AE154),2)</f>
        <v>0</v>
      </c>
      <c r="AE154">
        <f t="shared" si="151"/>
        <v>0</v>
      </c>
      <c r="AF154">
        <f t="shared" si="152"/>
        <v>0</v>
      </c>
      <c r="AG154">
        <f t="shared" si="167"/>
        <v>0</v>
      </c>
      <c r="AH154">
        <f t="shared" si="153"/>
        <v>0</v>
      </c>
      <c r="AI154">
        <f t="shared" si="154"/>
        <v>0</v>
      </c>
      <c r="AJ154">
        <f t="shared" si="168"/>
        <v>0.01</v>
      </c>
      <c r="AK154">
        <v>4.28</v>
      </c>
      <c r="AL154">
        <v>4.28</v>
      </c>
      <c r="AM154">
        <v>0</v>
      </c>
      <c r="AN154">
        <v>0</v>
      </c>
      <c r="AO154">
        <v>0</v>
      </c>
      <c r="AP154">
        <v>0</v>
      </c>
      <c r="AQ154">
        <v>0</v>
      </c>
      <c r="AR154">
        <v>0</v>
      </c>
      <c r="AS154">
        <v>0.01</v>
      </c>
      <c r="AT154">
        <v>0</v>
      </c>
      <c r="AU154">
        <v>0</v>
      </c>
      <c r="AV154">
        <v>1</v>
      </c>
      <c r="AW154">
        <v>1</v>
      </c>
      <c r="AZ154">
        <v>1</v>
      </c>
      <c r="BA154">
        <v>1</v>
      </c>
      <c r="BB154">
        <v>1</v>
      </c>
      <c r="BC154">
        <v>7.56</v>
      </c>
      <c r="BD154" t="s">
        <v>6</v>
      </c>
      <c r="BE154" t="s">
        <v>6</v>
      </c>
      <c r="BF154" t="s">
        <v>6</v>
      </c>
      <c r="BG154" t="s">
        <v>6</v>
      </c>
      <c r="BH154">
        <v>3</v>
      </c>
      <c r="BI154">
        <v>2</v>
      </c>
      <c r="BJ154" t="s">
        <v>95</v>
      </c>
      <c r="BM154">
        <v>500002</v>
      </c>
      <c r="BN154">
        <v>0</v>
      </c>
      <c r="BO154" t="s">
        <v>6</v>
      </c>
      <c r="BP154">
        <v>0</v>
      </c>
      <c r="BQ154">
        <v>21</v>
      </c>
      <c r="BR154">
        <v>0</v>
      </c>
      <c r="BS154">
        <v>1</v>
      </c>
      <c r="BT154">
        <v>1</v>
      </c>
      <c r="BU154">
        <v>1</v>
      </c>
      <c r="BV154">
        <v>1</v>
      </c>
      <c r="BW154">
        <v>1</v>
      </c>
      <c r="BX154">
        <v>1</v>
      </c>
      <c r="BY154" t="s">
        <v>6</v>
      </c>
      <c r="BZ154">
        <v>0</v>
      </c>
      <c r="CA154">
        <v>0</v>
      </c>
      <c r="CB154" t="s">
        <v>6</v>
      </c>
      <c r="CE154">
        <v>0</v>
      </c>
      <c r="CF154">
        <v>0</v>
      </c>
      <c r="CG154">
        <v>0</v>
      </c>
      <c r="CM154">
        <v>0</v>
      </c>
      <c r="CN154" t="s">
        <v>6</v>
      </c>
      <c r="CO154">
        <v>0</v>
      </c>
      <c r="CP154">
        <f t="shared" si="169"/>
        <v>863</v>
      </c>
      <c r="CQ154">
        <f t="shared" si="170"/>
        <v>32.3568</v>
      </c>
      <c r="CR154">
        <f t="shared" si="171"/>
        <v>0</v>
      </c>
      <c r="CS154">
        <f t="shared" si="172"/>
        <v>0</v>
      </c>
      <c r="CT154">
        <f t="shared" si="173"/>
        <v>0</v>
      </c>
      <c r="CU154">
        <f t="shared" si="174"/>
        <v>0</v>
      </c>
      <c r="CV154">
        <f t="shared" si="175"/>
        <v>0</v>
      </c>
      <c r="CW154">
        <f t="shared" si="176"/>
        <v>0</v>
      </c>
      <c r="CX154">
        <f t="shared" si="177"/>
        <v>0.01</v>
      </c>
      <c r="CY154">
        <f>(S154+R154)*(BZ154/100)</f>
        <v>0</v>
      </c>
      <c r="CZ154">
        <f>(S154+R154)*(CA154/100)</f>
        <v>0</v>
      </c>
      <c r="DC154" t="s">
        <v>6</v>
      </c>
      <c r="DD154" t="s">
        <v>6</v>
      </c>
      <c r="DE154" t="s">
        <v>6</v>
      </c>
      <c r="DF154" t="s">
        <v>6</v>
      </c>
      <c r="DG154" t="s">
        <v>6</v>
      </c>
      <c r="DH154" t="s">
        <v>6</v>
      </c>
      <c r="DI154" t="s">
        <v>6</v>
      </c>
      <c r="DJ154" t="s">
        <v>6</v>
      </c>
      <c r="DK154" t="s">
        <v>6</v>
      </c>
      <c r="DL154" t="s">
        <v>6</v>
      </c>
      <c r="DM154" t="s">
        <v>6</v>
      </c>
      <c r="DN154">
        <v>0</v>
      </c>
      <c r="DO154">
        <v>0</v>
      </c>
      <c r="DP154">
        <v>1</v>
      </c>
      <c r="DQ154">
        <v>1</v>
      </c>
      <c r="DU154">
        <v>1003</v>
      </c>
      <c r="DV154" t="s">
        <v>94</v>
      </c>
      <c r="DW154" t="e">
        <f>'2.Лок.смета.и.Акт'!#REF!</f>
        <v>#REF!</v>
      </c>
      <c r="DX154">
        <v>1</v>
      </c>
      <c r="DZ154" t="s">
        <v>6</v>
      </c>
      <c r="EA154" t="s">
        <v>6</v>
      </c>
      <c r="EB154" t="s">
        <v>6</v>
      </c>
      <c r="EC154" t="s">
        <v>6</v>
      </c>
      <c r="EE154">
        <v>54938782</v>
      </c>
      <c r="EF154">
        <v>21</v>
      </c>
      <c r="EG154" t="s">
        <v>96</v>
      </c>
      <c r="EH154">
        <v>0</v>
      </c>
      <c r="EI154" t="s">
        <v>6</v>
      </c>
      <c r="EJ154">
        <v>2</v>
      </c>
      <c r="EK154">
        <v>500002</v>
      </c>
      <c r="EL154" t="s">
        <v>97</v>
      </c>
      <c r="EM154" t="s">
        <v>98</v>
      </c>
      <c r="EO154" t="s">
        <v>6</v>
      </c>
      <c r="EQ154">
        <v>0</v>
      </c>
      <c r="ER154">
        <v>30.51</v>
      </c>
      <c r="ES154">
        <v>4.28</v>
      </c>
      <c r="ET154">
        <v>0</v>
      </c>
      <c r="EU154">
        <v>0</v>
      </c>
      <c r="EV154">
        <v>0</v>
      </c>
      <c r="EW154">
        <v>0</v>
      </c>
      <c r="EX154">
        <v>0</v>
      </c>
      <c r="EZ154">
        <v>5</v>
      </c>
      <c r="FC154">
        <v>0</v>
      </c>
      <c r="FD154">
        <v>18</v>
      </c>
      <c r="FF154">
        <v>30.51</v>
      </c>
      <c r="FQ154">
        <v>0</v>
      </c>
      <c r="FR154">
        <f t="shared" si="178"/>
        <v>0</v>
      </c>
      <c r="FS154">
        <v>0</v>
      </c>
      <c r="FX154">
        <v>0</v>
      </c>
      <c r="FY154">
        <v>0</v>
      </c>
      <c r="GA154" t="s">
        <v>99</v>
      </c>
      <c r="GD154">
        <v>1</v>
      </c>
      <c r="GF154">
        <v>-1608277363</v>
      </c>
      <c r="GG154">
        <v>2</v>
      </c>
      <c r="GH154">
        <v>3</v>
      </c>
      <c r="GI154">
        <v>5</v>
      </c>
      <c r="GJ154">
        <v>0</v>
      </c>
      <c r="GK154">
        <v>0</v>
      </c>
      <c r="GL154">
        <f t="shared" si="179"/>
        <v>0</v>
      </c>
      <c r="GM154">
        <f t="shared" si="180"/>
        <v>863</v>
      </c>
      <c r="GN154">
        <f t="shared" si="181"/>
        <v>0</v>
      </c>
      <c r="GO154">
        <f t="shared" si="182"/>
        <v>863</v>
      </c>
      <c r="GP154">
        <f t="shared" si="183"/>
        <v>0</v>
      </c>
      <c r="GR154">
        <v>1</v>
      </c>
      <c r="GS154">
        <v>1</v>
      </c>
      <c r="GT154">
        <v>0</v>
      </c>
      <c r="GU154" t="s">
        <v>6</v>
      </c>
      <c r="GV154">
        <f t="shared" si="184"/>
        <v>0</v>
      </c>
      <c r="GW154">
        <v>1</v>
      </c>
      <c r="GX154">
        <f t="shared" si="185"/>
        <v>0</v>
      </c>
      <c r="HA154">
        <v>0</v>
      </c>
      <c r="HB154">
        <v>0</v>
      </c>
      <c r="HC154">
        <f t="shared" si="186"/>
        <v>0</v>
      </c>
      <c r="HE154" t="s">
        <v>39</v>
      </c>
      <c r="HF154" t="s">
        <v>40</v>
      </c>
      <c r="HM154" t="s">
        <v>6</v>
      </c>
      <c r="HN154" t="s">
        <v>6</v>
      </c>
      <c r="HO154" t="s">
        <v>6</v>
      </c>
      <c r="HP154" t="s">
        <v>6</v>
      </c>
      <c r="HQ154" t="s">
        <v>6</v>
      </c>
      <c r="IF154">
        <v>-1</v>
      </c>
      <c r="IK154">
        <v>0</v>
      </c>
    </row>
    <row r="155" spans="1:255" x14ac:dyDescent="0.2">
      <c r="A155" s="2">
        <v>18</v>
      </c>
      <c r="B155" s="2">
        <v>1</v>
      </c>
      <c r="C155" s="2">
        <v>160</v>
      </c>
      <c r="D155" s="2"/>
      <c r="E155" s="2" t="s">
        <v>250</v>
      </c>
      <c r="F155" s="2" t="s">
        <v>101</v>
      </c>
      <c r="G155" s="2" t="s">
        <v>102</v>
      </c>
      <c r="H155" s="2" t="s">
        <v>103</v>
      </c>
      <c r="I155" s="2">
        <f>I143*J155</f>
        <v>113.86150000000002</v>
      </c>
      <c r="J155" s="226">
        <f>'5.Ведомость_списания'!F72</f>
        <v>23.000000000000004</v>
      </c>
      <c r="K155" s="2">
        <v>23</v>
      </c>
      <c r="L155" s="2"/>
      <c r="M155" s="2"/>
      <c r="N155" s="2"/>
      <c r="O155" s="2">
        <f t="shared" si="155"/>
        <v>27</v>
      </c>
      <c r="P155" s="2">
        <f t="shared" si="156"/>
        <v>27</v>
      </c>
      <c r="Q155" s="2">
        <f t="shared" si="157"/>
        <v>0</v>
      </c>
      <c r="R155" s="2">
        <f t="shared" si="158"/>
        <v>0</v>
      </c>
      <c r="S155" s="2">
        <f t="shared" si="159"/>
        <v>0</v>
      </c>
      <c r="T155" s="2">
        <f t="shared" si="160"/>
        <v>0</v>
      </c>
      <c r="U155" s="2">
        <f t="shared" si="161"/>
        <v>0</v>
      </c>
      <c r="V155" s="2">
        <f t="shared" si="162"/>
        <v>0</v>
      </c>
      <c r="W155" s="2">
        <f t="shared" si="163"/>
        <v>0</v>
      </c>
      <c r="X155" s="2">
        <f t="shared" si="164"/>
        <v>0</v>
      </c>
      <c r="Y155" s="2">
        <f t="shared" si="165"/>
        <v>0</v>
      </c>
      <c r="Z155" s="2"/>
      <c r="AA155" s="2">
        <v>86326987</v>
      </c>
      <c r="AB155" s="2">
        <f t="shared" si="166"/>
        <v>0.24</v>
      </c>
      <c r="AC155" s="2">
        <f t="shared" si="150"/>
        <v>0.24</v>
      </c>
      <c r="AD155" s="2">
        <f t="shared" ref="AD155:AD160" si="187">ROUND((ET155),2)</f>
        <v>0</v>
      </c>
      <c r="AE155" s="2">
        <f t="shared" si="151"/>
        <v>0</v>
      </c>
      <c r="AF155" s="2">
        <f t="shared" si="152"/>
        <v>0</v>
      </c>
      <c r="AG155" s="2">
        <f t="shared" si="167"/>
        <v>0</v>
      </c>
      <c r="AH155" s="2">
        <f t="shared" si="153"/>
        <v>0</v>
      </c>
      <c r="AI155" s="2">
        <f t="shared" si="154"/>
        <v>0</v>
      </c>
      <c r="AJ155" s="2">
        <f t="shared" si="168"/>
        <v>0</v>
      </c>
      <c r="AK155" s="2">
        <v>0.24</v>
      </c>
      <c r="AL155" s="110">
        <f>'1.Лок.смета.и.Акт'!F289</f>
        <v>0.24</v>
      </c>
      <c r="AM155" s="2">
        <v>0</v>
      </c>
      <c r="AN155" s="2">
        <v>0</v>
      </c>
      <c r="AO155" s="2">
        <v>0</v>
      </c>
      <c r="AP155" s="2">
        <v>0</v>
      </c>
      <c r="AQ155" s="2">
        <v>0</v>
      </c>
      <c r="AR155" s="2">
        <v>0</v>
      </c>
      <c r="AS155" s="2">
        <v>0</v>
      </c>
      <c r="AT155" s="2">
        <v>0</v>
      </c>
      <c r="AU155" s="2">
        <v>0</v>
      </c>
      <c r="AV155" s="2">
        <v>1</v>
      </c>
      <c r="AW155" s="2">
        <v>1</v>
      </c>
      <c r="AX155" s="2"/>
      <c r="AY155" s="2"/>
      <c r="AZ155" s="2">
        <v>1</v>
      </c>
      <c r="BA155" s="2">
        <v>1</v>
      </c>
      <c r="BB155" s="2">
        <v>1</v>
      </c>
      <c r="BC155" s="2">
        <v>1</v>
      </c>
      <c r="BD155" s="2" t="s">
        <v>6</v>
      </c>
      <c r="BE155" s="2" t="s">
        <v>6</v>
      </c>
      <c r="BF155" s="2" t="s">
        <v>6</v>
      </c>
      <c r="BG155" s="2" t="s">
        <v>6</v>
      </c>
      <c r="BH155" s="2">
        <v>3</v>
      </c>
      <c r="BI155" s="2">
        <v>1</v>
      </c>
      <c r="BJ155" s="2" t="s">
        <v>104</v>
      </c>
      <c r="BK155" s="2"/>
      <c r="BL155" s="2"/>
      <c r="BM155" s="2">
        <v>3101</v>
      </c>
      <c r="BN155" s="2">
        <v>0</v>
      </c>
      <c r="BO155" s="2" t="s">
        <v>6</v>
      </c>
      <c r="BP155" s="2">
        <v>0</v>
      </c>
      <c r="BQ155" s="2">
        <v>0</v>
      </c>
      <c r="BR155" s="2">
        <v>0</v>
      </c>
      <c r="BS155" s="2">
        <v>1</v>
      </c>
      <c r="BT155" s="2">
        <v>1</v>
      </c>
      <c r="BU155" s="2">
        <v>1</v>
      </c>
      <c r="BV155" s="2">
        <v>1</v>
      </c>
      <c r="BW155" s="2">
        <v>1</v>
      </c>
      <c r="BX155" s="2">
        <v>1</v>
      </c>
      <c r="BY155" s="2" t="s">
        <v>6</v>
      </c>
      <c r="BZ155" s="2">
        <v>0</v>
      </c>
      <c r="CA155" s="2">
        <v>0</v>
      </c>
      <c r="CB155" s="2" t="s">
        <v>6</v>
      </c>
      <c r="CC155" s="2"/>
      <c r="CD155" s="2"/>
      <c r="CE155" s="2">
        <v>0</v>
      </c>
      <c r="CF155" s="2">
        <v>0</v>
      </c>
      <c r="CG155" s="2">
        <v>0</v>
      </c>
      <c r="CH155" s="2"/>
      <c r="CI155" s="2"/>
      <c r="CJ155" s="2"/>
      <c r="CK155" s="2"/>
      <c r="CL155" s="2"/>
      <c r="CM155" s="2">
        <v>0</v>
      </c>
      <c r="CN155" s="2" t="s">
        <v>6</v>
      </c>
      <c r="CO155" s="2">
        <v>0</v>
      </c>
      <c r="CP155" s="2">
        <f t="shared" si="169"/>
        <v>27</v>
      </c>
      <c r="CQ155" s="2">
        <f t="shared" si="170"/>
        <v>0.24</v>
      </c>
      <c r="CR155" s="2">
        <f t="shared" si="171"/>
        <v>0</v>
      </c>
      <c r="CS155" s="2">
        <f t="shared" si="172"/>
        <v>0</v>
      </c>
      <c r="CT155" s="2">
        <f t="shared" si="173"/>
        <v>0</v>
      </c>
      <c r="CU155" s="2">
        <f t="shared" si="174"/>
        <v>0</v>
      </c>
      <c r="CV155" s="2">
        <f t="shared" si="175"/>
        <v>0</v>
      </c>
      <c r="CW155" s="2">
        <f t="shared" si="176"/>
        <v>0</v>
      </c>
      <c r="CX155" s="2">
        <f t="shared" si="177"/>
        <v>0</v>
      </c>
      <c r="CY155" s="2">
        <f>0</f>
        <v>0</v>
      </c>
      <c r="CZ155" s="2">
        <f>0</f>
        <v>0</v>
      </c>
      <c r="DA155" s="2"/>
      <c r="DB155" s="2"/>
      <c r="DC155" s="2" t="s">
        <v>6</v>
      </c>
      <c r="DD155" s="2" t="s">
        <v>6</v>
      </c>
      <c r="DE155" s="2" t="s">
        <v>6</v>
      </c>
      <c r="DF155" s="2" t="s">
        <v>6</v>
      </c>
      <c r="DG155" s="2" t="s">
        <v>6</v>
      </c>
      <c r="DH155" s="2" t="s">
        <v>6</v>
      </c>
      <c r="DI155" s="2" t="s">
        <v>6</v>
      </c>
      <c r="DJ155" s="2" t="s">
        <v>6</v>
      </c>
      <c r="DK155" s="2" t="s">
        <v>6</v>
      </c>
      <c r="DL155" s="2" t="s">
        <v>6</v>
      </c>
      <c r="DM155" s="2" t="s">
        <v>6</v>
      </c>
      <c r="DN155" s="2">
        <v>0</v>
      </c>
      <c r="DO155" s="2">
        <v>0</v>
      </c>
      <c r="DP155" s="2">
        <v>1</v>
      </c>
      <c r="DQ155" s="2">
        <v>1</v>
      </c>
      <c r="DR155" s="2"/>
      <c r="DS155" s="2"/>
      <c r="DT155" s="2"/>
      <c r="DU155" s="2">
        <v>1013</v>
      </c>
      <c r="DV155" s="2" t="s">
        <v>103</v>
      </c>
      <c r="DW155" s="2" t="s">
        <v>103</v>
      </c>
      <c r="DX155" s="2">
        <v>1</v>
      </c>
      <c r="DY155" s="2"/>
      <c r="DZ155" s="2" t="s">
        <v>6</v>
      </c>
      <c r="EA155" s="2" t="s">
        <v>6</v>
      </c>
      <c r="EB155" s="2" t="s">
        <v>6</v>
      </c>
      <c r="EC155" s="2" t="s">
        <v>6</v>
      </c>
      <c r="ED155" s="2"/>
      <c r="EE155" s="2">
        <v>0</v>
      </c>
      <c r="EF155" s="2">
        <v>0</v>
      </c>
      <c r="EG155" s="2" t="s">
        <v>6</v>
      </c>
      <c r="EH155" s="2">
        <v>0</v>
      </c>
      <c r="EI155" s="2" t="s">
        <v>6</v>
      </c>
      <c r="EJ155" s="2">
        <v>0</v>
      </c>
      <c r="EK155" s="2">
        <v>3101</v>
      </c>
      <c r="EL155" s="2" t="s">
        <v>6</v>
      </c>
      <c r="EM155" s="2" t="s">
        <v>6</v>
      </c>
      <c r="EN155" s="2"/>
      <c r="EO155" s="2" t="s">
        <v>6</v>
      </c>
      <c r="EP155" s="2"/>
      <c r="EQ155" s="2">
        <v>0</v>
      </c>
      <c r="ER155" s="2">
        <v>0.24</v>
      </c>
      <c r="ES155" s="110">
        <f>'1.Лок.смета.и.Акт'!F289</f>
        <v>0.24</v>
      </c>
      <c r="ET155" s="2">
        <v>0</v>
      </c>
      <c r="EU155" s="2">
        <v>0</v>
      </c>
      <c r="EV155" s="2">
        <v>0</v>
      </c>
      <c r="EW155" s="2">
        <v>0</v>
      </c>
      <c r="EX155" s="2">
        <v>0</v>
      </c>
      <c r="EY155" s="2"/>
      <c r="EZ155" s="2"/>
      <c r="FA155" s="2"/>
      <c r="FB155" s="2"/>
      <c r="FC155" s="2"/>
      <c r="FD155" s="2"/>
      <c r="FE155" s="2"/>
      <c r="FF155" s="2"/>
      <c r="FG155" s="2"/>
      <c r="FH155" s="2"/>
      <c r="FI155" s="2"/>
      <c r="FJ155" s="2"/>
      <c r="FK155" s="2"/>
      <c r="FL155" s="2"/>
      <c r="FM155" s="2"/>
      <c r="FN155" s="2"/>
      <c r="FO155" s="2"/>
      <c r="FP155" s="2"/>
      <c r="FQ155" s="2">
        <v>0</v>
      </c>
      <c r="FR155" s="2">
        <f t="shared" si="178"/>
        <v>0</v>
      </c>
      <c r="FS155" s="2">
        <v>0</v>
      </c>
      <c r="FT155" s="2"/>
      <c r="FU155" s="2"/>
      <c r="FV155" s="2"/>
      <c r="FW155" s="2"/>
      <c r="FX155" s="2">
        <v>0</v>
      </c>
      <c r="FY155" s="2">
        <v>0</v>
      </c>
      <c r="FZ155" s="2"/>
      <c r="GA155" s="2" t="s">
        <v>6</v>
      </c>
      <c r="GB155" s="2"/>
      <c r="GC155" s="2"/>
      <c r="GD155" s="2">
        <v>1</v>
      </c>
      <c r="GE155" s="2"/>
      <c r="GF155" s="2">
        <v>-504018761</v>
      </c>
      <c r="GG155" s="2">
        <v>2</v>
      </c>
      <c r="GH155" s="2">
        <v>0</v>
      </c>
      <c r="GI155" s="2">
        <v>-2</v>
      </c>
      <c r="GJ155" s="2">
        <v>0</v>
      </c>
      <c r="GK155" s="2">
        <v>0</v>
      </c>
      <c r="GL155" s="2">
        <f t="shared" si="179"/>
        <v>0</v>
      </c>
      <c r="GM155" s="2">
        <f t="shared" si="180"/>
        <v>27</v>
      </c>
      <c r="GN155" s="2">
        <f t="shared" si="181"/>
        <v>27</v>
      </c>
      <c r="GO155" s="2">
        <f t="shared" si="182"/>
        <v>0</v>
      </c>
      <c r="GP155" s="2">
        <f t="shared" si="183"/>
        <v>0</v>
      </c>
      <c r="GQ155" s="2"/>
      <c r="GR155" s="2">
        <v>0</v>
      </c>
      <c r="GS155" s="2">
        <v>3</v>
      </c>
      <c r="GT155" s="2">
        <v>0</v>
      </c>
      <c r="GU155" s="2" t="s">
        <v>6</v>
      </c>
      <c r="GV155" s="2">
        <f t="shared" si="184"/>
        <v>0</v>
      </c>
      <c r="GW155" s="2">
        <v>1</v>
      </c>
      <c r="GX155" s="2">
        <f t="shared" si="185"/>
        <v>0</v>
      </c>
      <c r="GY155" s="2"/>
      <c r="GZ155" s="2"/>
      <c r="HA155" s="2">
        <v>0</v>
      </c>
      <c r="HB155" s="2">
        <v>0</v>
      </c>
      <c r="HC155" s="2">
        <f t="shared" si="186"/>
        <v>0</v>
      </c>
      <c r="HD155" s="2"/>
      <c r="HE155" s="2" t="s">
        <v>6</v>
      </c>
      <c r="HF155" s="2" t="s">
        <v>6</v>
      </c>
      <c r="HG155" s="2"/>
      <c r="HH155" s="2"/>
      <c r="HI155" s="2"/>
      <c r="HJ155" s="2"/>
      <c r="HK155" s="2"/>
      <c r="HL155" s="2"/>
      <c r="HM155" s="2" t="s">
        <v>6</v>
      </c>
      <c r="HN155" s="2" t="s">
        <v>6</v>
      </c>
      <c r="HO155" s="2" t="s">
        <v>6</v>
      </c>
      <c r="HP155" s="2" t="s">
        <v>6</v>
      </c>
      <c r="HQ155" s="2" t="s">
        <v>6</v>
      </c>
      <c r="HR155" s="2"/>
      <c r="HS155" s="2"/>
      <c r="HT155" s="2"/>
      <c r="HU155" s="2"/>
      <c r="HV155" s="2"/>
      <c r="HW155" s="2"/>
      <c r="HX155" s="2"/>
      <c r="HY155" s="2"/>
      <c r="HZ155" s="2"/>
      <c r="IA155" s="2"/>
      <c r="IB155" s="2"/>
      <c r="IC155" s="2"/>
      <c r="ID155" s="2"/>
      <c r="IE155" s="2"/>
      <c r="IF155" s="2">
        <v>-1</v>
      </c>
      <c r="IG155" s="2"/>
      <c r="IH155" s="2"/>
      <c r="II155" s="2"/>
      <c r="IJ155" s="2"/>
      <c r="IK155" s="2">
        <v>0</v>
      </c>
      <c r="IL155" s="2"/>
      <c r="IM155" s="2"/>
      <c r="IN155" s="2"/>
      <c r="IO155" s="2"/>
      <c r="IP155" s="2"/>
      <c r="IQ155" s="2"/>
      <c r="IR155" s="2"/>
      <c r="IS155" s="2"/>
      <c r="IT155" s="2"/>
      <c r="IU155" s="2"/>
    </row>
    <row r="156" spans="1:255" x14ac:dyDescent="0.2">
      <c r="A156">
        <v>18</v>
      </c>
      <c r="B156">
        <v>1</v>
      </c>
      <c r="C156">
        <v>173</v>
      </c>
      <c r="E156" t="s">
        <v>250</v>
      </c>
      <c r="F156" t="e">
        <f>'2.Лок.смета.и.Акт'!#REF!</f>
        <v>#REF!</v>
      </c>
      <c r="G156" t="s">
        <v>102</v>
      </c>
      <c r="H156" t="s">
        <v>103</v>
      </c>
      <c r="I156">
        <f>I144*J156</f>
        <v>113.86150000000002</v>
      </c>
      <c r="J156">
        <v>23.000000000000004</v>
      </c>
      <c r="K156">
        <v>23</v>
      </c>
      <c r="O156">
        <f t="shared" si="155"/>
        <v>138</v>
      </c>
      <c r="P156">
        <f t="shared" si="156"/>
        <v>138</v>
      </c>
      <c r="Q156">
        <f t="shared" si="157"/>
        <v>0</v>
      </c>
      <c r="R156">
        <f t="shared" si="158"/>
        <v>0</v>
      </c>
      <c r="S156">
        <f t="shared" si="159"/>
        <v>0</v>
      </c>
      <c r="T156">
        <f t="shared" si="160"/>
        <v>0</v>
      </c>
      <c r="U156">
        <f t="shared" si="161"/>
        <v>0</v>
      </c>
      <c r="V156">
        <f t="shared" si="162"/>
        <v>0</v>
      </c>
      <c r="W156">
        <f t="shared" si="163"/>
        <v>0</v>
      </c>
      <c r="X156">
        <f t="shared" si="164"/>
        <v>0</v>
      </c>
      <c r="Y156">
        <f t="shared" si="165"/>
        <v>0</v>
      </c>
      <c r="AA156">
        <v>86326988</v>
      </c>
      <c r="AB156">
        <f t="shared" si="166"/>
        <v>0.16</v>
      </c>
      <c r="AC156">
        <f t="shared" si="150"/>
        <v>0.16</v>
      </c>
      <c r="AD156">
        <f t="shared" si="187"/>
        <v>0</v>
      </c>
      <c r="AE156">
        <f t="shared" si="151"/>
        <v>0</v>
      </c>
      <c r="AF156">
        <f t="shared" si="152"/>
        <v>0</v>
      </c>
      <c r="AG156">
        <f t="shared" si="167"/>
        <v>0</v>
      </c>
      <c r="AH156">
        <f t="shared" si="153"/>
        <v>0</v>
      </c>
      <c r="AI156">
        <f t="shared" si="154"/>
        <v>0</v>
      </c>
      <c r="AJ156">
        <f t="shared" si="168"/>
        <v>0</v>
      </c>
      <c r="AK156">
        <v>0.16</v>
      </c>
      <c r="AL156">
        <v>0.16</v>
      </c>
      <c r="AM156">
        <v>0</v>
      </c>
      <c r="AN156">
        <v>0</v>
      </c>
      <c r="AO156">
        <v>0</v>
      </c>
      <c r="AP156">
        <v>0</v>
      </c>
      <c r="AQ156">
        <v>0</v>
      </c>
      <c r="AR156">
        <v>0</v>
      </c>
      <c r="AS156">
        <v>0</v>
      </c>
      <c r="AT156">
        <v>0</v>
      </c>
      <c r="AU156">
        <v>0</v>
      </c>
      <c r="AV156">
        <v>1</v>
      </c>
      <c r="AW156">
        <v>1</v>
      </c>
      <c r="AZ156">
        <v>1</v>
      </c>
      <c r="BA156">
        <v>1</v>
      </c>
      <c r="BB156">
        <v>1</v>
      </c>
      <c r="BC156">
        <v>7.56</v>
      </c>
      <c r="BD156" t="s">
        <v>6</v>
      </c>
      <c r="BE156" t="s">
        <v>6</v>
      </c>
      <c r="BF156" t="s">
        <v>6</v>
      </c>
      <c r="BG156" t="s">
        <v>6</v>
      </c>
      <c r="BH156">
        <v>3</v>
      </c>
      <c r="BI156">
        <v>1</v>
      </c>
      <c r="BJ156" t="s">
        <v>104</v>
      </c>
      <c r="BM156">
        <v>3101</v>
      </c>
      <c r="BN156">
        <v>0</v>
      </c>
      <c r="BO156" t="s">
        <v>6</v>
      </c>
      <c r="BP156">
        <v>0</v>
      </c>
      <c r="BQ156">
        <v>0</v>
      </c>
      <c r="BR156">
        <v>0</v>
      </c>
      <c r="BS156">
        <v>1</v>
      </c>
      <c r="BT156">
        <v>1</v>
      </c>
      <c r="BU156">
        <v>1</v>
      </c>
      <c r="BV156">
        <v>1</v>
      </c>
      <c r="BW156">
        <v>1</v>
      </c>
      <c r="BX156">
        <v>1</v>
      </c>
      <c r="BY156" t="s">
        <v>6</v>
      </c>
      <c r="BZ156">
        <v>0</v>
      </c>
      <c r="CA156">
        <v>0</v>
      </c>
      <c r="CB156" t="s">
        <v>6</v>
      </c>
      <c r="CE156">
        <v>0</v>
      </c>
      <c r="CF156">
        <v>0</v>
      </c>
      <c r="CG156">
        <v>0</v>
      </c>
      <c r="CM156">
        <v>0</v>
      </c>
      <c r="CN156" t="s">
        <v>6</v>
      </c>
      <c r="CO156">
        <v>0</v>
      </c>
      <c r="CP156">
        <f t="shared" si="169"/>
        <v>138</v>
      </c>
      <c r="CQ156">
        <f t="shared" si="170"/>
        <v>1.2096</v>
      </c>
      <c r="CR156">
        <f t="shared" si="171"/>
        <v>0</v>
      </c>
      <c r="CS156">
        <f t="shared" si="172"/>
        <v>0</v>
      </c>
      <c r="CT156">
        <f t="shared" si="173"/>
        <v>0</v>
      </c>
      <c r="CU156">
        <f t="shared" si="174"/>
        <v>0</v>
      </c>
      <c r="CV156">
        <f t="shared" si="175"/>
        <v>0</v>
      </c>
      <c r="CW156">
        <f t="shared" si="176"/>
        <v>0</v>
      </c>
      <c r="CX156">
        <f t="shared" si="177"/>
        <v>0</v>
      </c>
      <c r="CY156">
        <f>(S156+R156)*(BZ156/100)</f>
        <v>0</v>
      </c>
      <c r="CZ156">
        <f>(S156+R156)*(CA156/100)</f>
        <v>0</v>
      </c>
      <c r="DC156" t="s">
        <v>6</v>
      </c>
      <c r="DD156" t="s">
        <v>6</v>
      </c>
      <c r="DE156" t="s">
        <v>6</v>
      </c>
      <c r="DF156" t="s">
        <v>6</v>
      </c>
      <c r="DG156" t="s">
        <v>6</v>
      </c>
      <c r="DH156" t="s">
        <v>6</v>
      </c>
      <c r="DI156" t="s">
        <v>6</v>
      </c>
      <c r="DJ156" t="s">
        <v>6</v>
      </c>
      <c r="DK156" t="s">
        <v>6</v>
      </c>
      <c r="DL156" t="s">
        <v>6</v>
      </c>
      <c r="DM156" t="s">
        <v>6</v>
      </c>
      <c r="DN156">
        <v>0</v>
      </c>
      <c r="DO156">
        <v>0</v>
      </c>
      <c r="DP156">
        <v>1</v>
      </c>
      <c r="DQ156">
        <v>1</v>
      </c>
      <c r="DU156">
        <v>1013</v>
      </c>
      <c r="DV156" t="s">
        <v>103</v>
      </c>
      <c r="DW156" t="e">
        <f>'2.Лок.смета.и.Акт'!#REF!</f>
        <v>#REF!</v>
      </c>
      <c r="DX156">
        <v>1</v>
      </c>
      <c r="DZ156" t="s">
        <v>6</v>
      </c>
      <c r="EA156" t="s">
        <v>6</v>
      </c>
      <c r="EB156" t="s">
        <v>6</v>
      </c>
      <c r="EC156" t="s">
        <v>6</v>
      </c>
      <c r="EE156">
        <v>0</v>
      </c>
      <c r="EF156">
        <v>0</v>
      </c>
      <c r="EG156" t="s">
        <v>6</v>
      </c>
      <c r="EH156">
        <v>0</v>
      </c>
      <c r="EI156" t="s">
        <v>6</v>
      </c>
      <c r="EJ156">
        <v>0</v>
      </c>
      <c r="EK156">
        <v>3101</v>
      </c>
      <c r="EL156" t="s">
        <v>6</v>
      </c>
      <c r="EM156" t="s">
        <v>6</v>
      </c>
      <c r="EO156" t="s">
        <v>6</v>
      </c>
      <c r="EQ156">
        <v>0</v>
      </c>
      <c r="ER156">
        <v>1.1299999999999999</v>
      </c>
      <c r="ES156">
        <v>0.16</v>
      </c>
      <c r="ET156">
        <v>0</v>
      </c>
      <c r="EU156">
        <v>0</v>
      </c>
      <c r="EV156">
        <v>0</v>
      </c>
      <c r="EW156">
        <v>0</v>
      </c>
      <c r="EX156">
        <v>0</v>
      </c>
      <c r="EZ156">
        <v>5</v>
      </c>
      <c r="FC156">
        <v>0</v>
      </c>
      <c r="FD156">
        <v>18</v>
      </c>
      <c r="FF156">
        <v>1.1299999999999999</v>
      </c>
      <c r="FQ156">
        <v>0</v>
      </c>
      <c r="FR156">
        <f t="shared" si="178"/>
        <v>0</v>
      </c>
      <c r="FS156">
        <v>0</v>
      </c>
      <c r="FX156">
        <v>0</v>
      </c>
      <c r="FY156">
        <v>0</v>
      </c>
      <c r="GA156" t="s">
        <v>105</v>
      </c>
      <c r="GD156">
        <v>1</v>
      </c>
      <c r="GF156">
        <v>-504018761</v>
      </c>
      <c r="GG156">
        <v>2</v>
      </c>
      <c r="GH156">
        <v>3</v>
      </c>
      <c r="GI156">
        <v>5</v>
      </c>
      <c r="GJ156">
        <v>0</v>
      </c>
      <c r="GK156">
        <v>0</v>
      </c>
      <c r="GL156">
        <f t="shared" si="179"/>
        <v>0</v>
      </c>
      <c r="GM156">
        <f t="shared" si="180"/>
        <v>138</v>
      </c>
      <c r="GN156">
        <f t="shared" si="181"/>
        <v>138</v>
      </c>
      <c r="GO156">
        <f t="shared" si="182"/>
        <v>0</v>
      </c>
      <c r="GP156">
        <f t="shared" si="183"/>
        <v>0</v>
      </c>
      <c r="GR156">
        <v>1</v>
      </c>
      <c r="GS156">
        <v>1</v>
      </c>
      <c r="GT156">
        <v>0</v>
      </c>
      <c r="GU156" t="s">
        <v>6</v>
      </c>
      <c r="GV156">
        <f t="shared" si="184"/>
        <v>0</v>
      </c>
      <c r="GW156">
        <v>1</v>
      </c>
      <c r="GX156">
        <f t="shared" si="185"/>
        <v>0</v>
      </c>
      <c r="HA156">
        <v>0</v>
      </c>
      <c r="HB156">
        <v>0</v>
      </c>
      <c r="HC156">
        <f t="shared" si="186"/>
        <v>0</v>
      </c>
      <c r="HE156" t="s">
        <v>39</v>
      </c>
      <c r="HF156" t="s">
        <v>40</v>
      </c>
      <c r="HM156" t="s">
        <v>6</v>
      </c>
      <c r="HN156" t="s">
        <v>6</v>
      </c>
      <c r="HO156" t="s">
        <v>6</v>
      </c>
      <c r="HP156" t="s">
        <v>6</v>
      </c>
      <c r="HQ156" t="s">
        <v>6</v>
      </c>
      <c r="IF156">
        <v>-1</v>
      </c>
      <c r="IK156">
        <v>0</v>
      </c>
    </row>
    <row r="157" spans="1:255" x14ac:dyDescent="0.2">
      <c r="A157" s="2">
        <v>18</v>
      </c>
      <c r="B157" s="2">
        <v>1</v>
      </c>
      <c r="C157" s="2">
        <v>158</v>
      </c>
      <c r="D157" s="2"/>
      <c r="E157" s="2" t="s">
        <v>251</v>
      </c>
      <c r="F157" s="2" t="s">
        <v>107</v>
      </c>
      <c r="G157" s="2" t="s">
        <v>108</v>
      </c>
      <c r="H157" s="2" t="s">
        <v>103</v>
      </c>
      <c r="I157" s="2">
        <f>I143*J157</f>
        <v>59.405999999999999</v>
      </c>
      <c r="J157" s="226">
        <f>'5.Ведомость_списания'!F73</f>
        <v>12</v>
      </c>
      <c r="K157" s="2">
        <v>12</v>
      </c>
      <c r="L157" s="2"/>
      <c r="M157" s="2"/>
      <c r="N157" s="2"/>
      <c r="O157" s="2">
        <f t="shared" si="155"/>
        <v>14</v>
      </c>
      <c r="P157" s="2">
        <f t="shared" si="156"/>
        <v>14</v>
      </c>
      <c r="Q157" s="2">
        <f t="shared" si="157"/>
        <v>0</v>
      </c>
      <c r="R157" s="2">
        <f t="shared" si="158"/>
        <v>0</v>
      </c>
      <c r="S157" s="2">
        <f t="shared" si="159"/>
        <v>0</v>
      </c>
      <c r="T157" s="2">
        <f t="shared" si="160"/>
        <v>0</v>
      </c>
      <c r="U157" s="2">
        <f t="shared" si="161"/>
        <v>0</v>
      </c>
      <c r="V157" s="2">
        <f t="shared" si="162"/>
        <v>0</v>
      </c>
      <c r="W157" s="2">
        <f t="shared" si="163"/>
        <v>0</v>
      </c>
      <c r="X157" s="2">
        <f t="shared" si="164"/>
        <v>0</v>
      </c>
      <c r="Y157" s="2">
        <f t="shared" si="165"/>
        <v>0</v>
      </c>
      <c r="Z157" s="2"/>
      <c r="AA157" s="2">
        <v>86326987</v>
      </c>
      <c r="AB157" s="2">
        <f t="shared" si="166"/>
        <v>0.24</v>
      </c>
      <c r="AC157" s="2">
        <f t="shared" si="150"/>
        <v>0.24</v>
      </c>
      <c r="AD157" s="2">
        <f t="shared" si="187"/>
        <v>0</v>
      </c>
      <c r="AE157" s="2">
        <f t="shared" si="151"/>
        <v>0</v>
      </c>
      <c r="AF157" s="2">
        <f t="shared" si="152"/>
        <v>0</v>
      </c>
      <c r="AG157" s="2">
        <f t="shared" si="167"/>
        <v>0</v>
      </c>
      <c r="AH157" s="2">
        <f t="shared" si="153"/>
        <v>0</v>
      </c>
      <c r="AI157" s="2">
        <f t="shared" si="154"/>
        <v>0</v>
      </c>
      <c r="AJ157" s="2">
        <f t="shared" si="168"/>
        <v>0</v>
      </c>
      <c r="AK157" s="2">
        <v>0.24</v>
      </c>
      <c r="AL157" s="110">
        <f>'1.Лок.смета.и.Акт'!F291</f>
        <v>0.24</v>
      </c>
      <c r="AM157" s="2">
        <v>0</v>
      </c>
      <c r="AN157" s="2">
        <v>0</v>
      </c>
      <c r="AO157" s="2">
        <v>0</v>
      </c>
      <c r="AP157" s="2">
        <v>0</v>
      </c>
      <c r="AQ157" s="2">
        <v>0</v>
      </c>
      <c r="AR157" s="2">
        <v>0</v>
      </c>
      <c r="AS157" s="2">
        <v>0</v>
      </c>
      <c r="AT157" s="2">
        <v>0</v>
      </c>
      <c r="AU157" s="2">
        <v>0</v>
      </c>
      <c r="AV157" s="2">
        <v>1</v>
      </c>
      <c r="AW157" s="2">
        <v>1</v>
      </c>
      <c r="AX157" s="2"/>
      <c r="AY157" s="2"/>
      <c r="AZ157" s="2">
        <v>1</v>
      </c>
      <c r="BA157" s="2">
        <v>1</v>
      </c>
      <c r="BB157" s="2">
        <v>1</v>
      </c>
      <c r="BC157" s="2">
        <v>1</v>
      </c>
      <c r="BD157" s="2" t="s">
        <v>6</v>
      </c>
      <c r="BE157" s="2" t="s">
        <v>6</v>
      </c>
      <c r="BF157" s="2" t="s">
        <v>6</v>
      </c>
      <c r="BG157" s="2" t="s">
        <v>6</v>
      </c>
      <c r="BH157" s="2">
        <v>3</v>
      </c>
      <c r="BI157" s="2">
        <v>1</v>
      </c>
      <c r="BJ157" s="2" t="s">
        <v>109</v>
      </c>
      <c r="BK157" s="2"/>
      <c r="BL157" s="2"/>
      <c r="BM157" s="2">
        <v>3101</v>
      </c>
      <c r="BN157" s="2">
        <v>0</v>
      </c>
      <c r="BO157" s="2" t="s">
        <v>6</v>
      </c>
      <c r="BP157" s="2">
        <v>0</v>
      </c>
      <c r="BQ157" s="2">
        <v>0</v>
      </c>
      <c r="BR157" s="2">
        <v>0</v>
      </c>
      <c r="BS157" s="2">
        <v>1</v>
      </c>
      <c r="BT157" s="2">
        <v>1</v>
      </c>
      <c r="BU157" s="2">
        <v>1</v>
      </c>
      <c r="BV157" s="2">
        <v>1</v>
      </c>
      <c r="BW157" s="2">
        <v>1</v>
      </c>
      <c r="BX157" s="2">
        <v>1</v>
      </c>
      <c r="BY157" s="2" t="s">
        <v>6</v>
      </c>
      <c r="BZ157" s="2">
        <v>0</v>
      </c>
      <c r="CA157" s="2">
        <v>0</v>
      </c>
      <c r="CB157" s="2" t="s">
        <v>6</v>
      </c>
      <c r="CC157" s="2"/>
      <c r="CD157" s="2"/>
      <c r="CE157" s="2">
        <v>0</v>
      </c>
      <c r="CF157" s="2">
        <v>0</v>
      </c>
      <c r="CG157" s="2">
        <v>0</v>
      </c>
      <c r="CH157" s="2"/>
      <c r="CI157" s="2"/>
      <c r="CJ157" s="2"/>
      <c r="CK157" s="2"/>
      <c r="CL157" s="2"/>
      <c r="CM157" s="2">
        <v>0</v>
      </c>
      <c r="CN157" s="2" t="s">
        <v>6</v>
      </c>
      <c r="CO157" s="2">
        <v>0</v>
      </c>
      <c r="CP157" s="2">
        <f t="shared" si="169"/>
        <v>14</v>
      </c>
      <c r="CQ157" s="2">
        <f t="shared" si="170"/>
        <v>0.24</v>
      </c>
      <c r="CR157" s="2">
        <f t="shared" si="171"/>
        <v>0</v>
      </c>
      <c r="CS157" s="2">
        <f t="shared" si="172"/>
        <v>0</v>
      </c>
      <c r="CT157" s="2">
        <f t="shared" si="173"/>
        <v>0</v>
      </c>
      <c r="CU157" s="2">
        <f t="shared" si="174"/>
        <v>0</v>
      </c>
      <c r="CV157" s="2">
        <f t="shared" si="175"/>
        <v>0</v>
      </c>
      <c r="CW157" s="2">
        <f t="shared" si="176"/>
        <v>0</v>
      </c>
      <c r="CX157" s="2">
        <f t="shared" si="177"/>
        <v>0</v>
      </c>
      <c r="CY157" s="2">
        <f>0</f>
        <v>0</v>
      </c>
      <c r="CZ157" s="2">
        <f>0</f>
        <v>0</v>
      </c>
      <c r="DA157" s="2"/>
      <c r="DB157" s="2"/>
      <c r="DC157" s="2" t="s">
        <v>6</v>
      </c>
      <c r="DD157" s="2" t="s">
        <v>6</v>
      </c>
      <c r="DE157" s="2" t="s">
        <v>6</v>
      </c>
      <c r="DF157" s="2" t="s">
        <v>6</v>
      </c>
      <c r="DG157" s="2" t="s">
        <v>6</v>
      </c>
      <c r="DH157" s="2" t="s">
        <v>6</v>
      </c>
      <c r="DI157" s="2" t="s">
        <v>6</v>
      </c>
      <c r="DJ157" s="2" t="s">
        <v>6</v>
      </c>
      <c r="DK157" s="2" t="s">
        <v>6</v>
      </c>
      <c r="DL157" s="2" t="s">
        <v>6</v>
      </c>
      <c r="DM157" s="2" t="s">
        <v>6</v>
      </c>
      <c r="DN157" s="2">
        <v>0</v>
      </c>
      <c r="DO157" s="2">
        <v>0</v>
      </c>
      <c r="DP157" s="2">
        <v>1</v>
      </c>
      <c r="DQ157" s="2">
        <v>1</v>
      </c>
      <c r="DR157" s="2"/>
      <c r="DS157" s="2"/>
      <c r="DT157" s="2"/>
      <c r="DU157" s="2">
        <v>1013</v>
      </c>
      <c r="DV157" s="2" t="s">
        <v>103</v>
      </c>
      <c r="DW157" s="2" t="s">
        <v>103</v>
      </c>
      <c r="DX157" s="2">
        <v>1</v>
      </c>
      <c r="DY157" s="2"/>
      <c r="DZ157" s="2" t="s">
        <v>6</v>
      </c>
      <c r="EA157" s="2" t="s">
        <v>6</v>
      </c>
      <c r="EB157" s="2" t="s">
        <v>6</v>
      </c>
      <c r="EC157" s="2" t="s">
        <v>6</v>
      </c>
      <c r="ED157" s="2"/>
      <c r="EE157" s="2">
        <v>0</v>
      </c>
      <c r="EF157" s="2">
        <v>0</v>
      </c>
      <c r="EG157" s="2" t="s">
        <v>6</v>
      </c>
      <c r="EH157" s="2">
        <v>0</v>
      </c>
      <c r="EI157" s="2" t="s">
        <v>6</v>
      </c>
      <c r="EJ157" s="2">
        <v>0</v>
      </c>
      <c r="EK157" s="2">
        <v>3101</v>
      </c>
      <c r="EL157" s="2" t="s">
        <v>6</v>
      </c>
      <c r="EM157" s="2" t="s">
        <v>6</v>
      </c>
      <c r="EN157" s="2"/>
      <c r="EO157" s="2" t="s">
        <v>6</v>
      </c>
      <c r="EP157" s="2"/>
      <c r="EQ157" s="2">
        <v>0</v>
      </c>
      <c r="ER157" s="2">
        <v>0.24</v>
      </c>
      <c r="ES157" s="110">
        <f>'1.Лок.смета.и.Акт'!F291</f>
        <v>0.24</v>
      </c>
      <c r="ET157" s="2">
        <v>0</v>
      </c>
      <c r="EU157" s="2">
        <v>0</v>
      </c>
      <c r="EV157" s="2">
        <v>0</v>
      </c>
      <c r="EW157" s="2">
        <v>0</v>
      </c>
      <c r="EX157" s="2">
        <v>0</v>
      </c>
      <c r="EY157" s="2"/>
      <c r="EZ157" s="2"/>
      <c r="FA157" s="2"/>
      <c r="FB157" s="2"/>
      <c r="FC157" s="2"/>
      <c r="FD157" s="2"/>
      <c r="FE157" s="2"/>
      <c r="FF157" s="2"/>
      <c r="FG157" s="2"/>
      <c r="FH157" s="2"/>
      <c r="FI157" s="2"/>
      <c r="FJ157" s="2"/>
      <c r="FK157" s="2"/>
      <c r="FL157" s="2"/>
      <c r="FM157" s="2"/>
      <c r="FN157" s="2"/>
      <c r="FO157" s="2"/>
      <c r="FP157" s="2"/>
      <c r="FQ157" s="2">
        <v>0</v>
      </c>
      <c r="FR157" s="2">
        <f t="shared" si="178"/>
        <v>0</v>
      </c>
      <c r="FS157" s="2">
        <v>0</v>
      </c>
      <c r="FT157" s="2"/>
      <c r="FU157" s="2"/>
      <c r="FV157" s="2"/>
      <c r="FW157" s="2"/>
      <c r="FX157" s="2">
        <v>0</v>
      </c>
      <c r="FY157" s="2">
        <v>0</v>
      </c>
      <c r="FZ157" s="2"/>
      <c r="GA157" s="2" t="s">
        <v>6</v>
      </c>
      <c r="GB157" s="2"/>
      <c r="GC157" s="2"/>
      <c r="GD157" s="2">
        <v>1</v>
      </c>
      <c r="GE157" s="2"/>
      <c r="GF157" s="2">
        <v>-1648273723</v>
      </c>
      <c r="GG157" s="2">
        <v>2</v>
      </c>
      <c r="GH157" s="2">
        <v>1</v>
      </c>
      <c r="GI157" s="2">
        <v>-2</v>
      </c>
      <c r="GJ157" s="2">
        <v>0</v>
      </c>
      <c r="GK157" s="2">
        <v>0</v>
      </c>
      <c r="GL157" s="2">
        <f t="shared" si="179"/>
        <v>0</v>
      </c>
      <c r="GM157" s="2">
        <f t="shared" si="180"/>
        <v>14</v>
      </c>
      <c r="GN157" s="2">
        <f t="shared" si="181"/>
        <v>14</v>
      </c>
      <c r="GO157" s="2">
        <f t="shared" si="182"/>
        <v>0</v>
      </c>
      <c r="GP157" s="2">
        <f t="shared" si="183"/>
        <v>0</v>
      </c>
      <c r="GQ157" s="2"/>
      <c r="GR157" s="2">
        <v>0</v>
      </c>
      <c r="GS157" s="2">
        <v>3</v>
      </c>
      <c r="GT157" s="2">
        <v>0</v>
      </c>
      <c r="GU157" s="2" t="s">
        <v>6</v>
      </c>
      <c r="GV157" s="2">
        <f t="shared" si="184"/>
        <v>0</v>
      </c>
      <c r="GW157" s="2">
        <v>1</v>
      </c>
      <c r="GX157" s="2">
        <f t="shared" si="185"/>
        <v>0</v>
      </c>
      <c r="GY157" s="2"/>
      <c r="GZ157" s="2"/>
      <c r="HA157" s="2">
        <v>0</v>
      </c>
      <c r="HB157" s="2">
        <v>0</v>
      </c>
      <c r="HC157" s="2">
        <f t="shared" si="186"/>
        <v>0</v>
      </c>
      <c r="HD157" s="2"/>
      <c r="HE157" s="2" t="s">
        <v>6</v>
      </c>
      <c r="HF157" s="2" t="s">
        <v>6</v>
      </c>
      <c r="HG157" s="2"/>
      <c r="HH157" s="2"/>
      <c r="HI157" s="2"/>
      <c r="HJ157" s="2"/>
      <c r="HK157" s="2"/>
      <c r="HL157" s="2"/>
      <c r="HM157" s="2" t="s">
        <v>6</v>
      </c>
      <c r="HN157" s="2" t="s">
        <v>6</v>
      </c>
      <c r="HO157" s="2" t="s">
        <v>6</v>
      </c>
      <c r="HP157" s="2" t="s">
        <v>6</v>
      </c>
      <c r="HQ157" s="2" t="s">
        <v>6</v>
      </c>
      <c r="HR157" s="2"/>
      <c r="HS157" s="2"/>
      <c r="HT157" s="2"/>
      <c r="HU157" s="2"/>
      <c r="HV157" s="2"/>
      <c r="HW157" s="2"/>
      <c r="HX157" s="2"/>
      <c r="HY157" s="2"/>
      <c r="HZ157" s="2"/>
      <c r="IA157" s="2"/>
      <c r="IB157" s="2"/>
      <c r="IC157" s="2"/>
      <c r="ID157" s="2"/>
      <c r="IE157" s="2"/>
      <c r="IF157" s="2">
        <v>-1</v>
      </c>
      <c r="IG157" s="2"/>
      <c r="IH157" s="2"/>
      <c r="II157" s="2"/>
      <c r="IJ157" s="2"/>
      <c r="IK157" s="2">
        <v>0</v>
      </c>
      <c r="IL157" s="2"/>
      <c r="IM157" s="2"/>
      <c r="IN157" s="2"/>
      <c r="IO157" s="2"/>
      <c r="IP157" s="2"/>
      <c r="IQ157" s="2"/>
      <c r="IR157" s="2"/>
      <c r="IS157" s="2"/>
      <c r="IT157" s="2"/>
      <c r="IU157" s="2"/>
    </row>
    <row r="158" spans="1:255" x14ac:dyDescent="0.2">
      <c r="A158">
        <v>18</v>
      </c>
      <c r="B158">
        <v>1</v>
      </c>
      <c r="C158">
        <v>171</v>
      </c>
      <c r="E158" t="s">
        <v>251</v>
      </c>
      <c r="F158" t="e">
        <f>'2.Лок.смета.и.Акт'!#REF!</f>
        <v>#REF!</v>
      </c>
      <c r="G158" t="s">
        <v>108</v>
      </c>
      <c r="H158" t="s">
        <v>103</v>
      </c>
      <c r="I158">
        <f>I144*J158</f>
        <v>59.405999999999999</v>
      </c>
      <c r="J158">
        <v>12</v>
      </c>
      <c r="K158">
        <v>12</v>
      </c>
      <c r="O158">
        <f t="shared" si="155"/>
        <v>36</v>
      </c>
      <c r="P158">
        <f t="shared" si="156"/>
        <v>36</v>
      </c>
      <c r="Q158">
        <f t="shared" si="157"/>
        <v>0</v>
      </c>
      <c r="R158">
        <f t="shared" si="158"/>
        <v>0</v>
      </c>
      <c r="S158">
        <f t="shared" si="159"/>
        <v>0</v>
      </c>
      <c r="T158">
        <f t="shared" si="160"/>
        <v>0</v>
      </c>
      <c r="U158">
        <f t="shared" si="161"/>
        <v>0</v>
      </c>
      <c r="V158">
        <f t="shared" si="162"/>
        <v>0</v>
      </c>
      <c r="W158">
        <f t="shared" si="163"/>
        <v>0</v>
      </c>
      <c r="X158">
        <f t="shared" si="164"/>
        <v>0</v>
      </c>
      <c r="Y158">
        <f t="shared" si="165"/>
        <v>0</v>
      </c>
      <c r="AA158">
        <v>86326988</v>
      </c>
      <c r="AB158">
        <f t="shared" si="166"/>
        <v>0.08</v>
      </c>
      <c r="AC158">
        <f t="shared" si="150"/>
        <v>0.08</v>
      </c>
      <c r="AD158">
        <f t="shared" si="187"/>
        <v>0</v>
      </c>
      <c r="AE158">
        <f t="shared" si="151"/>
        <v>0</v>
      </c>
      <c r="AF158">
        <f t="shared" si="152"/>
        <v>0</v>
      </c>
      <c r="AG158">
        <f t="shared" si="167"/>
        <v>0</v>
      </c>
      <c r="AH158">
        <f t="shared" si="153"/>
        <v>0</v>
      </c>
      <c r="AI158">
        <f t="shared" si="154"/>
        <v>0</v>
      </c>
      <c r="AJ158">
        <f t="shared" si="168"/>
        <v>0</v>
      </c>
      <c r="AK158">
        <v>0.08</v>
      </c>
      <c r="AL158">
        <v>0.08</v>
      </c>
      <c r="AM158">
        <v>0</v>
      </c>
      <c r="AN158">
        <v>0</v>
      </c>
      <c r="AO158">
        <v>0</v>
      </c>
      <c r="AP158">
        <v>0</v>
      </c>
      <c r="AQ158">
        <v>0</v>
      </c>
      <c r="AR158">
        <v>0</v>
      </c>
      <c r="AS158">
        <v>0</v>
      </c>
      <c r="AT158">
        <v>0</v>
      </c>
      <c r="AU158">
        <v>0</v>
      </c>
      <c r="AV158">
        <v>1</v>
      </c>
      <c r="AW158">
        <v>1</v>
      </c>
      <c r="AZ158">
        <v>1</v>
      </c>
      <c r="BA158">
        <v>1</v>
      </c>
      <c r="BB158">
        <v>1</v>
      </c>
      <c r="BC158">
        <v>7.56</v>
      </c>
      <c r="BD158" t="s">
        <v>6</v>
      </c>
      <c r="BE158" t="s">
        <v>6</v>
      </c>
      <c r="BF158" t="s">
        <v>6</v>
      </c>
      <c r="BG158" t="s">
        <v>6</v>
      </c>
      <c r="BH158">
        <v>3</v>
      </c>
      <c r="BI158">
        <v>1</v>
      </c>
      <c r="BJ158" t="s">
        <v>109</v>
      </c>
      <c r="BM158">
        <v>3101</v>
      </c>
      <c r="BN158">
        <v>0</v>
      </c>
      <c r="BO158" t="s">
        <v>6</v>
      </c>
      <c r="BP158">
        <v>0</v>
      </c>
      <c r="BQ158">
        <v>0</v>
      </c>
      <c r="BR158">
        <v>0</v>
      </c>
      <c r="BS158">
        <v>1</v>
      </c>
      <c r="BT158">
        <v>1</v>
      </c>
      <c r="BU158">
        <v>1</v>
      </c>
      <c r="BV158">
        <v>1</v>
      </c>
      <c r="BW158">
        <v>1</v>
      </c>
      <c r="BX158">
        <v>1</v>
      </c>
      <c r="BY158" t="s">
        <v>6</v>
      </c>
      <c r="BZ158">
        <v>0</v>
      </c>
      <c r="CA158">
        <v>0</v>
      </c>
      <c r="CB158" t="s">
        <v>6</v>
      </c>
      <c r="CE158">
        <v>0</v>
      </c>
      <c r="CF158">
        <v>0</v>
      </c>
      <c r="CG158">
        <v>0</v>
      </c>
      <c r="CM158">
        <v>0</v>
      </c>
      <c r="CN158" t="s">
        <v>6</v>
      </c>
      <c r="CO158">
        <v>0</v>
      </c>
      <c r="CP158">
        <f t="shared" si="169"/>
        <v>36</v>
      </c>
      <c r="CQ158">
        <f t="shared" si="170"/>
        <v>0.6048</v>
      </c>
      <c r="CR158">
        <f t="shared" si="171"/>
        <v>0</v>
      </c>
      <c r="CS158">
        <f t="shared" si="172"/>
        <v>0</v>
      </c>
      <c r="CT158">
        <f t="shared" si="173"/>
        <v>0</v>
      </c>
      <c r="CU158">
        <f t="shared" si="174"/>
        <v>0</v>
      </c>
      <c r="CV158">
        <f t="shared" si="175"/>
        <v>0</v>
      </c>
      <c r="CW158">
        <f t="shared" si="176"/>
        <v>0</v>
      </c>
      <c r="CX158">
        <f t="shared" si="177"/>
        <v>0</v>
      </c>
      <c r="CY158">
        <f>(S158+R158)*(BZ158/100)</f>
        <v>0</v>
      </c>
      <c r="CZ158">
        <f>(S158+R158)*(CA158/100)</f>
        <v>0</v>
      </c>
      <c r="DC158" t="s">
        <v>6</v>
      </c>
      <c r="DD158" t="s">
        <v>6</v>
      </c>
      <c r="DE158" t="s">
        <v>6</v>
      </c>
      <c r="DF158" t="s">
        <v>6</v>
      </c>
      <c r="DG158" t="s">
        <v>6</v>
      </c>
      <c r="DH158" t="s">
        <v>6</v>
      </c>
      <c r="DI158" t="s">
        <v>6</v>
      </c>
      <c r="DJ158" t="s">
        <v>6</v>
      </c>
      <c r="DK158" t="s">
        <v>6</v>
      </c>
      <c r="DL158" t="s">
        <v>6</v>
      </c>
      <c r="DM158" t="s">
        <v>6</v>
      </c>
      <c r="DN158">
        <v>0</v>
      </c>
      <c r="DO158">
        <v>0</v>
      </c>
      <c r="DP158">
        <v>1</v>
      </c>
      <c r="DQ158">
        <v>1</v>
      </c>
      <c r="DU158">
        <v>1013</v>
      </c>
      <c r="DV158" t="s">
        <v>103</v>
      </c>
      <c r="DW158" t="e">
        <f>'2.Лок.смета.и.Акт'!#REF!</f>
        <v>#REF!</v>
      </c>
      <c r="DX158">
        <v>1</v>
      </c>
      <c r="DZ158" t="s">
        <v>6</v>
      </c>
      <c r="EA158" t="s">
        <v>6</v>
      </c>
      <c r="EB158" t="s">
        <v>6</v>
      </c>
      <c r="EC158" t="s">
        <v>6</v>
      </c>
      <c r="EE158">
        <v>0</v>
      </c>
      <c r="EF158">
        <v>0</v>
      </c>
      <c r="EG158" t="s">
        <v>6</v>
      </c>
      <c r="EH158">
        <v>0</v>
      </c>
      <c r="EI158" t="s">
        <v>6</v>
      </c>
      <c r="EJ158">
        <v>0</v>
      </c>
      <c r="EK158">
        <v>3101</v>
      </c>
      <c r="EL158" t="s">
        <v>6</v>
      </c>
      <c r="EM158" t="s">
        <v>6</v>
      </c>
      <c r="EO158" t="s">
        <v>6</v>
      </c>
      <c r="EQ158">
        <v>0</v>
      </c>
      <c r="ER158">
        <v>0.62</v>
      </c>
      <c r="ES158">
        <v>0.08</v>
      </c>
      <c r="ET158">
        <v>0</v>
      </c>
      <c r="EU158">
        <v>0</v>
      </c>
      <c r="EV158">
        <v>0</v>
      </c>
      <c r="EW158">
        <v>0</v>
      </c>
      <c r="EX158">
        <v>0</v>
      </c>
      <c r="EZ158">
        <v>5</v>
      </c>
      <c r="FC158">
        <v>0</v>
      </c>
      <c r="FD158">
        <v>18</v>
      </c>
      <c r="FF158">
        <v>0.62</v>
      </c>
      <c r="FQ158">
        <v>0</v>
      </c>
      <c r="FR158">
        <f t="shared" si="178"/>
        <v>0</v>
      </c>
      <c r="FS158">
        <v>0</v>
      </c>
      <c r="FX158">
        <v>0</v>
      </c>
      <c r="FY158">
        <v>0</v>
      </c>
      <c r="GA158" t="s">
        <v>110</v>
      </c>
      <c r="GD158">
        <v>1</v>
      </c>
      <c r="GF158">
        <v>-1648273723</v>
      </c>
      <c r="GG158">
        <v>2</v>
      </c>
      <c r="GH158">
        <v>3</v>
      </c>
      <c r="GI158">
        <v>5</v>
      </c>
      <c r="GJ158">
        <v>0</v>
      </c>
      <c r="GK158">
        <v>0</v>
      </c>
      <c r="GL158">
        <f t="shared" si="179"/>
        <v>0</v>
      </c>
      <c r="GM158">
        <f t="shared" si="180"/>
        <v>36</v>
      </c>
      <c r="GN158">
        <f t="shared" si="181"/>
        <v>36</v>
      </c>
      <c r="GO158">
        <f t="shared" si="182"/>
        <v>0</v>
      </c>
      <c r="GP158">
        <f t="shared" si="183"/>
        <v>0</v>
      </c>
      <c r="GR158">
        <v>1</v>
      </c>
      <c r="GS158">
        <v>1</v>
      </c>
      <c r="GT158">
        <v>0</v>
      </c>
      <c r="GU158" t="s">
        <v>6</v>
      </c>
      <c r="GV158">
        <f t="shared" si="184"/>
        <v>0</v>
      </c>
      <c r="GW158">
        <v>1</v>
      </c>
      <c r="GX158">
        <f t="shared" si="185"/>
        <v>0</v>
      </c>
      <c r="HA158">
        <v>0</v>
      </c>
      <c r="HB158">
        <v>0</v>
      </c>
      <c r="HC158">
        <f t="shared" si="186"/>
        <v>0</v>
      </c>
      <c r="HE158" t="s">
        <v>39</v>
      </c>
      <c r="HF158" t="s">
        <v>40</v>
      </c>
      <c r="HM158" t="s">
        <v>6</v>
      </c>
      <c r="HN158" t="s">
        <v>6</v>
      </c>
      <c r="HO158" t="s">
        <v>6</v>
      </c>
      <c r="HP158" t="s">
        <v>6</v>
      </c>
      <c r="HQ158" t="s">
        <v>6</v>
      </c>
      <c r="IF158">
        <v>-1</v>
      </c>
      <c r="IK158">
        <v>0</v>
      </c>
    </row>
    <row r="159" spans="1:255" x14ac:dyDescent="0.2">
      <c r="A159" s="2">
        <v>18</v>
      </c>
      <c r="B159" s="2">
        <v>1</v>
      </c>
      <c r="C159" s="2">
        <v>159</v>
      </c>
      <c r="D159" s="2"/>
      <c r="E159" s="2" t="s">
        <v>252</v>
      </c>
      <c r="F159" s="2" t="s">
        <v>112</v>
      </c>
      <c r="G159" s="2" t="s">
        <v>113</v>
      </c>
      <c r="H159" s="2" t="s">
        <v>103</v>
      </c>
      <c r="I159" s="2">
        <f>I143*J159</f>
        <v>59.405999999999999</v>
      </c>
      <c r="J159" s="226">
        <f>'5.Ведомость_списания'!F74</f>
        <v>12</v>
      </c>
      <c r="K159" s="2">
        <v>12</v>
      </c>
      <c r="L159" s="2"/>
      <c r="M159" s="2"/>
      <c r="N159" s="2"/>
      <c r="O159" s="2">
        <f t="shared" si="155"/>
        <v>18</v>
      </c>
      <c r="P159" s="2">
        <f t="shared" si="156"/>
        <v>18</v>
      </c>
      <c r="Q159" s="2">
        <f t="shared" si="157"/>
        <v>0</v>
      </c>
      <c r="R159" s="2">
        <f t="shared" si="158"/>
        <v>0</v>
      </c>
      <c r="S159" s="2">
        <f t="shared" si="159"/>
        <v>0</v>
      </c>
      <c r="T159" s="2">
        <f t="shared" si="160"/>
        <v>0</v>
      </c>
      <c r="U159" s="2">
        <f t="shared" si="161"/>
        <v>0</v>
      </c>
      <c r="V159" s="2">
        <f t="shared" si="162"/>
        <v>0</v>
      </c>
      <c r="W159" s="2">
        <f t="shared" si="163"/>
        <v>0</v>
      </c>
      <c r="X159" s="2">
        <f t="shared" si="164"/>
        <v>0</v>
      </c>
      <c r="Y159" s="2">
        <f t="shared" si="165"/>
        <v>0</v>
      </c>
      <c r="Z159" s="2"/>
      <c r="AA159" s="2">
        <v>86326987</v>
      </c>
      <c r="AB159" s="2">
        <f t="shared" si="166"/>
        <v>0.3</v>
      </c>
      <c r="AC159" s="2">
        <f t="shared" si="150"/>
        <v>0.3</v>
      </c>
      <c r="AD159" s="2">
        <f t="shared" si="187"/>
        <v>0</v>
      </c>
      <c r="AE159" s="2">
        <f t="shared" si="151"/>
        <v>0</v>
      </c>
      <c r="AF159" s="2">
        <f t="shared" si="152"/>
        <v>0</v>
      </c>
      <c r="AG159" s="2">
        <f t="shared" si="167"/>
        <v>0</v>
      </c>
      <c r="AH159" s="2">
        <f t="shared" si="153"/>
        <v>0</v>
      </c>
      <c r="AI159" s="2">
        <f t="shared" si="154"/>
        <v>0</v>
      </c>
      <c r="AJ159" s="2">
        <f t="shared" si="168"/>
        <v>0</v>
      </c>
      <c r="AK159" s="2">
        <v>0.3</v>
      </c>
      <c r="AL159" s="110">
        <f>'1.Лок.смета.и.Акт'!F293</f>
        <v>0.3</v>
      </c>
      <c r="AM159" s="2">
        <v>0</v>
      </c>
      <c r="AN159" s="2">
        <v>0</v>
      </c>
      <c r="AO159" s="2">
        <v>0</v>
      </c>
      <c r="AP159" s="2">
        <v>0</v>
      </c>
      <c r="AQ159" s="2">
        <v>0</v>
      </c>
      <c r="AR159" s="2">
        <v>0</v>
      </c>
      <c r="AS159" s="2">
        <v>0</v>
      </c>
      <c r="AT159" s="2">
        <v>0</v>
      </c>
      <c r="AU159" s="2">
        <v>0</v>
      </c>
      <c r="AV159" s="2">
        <v>1</v>
      </c>
      <c r="AW159" s="2">
        <v>1</v>
      </c>
      <c r="AX159" s="2"/>
      <c r="AY159" s="2"/>
      <c r="AZ159" s="2">
        <v>1</v>
      </c>
      <c r="BA159" s="2">
        <v>1</v>
      </c>
      <c r="BB159" s="2">
        <v>1</v>
      </c>
      <c r="BC159" s="2">
        <v>1</v>
      </c>
      <c r="BD159" s="2" t="s">
        <v>6</v>
      </c>
      <c r="BE159" s="2" t="s">
        <v>6</v>
      </c>
      <c r="BF159" s="2" t="s">
        <v>6</v>
      </c>
      <c r="BG159" s="2" t="s">
        <v>6</v>
      </c>
      <c r="BH159" s="2">
        <v>3</v>
      </c>
      <c r="BI159" s="2">
        <v>1</v>
      </c>
      <c r="BJ159" s="2" t="s">
        <v>114</v>
      </c>
      <c r="BK159" s="2"/>
      <c r="BL159" s="2"/>
      <c r="BM159" s="2">
        <v>3101</v>
      </c>
      <c r="BN159" s="2">
        <v>0</v>
      </c>
      <c r="BO159" s="2" t="s">
        <v>6</v>
      </c>
      <c r="BP159" s="2">
        <v>0</v>
      </c>
      <c r="BQ159" s="2">
        <v>0</v>
      </c>
      <c r="BR159" s="2">
        <v>0</v>
      </c>
      <c r="BS159" s="2">
        <v>1</v>
      </c>
      <c r="BT159" s="2">
        <v>1</v>
      </c>
      <c r="BU159" s="2">
        <v>1</v>
      </c>
      <c r="BV159" s="2">
        <v>1</v>
      </c>
      <c r="BW159" s="2">
        <v>1</v>
      </c>
      <c r="BX159" s="2">
        <v>1</v>
      </c>
      <c r="BY159" s="2" t="s">
        <v>6</v>
      </c>
      <c r="BZ159" s="2">
        <v>0</v>
      </c>
      <c r="CA159" s="2">
        <v>0</v>
      </c>
      <c r="CB159" s="2" t="s">
        <v>6</v>
      </c>
      <c r="CC159" s="2"/>
      <c r="CD159" s="2"/>
      <c r="CE159" s="2">
        <v>0</v>
      </c>
      <c r="CF159" s="2">
        <v>0</v>
      </c>
      <c r="CG159" s="2">
        <v>0</v>
      </c>
      <c r="CH159" s="2"/>
      <c r="CI159" s="2"/>
      <c r="CJ159" s="2"/>
      <c r="CK159" s="2"/>
      <c r="CL159" s="2"/>
      <c r="CM159" s="2">
        <v>0</v>
      </c>
      <c r="CN159" s="2" t="s">
        <v>6</v>
      </c>
      <c r="CO159" s="2">
        <v>0</v>
      </c>
      <c r="CP159" s="2">
        <f t="shared" si="169"/>
        <v>18</v>
      </c>
      <c r="CQ159" s="2">
        <f t="shared" si="170"/>
        <v>0.3</v>
      </c>
      <c r="CR159" s="2">
        <f t="shared" si="171"/>
        <v>0</v>
      </c>
      <c r="CS159" s="2">
        <f t="shared" si="172"/>
        <v>0</v>
      </c>
      <c r="CT159" s="2">
        <f t="shared" si="173"/>
        <v>0</v>
      </c>
      <c r="CU159" s="2">
        <f t="shared" si="174"/>
        <v>0</v>
      </c>
      <c r="CV159" s="2">
        <f t="shared" si="175"/>
        <v>0</v>
      </c>
      <c r="CW159" s="2">
        <f t="shared" si="176"/>
        <v>0</v>
      </c>
      <c r="CX159" s="2">
        <f t="shared" si="177"/>
        <v>0</v>
      </c>
      <c r="CY159" s="2">
        <f>0</f>
        <v>0</v>
      </c>
      <c r="CZ159" s="2">
        <f>0</f>
        <v>0</v>
      </c>
      <c r="DA159" s="2"/>
      <c r="DB159" s="2"/>
      <c r="DC159" s="2" t="s">
        <v>6</v>
      </c>
      <c r="DD159" s="2" t="s">
        <v>6</v>
      </c>
      <c r="DE159" s="2" t="s">
        <v>6</v>
      </c>
      <c r="DF159" s="2" t="s">
        <v>6</v>
      </c>
      <c r="DG159" s="2" t="s">
        <v>6</v>
      </c>
      <c r="DH159" s="2" t="s">
        <v>6</v>
      </c>
      <c r="DI159" s="2" t="s">
        <v>6</v>
      </c>
      <c r="DJ159" s="2" t="s">
        <v>6</v>
      </c>
      <c r="DK159" s="2" t="s">
        <v>6</v>
      </c>
      <c r="DL159" s="2" t="s">
        <v>6</v>
      </c>
      <c r="DM159" s="2" t="s">
        <v>6</v>
      </c>
      <c r="DN159" s="2">
        <v>0</v>
      </c>
      <c r="DO159" s="2">
        <v>0</v>
      </c>
      <c r="DP159" s="2">
        <v>1</v>
      </c>
      <c r="DQ159" s="2">
        <v>1</v>
      </c>
      <c r="DR159" s="2"/>
      <c r="DS159" s="2"/>
      <c r="DT159" s="2"/>
      <c r="DU159" s="2">
        <v>1013</v>
      </c>
      <c r="DV159" s="2" t="s">
        <v>103</v>
      </c>
      <c r="DW159" s="2" t="s">
        <v>103</v>
      </c>
      <c r="DX159" s="2">
        <v>1</v>
      </c>
      <c r="DY159" s="2"/>
      <c r="DZ159" s="2" t="s">
        <v>6</v>
      </c>
      <c r="EA159" s="2" t="s">
        <v>6</v>
      </c>
      <c r="EB159" s="2" t="s">
        <v>6</v>
      </c>
      <c r="EC159" s="2" t="s">
        <v>6</v>
      </c>
      <c r="ED159" s="2"/>
      <c r="EE159" s="2">
        <v>0</v>
      </c>
      <c r="EF159" s="2">
        <v>0</v>
      </c>
      <c r="EG159" s="2" t="s">
        <v>6</v>
      </c>
      <c r="EH159" s="2">
        <v>0</v>
      </c>
      <c r="EI159" s="2" t="s">
        <v>6</v>
      </c>
      <c r="EJ159" s="2">
        <v>0</v>
      </c>
      <c r="EK159" s="2">
        <v>3101</v>
      </c>
      <c r="EL159" s="2" t="s">
        <v>6</v>
      </c>
      <c r="EM159" s="2" t="s">
        <v>6</v>
      </c>
      <c r="EN159" s="2"/>
      <c r="EO159" s="2" t="s">
        <v>6</v>
      </c>
      <c r="EP159" s="2"/>
      <c r="EQ159" s="2">
        <v>0</v>
      </c>
      <c r="ER159" s="2">
        <v>0.3</v>
      </c>
      <c r="ES159" s="110">
        <f>'1.Лок.смета.и.Акт'!F293</f>
        <v>0.3</v>
      </c>
      <c r="ET159" s="2">
        <v>0</v>
      </c>
      <c r="EU159" s="2">
        <v>0</v>
      </c>
      <c r="EV159" s="2">
        <v>0</v>
      </c>
      <c r="EW159" s="2">
        <v>0</v>
      </c>
      <c r="EX159" s="2">
        <v>0</v>
      </c>
      <c r="EY159" s="2"/>
      <c r="EZ159" s="2"/>
      <c r="FA159" s="2"/>
      <c r="FB159" s="2"/>
      <c r="FC159" s="2"/>
      <c r="FD159" s="2"/>
      <c r="FE159" s="2"/>
      <c r="FF159" s="2"/>
      <c r="FG159" s="2"/>
      <c r="FH159" s="2"/>
      <c r="FI159" s="2"/>
      <c r="FJ159" s="2"/>
      <c r="FK159" s="2"/>
      <c r="FL159" s="2"/>
      <c r="FM159" s="2"/>
      <c r="FN159" s="2"/>
      <c r="FO159" s="2"/>
      <c r="FP159" s="2"/>
      <c r="FQ159" s="2">
        <v>0</v>
      </c>
      <c r="FR159" s="2">
        <f t="shared" si="178"/>
        <v>0</v>
      </c>
      <c r="FS159" s="2">
        <v>0</v>
      </c>
      <c r="FT159" s="2"/>
      <c r="FU159" s="2"/>
      <c r="FV159" s="2"/>
      <c r="FW159" s="2"/>
      <c r="FX159" s="2">
        <v>0</v>
      </c>
      <c r="FY159" s="2">
        <v>0</v>
      </c>
      <c r="FZ159" s="2"/>
      <c r="GA159" s="2" t="s">
        <v>6</v>
      </c>
      <c r="GB159" s="2"/>
      <c r="GC159" s="2"/>
      <c r="GD159" s="2">
        <v>1</v>
      </c>
      <c r="GE159" s="2"/>
      <c r="GF159" s="2">
        <v>1900494391</v>
      </c>
      <c r="GG159" s="2">
        <v>2</v>
      </c>
      <c r="GH159" s="2">
        <v>0</v>
      </c>
      <c r="GI159" s="2">
        <v>-2</v>
      </c>
      <c r="GJ159" s="2">
        <v>0</v>
      </c>
      <c r="GK159" s="2">
        <v>0</v>
      </c>
      <c r="GL159" s="2">
        <f t="shared" si="179"/>
        <v>0</v>
      </c>
      <c r="GM159" s="2">
        <f t="shared" si="180"/>
        <v>18</v>
      </c>
      <c r="GN159" s="2">
        <f t="shared" si="181"/>
        <v>18</v>
      </c>
      <c r="GO159" s="2">
        <f t="shared" si="182"/>
        <v>0</v>
      </c>
      <c r="GP159" s="2">
        <f t="shared" si="183"/>
        <v>0</v>
      </c>
      <c r="GQ159" s="2"/>
      <c r="GR159" s="2">
        <v>0</v>
      </c>
      <c r="GS159" s="2">
        <v>3</v>
      </c>
      <c r="GT159" s="2">
        <v>0</v>
      </c>
      <c r="GU159" s="2" t="s">
        <v>6</v>
      </c>
      <c r="GV159" s="2">
        <f t="shared" si="184"/>
        <v>0</v>
      </c>
      <c r="GW159" s="2">
        <v>1</v>
      </c>
      <c r="GX159" s="2">
        <f t="shared" si="185"/>
        <v>0</v>
      </c>
      <c r="GY159" s="2"/>
      <c r="GZ159" s="2"/>
      <c r="HA159" s="2">
        <v>0</v>
      </c>
      <c r="HB159" s="2">
        <v>0</v>
      </c>
      <c r="HC159" s="2">
        <f t="shared" si="186"/>
        <v>0</v>
      </c>
      <c r="HD159" s="2"/>
      <c r="HE159" s="2" t="s">
        <v>6</v>
      </c>
      <c r="HF159" s="2" t="s">
        <v>6</v>
      </c>
      <c r="HG159" s="2"/>
      <c r="HH159" s="2"/>
      <c r="HI159" s="2"/>
      <c r="HJ159" s="2"/>
      <c r="HK159" s="2"/>
      <c r="HL159" s="2"/>
      <c r="HM159" s="2" t="s">
        <v>6</v>
      </c>
      <c r="HN159" s="2" t="s">
        <v>6</v>
      </c>
      <c r="HO159" s="2" t="s">
        <v>6</v>
      </c>
      <c r="HP159" s="2" t="s">
        <v>6</v>
      </c>
      <c r="HQ159" s="2" t="s">
        <v>6</v>
      </c>
      <c r="HR159" s="2"/>
      <c r="HS159" s="2"/>
      <c r="HT159" s="2"/>
      <c r="HU159" s="2"/>
      <c r="HV159" s="2"/>
      <c r="HW159" s="2"/>
      <c r="HX159" s="2"/>
      <c r="HY159" s="2"/>
      <c r="HZ159" s="2"/>
      <c r="IA159" s="2"/>
      <c r="IB159" s="2"/>
      <c r="IC159" s="2"/>
      <c r="ID159" s="2"/>
      <c r="IE159" s="2"/>
      <c r="IF159" s="2">
        <v>-1</v>
      </c>
      <c r="IG159" s="2"/>
      <c r="IH159" s="2"/>
      <c r="II159" s="2"/>
      <c r="IJ159" s="2"/>
      <c r="IK159" s="2">
        <v>0</v>
      </c>
      <c r="IL159" s="2"/>
      <c r="IM159" s="2"/>
      <c r="IN159" s="2"/>
      <c r="IO159" s="2"/>
      <c r="IP159" s="2"/>
      <c r="IQ159" s="2"/>
      <c r="IR159" s="2"/>
      <c r="IS159" s="2"/>
      <c r="IT159" s="2"/>
      <c r="IU159" s="2"/>
    </row>
    <row r="160" spans="1:255" x14ac:dyDescent="0.2">
      <c r="A160">
        <v>18</v>
      </c>
      <c r="B160">
        <v>1</v>
      </c>
      <c r="C160">
        <v>172</v>
      </c>
      <c r="E160" t="s">
        <v>252</v>
      </c>
      <c r="F160" t="e">
        <f>'2.Лок.смета.и.Акт'!#REF!</f>
        <v>#REF!</v>
      </c>
      <c r="G160" t="s">
        <v>113</v>
      </c>
      <c r="H160" t="s">
        <v>103</v>
      </c>
      <c r="I160">
        <f>I144*J160</f>
        <v>59.405999999999999</v>
      </c>
      <c r="J160">
        <v>12</v>
      </c>
      <c r="K160">
        <v>12</v>
      </c>
      <c r="O160">
        <f t="shared" si="155"/>
        <v>63</v>
      </c>
      <c r="P160">
        <f t="shared" si="156"/>
        <v>63</v>
      </c>
      <c r="Q160">
        <f t="shared" si="157"/>
        <v>0</v>
      </c>
      <c r="R160">
        <f t="shared" si="158"/>
        <v>0</v>
      </c>
      <c r="S160">
        <f t="shared" si="159"/>
        <v>0</v>
      </c>
      <c r="T160">
        <f t="shared" si="160"/>
        <v>0</v>
      </c>
      <c r="U160">
        <f t="shared" si="161"/>
        <v>0</v>
      </c>
      <c r="V160">
        <f t="shared" si="162"/>
        <v>0</v>
      </c>
      <c r="W160">
        <f t="shared" si="163"/>
        <v>0</v>
      </c>
      <c r="X160">
        <f t="shared" si="164"/>
        <v>0</v>
      </c>
      <c r="Y160">
        <f t="shared" si="165"/>
        <v>0</v>
      </c>
      <c r="AA160">
        <v>86326988</v>
      </c>
      <c r="AB160">
        <f t="shared" si="166"/>
        <v>0.14000000000000001</v>
      </c>
      <c r="AC160">
        <f t="shared" si="150"/>
        <v>0.14000000000000001</v>
      </c>
      <c r="AD160">
        <f t="shared" si="187"/>
        <v>0</v>
      </c>
      <c r="AE160">
        <f t="shared" si="151"/>
        <v>0</v>
      </c>
      <c r="AF160">
        <f t="shared" si="152"/>
        <v>0</v>
      </c>
      <c r="AG160">
        <f t="shared" si="167"/>
        <v>0</v>
      </c>
      <c r="AH160">
        <f t="shared" si="153"/>
        <v>0</v>
      </c>
      <c r="AI160">
        <f t="shared" si="154"/>
        <v>0</v>
      </c>
      <c r="AJ160">
        <f t="shared" si="168"/>
        <v>0</v>
      </c>
      <c r="AK160">
        <v>0.14000000000000001</v>
      </c>
      <c r="AL160">
        <v>0.14000000000000001</v>
      </c>
      <c r="AM160">
        <v>0</v>
      </c>
      <c r="AN160">
        <v>0</v>
      </c>
      <c r="AO160">
        <v>0</v>
      </c>
      <c r="AP160">
        <v>0</v>
      </c>
      <c r="AQ160">
        <v>0</v>
      </c>
      <c r="AR160">
        <v>0</v>
      </c>
      <c r="AS160">
        <v>0</v>
      </c>
      <c r="AT160">
        <v>0</v>
      </c>
      <c r="AU160">
        <v>0</v>
      </c>
      <c r="AV160">
        <v>1</v>
      </c>
      <c r="AW160">
        <v>1</v>
      </c>
      <c r="AZ160">
        <v>1</v>
      </c>
      <c r="BA160">
        <v>1</v>
      </c>
      <c r="BB160">
        <v>1</v>
      </c>
      <c r="BC160">
        <v>7.56</v>
      </c>
      <c r="BD160" t="s">
        <v>6</v>
      </c>
      <c r="BE160" t="s">
        <v>6</v>
      </c>
      <c r="BF160" t="s">
        <v>6</v>
      </c>
      <c r="BG160" t="s">
        <v>6</v>
      </c>
      <c r="BH160">
        <v>3</v>
      </c>
      <c r="BI160">
        <v>1</v>
      </c>
      <c r="BJ160" t="s">
        <v>114</v>
      </c>
      <c r="BM160">
        <v>3101</v>
      </c>
      <c r="BN160">
        <v>0</v>
      </c>
      <c r="BO160" t="s">
        <v>6</v>
      </c>
      <c r="BP160">
        <v>0</v>
      </c>
      <c r="BQ160">
        <v>0</v>
      </c>
      <c r="BR160">
        <v>0</v>
      </c>
      <c r="BS160">
        <v>1</v>
      </c>
      <c r="BT160">
        <v>1</v>
      </c>
      <c r="BU160">
        <v>1</v>
      </c>
      <c r="BV160">
        <v>1</v>
      </c>
      <c r="BW160">
        <v>1</v>
      </c>
      <c r="BX160">
        <v>1</v>
      </c>
      <c r="BY160" t="s">
        <v>6</v>
      </c>
      <c r="BZ160">
        <v>0</v>
      </c>
      <c r="CA160">
        <v>0</v>
      </c>
      <c r="CB160" t="s">
        <v>6</v>
      </c>
      <c r="CE160">
        <v>0</v>
      </c>
      <c r="CF160">
        <v>0</v>
      </c>
      <c r="CG160">
        <v>0</v>
      </c>
      <c r="CM160">
        <v>0</v>
      </c>
      <c r="CN160" t="s">
        <v>6</v>
      </c>
      <c r="CO160">
        <v>0</v>
      </c>
      <c r="CP160">
        <f t="shared" si="169"/>
        <v>63</v>
      </c>
      <c r="CQ160">
        <f t="shared" si="170"/>
        <v>1.0584</v>
      </c>
      <c r="CR160">
        <f t="shared" si="171"/>
        <v>0</v>
      </c>
      <c r="CS160">
        <f t="shared" si="172"/>
        <v>0</v>
      </c>
      <c r="CT160">
        <f t="shared" si="173"/>
        <v>0</v>
      </c>
      <c r="CU160">
        <f t="shared" si="174"/>
        <v>0</v>
      </c>
      <c r="CV160">
        <f t="shared" si="175"/>
        <v>0</v>
      </c>
      <c r="CW160">
        <f t="shared" si="176"/>
        <v>0</v>
      </c>
      <c r="CX160">
        <f t="shared" si="177"/>
        <v>0</v>
      </c>
      <c r="CY160">
        <f>(S160+R160)*(BZ160/100)</f>
        <v>0</v>
      </c>
      <c r="CZ160">
        <f>(S160+R160)*(CA160/100)</f>
        <v>0</v>
      </c>
      <c r="DC160" t="s">
        <v>6</v>
      </c>
      <c r="DD160" t="s">
        <v>6</v>
      </c>
      <c r="DE160" t="s">
        <v>6</v>
      </c>
      <c r="DF160" t="s">
        <v>6</v>
      </c>
      <c r="DG160" t="s">
        <v>6</v>
      </c>
      <c r="DH160" t="s">
        <v>6</v>
      </c>
      <c r="DI160" t="s">
        <v>6</v>
      </c>
      <c r="DJ160" t="s">
        <v>6</v>
      </c>
      <c r="DK160" t="s">
        <v>6</v>
      </c>
      <c r="DL160" t="s">
        <v>6</v>
      </c>
      <c r="DM160" t="s">
        <v>6</v>
      </c>
      <c r="DN160">
        <v>0</v>
      </c>
      <c r="DO160">
        <v>0</v>
      </c>
      <c r="DP160">
        <v>1</v>
      </c>
      <c r="DQ160">
        <v>1</v>
      </c>
      <c r="DU160">
        <v>1013</v>
      </c>
      <c r="DV160" t="s">
        <v>103</v>
      </c>
      <c r="DW160" t="e">
        <f>'2.Лок.смета.и.Акт'!#REF!</f>
        <v>#REF!</v>
      </c>
      <c r="DX160">
        <v>1</v>
      </c>
      <c r="DZ160" t="s">
        <v>6</v>
      </c>
      <c r="EA160" t="s">
        <v>6</v>
      </c>
      <c r="EB160" t="s">
        <v>6</v>
      </c>
      <c r="EC160" t="s">
        <v>6</v>
      </c>
      <c r="EE160">
        <v>0</v>
      </c>
      <c r="EF160">
        <v>0</v>
      </c>
      <c r="EG160" t="s">
        <v>6</v>
      </c>
      <c r="EH160">
        <v>0</v>
      </c>
      <c r="EI160" t="s">
        <v>6</v>
      </c>
      <c r="EJ160">
        <v>0</v>
      </c>
      <c r="EK160">
        <v>3101</v>
      </c>
      <c r="EL160" t="s">
        <v>6</v>
      </c>
      <c r="EM160" t="s">
        <v>6</v>
      </c>
      <c r="EO160" t="s">
        <v>6</v>
      </c>
      <c r="EQ160">
        <v>0</v>
      </c>
      <c r="ER160">
        <v>1.02</v>
      </c>
      <c r="ES160">
        <v>0.14000000000000001</v>
      </c>
      <c r="ET160">
        <v>0</v>
      </c>
      <c r="EU160">
        <v>0</v>
      </c>
      <c r="EV160">
        <v>0</v>
      </c>
      <c r="EW160">
        <v>0</v>
      </c>
      <c r="EX160">
        <v>0</v>
      </c>
      <c r="EZ160">
        <v>5</v>
      </c>
      <c r="FC160">
        <v>0</v>
      </c>
      <c r="FD160">
        <v>18</v>
      </c>
      <c r="FF160">
        <v>1.02</v>
      </c>
      <c r="FQ160">
        <v>0</v>
      </c>
      <c r="FR160">
        <f t="shared" si="178"/>
        <v>0</v>
      </c>
      <c r="FS160">
        <v>0</v>
      </c>
      <c r="FX160">
        <v>0</v>
      </c>
      <c r="FY160">
        <v>0</v>
      </c>
      <c r="GA160" t="s">
        <v>115</v>
      </c>
      <c r="GD160">
        <v>1</v>
      </c>
      <c r="GF160">
        <v>1900494391</v>
      </c>
      <c r="GG160">
        <v>2</v>
      </c>
      <c r="GH160">
        <v>3</v>
      </c>
      <c r="GI160">
        <v>5</v>
      </c>
      <c r="GJ160">
        <v>0</v>
      </c>
      <c r="GK160">
        <v>0</v>
      </c>
      <c r="GL160">
        <f t="shared" si="179"/>
        <v>0</v>
      </c>
      <c r="GM160">
        <f t="shared" si="180"/>
        <v>63</v>
      </c>
      <c r="GN160">
        <f t="shared" si="181"/>
        <v>63</v>
      </c>
      <c r="GO160">
        <f t="shared" si="182"/>
        <v>0</v>
      </c>
      <c r="GP160">
        <f t="shared" si="183"/>
        <v>0</v>
      </c>
      <c r="GR160">
        <v>1</v>
      </c>
      <c r="GS160">
        <v>1</v>
      </c>
      <c r="GT160">
        <v>0</v>
      </c>
      <c r="GU160" t="s">
        <v>6</v>
      </c>
      <c r="GV160">
        <f t="shared" si="184"/>
        <v>0</v>
      </c>
      <c r="GW160">
        <v>1</v>
      </c>
      <c r="GX160">
        <f t="shared" si="185"/>
        <v>0</v>
      </c>
      <c r="HA160">
        <v>0</v>
      </c>
      <c r="HB160">
        <v>0</v>
      </c>
      <c r="HC160">
        <f t="shared" si="186"/>
        <v>0</v>
      </c>
      <c r="HE160" t="s">
        <v>39</v>
      </c>
      <c r="HF160" t="s">
        <v>40</v>
      </c>
      <c r="HM160" t="s">
        <v>6</v>
      </c>
      <c r="HN160" t="s">
        <v>6</v>
      </c>
      <c r="HO160" t="s">
        <v>6</v>
      </c>
      <c r="HP160" t="s">
        <v>6</v>
      </c>
      <c r="HQ160" t="s">
        <v>6</v>
      </c>
      <c r="IF160">
        <v>-1</v>
      </c>
      <c r="IK160">
        <v>0</v>
      </c>
    </row>
    <row r="161" spans="1:255" x14ac:dyDescent="0.2">
      <c r="A161" s="2">
        <v>18</v>
      </c>
      <c r="B161" s="2">
        <v>1</v>
      </c>
      <c r="C161" s="2">
        <v>164</v>
      </c>
      <c r="D161" s="2"/>
      <c r="E161" s="2" t="s">
        <v>253</v>
      </c>
      <c r="F161" s="2" t="s">
        <v>117</v>
      </c>
      <c r="G161" s="2" t="s">
        <v>118</v>
      </c>
      <c r="H161" s="2" t="s">
        <v>33</v>
      </c>
      <c r="I161" s="2">
        <f>I143*J161</f>
        <v>4.7080000000000004E-3</v>
      </c>
      <c r="J161" s="226">
        <f>'5.Ведомость_списания'!F75</f>
        <v>9.5101504898495112E-4</v>
      </c>
      <c r="K161" s="2">
        <v>9.5100000000000002E-4</v>
      </c>
      <c r="L161" s="2"/>
      <c r="M161" s="2"/>
      <c r="N161" s="2"/>
      <c r="O161" s="2">
        <f t="shared" si="155"/>
        <v>50</v>
      </c>
      <c r="P161" s="2">
        <f t="shared" si="156"/>
        <v>50</v>
      </c>
      <c r="Q161" s="2">
        <f t="shared" si="157"/>
        <v>0</v>
      </c>
      <c r="R161" s="2">
        <f t="shared" si="158"/>
        <v>0</v>
      </c>
      <c r="S161" s="2">
        <f t="shared" si="159"/>
        <v>0</v>
      </c>
      <c r="T161" s="2">
        <f t="shared" si="160"/>
        <v>0</v>
      </c>
      <c r="U161" s="2">
        <f t="shared" si="161"/>
        <v>0</v>
      </c>
      <c r="V161" s="2">
        <f t="shared" si="162"/>
        <v>0</v>
      </c>
      <c r="W161" s="2">
        <f t="shared" si="163"/>
        <v>0</v>
      </c>
      <c r="X161" s="2">
        <f t="shared" si="164"/>
        <v>0</v>
      </c>
      <c r="Y161" s="2">
        <f t="shared" si="165"/>
        <v>0</v>
      </c>
      <c r="Z161" s="2"/>
      <c r="AA161" s="2">
        <v>86326987</v>
      </c>
      <c r="AB161" s="2">
        <f t="shared" si="166"/>
        <v>10633.86</v>
      </c>
      <c r="AC161" s="2">
        <f t="shared" si="150"/>
        <v>10633.86</v>
      </c>
      <c r="AD161" s="2">
        <f>ROUND((((ET161)-(EU161))+AE161),2)</f>
        <v>0</v>
      </c>
      <c r="AE161" s="2">
        <f t="shared" si="151"/>
        <v>0</v>
      </c>
      <c r="AF161" s="2">
        <f t="shared" si="152"/>
        <v>0</v>
      </c>
      <c r="AG161" s="2">
        <f t="shared" si="167"/>
        <v>0</v>
      </c>
      <c r="AH161" s="2">
        <f t="shared" si="153"/>
        <v>0</v>
      </c>
      <c r="AI161" s="2">
        <f t="shared" si="154"/>
        <v>0</v>
      </c>
      <c r="AJ161" s="2">
        <f t="shared" si="168"/>
        <v>0</v>
      </c>
      <c r="AK161" s="2">
        <v>10633.86</v>
      </c>
      <c r="AL161" s="110">
        <f>'1.Лок.смета.и.Акт'!F295</f>
        <v>10633.86</v>
      </c>
      <c r="AM161" s="2">
        <v>0</v>
      </c>
      <c r="AN161" s="2">
        <v>0</v>
      </c>
      <c r="AO161" s="2">
        <v>0</v>
      </c>
      <c r="AP161" s="2">
        <v>0</v>
      </c>
      <c r="AQ161" s="2">
        <v>0</v>
      </c>
      <c r="AR161" s="2">
        <v>0</v>
      </c>
      <c r="AS161" s="2">
        <v>0</v>
      </c>
      <c r="AT161" s="2">
        <v>0</v>
      </c>
      <c r="AU161" s="2">
        <v>0</v>
      </c>
      <c r="AV161" s="2">
        <v>1</v>
      </c>
      <c r="AW161" s="2">
        <v>1</v>
      </c>
      <c r="AX161" s="2"/>
      <c r="AY161" s="2"/>
      <c r="AZ161" s="2">
        <v>1</v>
      </c>
      <c r="BA161" s="2">
        <v>1</v>
      </c>
      <c r="BB161" s="2">
        <v>1</v>
      </c>
      <c r="BC161" s="2">
        <v>1</v>
      </c>
      <c r="BD161" s="2" t="s">
        <v>6</v>
      </c>
      <c r="BE161" s="2" t="s">
        <v>6</v>
      </c>
      <c r="BF161" s="2" t="s">
        <v>6</v>
      </c>
      <c r="BG161" s="2" t="s">
        <v>6</v>
      </c>
      <c r="BH161" s="2">
        <v>3</v>
      </c>
      <c r="BI161" s="2">
        <v>1</v>
      </c>
      <c r="BJ161" s="2" t="s">
        <v>119</v>
      </c>
      <c r="BK161" s="2"/>
      <c r="BL161" s="2"/>
      <c r="BM161" s="2">
        <v>500003</v>
      </c>
      <c r="BN161" s="2">
        <v>0</v>
      </c>
      <c r="BO161" s="2" t="s">
        <v>6</v>
      </c>
      <c r="BP161" s="2">
        <v>0</v>
      </c>
      <c r="BQ161" s="2">
        <v>22</v>
      </c>
      <c r="BR161" s="2">
        <v>0</v>
      </c>
      <c r="BS161" s="2">
        <v>1</v>
      </c>
      <c r="BT161" s="2">
        <v>1</v>
      </c>
      <c r="BU161" s="2">
        <v>1</v>
      </c>
      <c r="BV161" s="2">
        <v>1</v>
      </c>
      <c r="BW161" s="2">
        <v>1</v>
      </c>
      <c r="BX161" s="2">
        <v>1</v>
      </c>
      <c r="BY161" s="2" t="s">
        <v>6</v>
      </c>
      <c r="BZ161" s="2">
        <v>0</v>
      </c>
      <c r="CA161" s="2">
        <v>0</v>
      </c>
      <c r="CB161" s="2" t="s">
        <v>6</v>
      </c>
      <c r="CC161" s="2"/>
      <c r="CD161" s="2"/>
      <c r="CE161" s="2">
        <v>0</v>
      </c>
      <c r="CF161" s="2">
        <v>0</v>
      </c>
      <c r="CG161" s="2">
        <v>0</v>
      </c>
      <c r="CH161" s="2"/>
      <c r="CI161" s="2"/>
      <c r="CJ161" s="2"/>
      <c r="CK161" s="2"/>
      <c r="CL161" s="2"/>
      <c r="CM161" s="2">
        <v>0</v>
      </c>
      <c r="CN161" s="2" t="s">
        <v>6</v>
      </c>
      <c r="CO161" s="2">
        <v>0</v>
      </c>
      <c r="CP161" s="2">
        <f t="shared" si="169"/>
        <v>50</v>
      </c>
      <c r="CQ161" s="2">
        <f t="shared" si="170"/>
        <v>10633.86</v>
      </c>
      <c r="CR161" s="2">
        <f t="shared" si="171"/>
        <v>0</v>
      </c>
      <c r="CS161" s="2">
        <f t="shared" si="172"/>
        <v>0</v>
      </c>
      <c r="CT161" s="2">
        <f t="shared" si="173"/>
        <v>0</v>
      </c>
      <c r="CU161" s="2">
        <f t="shared" si="174"/>
        <v>0</v>
      </c>
      <c r="CV161" s="2">
        <f t="shared" si="175"/>
        <v>0</v>
      </c>
      <c r="CW161" s="2">
        <f t="shared" si="176"/>
        <v>0</v>
      </c>
      <c r="CX161" s="2">
        <f t="shared" si="177"/>
        <v>0</v>
      </c>
      <c r="CY161" s="2">
        <f>(((S161+(R161*IF(0,0,1)))*AT161)/100)</f>
        <v>0</v>
      </c>
      <c r="CZ161" s="2">
        <f>(((S161+(R161*IF(0,0,1)))*AU161)/100)</f>
        <v>0</v>
      </c>
      <c r="DA161" s="2"/>
      <c r="DB161" s="2"/>
      <c r="DC161" s="2" t="s">
        <v>6</v>
      </c>
      <c r="DD161" s="2" t="s">
        <v>6</v>
      </c>
      <c r="DE161" s="2" t="s">
        <v>6</v>
      </c>
      <c r="DF161" s="2" t="s">
        <v>6</v>
      </c>
      <c r="DG161" s="2" t="s">
        <v>6</v>
      </c>
      <c r="DH161" s="2" t="s">
        <v>6</v>
      </c>
      <c r="DI161" s="2" t="s">
        <v>6</v>
      </c>
      <c r="DJ161" s="2" t="s">
        <v>6</v>
      </c>
      <c r="DK161" s="2" t="s">
        <v>6</v>
      </c>
      <c r="DL161" s="2" t="s">
        <v>6</v>
      </c>
      <c r="DM161" s="2" t="s">
        <v>6</v>
      </c>
      <c r="DN161" s="2">
        <v>0</v>
      </c>
      <c r="DO161" s="2">
        <v>0</v>
      </c>
      <c r="DP161" s="2">
        <v>1</v>
      </c>
      <c r="DQ161" s="2">
        <v>1</v>
      </c>
      <c r="DR161" s="2"/>
      <c r="DS161" s="2"/>
      <c r="DT161" s="2"/>
      <c r="DU161" s="2">
        <v>1009</v>
      </c>
      <c r="DV161" s="2" t="s">
        <v>33</v>
      </c>
      <c r="DW161" s="2" t="s">
        <v>33</v>
      </c>
      <c r="DX161" s="2">
        <v>1000</v>
      </c>
      <c r="DY161" s="2"/>
      <c r="DZ161" s="2" t="s">
        <v>6</v>
      </c>
      <c r="EA161" s="2" t="s">
        <v>6</v>
      </c>
      <c r="EB161" s="2" t="s">
        <v>6</v>
      </c>
      <c r="EC161" s="2" t="s">
        <v>6</v>
      </c>
      <c r="ED161" s="2"/>
      <c r="EE161" s="2">
        <v>54938783</v>
      </c>
      <c r="EF161" s="2">
        <v>22</v>
      </c>
      <c r="EG161" s="2" t="s">
        <v>57</v>
      </c>
      <c r="EH161" s="2">
        <v>0</v>
      </c>
      <c r="EI161" s="2" t="s">
        <v>6</v>
      </c>
      <c r="EJ161" s="2">
        <v>1</v>
      </c>
      <c r="EK161" s="2">
        <v>500003</v>
      </c>
      <c r="EL161" s="2" t="s">
        <v>58</v>
      </c>
      <c r="EM161" s="2" t="s">
        <v>59</v>
      </c>
      <c r="EN161" s="2"/>
      <c r="EO161" s="2" t="s">
        <v>6</v>
      </c>
      <c r="EP161" s="2"/>
      <c r="EQ161" s="2">
        <v>0</v>
      </c>
      <c r="ER161" s="2">
        <v>10633.86</v>
      </c>
      <c r="ES161" s="110">
        <f>'1.Лок.смета.и.Акт'!F295</f>
        <v>10633.86</v>
      </c>
      <c r="ET161" s="2">
        <v>0</v>
      </c>
      <c r="EU161" s="2">
        <v>0</v>
      </c>
      <c r="EV161" s="2">
        <v>0</v>
      </c>
      <c r="EW161" s="2">
        <v>0</v>
      </c>
      <c r="EX161" s="2">
        <v>0</v>
      </c>
      <c r="EY161" s="2"/>
      <c r="EZ161" s="2"/>
      <c r="FA161" s="2"/>
      <c r="FB161" s="2"/>
      <c r="FC161" s="2"/>
      <c r="FD161" s="2"/>
      <c r="FE161" s="2"/>
      <c r="FF161" s="2"/>
      <c r="FG161" s="2"/>
      <c r="FH161" s="2"/>
      <c r="FI161" s="2"/>
      <c r="FJ161" s="2"/>
      <c r="FK161" s="2"/>
      <c r="FL161" s="2"/>
      <c r="FM161" s="2"/>
      <c r="FN161" s="2"/>
      <c r="FO161" s="2"/>
      <c r="FP161" s="2"/>
      <c r="FQ161" s="2">
        <v>0</v>
      </c>
      <c r="FR161" s="2">
        <f t="shared" si="178"/>
        <v>0</v>
      </c>
      <c r="FS161" s="2">
        <v>0</v>
      </c>
      <c r="FT161" s="2"/>
      <c r="FU161" s="2"/>
      <c r="FV161" s="2"/>
      <c r="FW161" s="2"/>
      <c r="FX161" s="2">
        <v>0</v>
      </c>
      <c r="FY161" s="2">
        <v>0</v>
      </c>
      <c r="FZ161" s="2"/>
      <c r="GA161" s="2" t="s">
        <v>6</v>
      </c>
      <c r="GB161" s="2"/>
      <c r="GC161" s="2"/>
      <c r="GD161" s="2">
        <v>1</v>
      </c>
      <c r="GE161" s="2"/>
      <c r="GF161" s="2">
        <v>772407484</v>
      </c>
      <c r="GG161" s="2">
        <v>2</v>
      </c>
      <c r="GH161" s="2">
        <v>2</v>
      </c>
      <c r="GI161" s="2">
        <v>-2</v>
      </c>
      <c r="GJ161" s="2">
        <v>0</v>
      </c>
      <c r="GK161" s="2">
        <v>0</v>
      </c>
      <c r="GL161" s="2">
        <f t="shared" si="179"/>
        <v>0</v>
      </c>
      <c r="GM161" s="2">
        <f t="shared" si="180"/>
        <v>50</v>
      </c>
      <c r="GN161" s="2">
        <f t="shared" si="181"/>
        <v>50</v>
      </c>
      <c r="GO161" s="2">
        <f t="shared" si="182"/>
        <v>0</v>
      </c>
      <c r="GP161" s="2">
        <f t="shared" si="183"/>
        <v>0</v>
      </c>
      <c r="GQ161" s="2"/>
      <c r="GR161" s="2">
        <v>0</v>
      </c>
      <c r="GS161" s="2">
        <v>2</v>
      </c>
      <c r="GT161" s="2">
        <v>0</v>
      </c>
      <c r="GU161" s="2" t="s">
        <v>6</v>
      </c>
      <c r="GV161" s="2">
        <f t="shared" si="184"/>
        <v>0</v>
      </c>
      <c r="GW161" s="2">
        <v>1</v>
      </c>
      <c r="GX161" s="2">
        <f t="shared" si="185"/>
        <v>0</v>
      </c>
      <c r="GY161" s="2"/>
      <c r="GZ161" s="2"/>
      <c r="HA161" s="2">
        <v>0</v>
      </c>
      <c r="HB161" s="2">
        <v>0</v>
      </c>
      <c r="HC161" s="2">
        <f t="shared" si="186"/>
        <v>0</v>
      </c>
      <c r="HD161" s="2"/>
      <c r="HE161" s="2" t="s">
        <v>6</v>
      </c>
      <c r="HF161" s="2" t="s">
        <v>6</v>
      </c>
      <c r="HG161" s="2"/>
      <c r="HH161" s="2"/>
      <c r="HI161" s="2"/>
      <c r="HJ161" s="2"/>
      <c r="HK161" s="2"/>
      <c r="HL161" s="2"/>
      <c r="HM161" s="2" t="s">
        <v>6</v>
      </c>
      <c r="HN161" s="2" t="s">
        <v>6</v>
      </c>
      <c r="HO161" s="2" t="s">
        <v>6</v>
      </c>
      <c r="HP161" s="2" t="s">
        <v>6</v>
      </c>
      <c r="HQ161" s="2" t="s">
        <v>6</v>
      </c>
      <c r="HR161" s="2"/>
      <c r="HS161" s="2"/>
      <c r="HT161" s="2"/>
      <c r="HU161" s="2"/>
      <c r="HV161" s="2"/>
      <c r="HW161" s="2"/>
      <c r="HX161" s="2"/>
      <c r="HY161" s="2"/>
      <c r="HZ161" s="2"/>
      <c r="IA161" s="2"/>
      <c r="IB161" s="2"/>
      <c r="IC161" s="2"/>
      <c r="ID161" s="2"/>
      <c r="IE161" s="2"/>
      <c r="IF161" s="2">
        <v>-1</v>
      </c>
      <c r="IG161" s="2"/>
      <c r="IH161" s="2"/>
      <c r="II161" s="2"/>
      <c r="IJ161" s="2"/>
      <c r="IK161" s="2">
        <v>0</v>
      </c>
      <c r="IL161" s="2"/>
      <c r="IM161" s="2"/>
      <c r="IN161" s="2"/>
      <c r="IO161" s="2"/>
      <c r="IP161" s="2"/>
      <c r="IQ161" s="2"/>
      <c r="IR161" s="2"/>
      <c r="IS161" s="2"/>
      <c r="IT161" s="2"/>
      <c r="IU161" s="2"/>
    </row>
    <row r="162" spans="1:255" x14ac:dyDescent="0.2">
      <c r="A162">
        <v>18</v>
      </c>
      <c r="B162">
        <v>1</v>
      </c>
      <c r="C162">
        <v>177</v>
      </c>
      <c r="E162" t="s">
        <v>253</v>
      </c>
      <c r="F162" t="e">
        <f>'2.Лок.смета.и.Акт'!#REF!</f>
        <v>#REF!</v>
      </c>
      <c r="G162" t="s">
        <v>118</v>
      </c>
      <c r="H162" t="s">
        <v>33</v>
      </c>
      <c r="I162">
        <f>I144*J162</f>
        <v>4.7080000000000004E-3</v>
      </c>
      <c r="J162">
        <v>9.5101504898495112E-4</v>
      </c>
      <c r="K162">
        <v>9.5100000000000002E-4</v>
      </c>
      <c r="O162">
        <f t="shared" si="155"/>
        <v>397</v>
      </c>
      <c r="P162">
        <f t="shared" si="156"/>
        <v>397</v>
      </c>
      <c r="Q162">
        <f t="shared" si="157"/>
        <v>0</v>
      </c>
      <c r="R162">
        <f t="shared" si="158"/>
        <v>0</v>
      </c>
      <c r="S162">
        <f t="shared" si="159"/>
        <v>0</v>
      </c>
      <c r="T162">
        <f t="shared" si="160"/>
        <v>0</v>
      </c>
      <c r="U162">
        <f t="shared" si="161"/>
        <v>0</v>
      </c>
      <c r="V162">
        <f t="shared" si="162"/>
        <v>0</v>
      </c>
      <c r="W162">
        <f t="shared" si="163"/>
        <v>0</v>
      </c>
      <c r="X162">
        <f t="shared" si="164"/>
        <v>0</v>
      </c>
      <c r="Y162">
        <f t="shared" si="165"/>
        <v>0</v>
      </c>
      <c r="AA162">
        <v>86326988</v>
      </c>
      <c r="AB162">
        <f t="shared" si="166"/>
        <v>11142.15</v>
      </c>
      <c r="AC162">
        <f t="shared" si="150"/>
        <v>11142.15</v>
      </c>
      <c r="AD162">
        <f>ROUND((((ET162)-(EU162))+AE162),2)</f>
        <v>0</v>
      </c>
      <c r="AE162">
        <f t="shared" si="151"/>
        <v>0</v>
      </c>
      <c r="AF162">
        <f t="shared" si="152"/>
        <v>0</v>
      </c>
      <c r="AG162">
        <f t="shared" si="167"/>
        <v>0</v>
      </c>
      <c r="AH162">
        <f t="shared" si="153"/>
        <v>0</v>
      </c>
      <c r="AI162">
        <f t="shared" si="154"/>
        <v>0</v>
      </c>
      <c r="AJ162">
        <f t="shared" si="168"/>
        <v>0</v>
      </c>
      <c r="AK162">
        <v>11142.150000000001</v>
      </c>
      <c r="AL162">
        <v>11142.150000000001</v>
      </c>
      <c r="AM162">
        <v>0</v>
      </c>
      <c r="AN162">
        <v>0</v>
      </c>
      <c r="AO162">
        <v>0</v>
      </c>
      <c r="AP162">
        <v>0</v>
      </c>
      <c r="AQ162">
        <v>0</v>
      </c>
      <c r="AR162">
        <v>0</v>
      </c>
      <c r="AS162">
        <v>0</v>
      </c>
      <c r="AT162">
        <v>0</v>
      </c>
      <c r="AU162">
        <v>0</v>
      </c>
      <c r="AV162">
        <v>1</v>
      </c>
      <c r="AW162">
        <v>1</v>
      </c>
      <c r="AZ162">
        <v>1</v>
      </c>
      <c r="BA162">
        <v>1</v>
      </c>
      <c r="BB162">
        <v>1</v>
      </c>
      <c r="BC162">
        <v>7.56</v>
      </c>
      <c r="BD162" t="s">
        <v>6</v>
      </c>
      <c r="BE162" t="s">
        <v>6</v>
      </c>
      <c r="BF162" t="s">
        <v>6</v>
      </c>
      <c r="BG162" t="s">
        <v>6</v>
      </c>
      <c r="BH162">
        <v>3</v>
      </c>
      <c r="BI162">
        <v>1</v>
      </c>
      <c r="BJ162" t="s">
        <v>119</v>
      </c>
      <c r="BM162">
        <v>500003</v>
      </c>
      <c r="BN162">
        <v>0</v>
      </c>
      <c r="BO162" t="s">
        <v>6</v>
      </c>
      <c r="BP162">
        <v>0</v>
      </c>
      <c r="BQ162">
        <v>22</v>
      </c>
      <c r="BR162">
        <v>0</v>
      </c>
      <c r="BS162">
        <v>1</v>
      </c>
      <c r="BT162">
        <v>1</v>
      </c>
      <c r="BU162">
        <v>1</v>
      </c>
      <c r="BV162">
        <v>1</v>
      </c>
      <c r="BW162">
        <v>1</v>
      </c>
      <c r="BX162">
        <v>1</v>
      </c>
      <c r="BY162" t="s">
        <v>6</v>
      </c>
      <c r="BZ162">
        <v>0</v>
      </c>
      <c r="CA162">
        <v>0</v>
      </c>
      <c r="CB162" t="s">
        <v>6</v>
      </c>
      <c r="CE162">
        <v>0</v>
      </c>
      <c r="CF162">
        <v>0</v>
      </c>
      <c r="CG162">
        <v>0</v>
      </c>
      <c r="CM162">
        <v>0</v>
      </c>
      <c r="CN162" t="s">
        <v>6</v>
      </c>
      <c r="CO162">
        <v>0</v>
      </c>
      <c r="CP162">
        <f t="shared" si="169"/>
        <v>397</v>
      </c>
      <c r="CQ162">
        <f t="shared" si="170"/>
        <v>84234.653999999995</v>
      </c>
      <c r="CR162">
        <f t="shared" si="171"/>
        <v>0</v>
      </c>
      <c r="CS162">
        <f t="shared" si="172"/>
        <v>0</v>
      </c>
      <c r="CT162">
        <f t="shared" si="173"/>
        <v>0</v>
      </c>
      <c r="CU162">
        <f t="shared" si="174"/>
        <v>0</v>
      </c>
      <c r="CV162">
        <f t="shared" si="175"/>
        <v>0</v>
      </c>
      <c r="CW162">
        <f t="shared" si="176"/>
        <v>0</v>
      </c>
      <c r="CX162">
        <f t="shared" si="177"/>
        <v>0</v>
      </c>
      <c r="CY162">
        <f>(S162+R162)*(BZ162/100)</f>
        <v>0</v>
      </c>
      <c r="CZ162">
        <f>(S162+R162)*(CA162/100)</f>
        <v>0</v>
      </c>
      <c r="DC162" t="s">
        <v>6</v>
      </c>
      <c r="DD162" t="s">
        <v>6</v>
      </c>
      <c r="DE162" t="s">
        <v>6</v>
      </c>
      <c r="DF162" t="s">
        <v>6</v>
      </c>
      <c r="DG162" t="s">
        <v>6</v>
      </c>
      <c r="DH162" t="s">
        <v>6</v>
      </c>
      <c r="DI162" t="s">
        <v>6</v>
      </c>
      <c r="DJ162" t="s">
        <v>6</v>
      </c>
      <c r="DK162" t="s">
        <v>6</v>
      </c>
      <c r="DL162" t="s">
        <v>6</v>
      </c>
      <c r="DM162" t="s">
        <v>6</v>
      </c>
      <c r="DN162">
        <v>0</v>
      </c>
      <c r="DO162">
        <v>0</v>
      </c>
      <c r="DP162">
        <v>1</v>
      </c>
      <c r="DQ162">
        <v>1</v>
      </c>
      <c r="DU162">
        <v>1009</v>
      </c>
      <c r="DV162" t="s">
        <v>33</v>
      </c>
      <c r="DW162" t="e">
        <f>'2.Лок.смета.и.Акт'!#REF!</f>
        <v>#REF!</v>
      </c>
      <c r="DX162">
        <v>1000</v>
      </c>
      <c r="DZ162" t="s">
        <v>6</v>
      </c>
      <c r="EA162" t="s">
        <v>6</v>
      </c>
      <c r="EB162" t="s">
        <v>6</v>
      </c>
      <c r="EC162" t="s">
        <v>6</v>
      </c>
      <c r="EE162">
        <v>54938783</v>
      </c>
      <c r="EF162">
        <v>22</v>
      </c>
      <c r="EG162" t="s">
        <v>57</v>
      </c>
      <c r="EH162">
        <v>0</v>
      </c>
      <c r="EI162" t="s">
        <v>6</v>
      </c>
      <c r="EJ162">
        <v>1</v>
      </c>
      <c r="EK162">
        <v>500003</v>
      </c>
      <c r="EL162" t="s">
        <v>58</v>
      </c>
      <c r="EM162" t="s">
        <v>59</v>
      </c>
      <c r="EO162" t="s">
        <v>6</v>
      </c>
      <c r="EQ162">
        <v>0</v>
      </c>
      <c r="ER162">
        <v>80392</v>
      </c>
      <c r="ES162">
        <v>11142.150000000001</v>
      </c>
      <c r="ET162">
        <v>0</v>
      </c>
      <c r="EU162">
        <v>0</v>
      </c>
      <c r="EV162">
        <v>0</v>
      </c>
      <c r="EW162">
        <v>0</v>
      </c>
      <c r="EX162">
        <v>0</v>
      </c>
      <c r="EZ162">
        <v>5</v>
      </c>
      <c r="FC162">
        <v>0</v>
      </c>
      <c r="FD162">
        <v>18</v>
      </c>
      <c r="FF162">
        <v>80392</v>
      </c>
      <c r="FQ162">
        <v>0</v>
      </c>
      <c r="FR162">
        <f t="shared" si="178"/>
        <v>0</v>
      </c>
      <c r="FS162">
        <v>0</v>
      </c>
      <c r="FX162">
        <v>0</v>
      </c>
      <c r="FY162">
        <v>0</v>
      </c>
      <c r="GA162" t="s">
        <v>120</v>
      </c>
      <c r="GD162">
        <v>1</v>
      </c>
      <c r="GF162">
        <v>772407484</v>
      </c>
      <c r="GG162">
        <v>2</v>
      </c>
      <c r="GH162">
        <v>3</v>
      </c>
      <c r="GI162">
        <v>5</v>
      </c>
      <c r="GJ162">
        <v>0</v>
      </c>
      <c r="GK162">
        <v>0</v>
      </c>
      <c r="GL162">
        <f t="shared" si="179"/>
        <v>0</v>
      </c>
      <c r="GM162">
        <f t="shared" si="180"/>
        <v>397</v>
      </c>
      <c r="GN162">
        <f t="shared" si="181"/>
        <v>397</v>
      </c>
      <c r="GO162">
        <f t="shared" si="182"/>
        <v>0</v>
      </c>
      <c r="GP162">
        <f t="shared" si="183"/>
        <v>0</v>
      </c>
      <c r="GR162">
        <v>1</v>
      </c>
      <c r="GS162">
        <v>1</v>
      </c>
      <c r="GT162">
        <v>0</v>
      </c>
      <c r="GU162" t="s">
        <v>6</v>
      </c>
      <c r="GV162">
        <f t="shared" si="184"/>
        <v>0</v>
      </c>
      <c r="GW162">
        <v>1</v>
      </c>
      <c r="GX162">
        <f t="shared" si="185"/>
        <v>0</v>
      </c>
      <c r="HA162">
        <v>0</v>
      </c>
      <c r="HB162">
        <v>0</v>
      </c>
      <c r="HC162">
        <f t="shared" si="186"/>
        <v>0</v>
      </c>
      <c r="HE162" t="s">
        <v>39</v>
      </c>
      <c r="HF162" t="s">
        <v>61</v>
      </c>
      <c r="HM162" t="s">
        <v>6</v>
      </c>
      <c r="HN162" t="s">
        <v>6</v>
      </c>
      <c r="HO162" t="s">
        <v>6</v>
      </c>
      <c r="HP162" t="s">
        <v>6</v>
      </c>
      <c r="HQ162" t="s">
        <v>6</v>
      </c>
      <c r="IF162">
        <v>-1</v>
      </c>
      <c r="IK162">
        <v>0</v>
      </c>
    </row>
    <row r="163" spans="1:255" x14ac:dyDescent="0.2">
      <c r="A163" s="2">
        <v>17</v>
      </c>
      <c r="B163" s="2">
        <v>1</v>
      </c>
      <c r="C163" s="2">
        <f>ROW(SmtRes!A191)</f>
        <v>191</v>
      </c>
      <c r="D163" s="2">
        <f>ROW(EtalonRes!A153)</f>
        <v>153</v>
      </c>
      <c r="E163" s="2" t="s">
        <v>254</v>
      </c>
      <c r="F163" s="2" t="s">
        <v>67</v>
      </c>
      <c r="G163" s="2" t="s">
        <v>255</v>
      </c>
      <c r="H163" s="2" t="s">
        <v>21</v>
      </c>
      <c r="I163" s="2">
        <f>'2.Лок.смета.и.Акт'!E37</f>
        <v>0.34599999999999997</v>
      </c>
      <c r="J163" s="2">
        <v>0</v>
      </c>
      <c r="K163" s="2">
        <v>1.3839999999999999</v>
      </c>
      <c r="L163" s="2"/>
      <c r="M163" s="2"/>
      <c r="N163" s="2"/>
      <c r="O163" s="2">
        <f t="shared" si="155"/>
        <v>76</v>
      </c>
      <c r="P163" s="2">
        <f t="shared" si="156"/>
        <v>0</v>
      </c>
      <c r="Q163" s="2">
        <f t="shared" si="157"/>
        <v>62</v>
      </c>
      <c r="R163" s="2">
        <f t="shared" si="158"/>
        <v>9</v>
      </c>
      <c r="S163" s="2">
        <f t="shared" si="159"/>
        <v>14</v>
      </c>
      <c r="T163" s="2">
        <f t="shared" si="160"/>
        <v>0</v>
      </c>
      <c r="U163" s="2">
        <f t="shared" si="161"/>
        <v>1.576722</v>
      </c>
      <c r="V163" s="2">
        <f t="shared" si="162"/>
        <v>0.6626592</v>
      </c>
      <c r="W163" s="2">
        <f t="shared" si="163"/>
        <v>0</v>
      </c>
      <c r="X163" s="2">
        <f t="shared" si="164"/>
        <v>28</v>
      </c>
      <c r="Y163" s="2">
        <f t="shared" si="165"/>
        <v>18</v>
      </c>
      <c r="Z163" s="2"/>
      <c r="AA163" s="2">
        <v>86326987</v>
      </c>
      <c r="AB163" s="2">
        <f t="shared" si="166"/>
        <v>219.44</v>
      </c>
      <c r="AC163" s="2">
        <f>ROUND((ES163+(SUM(SmtRes!BC179:'SmtRes'!BC191)+SUM(EtalonRes!AL147:'EtalonRes'!AL153))),2)</f>
        <v>0</v>
      </c>
      <c r="AD163" s="2">
        <f>ROUND(((((ET163*1.12))-((EU163*1.12)))+AE163),2)</f>
        <v>179.75</v>
      </c>
      <c r="AE163" s="2">
        <f>ROUND(((EU163*1.12)),2)</f>
        <v>26.06</v>
      </c>
      <c r="AF163" s="2">
        <f>ROUND(((EV163*1.05)),2)</f>
        <v>39.69</v>
      </c>
      <c r="AG163" s="2">
        <f t="shared" si="167"/>
        <v>0</v>
      </c>
      <c r="AH163" s="2">
        <f>((EW163*1.05))</f>
        <v>4.5570000000000004</v>
      </c>
      <c r="AI163" s="2">
        <f>((EX163*1.12))</f>
        <v>1.9152000000000002</v>
      </c>
      <c r="AJ163" s="2">
        <f t="shared" si="168"/>
        <v>0</v>
      </c>
      <c r="AK163" s="2">
        <v>205.41</v>
      </c>
      <c r="AL163" s="2">
        <v>7.12</v>
      </c>
      <c r="AM163" s="2">
        <v>160.49</v>
      </c>
      <c r="AN163" s="2">
        <v>23.27</v>
      </c>
      <c r="AO163" s="2">
        <v>37.799999999999997</v>
      </c>
      <c r="AP163" s="2">
        <v>0</v>
      </c>
      <c r="AQ163" s="2">
        <v>4.34</v>
      </c>
      <c r="AR163" s="2">
        <v>1.71</v>
      </c>
      <c r="AS163" s="2">
        <v>0</v>
      </c>
      <c r="AT163" s="2">
        <v>120</v>
      </c>
      <c r="AU163" s="2">
        <v>77</v>
      </c>
      <c r="AV163" s="2">
        <v>1</v>
      </c>
      <c r="AW163" s="2">
        <v>1</v>
      </c>
      <c r="AX163" s="2"/>
      <c r="AY163" s="2"/>
      <c r="AZ163" s="2">
        <v>1</v>
      </c>
      <c r="BA163" s="2">
        <v>1</v>
      </c>
      <c r="BB163" s="2">
        <v>1</v>
      </c>
      <c r="BC163" s="2">
        <v>1</v>
      </c>
      <c r="BD163" s="2" t="s">
        <v>6</v>
      </c>
      <c r="BE163" s="2" t="s">
        <v>6</v>
      </c>
      <c r="BF163" s="2" t="s">
        <v>6</v>
      </c>
      <c r="BG163" s="2" t="s">
        <v>6</v>
      </c>
      <c r="BH163" s="2">
        <v>0</v>
      </c>
      <c r="BI163" s="2">
        <v>1</v>
      </c>
      <c r="BJ163" s="2" t="s">
        <v>69</v>
      </c>
      <c r="BK163" s="2"/>
      <c r="BL163" s="2"/>
      <c r="BM163" s="2">
        <v>6002</v>
      </c>
      <c r="BN163" s="2">
        <v>0</v>
      </c>
      <c r="BO163" s="2" t="s">
        <v>6</v>
      </c>
      <c r="BP163" s="2">
        <v>0</v>
      </c>
      <c r="BQ163" s="2">
        <v>1</v>
      </c>
      <c r="BR163" s="2">
        <v>0</v>
      </c>
      <c r="BS163" s="2">
        <v>1</v>
      </c>
      <c r="BT163" s="2">
        <v>1</v>
      </c>
      <c r="BU163" s="2">
        <v>1</v>
      </c>
      <c r="BV163" s="2">
        <v>1</v>
      </c>
      <c r="BW163" s="2">
        <v>1</v>
      </c>
      <c r="BX163" s="2">
        <v>1</v>
      </c>
      <c r="BY163" s="2" t="s">
        <v>6</v>
      </c>
      <c r="BZ163" s="2">
        <v>120</v>
      </c>
      <c r="CA163" s="2">
        <v>77</v>
      </c>
      <c r="CB163" s="2" t="s">
        <v>6</v>
      </c>
      <c r="CC163" s="2"/>
      <c r="CD163" s="2"/>
      <c r="CE163" s="2">
        <v>0</v>
      </c>
      <c r="CF163" s="2">
        <v>0</v>
      </c>
      <c r="CG163" s="2">
        <v>0</v>
      </c>
      <c r="CH163" s="2"/>
      <c r="CI163" s="2"/>
      <c r="CJ163" s="2"/>
      <c r="CK163" s="2"/>
      <c r="CL163" s="2"/>
      <c r="CM163" s="2">
        <v>0</v>
      </c>
      <c r="CN163" s="2" t="s">
        <v>23</v>
      </c>
      <c r="CO163" s="2">
        <v>0</v>
      </c>
      <c r="CP163" s="2">
        <f t="shared" si="169"/>
        <v>76</v>
      </c>
      <c r="CQ163" s="2">
        <f t="shared" si="170"/>
        <v>0</v>
      </c>
      <c r="CR163" s="2">
        <f t="shared" si="171"/>
        <v>179.75</v>
      </c>
      <c r="CS163" s="2">
        <f t="shared" si="172"/>
        <v>26.06</v>
      </c>
      <c r="CT163" s="2">
        <f t="shared" si="173"/>
        <v>39.69</v>
      </c>
      <c r="CU163" s="2">
        <f t="shared" si="174"/>
        <v>0</v>
      </c>
      <c r="CV163" s="2">
        <f t="shared" si="175"/>
        <v>4.5570000000000004</v>
      </c>
      <c r="CW163" s="2">
        <f t="shared" si="176"/>
        <v>1.9152000000000002</v>
      </c>
      <c r="CX163" s="2">
        <f t="shared" si="177"/>
        <v>0</v>
      </c>
      <c r="CY163" s="2">
        <f>(((S163+(R163*IF(0,0,1)))*AT163)/100)</f>
        <v>27.6</v>
      </c>
      <c r="CZ163" s="2">
        <f>(((S163+(R163*IF(0,0,1)))*AU163)/100)</f>
        <v>17.71</v>
      </c>
      <c r="DA163" s="2"/>
      <c r="DB163" s="2"/>
      <c r="DC163" s="2" t="s">
        <v>6</v>
      </c>
      <c r="DD163" s="2" t="s">
        <v>6</v>
      </c>
      <c r="DE163" s="2" t="s">
        <v>24</v>
      </c>
      <c r="DF163" s="2" t="s">
        <v>24</v>
      </c>
      <c r="DG163" s="2" t="s">
        <v>25</v>
      </c>
      <c r="DH163" s="2" t="s">
        <v>6</v>
      </c>
      <c r="DI163" s="2" t="s">
        <v>25</v>
      </c>
      <c r="DJ163" s="2" t="s">
        <v>24</v>
      </c>
      <c r="DK163" s="2" t="s">
        <v>6</v>
      </c>
      <c r="DL163" s="2" t="s">
        <v>6</v>
      </c>
      <c r="DM163" s="2" t="s">
        <v>6</v>
      </c>
      <c r="DN163" s="2">
        <v>0</v>
      </c>
      <c r="DO163" s="2">
        <v>0</v>
      </c>
      <c r="DP163" s="2">
        <v>1</v>
      </c>
      <c r="DQ163" s="2">
        <v>1</v>
      </c>
      <c r="DR163" s="2"/>
      <c r="DS163" s="2"/>
      <c r="DT163" s="2"/>
      <c r="DU163" s="2">
        <v>1013</v>
      </c>
      <c r="DV163" s="2" t="s">
        <v>21</v>
      </c>
      <c r="DW163" s="2" t="s">
        <v>21</v>
      </c>
      <c r="DX163" s="2">
        <v>1</v>
      </c>
      <c r="DY163" s="2"/>
      <c r="DZ163" s="2" t="s">
        <v>6</v>
      </c>
      <c r="EA163" s="2" t="s">
        <v>6</v>
      </c>
      <c r="EB163" s="2" t="s">
        <v>6</v>
      </c>
      <c r="EC163" s="2" t="s">
        <v>6</v>
      </c>
      <c r="ED163" s="2"/>
      <c r="EE163" s="2">
        <v>54938592</v>
      </c>
      <c r="EF163" s="2">
        <v>1</v>
      </c>
      <c r="EG163" s="2" t="s">
        <v>26</v>
      </c>
      <c r="EH163" s="2">
        <v>0</v>
      </c>
      <c r="EI163" s="2" t="s">
        <v>6</v>
      </c>
      <c r="EJ163" s="2">
        <v>1</v>
      </c>
      <c r="EK163" s="2">
        <v>6002</v>
      </c>
      <c r="EL163" s="2" t="s">
        <v>27</v>
      </c>
      <c r="EM163" s="2" t="s">
        <v>28</v>
      </c>
      <c r="EN163" s="2"/>
      <c r="EO163" s="2" t="s">
        <v>29</v>
      </c>
      <c r="EP163" s="2"/>
      <c r="EQ163" s="2">
        <v>2097152</v>
      </c>
      <c r="ER163" s="2">
        <v>205.41</v>
      </c>
      <c r="ES163" s="2">
        <v>7.12</v>
      </c>
      <c r="ET163" s="2">
        <v>160.49</v>
      </c>
      <c r="EU163" s="2">
        <v>23.27</v>
      </c>
      <c r="EV163" s="2">
        <v>37.799999999999997</v>
      </c>
      <c r="EW163" s="2">
        <v>4.34</v>
      </c>
      <c r="EX163" s="2">
        <v>1.71</v>
      </c>
      <c r="EY163" s="2">
        <v>1</v>
      </c>
      <c r="EZ163" s="2"/>
      <c r="FA163" s="2"/>
      <c r="FB163" s="2"/>
      <c r="FC163" s="2"/>
      <c r="FD163" s="2"/>
      <c r="FE163" s="2"/>
      <c r="FF163" s="2"/>
      <c r="FG163" s="2"/>
      <c r="FH163" s="2"/>
      <c r="FI163" s="2"/>
      <c r="FJ163" s="2"/>
      <c r="FK163" s="2"/>
      <c r="FL163" s="2"/>
      <c r="FM163" s="2"/>
      <c r="FN163" s="2"/>
      <c r="FO163" s="2"/>
      <c r="FP163" s="2"/>
      <c r="FQ163" s="2">
        <v>0</v>
      </c>
      <c r="FR163" s="2">
        <f t="shared" si="178"/>
        <v>0</v>
      </c>
      <c r="FS163" s="2">
        <v>0</v>
      </c>
      <c r="FT163" s="2"/>
      <c r="FU163" s="2"/>
      <c r="FV163" s="2"/>
      <c r="FW163" s="2"/>
      <c r="FX163" s="2">
        <v>120</v>
      </c>
      <c r="FY163" s="2">
        <v>77</v>
      </c>
      <c r="FZ163" s="2"/>
      <c r="GA163" s="2" t="s">
        <v>6</v>
      </c>
      <c r="GB163" s="2"/>
      <c r="GC163" s="2"/>
      <c r="GD163" s="2">
        <v>1</v>
      </c>
      <c r="GE163" s="2"/>
      <c r="GF163" s="2">
        <v>661326169</v>
      </c>
      <c r="GG163" s="2">
        <v>2</v>
      </c>
      <c r="GH163" s="2">
        <v>1</v>
      </c>
      <c r="GI163" s="2">
        <v>-2</v>
      </c>
      <c r="GJ163" s="2">
        <v>0</v>
      </c>
      <c r="GK163" s="2">
        <v>0</v>
      </c>
      <c r="GL163" s="2">
        <f t="shared" si="179"/>
        <v>0</v>
      </c>
      <c r="GM163" s="2">
        <f t="shared" si="180"/>
        <v>122</v>
      </c>
      <c r="GN163" s="2">
        <f t="shared" si="181"/>
        <v>122</v>
      </c>
      <c r="GO163" s="2">
        <f t="shared" si="182"/>
        <v>0</v>
      </c>
      <c r="GP163" s="2">
        <f t="shared" si="183"/>
        <v>0</v>
      </c>
      <c r="GQ163" s="2"/>
      <c r="GR163" s="2">
        <v>0</v>
      </c>
      <c r="GS163" s="2">
        <v>3</v>
      </c>
      <c r="GT163" s="2">
        <v>0</v>
      </c>
      <c r="GU163" s="2" t="s">
        <v>6</v>
      </c>
      <c r="GV163" s="2">
        <f t="shared" si="184"/>
        <v>0</v>
      </c>
      <c r="GW163" s="2">
        <v>1</v>
      </c>
      <c r="GX163" s="2">
        <f t="shared" si="185"/>
        <v>0</v>
      </c>
      <c r="GY163" s="2"/>
      <c r="GZ163" s="2"/>
      <c r="HA163" s="2">
        <v>0</v>
      </c>
      <c r="HB163" s="2">
        <v>0</v>
      </c>
      <c r="HC163" s="2">
        <f t="shared" si="186"/>
        <v>0</v>
      </c>
      <c r="HD163" s="2"/>
      <c r="HE163" s="2" t="s">
        <v>6</v>
      </c>
      <c r="HF163" s="2" t="s">
        <v>6</v>
      </c>
      <c r="HG163" s="2"/>
      <c r="HH163" s="2"/>
      <c r="HI163" s="2"/>
      <c r="HJ163" s="2"/>
      <c r="HK163" s="2"/>
      <c r="HL163" s="2"/>
      <c r="HM163" s="2" t="s">
        <v>6</v>
      </c>
      <c r="HN163" s="2" t="s">
        <v>6</v>
      </c>
      <c r="HO163" s="2" t="s">
        <v>6</v>
      </c>
      <c r="HP163" s="2" t="s">
        <v>6</v>
      </c>
      <c r="HQ163" s="2" t="s">
        <v>6</v>
      </c>
      <c r="HR163" s="2"/>
      <c r="HS163" s="2"/>
      <c r="HT163" s="2"/>
      <c r="HU163" s="2"/>
      <c r="HV163" s="2"/>
      <c r="HW163" s="2"/>
      <c r="HX163" s="2"/>
      <c r="HY163" s="2"/>
      <c r="HZ163" s="2"/>
      <c r="IA163" s="2"/>
      <c r="IB163" s="2"/>
      <c r="IC163" s="2"/>
      <c r="ID163" s="2"/>
      <c r="IE163" s="2"/>
      <c r="IF163" s="2">
        <v>-1</v>
      </c>
      <c r="IG163" s="2"/>
      <c r="IH163" s="2"/>
      <c r="II163" s="2"/>
      <c r="IJ163" s="2"/>
      <c r="IK163" s="2">
        <v>0</v>
      </c>
      <c r="IL163" s="2"/>
      <c r="IM163" s="2"/>
      <c r="IN163" s="2"/>
      <c r="IO163" s="2"/>
      <c r="IP163" s="2"/>
      <c r="IQ163" s="2"/>
      <c r="IR163" s="2"/>
      <c r="IS163" s="2"/>
      <c r="IT163" s="2"/>
      <c r="IU163" s="2"/>
    </row>
    <row r="164" spans="1:255" x14ac:dyDescent="0.2">
      <c r="A164">
        <v>17</v>
      </c>
      <c r="B164">
        <v>1</v>
      </c>
      <c r="C164">
        <f>ROW(SmtRes!A204)</f>
        <v>204</v>
      </c>
      <c r="D164">
        <f>ROW(EtalonRes!A160)</f>
        <v>160</v>
      </c>
      <c r="E164" t="s">
        <v>254</v>
      </c>
      <c r="F164" t="s">
        <v>67</v>
      </c>
      <c r="G164" t="s">
        <v>255</v>
      </c>
      <c r="H164" t="s">
        <v>21</v>
      </c>
      <c r="I164">
        <f>'2.Лок.смета.и.Акт'!E37</f>
        <v>0.34599999999999997</v>
      </c>
      <c r="J164">
        <v>0</v>
      </c>
      <c r="K164">
        <v>1.3839999999999999</v>
      </c>
      <c r="O164">
        <f t="shared" si="155"/>
        <v>1073</v>
      </c>
      <c r="P164">
        <f t="shared" si="156"/>
        <v>0</v>
      </c>
      <c r="Q164">
        <f t="shared" si="157"/>
        <v>578</v>
      </c>
      <c r="R164">
        <f t="shared" si="158"/>
        <v>179</v>
      </c>
      <c r="S164">
        <f t="shared" si="159"/>
        <v>495</v>
      </c>
      <c r="T164">
        <f t="shared" si="160"/>
        <v>0</v>
      </c>
      <c r="U164" t="e">
        <f t="shared" si="161"/>
        <v>#REF!</v>
      </c>
      <c r="V164">
        <f t="shared" si="162"/>
        <v>0.6626592</v>
      </c>
      <c r="W164">
        <f t="shared" si="163"/>
        <v>0</v>
      </c>
      <c r="X164" t="e">
        <f t="shared" si="164"/>
        <v>#REF!</v>
      </c>
      <c r="Y164" t="e">
        <f t="shared" si="165"/>
        <v>#REF!</v>
      </c>
      <c r="AA164">
        <v>86326988</v>
      </c>
      <c r="AB164">
        <f t="shared" si="166"/>
        <v>219.44</v>
      </c>
      <c r="AC164">
        <f>ROUND((ES164+(SUM(SmtRes!BC192:'SmtRes'!BC204)+SUM(EtalonRes!AL154:'EtalonRes'!AL160))),2)</f>
        <v>0</v>
      </c>
      <c r="AD164">
        <f>ROUND(((((ET164*1.12))-((EU164*1.12)))+AE164),2)</f>
        <v>179.75</v>
      </c>
      <c r="AE164">
        <f>ROUND(((EU164*1.12)),2)</f>
        <v>26.06</v>
      </c>
      <c r="AF164">
        <f>ROUND(((EV164*1.05)),2)</f>
        <v>39.69</v>
      </c>
      <c r="AG164">
        <f t="shared" si="167"/>
        <v>0</v>
      </c>
      <c r="AH164" t="e">
        <f>((EW164*1.05))</f>
        <v>#REF!</v>
      </c>
      <c r="AI164">
        <f>((EX164*1.12))</f>
        <v>1.9152000000000002</v>
      </c>
      <c r="AJ164">
        <f t="shared" si="168"/>
        <v>0</v>
      </c>
      <c r="AK164">
        <f>AL164+AM164+AO164</f>
        <v>205.41000000000003</v>
      </c>
      <c r="AL164">
        <v>7.12</v>
      </c>
      <c r="AM164" s="75">
        <f>'1.Лок.смета.и.Акт'!F302</f>
        <v>160.49</v>
      </c>
      <c r="AN164" s="75">
        <f>'1.Лок.смета.и.Акт'!F303</f>
        <v>23.27</v>
      </c>
      <c r="AO164" s="75">
        <f>'1.Лок.смета.и.Акт'!F301</f>
        <v>37.799999999999997</v>
      </c>
      <c r="AP164">
        <v>0</v>
      </c>
      <c r="AQ164" t="e">
        <f>'2.Лок.смета.и.Акт'!#REF!</f>
        <v>#REF!</v>
      </c>
      <c r="AR164">
        <v>1.71</v>
      </c>
      <c r="AS164">
        <v>0</v>
      </c>
      <c r="AT164">
        <v>114</v>
      </c>
      <c r="AU164">
        <v>65</v>
      </c>
      <c r="AV164">
        <v>1</v>
      </c>
      <c r="AW164">
        <v>1</v>
      </c>
      <c r="AZ164">
        <v>1</v>
      </c>
      <c r="BA164">
        <f>'1.Лок.смета.и.Акт'!J301</f>
        <v>36.07</v>
      </c>
      <c r="BB164">
        <f>'1.Лок.смета.и.Акт'!J302</f>
        <v>9.3000000000000007</v>
      </c>
      <c r="BC164">
        <v>7.56</v>
      </c>
      <c r="BD164" t="s">
        <v>6</v>
      </c>
      <c r="BE164" t="s">
        <v>6</v>
      </c>
      <c r="BF164" t="s">
        <v>6</v>
      </c>
      <c r="BG164" t="s">
        <v>6</v>
      </c>
      <c r="BH164">
        <v>0</v>
      </c>
      <c r="BI164">
        <v>1</v>
      </c>
      <c r="BJ164" t="s">
        <v>69</v>
      </c>
      <c r="BM164">
        <v>6002</v>
      </c>
      <c r="BN164">
        <v>0</v>
      </c>
      <c r="BO164" t="s">
        <v>67</v>
      </c>
      <c r="BP164">
        <v>1</v>
      </c>
      <c r="BQ164">
        <v>1</v>
      </c>
      <c r="BR164">
        <v>0</v>
      </c>
      <c r="BS164">
        <f>'1.Лок.смета.и.Акт'!J303</f>
        <v>19.8</v>
      </c>
      <c r="BT164">
        <v>1</v>
      </c>
      <c r="BU164">
        <v>1</v>
      </c>
      <c r="BV164">
        <v>1</v>
      </c>
      <c r="BW164">
        <v>1</v>
      </c>
      <c r="BX164">
        <v>1</v>
      </c>
      <c r="BY164" t="s">
        <v>6</v>
      </c>
      <c r="BZ164" t="e">
        <f>'2.Лок.смета.и.Акт'!#REF!</f>
        <v>#REF!</v>
      </c>
      <c r="CA164" t="e">
        <f>'2.Лок.смета.и.Акт'!#REF!</f>
        <v>#REF!</v>
      </c>
      <c r="CB164" t="s">
        <v>6</v>
      </c>
      <c r="CE164">
        <v>0</v>
      </c>
      <c r="CF164">
        <v>0</v>
      </c>
      <c r="CG164">
        <v>0</v>
      </c>
      <c r="CM164">
        <v>0</v>
      </c>
      <c r="CN164" t="s">
        <v>23</v>
      </c>
      <c r="CO164">
        <v>0</v>
      </c>
      <c r="CP164">
        <f t="shared" si="169"/>
        <v>1073</v>
      </c>
      <c r="CQ164">
        <f t="shared" si="170"/>
        <v>0</v>
      </c>
      <c r="CR164">
        <f t="shared" si="171"/>
        <v>1671.6750000000002</v>
      </c>
      <c r="CS164">
        <f t="shared" si="172"/>
        <v>515.98799999999994</v>
      </c>
      <c r="CT164">
        <f t="shared" si="173"/>
        <v>1431.6182999999999</v>
      </c>
      <c r="CU164">
        <f t="shared" si="174"/>
        <v>0</v>
      </c>
      <c r="CV164" t="e">
        <f t="shared" si="175"/>
        <v>#REF!</v>
      </c>
      <c r="CW164">
        <f t="shared" si="176"/>
        <v>1.9152000000000002</v>
      </c>
      <c r="CX164">
        <f t="shared" si="177"/>
        <v>0</v>
      </c>
      <c r="CY164" t="e">
        <f>(S164+R164)*(BZ164/100)</f>
        <v>#REF!</v>
      </c>
      <c r="CZ164" t="e">
        <f>(S164+R164)*(CA164/100)</f>
        <v>#REF!</v>
      </c>
      <c r="DC164" t="s">
        <v>6</v>
      </c>
      <c r="DD164" t="s">
        <v>6</v>
      </c>
      <c r="DE164" t="s">
        <v>24</v>
      </c>
      <c r="DF164" t="s">
        <v>24</v>
      </c>
      <c r="DG164" t="s">
        <v>25</v>
      </c>
      <c r="DH164" t="s">
        <v>6</v>
      </c>
      <c r="DI164" t="s">
        <v>25</v>
      </c>
      <c r="DJ164" t="s">
        <v>24</v>
      </c>
      <c r="DK164" t="s">
        <v>6</v>
      </c>
      <c r="DL164" t="s">
        <v>6</v>
      </c>
      <c r="DM164" t="s">
        <v>6</v>
      </c>
      <c r="DN164">
        <f>'1.Лок.смета.и.Акт'!E304</f>
        <v>120</v>
      </c>
      <c r="DO164">
        <f>'1.Лок.смета.и.Акт'!E305</f>
        <v>77</v>
      </c>
      <c r="DP164">
        <v>1</v>
      </c>
      <c r="DQ164">
        <v>1</v>
      </c>
      <c r="DU164">
        <v>1013</v>
      </c>
      <c r="DV164" t="s">
        <v>21</v>
      </c>
      <c r="DW164" t="str">
        <f>'2.Лок.смета.и.Акт'!D37</f>
        <v>10 м2 конструкций</v>
      </c>
      <c r="DX164">
        <v>1</v>
      </c>
      <c r="DZ164" t="s">
        <v>6</v>
      </c>
      <c r="EA164" t="s">
        <v>6</v>
      </c>
      <c r="EB164" t="s">
        <v>6</v>
      </c>
      <c r="EC164" t="s">
        <v>6</v>
      </c>
      <c r="EE164">
        <v>54938592</v>
      </c>
      <c r="EF164">
        <v>1</v>
      </c>
      <c r="EG164" t="s">
        <v>26</v>
      </c>
      <c r="EH164">
        <v>0</v>
      </c>
      <c r="EI164" t="s">
        <v>6</v>
      </c>
      <c r="EJ164">
        <v>1</v>
      </c>
      <c r="EK164">
        <v>6002</v>
      </c>
      <c r="EL164" t="s">
        <v>27</v>
      </c>
      <c r="EM164" t="s">
        <v>28</v>
      </c>
      <c r="EO164" t="s">
        <v>29</v>
      </c>
      <c r="EQ164">
        <v>2097152</v>
      </c>
      <c r="ER164">
        <f>ES164+ET164+EV164</f>
        <v>205.41000000000003</v>
      </c>
      <c r="ES164">
        <v>7.12</v>
      </c>
      <c r="ET164" s="75">
        <f>'1.Лок.смета.и.Акт'!F302</f>
        <v>160.49</v>
      </c>
      <c r="EU164" s="75">
        <f>'1.Лок.смета.и.Акт'!F303</f>
        <v>23.27</v>
      </c>
      <c r="EV164" s="75">
        <f>'1.Лок.смета.и.Акт'!F301</f>
        <v>37.799999999999997</v>
      </c>
      <c r="EW164" t="e">
        <f>'2.Лок.смета.и.Акт'!#REF!</f>
        <v>#REF!</v>
      </c>
      <c r="EX164">
        <v>1.71</v>
      </c>
      <c r="EY164">
        <v>1</v>
      </c>
      <c r="FQ164">
        <v>0</v>
      </c>
      <c r="FR164">
        <f t="shared" si="178"/>
        <v>0</v>
      </c>
      <c r="FS164">
        <v>0</v>
      </c>
      <c r="FX164">
        <v>120</v>
      </c>
      <c r="FY164">
        <v>77</v>
      </c>
      <c r="GA164" t="s">
        <v>6</v>
      </c>
      <c r="GD164">
        <v>1</v>
      </c>
      <c r="GF164">
        <v>661326169</v>
      </c>
      <c r="GG164">
        <v>2</v>
      </c>
      <c r="GH164">
        <v>1</v>
      </c>
      <c r="GI164">
        <v>2</v>
      </c>
      <c r="GJ164">
        <v>0</v>
      </c>
      <c r="GK164">
        <v>0</v>
      </c>
      <c r="GL164">
        <f t="shared" si="179"/>
        <v>0</v>
      </c>
      <c r="GM164" t="e">
        <f t="shared" si="180"/>
        <v>#REF!</v>
      </c>
      <c r="GN164" t="e">
        <f t="shared" si="181"/>
        <v>#REF!</v>
      </c>
      <c r="GO164">
        <f t="shared" si="182"/>
        <v>0</v>
      </c>
      <c r="GP164">
        <f t="shared" si="183"/>
        <v>0</v>
      </c>
      <c r="GR164">
        <v>0</v>
      </c>
      <c r="GS164">
        <v>3</v>
      </c>
      <c r="GT164">
        <v>0</v>
      </c>
      <c r="GU164" t="s">
        <v>6</v>
      </c>
      <c r="GV164">
        <f t="shared" si="184"/>
        <v>0</v>
      </c>
      <c r="GW164">
        <v>1003.4</v>
      </c>
      <c r="GX164">
        <f t="shared" si="185"/>
        <v>0</v>
      </c>
      <c r="HA164">
        <v>0</v>
      </c>
      <c r="HB164">
        <v>0</v>
      </c>
      <c r="HC164">
        <f t="shared" si="186"/>
        <v>0</v>
      </c>
      <c r="HE164" t="s">
        <v>6</v>
      </c>
      <c r="HF164" t="s">
        <v>6</v>
      </c>
      <c r="HM164" t="s">
        <v>6</v>
      </c>
      <c r="HN164" t="s">
        <v>6</v>
      </c>
      <c r="HO164" t="s">
        <v>6</v>
      </c>
      <c r="HP164" t="s">
        <v>6</v>
      </c>
      <c r="HQ164" t="s">
        <v>6</v>
      </c>
      <c r="IF164">
        <v>-1</v>
      </c>
      <c r="IK164">
        <v>0</v>
      </c>
    </row>
    <row r="165" spans="1:255" x14ac:dyDescent="0.2">
      <c r="A165" s="2">
        <v>18</v>
      </c>
      <c r="B165" s="2">
        <v>1</v>
      </c>
      <c r="C165" s="2">
        <v>183</v>
      </c>
      <c r="D165" s="2"/>
      <c r="E165" s="2" t="s">
        <v>256</v>
      </c>
      <c r="F165" s="2" t="s">
        <v>71</v>
      </c>
      <c r="G165" s="2" t="s">
        <v>72</v>
      </c>
      <c r="H165" s="2" t="s">
        <v>33</v>
      </c>
      <c r="I165" s="2">
        <f>I163*J165</f>
        <v>1.4532499999999999E-3</v>
      </c>
      <c r="J165" s="226">
        <f>'5.Ведомость_списания'!F77</f>
        <v>4.20014450867052E-3</v>
      </c>
      <c r="K165" s="2">
        <v>4.1999999999999997E-3</v>
      </c>
      <c r="L165" s="2"/>
      <c r="M165" s="2"/>
      <c r="N165" s="2"/>
      <c r="O165" s="2">
        <f t="shared" si="155"/>
        <v>2</v>
      </c>
      <c r="P165" s="2">
        <f t="shared" si="156"/>
        <v>2</v>
      </c>
      <c r="Q165" s="2">
        <f t="shared" si="157"/>
        <v>0</v>
      </c>
      <c r="R165" s="2">
        <f t="shared" si="158"/>
        <v>0</v>
      </c>
      <c r="S165" s="2">
        <f t="shared" si="159"/>
        <v>0</v>
      </c>
      <c r="T165" s="2">
        <f t="shared" si="160"/>
        <v>0</v>
      </c>
      <c r="U165" s="2">
        <f t="shared" si="161"/>
        <v>0</v>
      </c>
      <c r="V165" s="2">
        <f t="shared" si="162"/>
        <v>0</v>
      </c>
      <c r="W165" s="2">
        <f t="shared" si="163"/>
        <v>0</v>
      </c>
      <c r="X165" s="2">
        <f t="shared" si="164"/>
        <v>0</v>
      </c>
      <c r="Y165" s="2">
        <f t="shared" si="165"/>
        <v>0</v>
      </c>
      <c r="Z165" s="2"/>
      <c r="AA165" s="2">
        <v>86326987</v>
      </c>
      <c r="AB165" s="2">
        <f t="shared" si="166"/>
        <v>1696.01</v>
      </c>
      <c r="AC165" s="2">
        <f t="shared" ref="AC165:AC182" si="188">ROUND((ES165),2)</f>
        <v>1696.01</v>
      </c>
      <c r="AD165" s="2">
        <f>ROUND((((ET165)-(EU165))+AE165),2)</f>
        <v>0</v>
      </c>
      <c r="AE165" s="2">
        <f t="shared" ref="AE165:AE182" si="189">ROUND((EU165),2)</f>
        <v>0</v>
      </c>
      <c r="AF165" s="2">
        <f t="shared" ref="AF165:AF182" si="190">ROUND((EV165),2)</f>
        <v>0</v>
      </c>
      <c r="AG165" s="2">
        <f t="shared" si="167"/>
        <v>0</v>
      </c>
      <c r="AH165" s="2">
        <f t="shared" ref="AH165:AH182" si="191">(EW165)</f>
        <v>0</v>
      </c>
      <c r="AI165" s="2">
        <f t="shared" ref="AI165:AI182" si="192">(EX165)</f>
        <v>0</v>
      </c>
      <c r="AJ165" s="2">
        <f t="shared" si="168"/>
        <v>0</v>
      </c>
      <c r="AK165" s="2">
        <v>1696.01</v>
      </c>
      <c r="AL165" s="110">
        <f>'1.Лок.смета.и.Акт'!F307</f>
        <v>1696.01</v>
      </c>
      <c r="AM165" s="2">
        <v>0</v>
      </c>
      <c r="AN165" s="2">
        <v>0</v>
      </c>
      <c r="AO165" s="2">
        <v>0</v>
      </c>
      <c r="AP165" s="2">
        <v>0</v>
      </c>
      <c r="AQ165" s="2">
        <v>0</v>
      </c>
      <c r="AR165" s="2">
        <v>0</v>
      </c>
      <c r="AS165" s="2">
        <v>0</v>
      </c>
      <c r="AT165" s="2">
        <v>0</v>
      </c>
      <c r="AU165" s="2">
        <v>0</v>
      </c>
      <c r="AV165" s="2">
        <v>1</v>
      </c>
      <c r="AW165" s="2">
        <v>1</v>
      </c>
      <c r="AX165" s="2"/>
      <c r="AY165" s="2"/>
      <c r="AZ165" s="2">
        <v>1</v>
      </c>
      <c r="BA165" s="2">
        <v>1</v>
      </c>
      <c r="BB165" s="2">
        <v>1</v>
      </c>
      <c r="BC165" s="2">
        <v>1</v>
      </c>
      <c r="BD165" s="2" t="s">
        <v>6</v>
      </c>
      <c r="BE165" s="2" t="s">
        <v>6</v>
      </c>
      <c r="BF165" s="2" t="s">
        <v>6</v>
      </c>
      <c r="BG165" s="2" t="s">
        <v>6</v>
      </c>
      <c r="BH165" s="2">
        <v>3</v>
      </c>
      <c r="BI165" s="2">
        <v>1</v>
      </c>
      <c r="BJ165" s="2" t="s">
        <v>73</v>
      </c>
      <c r="BK165" s="2"/>
      <c r="BL165" s="2"/>
      <c r="BM165" s="2">
        <v>500001</v>
      </c>
      <c r="BN165" s="2">
        <v>0</v>
      </c>
      <c r="BO165" s="2" t="s">
        <v>6</v>
      </c>
      <c r="BP165" s="2">
        <v>0</v>
      </c>
      <c r="BQ165" s="2">
        <v>20</v>
      </c>
      <c r="BR165" s="2">
        <v>0</v>
      </c>
      <c r="BS165" s="2">
        <v>1</v>
      </c>
      <c r="BT165" s="2">
        <v>1</v>
      </c>
      <c r="BU165" s="2">
        <v>1</v>
      </c>
      <c r="BV165" s="2">
        <v>1</v>
      </c>
      <c r="BW165" s="2">
        <v>1</v>
      </c>
      <c r="BX165" s="2">
        <v>1</v>
      </c>
      <c r="BY165" s="2" t="s">
        <v>6</v>
      </c>
      <c r="BZ165" s="2">
        <v>0</v>
      </c>
      <c r="CA165" s="2">
        <v>0</v>
      </c>
      <c r="CB165" s="2" t="s">
        <v>6</v>
      </c>
      <c r="CC165" s="2"/>
      <c r="CD165" s="2"/>
      <c r="CE165" s="2">
        <v>0</v>
      </c>
      <c r="CF165" s="2">
        <v>0</v>
      </c>
      <c r="CG165" s="2">
        <v>0</v>
      </c>
      <c r="CH165" s="2"/>
      <c r="CI165" s="2"/>
      <c r="CJ165" s="2"/>
      <c r="CK165" s="2"/>
      <c r="CL165" s="2"/>
      <c r="CM165" s="2">
        <v>0</v>
      </c>
      <c r="CN165" s="2" t="s">
        <v>6</v>
      </c>
      <c r="CO165" s="2">
        <v>0</v>
      </c>
      <c r="CP165" s="2">
        <f t="shared" si="169"/>
        <v>2</v>
      </c>
      <c r="CQ165" s="2">
        <f t="shared" si="170"/>
        <v>1696.01</v>
      </c>
      <c r="CR165" s="2">
        <f t="shared" si="171"/>
        <v>0</v>
      </c>
      <c r="CS165" s="2">
        <f t="shared" si="172"/>
        <v>0</v>
      </c>
      <c r="CT165" s="2">
        <f t="shared" si="173"/>
        <v>0</v>
      </c>
      <c r="CU165" s="2">
        <f t="shared" si="174"/>
        <v>0</v>
      </c>
      <c r="CV165" s="2">
        <f t="shared" si="175"/>
        <v>0</v>
      </c>
      <c r="CW165" s="2">
        <f t="shared" si="176"/>
        <v>0</v>
      </c>
      <c r="CX165" s="2">
        <f t="shared" si="177"/>
        <v>0</v>
      </c>
      <c r="CY165" s="2">
        <f>(((S165+(R165*IF(0,0,1)))*AT165)/100)</f>
        <v>0</v>
      </c>
      <c r="CZ165" s="2">
        <f>(((S165+(R165*IF(0,0,1)))*AU165)/100)</f>
        <v>0</v>
      </c>
      <c r="DA165" s="2"/>
      <c r="DB165" s="2"/>
      <c r="DC165" s="2" t="s">
        <v>6</v>
      </c>
      <c r="DD165" s="2" t="s">
        <v>6</v>
      </c>
      <c r="DE165" s="2" t="s">
        <v>6</v>
      </c>
      <c r="DF165" s="2" t="s">
        <v>6</v>
      </c>
      <c r="DG165" s="2" t="s">
        <v>6</v>
      </c>
      <c r="DH165" s="2" t="s">
        <v>6</v>
      </c>
      <c r="DI165" s="2" t="s">
        <v>6</v>
      </c>
      <c r="DJ165" s="2" t="s">
        <v>6</v>
      </c>
      <c r="DK165" s="2" t="s">
        <v>6</v>
      </c>
      <c r="DL165" s="2" t="s">
        <v>6</v>
      </c>
      <c r="DM165" s="2" t="s">
        <v>6</v>
      </c>
      <c r="DN165" s="2">
        <v>0</v>
      </c>
      <c r="DO165" s="2">
        <v>0</v>
      </c>
      <c r="DP165" s="2">
        <v>1</v>
      </c>
      <c r="DQ165" s="2">
        <v>1</v>
      </c>
      <c r="DR165" s="2"/>
      <c r="DS165" s="2"/>
      <c r="DT165" s="2"/>
      <c r="DU165" s="2">
        <v>1009</v>
      </c>
      <c r="DV165" s="2" t="s">
        <v>33</v>
      </c>
      <c r="DW165" s="2" t="s">
        <v>33</v>
      </c>
      <c r="DX165" s="2">
        <v>1000</v>
      </c>
      <c r="DY165" s="2"/>
      <c r="DZ165" s="2" t="s">
        <v>6</v>
      </c>
      <c r="EA165" s="2" t="s">
        <v>6</v>
      </c>
      <c r="EB165" s="2" t="s">
        <v>6</v>
      </c>
      <c r="EC165" s="2" t="s">
        <v>6</v>
      </c>
      <c r="ED165" s="2"/>
      <c r="EE165" s="2">
        <v>54938781</v>
      </c>
      <c r="EF165" s="2">
        <v>20</v>
      </c>
      <c r="EG165" s="2" t="s">
        <v>35</v>
      </c>
      <c r="EH165" s="2">
        <v>0</v>
      </c>
      <c r="EI165" s="2" t="s">
        <v>6</v>
      </c>
      <c r="EJ165" s="2">
        <v>1</v>
      </c>
      <c r="EK165" s="2">
        <v>500001</v>
      </c>
      <c r="EL165" s="2" t="s">
        <v>36</v>
      </c>
      <c r="EM165" s="2" t="s">
        <v>37</v>
      </c>
      <c r="EN165" s="2"/>
      <c r="EO165" s="2" t="s">
        <v>6</v>
      </c>
      <c r="EP165" s="2"/>
      <c r="EQ165" s="2">
        <v>0</v>
      </c>
      <c r="ER165" s="2">
        <v>1696.01</v>
      </c>
      <c r="ES165" s="110">
        <f>'1.Лок.смета.и.Акт'!F307</f>
        <v>1696.01</v>
      </c>
      <c r="ET165" s="2">
        <v>0</v>
      </c>
      <c r="EU165" s="2">
        <v>0</v>
      </c>
      <c r="EV165" s="2">
        <v>0</v>
      </c>
      <c r="EW165" s="2">
        <v>0</v>
      </c>
      <c r="EX165" s="2">
        <v>0</v>
      </c>
      <c r="EY165" s="2"/>
      <c r="EZ165" s="2"/>
      <c r="FA165" s="2"/>
      <c r="FB165" s="2"/>
      <c r="FC165" s="2"/>
      <c r="FD165" s="2"/>
      <c r="FE165" s="2"/>
      <c r="FF165" s="2"/>
      <c r="FG165" s="2"/>
      <c r="FH165" s="2"/>
      <c r="FI165" s="2"/>
      <c r="FJ165" s="2"/>
      <c r="FK165" s="2"/>
      <c r="FL165" s="2"/>
      <c r="FM165" s="2"/>
      <c r="FN165" s="2"/>
      <c r="FO165" s="2"/>
      <c r="FP165" s="2"/>
      <c r="FQ165" s="2">
        <v>0</v>
      </c>
      <c r="FR165" s="2">
        <f t="shared" si="178"/>
        <v>0</v>
      </c>
      <c r="FS165" s="2">
        <v>0</v>
      </c>
      <c r="FT165" s="2"/>
      <c r="FU165" s="2"/>
      <c r="FV165" s="2"/>
      <c r="FW165" s="2"/>
      <c r="FX165" s="2">
        <v>0</v>
      </c>
      <c r="FY165" s="2">
        <v>0</v>
      </c>
      <c r="FZ165" s="2"/>
      <c r="GA165" s="2" t="s">
        <v>6</v>
      </c>
      <c r="GB165" s="2"/>
      <c r="GC165" s="2"/>
      <c r="GD165" s="2">
        <v>1</v>
      </c>
      <c r="GE165" s="2"/>
      <c r="GF165" s="2">
        <v>-81122142</v>
      </c>
      <c r="GG165" s="2">
        <v>2</v>
      </c>
      <c r="GH165" s="2">
        <v>0</v>
      </c>
      <c r="GI165" s="2">
        <v>-2</v>
      </c>
      <c r="GJ165" s="2">
        <v>0</v>
      </c>
      <c r="GK165" s="2">
        <v>0</v>
      </c>
      <c r="GL165" s="2">
        <f t="shared" si="179"/>
        <v>0</v>
      </c>
      <c r="GM165" s="2">
        <f t="shared" si="180"/>
        <v>2</v>
      </c>
      <c r="GN165" s="2">
        <f t="shared" si="181"/>
        <v>2</v>
      </c>
      <c r="GO165" s="2">
        <f t="shared" si="182"/>
        <v>0</v>
      </c>
      <c r="GP165" s="2">
        <f t="shared" si="183"/>
        <v>0</v>
      </c>
      <c r="GQ165" s="2"/>
      <c r="GR165" s="2">
        <v>0</v>
      </c>
      <c r="GS165" s="2">
        <v>3</v>
      </c>
      <c r="GT165" s="2">
        <v>0</v>
      </c>
      <c r="GU165" s="2" t="s">
        <v>6</v>
      </c>
      <c r="GV165" s="2">
        <f t="shared" si="184"/>
        <v>0</v>
      </c>
      <c r="GW165" s="2">
        <v>1</v>
      </c>
      <c r="GX165" s="2">
        <f t="shared" si="185"/>
        <v>0</v>
      </c>
      <c r="GY165" s="2"/>
      <c r="GZ165" s="2"/>
      <c r="HA165" s="2">
        <v>0</v>
      </c>
      <c r="HB165" s="2">
        <v>0</v>
      </c>
      <c r="HC165" s="2">
        <f t="shared" si="186"/>
        <v>0</v>
      </c>
      <c r="HD165" s="2"/>
      <c r="HE165" s="2" t="s">
        <v>6</v>
      </c>
      <c r="HF165" s="2" t="s">
        <v>6</v>
      </c>
      <c r="HG165" s="2"/>
      <c r="HH165" s="2"/>
      <c r="HI165" s="2"/>
      <c r="HJ165" s="2"/>
      <c r="HK165" s="2"/>
      <c r="HL165" s="2"/>
      <c r="HM165" s="2" t="s">
        <v>6</v>
      </c>
      <c r="HN165" s="2" t="s">
        <v>6</v>
      </c>
      <c r="HO165" s="2" t="s">
        <v>6</v>
      </c>
      <c r="HP165" s="2" t="s">
        <v>6</v>
      </c>
      <c r="HQ165" s="2" t="s">
        <v>6</v>
      </c>
      <c r="HR165" s="2"/>
      <c r="HS165" s="2"/>
      <c r="HT165" s="2"/>
      <c r="HU165" s="2"/>
      <c r="HV165" s="2"/>
      <c r="HW165" s="2"/>
      <c r="HX165" s="2"/>
      <c r="HY165" s="2"/>
      <c r="HZ165" s="2"/>
      <c r="IA165" s="2"/>
      <c r="IB165" s="2"/>
      <c r="IC165" s="2"/>
      <c r="ID165" s="2"/>
      <c r="IE165" s="2"/>
      <c r="IF165" s="2">
        <v>-1</v>
      </c>
      <c r="IG165" s="2"/>
      <c r="IH165" s="2"/>
      <c r="II165" s="2"/>
      <c r="IJ165" s="2"/>
      <c r="IK165" s="2">
        <v>0</v>
      </c>
      <c r="IL165" s="2"/>
      <c r="IM165" s="2"/>
      <c r="IN165" s="2"/>
      <c r="IO165" s="2"/>
      <c r="IP165" s="2"/>
      <c r="IQ165" s="2"/>
      <c r="IR165" s="2"/>
      <c r="IS165" s="2"/>
      <c r="IT165" s="2"/>
      <c r="IU165" s="2"/>
    </row>
    <row r="166" spans="1:255" x14ac:dyDescent="0.2">
      <c r="A166">
        <v>18</v>
      </c>
      <c r="B166">
        <v>1</v>
      </c>
      <c r="C166">
        <v>196</v>
      </c>
      <c r="E166" t="s">
        <v>256</v>
      </c>
      <c r="F166" t="e">
        <f>'2.Лок.смета.и.Акт'!#REF!</f>
        <v>#REF!</v>
      </c>
      <c r="G166" t="s">
        <v>72</v>
      </c>
      <c r="H166" t="s">
        <v>33</v>
      </c>
      <c r="I166">
        <f>I164*J166</f>
        <v>1.4532499999999999E-3</v>
      </c>
      <c r="J166">
        <v>4.20014450867052E-3</v>
      </c>
      <c r="K166">
        <v>4.1999999999999997E-3</v>
      </c>
      <c r="O166">
        <f t="shared" si="155"/>
        <v>127</v>
      </c>
      <c r="P166">
        <f t="shared" si="156"/>
        <v>127</v>
      </c>
      <c r="Q166">
        <f t="shared" si="157"/>
        <v>0</v>
      </c>
      <c r="R166">
        <f t="shared" si="158"/>
        <v>0</v>
      </c>
      <c r="S166">
        <f t="shared" si="159"/>
        <v>0</v>
      </c>
      <c r="T166">
        <f t="shared" si="160"/>
        <v>0</v>
      </c>
      <c r="U166">
        <f t="shared" si="161"/>
        <v>0</v>
      </c>
      <c r="V166">
        <f t="shared" si="162"/>
        <v>0</v>
      </c>
      <c r="W166">
        <f t="shared" si="163"/>
        <v>0</v>
      </c>
      <c r="X166">
        <f t="shared" si="164"/>
        <v>0</v>
      </c>
      <c r="Y166">
        <f t="shared" si="165"/>
        <v>0</v>
      </c>
      <c r="AA166">
        <v>86326988</v>
      </c>
      <c r="AB166">
        <f t="shared" si="166"/>
        <v>11576.19</v>
      </c>
      <c r="AC166">
        <f t="shared" si="188"/>
        <v>11576.19</v>
      </c>
      <c r="AD166">
        <f>ROUND((((ET166)-(EU166))+AE166),2)</f>
        <v>0</v>
      </c>
      <c r="AE166">
        <f t="shared" si="189"/>
        <v>0</v>
      </c>
      <c r="AF166">
        <f t="shared" si="190"/>
        <v>0</v>
      </c>
      <c r="AG166">
        <f t="shared" si="167"/>
        <v>0</v>
      </c>
      <c r="AH166">
        <f t="shared" si="191"/>
        <v>0</v>
      </c>
      <c r="AI166">
        <f t="shared" si="192"/>
        <v>0</v>
      </c>
      <c r="AJ166">
        <f t="shared" si="168"/>
        <v>0</v>
      </c>
      <c r="AK166">
        <v>11576.19</v>
      </c>
      <c r="AL166">
        <v>11576.19</v>
      </c>
      <c r="AM166">
        <v>0</v>
      </c>
      <c r="AN166">
        <v>0</v>
      </c>
      <c r="AO166">
        <v>0</v>
      </c>
      <c r="AP166">
        <v>0</v>
      </c>
      <c r="AQ166">
        <v>0</v>
      </c>
      <c r="AR166">
        <v>0</v>
      </c>
      <c r="AS166">
        <v>0</v>
      </c>
      <c r="AT166">
        <v>0</v>
      </c>
      <c r="AU166">
        <v>0</v>
      </c>
      <c r="AV166">
        <v>1</v>
      </c>
      <c r="AW166">
        <v>1</v>
      </c>
      <c r="AZ166">
        <v>1</v>
      </c>
      <c r="BA166">
        <v>1</v>
      </c>
      <c r="BB166">
        <v>1</v>
      </c>
      <c r="BC166">
        <v>7.56</v>
      </c>
      <c r="BD166" t="s">
        <v>6</v>
      </c>
      <c r="BE166" t="s">
        <v>6</v>
      </c>
      <c r="BF166" t="s">
        <v>6</v>
      </c>
      <c r="BG166" t="s">
        <v>6</v>
      </c>
      <c r="BH166">
        <v>3</v>
      </c>
      <c r="BI166">
        <v>1</v>
      </c>
      <c r="BJ166" t="s">
        <v>73</v>
      </c>
      <c r="BM166">
        <v>500001</v>
      </c>
      <c r="BN166">
        <v>0</v>
      </c>
      <c r="BO166" t="s">
        <v>6</v>
      </c>
      <c r="BP166">
        <v>0</v>
      </c>
      <c r="BQ166">
        <v>20</v>
      </c>
      <c r="BR166">
        <v>0</v>
      </c>
      <c r="BS166">
        <v>1</v>
      </c>
      <c r="BT166">
        <v>1</v>
      </c>
      <c r="BU166">
        <v>1</v>
      </c>
      <c r="BV166">
        <v>1</v>
      </c>
      <c r="BW166">
        <v>1</v>
      </c>
      <c r="BX166">
        <v>1</v>
      </c>
      <c r="BY166" t="s">
        <v>6</v>
      </c>
      <c r="BZ166">
        <v>0</v>
      </c>
      <c r="CA166">
        <v>0</v>
      </c>
      <c r="CB166" t="s">
        <v>6</v>
      </c>
      <c r="CE166">
        <v>0</v>
      </c>
      <c r="CF166">
        <v>0</v>
      </c>
      <c r="CG166">
        <v>0</v>
      </c>
      <c r="CM166">
        <v>0</v>
      </c>
      <c r="CN166" t="s">
        <v>6</v>
      </c>
      <c r="CO166">
        <v>0</v>
      </c>
      <c r="CP166">
        <f t="shared" si="169"/>
        <v>127</v>
      </c>
      <c r="CQ166">
        <f t="shared" si="170"/>
        <v>87515.996400000004</v>
      </c>
      <c r="CR166">
        <f t="shared" si="171"/>
        <v>0</v>
      </c>
      <c r="CS166">
        <f t="shared" si="172"/>
        <v>0</v>
      </c>
      <c r="CT166">
        <f t="shared" si="173"/>
        <v>0</v>
      </c>
      <c r="CU166">
        <f t="shared" si="174"/>
        <v>0</v>
      </c>
      <c r="CV166">
        <f t="shared" si="175"/>
        <v>0</v>
      </c>
      <c r="CW166">
        <f t="shared" si="176"/>
        <v>0</v>
      </c>
      <c r="CX166">
        <f t="shared" si="177"/>
        <v>0</v>
      </c>
      <c r="CY166">
        <f>(S166+R166)*(BZ166/100)</f>
        <v>0</v>
      </c>
      <c r="CZ166">
        <f>(S166+R166)*(CA166/100)</f>
        <v>0</v>
      </c>
      <c r="DC166" t="s">
        <v>6</v>
      </c>
      <c r="DD166" t="s">
        <v>6</v>
      </c>
      <c r="DE166" t="s">
        <v>6</v>
      </c>
      <c r="DF166" t="s">
        <v>6</v>
      </c>
      <c r="DG166" t="s">
        <v>6</v>
      </c>
      <c r="DH166" t="s">
        <v>6</v>
      </c>
      <c r="DI166" t="s">
        <v>6</v>
      </c>
      <c r="DJ166" t="s">
        <v>6</v>
      </c>
      <c r="DK166" t="s">
        <v>6</v>
      </c>
      <c r="DL166" t="s">
        <v>6</v>
      </c>
      <c r="DM166" t="s">
        <v>6</v>
      </c>
      <c r="DN166">
        <v>0</v>
      </c>
      <c r="DO166">
        <v>0</v>
      </c>
      <c r="DP166">
        <v>1</v>
      </c>
      <c r="DQ166">
        <v>1</v>
      </c>
      <c r="DU166">
        <v>1009</v>
      </c>
      <c r="DV166" t="s">
        <v>33</v>
      </c>
      <c r="DW166" t="e">
        <f>'2.Лок.смета.и.Акт'!#REF!</f>
        <v>#REF!</v>
      </c>
      <c r="DX166">
        <v>1000</v>
      </c>
      <c r="DZ166" t="s">
        <v>6</v>
      </c>
      <c r="EA166" t="s">
        <v>6</v>
      </c>
      <c r="EB166" t="s">
        <v>6</v>
      </c>
      <c r="EC166" t="s">
        <v>6</v>
      </c>
      <c r="EE166">
        <v>54938781</v>
      </c>
      <c r="EF166">
        <v>20</v>
      </c>
      <c r="EG166" t="s">
        <v>35</v>
      </c>
      <c r="EH166">
        <v>0</v>
      </c>
      <c r="EI166" t="s">
        <v>6</v>
      </c>
      <c r="EJ166">
        <v>1</v>
      </c>
      <c r="EK166">
        <v>500001</v>
      </c>
      <c r="EL166" t="s">
        <v>36</v>
      </c>
      <c r="EM166" t="s">
        <v>37</v>
      </c>
      <c r="EO166" t="s">
        <v>6</v>
      </c>
      <c r="EQ166">
        <v>0</v>
      </c>
      <c r="ER166">
        <v>82500</v>
      </c>
      <c r="ES166">
        <v>11576.19</v>
      </c>
      <c r="ET166">
        <v>0</v>
      </c>
      <c r="EU166">
        <v>0</v>
      </c>
      <c r="EV166">
        <v>0</v>
      </c>
      <c r="EW166">
        <v>0</v>
      </c>
      <c r="EX166">
        <v>0</v>
      </c>
      <c r="EZ166">
        <v>5</v>
      </c>
      <c r="FC166">
        <v>0</v>
      </c>
      <c r="FD166">
        <v>18</v>
      </c>
      <c r="FF166">
        <v>82500</v>
      </c>
      <c r="FQ166">
        <v>0</v>
      </c>
      <c r="FR166">
        <f t="shared" si="178"/>
        <v>0</v>
      </c>
      <c r="FS166">
        <v>0</v>
      </c>
      <c r="FX166">
        <v>0</v>
      </c>
      <c r="FY166">
        <v>0</v>
      </c>
      <c r="GA166" t="s">
        <v>74</v>
      </c>
      <c r="GD166">
        <v>1</v>
      </c>
      <c r="GF166">
        <v>-81122142</v>
      </c>
      <c r="GG166">
        <v>2</v>
      </c>
      <c r="GH166">
        <v>3</v>
      </c>
      <c r="GI166">
        <v>5</v>
      </c>
      <c r="GJ166">
        <v>0</v>
      </c>
      <c r="GK166">
        <v>0</v>
      </c>
      <c r="GL166">
        <f t="shared" si="179"/>
        <v>0</v>
      </c>
      <c r="GM166">
        <f t="shared" si="180"/>
        <v>127</v>
      </c>
      <c r="GN166">
        <f t="shared" si="181"/>
        <v>127</v>
      </c>
      <c r="GO166">
        <f t="shared" si="182"/>
        <v>0</v>
      </c>
      <c r="GP166">
        <f t="shared" si="183"/>
        <v>0</v>
      </c>
      <c r="GR166">
        <v>1</v>
      </c>
      <c r="GS166">
        <v>1</v>
      </c>
      <c r="GT166">
        <v>0</v>
      </c>
      <c r="GU166" t="s">
        <v>6</v>
      </c>
      <c r="GV166">
        <f t="shared" si="184"/>
        <v>0</v>
      </c>
      <c r="GW166">
        <v>1</v>
      </c>
      <c r="GX166">
        <f t="shared" si="185"/>
        <v>0</v>
      </c>
      <c r="HA166">
        <v>0</v>
      </c>
      <c r="HB166">
        <v>0</v>
      </c>
      <c r="HC166">
        <f t="shared" si="186"/>
        <v>0</v>
      </c>
      <c r="HE166" t="s">
        <v>39</v>
      </c>
      <c r="HF166" t="s">
        <v>40</v>
      </c>
      <c r="HM166" t="s">
        <v>6</v>
      </c>
      <c r="HN166" t="s">
        <v>6</v>
      </c>
      <c r="HO166" t="s">
        <v>6</v>
      </c>
      <c r="HP166" t="s">
        <v>6</v>
      </c>
      <c r="HQ166" t="s">
        <v>6</v>
      </c>
      <c r="IF166">
        <v>-1</v>
      </c>
      <c r="IK166">
        <v>0</v>
      </c>
    </row>
    <row r="167" spans="1:255" x14ac:dyDescent="0.2">
      <c r="A167" s="2">
        <v>18</v>
      </c>
      <c r="B167" s="2">
        <v>1</v>
      </c>
      <c r="C167" s="2">
        <v>187</v>
      </c>
      <c r="D167" s="2"/>
      <c r="E167" s="2" t="s">
        <v>257</v>
      </c>
      <c r="F167" s="2" t="s">
        <v>76</v>
      </c>
      <c r="G167" s="2" t="s">
        <v>245</v>
      </c>
      <c r="H167" s="2" t="s">
        <v>78</v>
      </c>
      <c r="I167" s="2">
        <f>I163*J167</f>
        <v>0.86499999999999999</v>
      </c>
      <c r="J167" s="226">
        <f>'5.Ведомость_списания'!F78</f>
        <v>2.5</v>
      </c>
      <c r="K167" s="2">
        <v>2.5</v>
      </c>
      <c r="L167" s="2"/>
      <c r="M167" s="2"/>
      <c r="N167" s="2"/>
      <c r="O167" s="2">
        <f t="shared" si="155"/>
        <v>76</v>
      </c>
      <c r="P167" s="2">
        <f t="shared" si="156"/>
        <v>76</v>
      </c>
      <c r="Q167" s="2">
        <f t="shared" si="157"/>
        <v>0</v>
      </c>
      <c r="R167" s="2">
        <f t="shared" si="158"/>
        <v>0</v>
      </c>
      <c r="S167" s="2">
        <f t="shared" si="159"/>
        <v>0</v>
      </c>
      <c r="T167" s="2">
        <f t="shared" si="160"/>
        <v>0</v>
      </c>
      <c r="U167" s="2">
        <f t="shared" si="161"/>
        <v>0</v>
      </c>
      <c r="V167" s="2">
        <f t="shared" si="162"/>
        <v>0</v>
      </c>
      <c r="W167" s="2">
        <f t="shared" si="163"/>
        <v>0</v>
      </c>
      <c r="X167" s="2">
        <f t="shared" si="164"/>
        <v>0</v>
      </c>
      <c r="Y167" s="2">
        <f t="shared" si="165"/>
        <v>0</v>
      </c>
      <c r="Z167" s="2"/>
      <c r="AA167" s="2">
        <v>86326987</v>
      </c>
      <c r="AB167" s="2">
        <f t="shared" si="166"/>
        <v>87.58</v>
      </c>
      <c r="AC167" s="2">
        <f t="shared" si="188"/>
        <v>87.58</v>
      </c>
      <c r="AD167" s="2">
        <f>ROUND((ET167),2)</f>
        <v>0</v>
      </c>
      <c r="AE167" s="2">
        <f t="shared" si="189"/>
        <v>0</v>
      </c>
      <c r="AF167" s="2">
        <f t="shared" si="190"/>
        <v>0</v>
      </c>
      <c r="AG167" s="2">
        <f t="shared" si="167"/>
        <v>0</v>
      </c>
      <c r="AH167" s="2">
        <f t="shared" si="191"/>
        <v>0</v>
      </c>
      <c r="AI167" s="2">
        <f t="shared" si="192"/>
        <v>0</v>
      </c>
      <c r="AJ167" s="2">
        <f t="shared" si="168"/>
        <v>0</v>
      </c>
      <c r="AK167" s="2">
        <v>87.58</v>
      </c>
      <c r="AL167" s="110">
        <f>'1.Лок.смета.и.Акт'!F309</f>
        <v>87.58</v>
      </c>
      <c r="AM167" s="2">
        <v>0</v>
      </c>
      <c r="AN167" s="2">
        <v>0</v>
      </c>
      <c r="AO167" s="2">
        <v>0</v>
      </c>
      <c r="AP167" s="2">
        <v>0</v>
      </c>
      <c r="AQ167" s="2">
        <v>0</v>
      </c>
      <c r="AR167" s="2">
        <v>0</v>
      </c>
      <c r="AS167" s="2">
        <v>0</v>
      </c>
      <c r="AT167" s="2">
        <v>0</v>
      </c>
      <c r="AU167" s="2">
        <v>0</v>
      </c>
      <c r="AV167" s="2">
        <v>1</v>
      </c>
      <c r="AW167" s="2">
        <v>1</v>
      </c>
      <c r="AX167" s="2"/>
      <c r="AY167" s="2"/>
      <c r="AZ167" s="2">
        <v>1</v>
      </c>
      <c r="BA167" s="2">
        <v>1</v>
      </c>
      <c r="BB167" s="2">
        <v>1</v>
      </c>
      <c r="BC167" s="2">
        <v>1</v>
      </c>
      <c r="BD167" s="2" t="s">
        <v>6</v>
      </c>
      <c r="BE167" s="2" t="s">
        <v>6</v>
      </c>
      <c r="BF167" s="2" t="s">
        <v>6</v>
      </c>
      <c r="BG167" s="2" t="s">
        <v>6</v>
      </c>
      <c r="BH167" s="2">
        <v>3</v>
      </c>
      <c r="BI167" s="2">
        <v>1</v>
      </c>
      <c r="BJ167" s="2" t="s">
        <v>79</v>
      </c>
      <c r="BK167" s="2"/>
      <c r="BL167" s="2"/>
      <c r="BM167" s="2">
        <v>3101</v>
      </c>
      <c r="BN167" s="2">
        <v>0</v>
      </c>
      <c r="BO167" s="2" t="s">
        <v>6</v>
      </c>
      <c r="BP167" s="2">
        <v>0</v>
      </c>
      <c r="BQ167" s="2">
        <v>0</v>
      </c>
      <c r="BR167" s="2">
        <v>0</v>
      </c>
      <c r="BS167" s="2">
        <v>1</v>
      </c>
      <c r="BT167" s="2">
        <v>1</v>
      </c>
      <c r="BU167" s="2">
        <v>1</v>
      </c>
      <c r="BV167" s="2">
        <v>1</v>
      </c>
      <c r="BW167" s="2">
        <v>1</v>
      </c>
      <c r="BX167" s="2">
        <v>1</v>
      </c>
      <c r="BY167" s="2" t="s">
        <v>6</v>
      </c>
      <c r="BZ167" s="2">
        <v>0</v>
      </c>
      <c r="CA167" s="2">
        <v>0</v>
      </c>
      <c r="CB167" s="2" t="s">
        <v>6</v>
      </c>
      <c r="CC167" s="2"/>
      <c r="CD167" s="2"/>
      <c r="CE167" s="2">
        <v>0</v>
      </c>
      <c r="CF167" s="2">
        <v>0</v>
      </c>
      <c r="CG167" s="2">
        <v>0</v>
      </c>
      <c r="CH167" s="2"/>
      <c r="CI167" s="2"/>
      <c r="CJ167" s="2"/>
      <c r="CK167" s="2"/>
      <c r="CL167" s="2"/>
      <c r="CM167" s="2">
        <v>0</v>
      </c>
      <c r="CN167" s="2" t="s">
        <v>6</v>
      </c>
      <c r="CO167" s="2">
        <v>0</v>
      </c>
      <c r="CP167" s="2">
        <f t="shared" si="169"/>
        <v>76</v>
      </c>
      <c r="CQ167" s="2">
        <f t="shared" si="170"/>
        <v>87.58</v>
      </c>
      <c r="CR167" s="2">
        <f t="shared" si="171"/>
        <v>0</v>
      </c>
      <c r="CS167" s="2">
        <f t="shared" si="172"/>
        <v>0</v>
      </c>
      <c r="CT167" s="2">
        <f t="shared" si="173"/>
        <v>0</v>
      </c>
      <c r="CU167" s="2">
        <f t="shared" si="174"/>
        <v>0</v>
      </c>
      <c r="CV167" s="2">
        <f t="shared" si="175"/>
        <v>0</v>
      </c>
      <c r="CW167" s="2">
        <f t="shared" si="176"/>
        <v>0</v>
      </c>
      <c r="CX167" s="2">
        <f t="shared" si="177"/>
        <v>0</v>
      </c>
      <c r="CY167" s="2">
        <f>0</f>
        <v>0</v>
      </c>
      <c r="CZ167" s="2">
        <f>0</f>
        <v>0</v>
      </c>
      <c r="DA167" s="2"/>
      <c r="DB167" s="2"/>
      <c r="DC167" s="2" t="s">
        <v>6</v>
      </c>
      <c r="DD167" s="2" t="s">
        <v>6</v>
      </c>
      <c r="DE167" s="2" t="s">
        <v>6</v>
      </c>
      <c r="DF167" s="2" t="s">
        <v>6</v>
      </c>
      <c r="DG167" s="2" t="s">
        <v>6</v>
      </c>
      <c r="DH167" s="2" t="s">
        <v>6</v>
      </c>
      <c r="DI167" s="2" t="s">
        <v>6</v>
      </c>
      <c r="DJ167" s="2" t="s">
        <v>6</v>
      </c>
      <c r="DK167" s="2" t="s">
        <v>6</v>
      </c>
      <c r="DL167" s="2" t="s">
        <v>6</v>
      </c>
      <c r="DM167" s="2" t="s">
        <v>6</v>
      </c>
      <c r="DN167" s="2">
        <v>0</v>
      </c>
      <c r="DO167" s="2">
        <v>0</v>
      </c>
      <c r="DP167" s="2">
        <v>1</v>
      </c>
      <c r="DQ167" s="2">
        <v>1</v>
      </c>
      <c r="DR167" s="2"/>
      <c r="DS167" s="2"/>
      <c r="DT167" s="2"/>
      <c r="DU167" s="2">
        <v>1013</v>
      </c>
      <c r="DV167" s="2" t="s">
        <v>78</v>
      </c>
      <c r="DW167" s="2" t="s">
        <v>78</v>
      </c>
      <c r="DX167" s="2">
        <v>1</v>
      </c>
      <c r="DY167" s="2"/>
      <c r="DZ167" s="2" t="s">
        <v>6</v>
      </c>
      <c r="EA167" s="2" t="s">
        <v>6</v>
      </c>
      <c r="EB167" s="2" t="s">
        <v>6</v>
      </c>
      <c r="EC167" s="2" t="s">
        <v>6</v>
      </c>
      <c r="ED167" s="2"/>
      <c r="EE167" s="2">
        <v>0</v>
      </c>
      <c r="EF167" s="2">
        <v>0</v>
      </c>
      <c r="EG167" s="2" t="s">
        <v>6</v>
      </c>
      <c r="EH167" s="2">
        <v>0</v>
      </c>
      <c r="EI167" s="2" t="s">
        <v>6</v>
      </c>
      <c r="EJ167" s="2">
        <v>0</v>
      </c>
      <c r="EK167" s="2">
        <v>3101</v>
      </c>
      <c r="EL167" s="2" t="s">
        <v>6</v>
      </c>
      <c r="EM167" s="2" t="s">
        <v>6</v>
      </c>
      <c r="EN167" s="2"/>
      <c r="EO167" s="2" t="s">
        <v>6</v>
      </c>
      <c r="EP167" s="2"/>
      <c r="EQ167" s="2">
        <v>0</v>
      </c>
      <c r="ER167" s="2">
        <v>87.58</v>
      </c>
      <c r="ES167" s="110">
        <f>'1.Лок.смета.и.Акт'!F309</f>
        <v>87.58</v>
      </c>
      <c r="ET167" s="2">
        <v>0</v>
      </c>
      <c r="EU167" s="2">
        <v>0</v>
      </c>
      <c r="EV167" s="2">
        <v>0</v>
      </c>
      <c r="EW167" s="2">
        <v>0</v>
      </c>
      <c r="EX167" s="2">
        <v>0</v>
      </c>
      <c r="EY167" s="2"/>
      <c r="EZ167" s="2"/>
      <c r="FA167" s="2"/>
      <c r="FB167" s="2"/>
      <c r="FC167" s="2"/>
      <c r="FD167" s="2"/>
      <c r="FE167" s="2"/>
      <c r="FF167" s="2"/>
      <c r="FG167" s="2"/>
      <c r="FH167" s="2"/>
      <c r="FI167" s="2"/>
      <c r="FJ167" s="2"/>
      <c r="FK167" s="2"/>
      <c r="FL167" s="2"/>
      <c r="FM167" s="2"/>
      <c r="FN167" s="2"/>
      <c r="FO167" s="2"/>
      <c r="FP167" s="2"/>
      <c r="FQ167" s="2">
        <v>0</v>
      </c>
      <c r="FR167" s="2">
        <f t="shared" si="178"/>
        <v>0</v>
      </c>
      <c r="FS167" s="2">
        <v>0</v>
      </c>
      <c r="FT167" s="2"/>
      <c r="FU167" s="2"/>
      <c r="FV167" s="2"/>
      <c r="FW167" s="2"/>
      <c r="FX167" s="2">
        <v>0</v>
      </c>
      <c r="FY167" s="2">
        <v>0</v>
      </c>
      <c r="FZ167" s="2"/>
      <c r="GA167" s="2" t="s">
        <v>6</v>
      </c>
      <c r="GB167" s="2"/>
      <c r="GC167" s="2"/>
      <c r="GD167" s="2">
        <v>1</v>
      </c>
      <c r="GE167" s="2"/>
      <c r="GF167" s="2">
        <v>1869088844</v>
      </c>
      <c r="GG167" s="2">
        <v>2</v>
      </c>
      <c r="GH167" s="2">
        <v>1</v>
      </c>
      <c r="GI167" s="2">
        <v>-2</v>
      </c>
      <c r="GJ167" s="2">
        <v>0</v>
      </c>
      <c r="GK167" s="2">
        <v>0</v>
      </c>
      <c r="GL167" s="2">
        <f t="shared" si="179"/>
        <v>0</v>
      </c>
      <c r="GM167" s="2">
        <f t="shared" si="180"/>
        <v>76</v>
      </c>
      <c r="GN167" s="2">
        <f t="shared" si="181"/>
        <v>76</v>
      </c>
      <c r="GO167" s="2">
        <f t="shared" si="182"/>
        <v>0</v>
      </c>
      <c r="GP167" s="2">
        <f t="shared" si="183"/>
        <v>0</v>
      </c>
      <c r="GQ167" s="2"/>
      <c r="GR167" s="2">
        <v>0</v>
      </c>
      <c r="GS167" s="2">
        <v>3</v>
      </c>
      <c r="GT167" s="2">
        <v>0</v>
      </c>
      <c r="GU167" s="2" t="s">
        <v>6</v>
      </c>
      <c r="GV167" s="2">
        <f t="shared" si="184"/>
        <v>0</v>
      </c>
      <c r="GW167" s="2">
        <v>1</v>
      </c>
      <c r="GX167" s="2">
        <f t="shared" si="185"/>
        <v>0</v>
      </c>
      <c r="GY167" s="2"/>
      <c r="GZ167" s="2"/>
      <c r="HA167" s="2">
        <v>0</v>
      </c>
      <c r="HB167" s="2">
        <v>0</v>
      </c>
      <c r="HC167" s="2">
        <f t="shared" si="186"/>
        <v>0</v>
      </c>
      <c r="HD167" s="2"/>
      <c r="HE167" s="2" t="s">
        <v>6</v>
      </c>
      <c r="HF167" s="2" t="s">
        <v>6</v>
      </c>
      <c r="HG167" s="2"/>
      <c r="HH167" s="2"/>
      <c r="HI167" s="2"/>
      <c r="HJ167" s="2"/>
      <c r="HK167" s="2"/>
      <c r="HL167" s="2"/>
      <c r="HM167" s="2" t="s">
        <v>6</v>
      </c>
      <c r="HN167" s="2" t="s">
        <v>6</v>
      </c>
      <c r="HO167" s="2" t="s">
        <v>6</v>
      </c>
      <c r="HP167" s="2" t="s">
        <v>6</v>
      </c>
      <c r="HQ167" s="2" t="s">
        <v>6</v>
      </c>
      <c r="HR167" s="2"/>
      <c r="HS167" s="2"/>
      <c r="HT167" s="2"/>
      <c r="HU167" s="2"/>
      <c r="HV167" s="2"/>
      <c r="HW167" s="2"/>
      <c r="HX167" s="2"/>
      <c r="HY167" s="2"/>
      <c r="HZ167" s="2"/>
      <c r="IA167" s="2"/>
      <c r="IB167" s="2"/>
      <c r="IC167" s="2"/>
      <c r="ID167" s="2"/>
      <c r="IE167" s="2"/>
      <c r="IF167" s="2">
        <v>-1</v>
      </c>
      <c r="IG167" s="2"/>
      <c r="IH167" s="2"/>
      <c r="II167" s="2"/>
      <c r="IJ167" s="2"/>
      <c r="IK167" s="2">
        <v>0</v>
      </c>
      <c r="IL167" s="2"/>
      <c r="IM167" s="2"/>
      <c r="IN167" s="2"/>
      <c r="IO167" s="2"/>
      <c r="IP167" s="2"/>
      <c r="IQ167" s="2"/>
      <c r="IR167" s="2"/>
      <c r="IS167" s="2"/>
      <c r="IT167" s="2"/>
      <c r="IU167" s="2"/>
    </row>
    <row r="168" spans="1:255" x14ac:dyDescent="0.2">
      <c r="A168">
        <v>18</v>
      </c>
      <c r="B168">
        <v>1</v>
      </c>
      <c r="C168">
        <v>200</v>
      </c>
      <c r="E168" t="s">
        <v>257</v>
      </c>
      <c r="F168" t="e">
        <f>'2.Лок.смета.и.Акт'!#REF!</f>
        <v>#REF!</v>
      </c>
      <c r="G168" t="s">
        <v>245</v>
      </c>
      <c r="H168" t="s">
        <v>78</v>
      </c>
      <c r="I168">
        <f>I164*J168</f>
        <v>0.86499999999999999</v>
      </c>
      <c r="J168">
        <v>2.5</v>
      </c>
      <c r="K168">
        <v>2.5</v>
      </c>
      <c r="O168">
        <f t="shared" si="155"/>
        <v>302</v>
      </c>
      <c r="P168">
        <f t="shared" si="156"/>
        <v>302</v>
      </c>
      <c r="Q168">
        <f t="shared" si="157"/>
        <v>0</v>
      </c>
      <c r="R168">
        <f t="shared" si="158"/>
        <v>0</v>
      </c>
      <c r="S168">
        <f t="shared" si="159"/>
        <v>0</v>
      </c>
      <c r="T168">
        <f t="shared" si="160"/>
        <v>0</v>
      </c>
      <c r="U168">
        <f t="shared" si="161"/>
        <v>0</v>
      </c>
      <c r="V168">
        <f t="shared" si="162"/>
        <v>0</v>
      </c>
      <c r="W168">
        <f t="shared" si="163"/>
        <v>0</v>
      </c>
      <c r="X168">
        <f t="shared" si="164"/>
        <v>0</v>
      </c>
      <c r="Y168">
        <f t="shared" si="165"/>
        <v>0</v>
      </c>
      <c r="AA168">
        <v>86326988</v>
      </c>
      <c r="AB168">
        <f t="shared" si="166"/>
        <v>46.21</v>
      </c>
      <c r="AC168">
        <f t="shared" si="188"/>
        <v>46.21</v>
      </c>
      <c r="AD168">
        <f>ROUND((ET168),2)</f>
        <v>0</v>
      </c>
      <c r="AE168">
        <f t="shared" si="189"/>
        <v>0</v>
      </c>
      <c r="AF168">
        <f t="shared" si="190"/>
        <v>0</v>
      </c>
      <c r="AG168">
        <f t="shared" si="167"/>
        <v>0</v>
      </c>
      <c r="AH168">
        <f t="shared" si="191"/>
        <v>0</v>
      </c>
      <c r="AI168">
        <f t="shared" si="192"/>
        <v>0</v>
      </c>
      <c r="AJ168">
        <f t="shared" si="168"/>
        <v>0</v>
      </c>
      <c r="AK168">
        <v>46.21</v>
      </c>
      <c r="AL168">
        <v>46.21</v>
      </c>
      <c r="AM168">
        <v>0</v>
      </c>
      <c r="AN168">
        <v>0</v>
      </c>
      <c r="AO168">
        <v>0</v>
      </c>
      <c r="AP168">
        <v>0</v>
      </c>
      <c r="AQ168">
        <v>0</v>
      </c>
      <c r="AR168">
        <v>0</v>
      </c>
      <c r="AS168">
        <v>0</v>
      </c>
      <c r="AT168">
        <v>0</v>
      </c>
      <c r="AU168">
        <v>0</v>
      </c>
      <c r="AV168">
        <v>1</v>
      </c>
      <c r="AW168">
        <v>1</v>
      </c>
      <c r="AZ168">
        <v>1</v>
      </c>
      <c r="BA168">
        <v>1</v>
      </c>
      <c r="BB168">
        <v>1</v>
      </c>
      <c r="BC168">
        <v>7.56</v>
      </c>
      <c r="BD168" t="s">
        <v>6</v>
      </c>
      <c r="BE168" t="s">
        <v>6</v>
      </c>
      <c r="BF168" t="s">
        <v>6</v>
      </c>
      <c r="BG168" t="s">
        <v>6</v>
      </c>
      <c r="BH168">
        <v>3</v>
      </c>
      <c r="BI168">
        <v>1</v>
      </c>
      <c r="BJ168" t="s">
        <v>79</v>
      </c>
      <c r="BM168">
        <v>3101</v>
      </c>
      <c r="BN168">
        <v>0</v>
      </c>
      <c r="BO168" t="s">
        <v>6</v>
      </c>
      <c r="BP168">
        <v>0</v>
      </c>
      <c r="BQ168">
        <v>0</v>
      </c>
      <c r="BR168">
        <v>0</v>
      </c>
      <c r="BS168">
        <v>1</v>
      </c>
      <c r="BT168">
        <v>1</v>
      </c>
      <c r="BU168">
        <v>1</v>
      </c>
      <c r="BV168">
        <v>1</v>
      </c>
      <c r="BW168">
        <v>1</v>
      </c>
      <c r="BX168">
        <v>1</v>
      </c>
      <c r="BY168" t="s">
        <v>6</v>
      </c>
      <c r="BZ168">
        <v>0</v>
      </c>
      <c r="CA168">
        <v>0</v>
      </c>
      <c r="CB168" t="s">
        <v>6</v>
      </c>
      <c r="CE168">
        <v>0</v>
      </c>
      <c r="CF168">
        <v>0</v>
      </c>
      <c r="CG168">
        <v>0</v>
      </c>
      <c r="CM168">
        <v>0</v>
      </c>
      <c r="CN168" t="s">
        <v>6</v>
      </c>
      <c r="CO168">
        <v>0</v>
      </c>
      <c r="CP168">
        <f t="shared" si="169"/>
        <v>302</v>
      </c>
      <c r="CQ168">
        <f t="shared" si="170"/>
        <v>349.3476</v>
      </c>
      <c r="CR168">
        <f t="shared" si="171"/>
        <v>0</v>
      </c>
      <c r="CS168">
        <f t="shared" si="172"/>
        <v>0</v>
      </c>
      <c r="CT168">
        <f t="shared" si="173"/>
        <v>0</v>
      </c>
      <c r="CU168">
        <f t="shared" si="174"/>
        <v>0</v>
      </c>
      <c r="CV168">
        <f t="shared" si="175"/>
        <v>0</v>
      </c>
      <c r="CW168">
        <f t="shared" si="176"/>
        <v>0</v>
      </c>
      <c r="CX168">
        <f t="shared" si="177"/>
        <v>0</v>
      </c>
      <c r="CY168">
        <f>(S168+R168)*(BZ168/100)</f>
        <v>0</v>
      </c>
      <c r="CZ168">
        <f>(S168+R168)*(CA168/100)</f>
        <v>0</v>
      </c>
      <c r="DC168" t="s">
        <v>6</v>
      </c>
      <c r="DD168" t="s">
        <v>6</v>
      </c>
      <c r="DE168" t="s">
        <v>6</v>
      </c>
      <c r="DF168" t="s">
        <v>6</v>
      </c>
      <c r="DG168" t="s">
        <v>6</v>
      </c>
      <c r="DH168" t="s">
        <v>6</v>
      </c>
      <c r="DI168" t="s">
        <v>6</v>
      </c>
      <c r="DJ168" t="s">
        <v>6</v>
      </c>
      <c r="DK168" t="s">
        <v>6</v>
      </c>
      <c r="DL168" t="s">
        <v>6</v>
      </c>
      <c r="DM168" t="s">
        <v>6</v>
      </c>
      <c r="DN168">
        <v>0</v>
      </c>
      <c r="DO168">
        <v>0</v>
      </c>
      <c r="DP168">
        <v>1</v>
      </c>
      <c r="DQ168">
        <v>1</v>
      </c>
      <c r="DU168">
        <v>1013</v>
      </c>
      <c r="DV168" t="s">
        <v>78</v>
      </c>
      <c r="DW168" t="e">
        <f>'2.Лок.смета.и.Акт'!#REF!</f>
        <v>#REF!</v>
      </c>
      <c r="DX168">
        <v>1</v>
      </c>
      <c r="DZ168" t="s">
        <v>6</v>
      </c>
      <c r="EA168" t="s">
        <v>6</v>
      </c>
      <c r="EB168" t="s">
        <v>6</v>
      </c>
      <c r="EC168" t="s">
        <v>6</v>
      </c>
      <c r="EE168">
        <v>0</v>
      </c>
      <c r="EF168">
        <v>0</v>
      </c>
      <c r="EG168" t="s">
        <v>6</v>
      </c>
      <c r="EH168">
        <v>0</v>
      </c>
      <c r="EI168" t="s">
        <v>6</v>
      </c>
      <c r="EJ168">
        <v>0</v>
      </c>
      <c r="EK168">
        <v>3101</v>
      </c>
      <c r="EL168" t="s">
        <v>6</v>
      </c>
      <c r="EM168" t="s">
        <v>6</v>
      </c>
      <c r="EO168" t="s">
        <v>6</v>
      </c>
      <c r="EQ168">
        <v>0</v>
      </c>
      <c r="ER168">
        <v>333.45</v>
      </c>
      <c r="ES168">
        <v>46.21</v>
      </c>
      <c r="ET168">
        <v>0</v>
      </c>
      <c r="EU168">
        <v>0</v>
      </c>
      <c r="EV168">
        <v>0</v>
      </c>
      <c r="EW168">
        <v>0</v>
      </c>
      <c r="EX168">
        <v>0</v>
      </c>
      <c r="EZ168">
        <v>5</v>
      </c>
      <c r="FC168">
        <v>0</v>
      </c>
      <c r="FD168">
        <v>18</v>
      </c>
      <c r="FF168">
        <v>333.45</v>
      </c>
      <c r="FQ168">
        <v>0</v>
      </c>
      <c r="FR168">
        <f t="shared" si="178"/>
        <v>0</v>
      </c>
      <c r="FS168">
        <v>0</v>
      </c>
      <c r="FX168">
        <v>0</v>
      </c>
      <c r="FY168">
        <v>0</v>
      </c>
      <c r="GA168" t="s">
        <v>80</v>
      </c>
      <c r="GD168">
        <v>1</v>
      </c>
      <c r="GF168">
        <v>1869088844</v>
      </c>
      <c r="GG168">
        <v>2</v>
      </c>
      <c r="GH168">
        <v>3</v>
      </c>
      <c r="GI168">
        <v>5</v>
      </c>
      <c r="GJ168">
        <v>0</v>
      </c>
      <c r="GK168">
        <v>0</v>
      </c>
      <c r="GL168">
        <f t="shared" si="179"/>
        <v>0</v>
      </c>
      <c r="GM168">
        <f t="shared" si="180"/>
        <v>302</v>
      </c>
      <c r="GN168">
        <f t="shared" si="181"/>
        <v>302</v>
      </c>
      <c r="GO168">
        <f t="shared" si="182"/>
        <v>0</v>
      </c>
      <c r="GP168">
        <f t="shared" si="183"/>
        <v>0</v>
      </c>
      <c r="GR168">
        <v>1</v>
      </c>
      <c r="GS168">
        <v>1</v>
      </c>
      <c r="GT168">
        <v>0</v>
      </c>
      <c r="GU168" t="s">
        <v>6</v>
      </c>
      <c r="GV168">
        <f t="shared" si="184"/>
        <v>0</v>
      </c>
      <c r="GW168">
        <v>1</v>
      </c>
      <c r="GX168">
        <f t="shared" si="185"/>
        <v>0</v>
      </c>
      <c r="HA168">
        <v>0</v>
      </c>
      <c r="HB168">
        <v>0</v>
      </c>
      <c r="HC168">
        <f t="shared" si="186"/>
        <v>0</v>
      </c>
      <c r="HE168" t="s">
        <v>39</v>
      </c>
      <c r="HF168" t="s">
        <v>61</v>
      </c>
      <c r="HM168" t="s">
        <v>6</v>
      </c>
      <c r="HN168" t="s">
        <v>6</v>
      </c>
      <c r="HO168" t="s">
        <v>6</v>
      </c>
      <c r="HP168" t="s">
        <v>6</v>
      </c>
      <c r="HQ168" t="s">
        <v>6</v>
      </c>
      <c r="IF168">
        <v>-1</v>
      </c>
      <c r="IK168">
        <v>0</v>
      </c>
    </row>
    <row r="169" spans="1:255" x14ac:dyDescent="0.2">
      <c r="A169" s="2">
        <v>18</v>
      </c>
      <c r="B169" s="2">
        <v>1</v>
      </c>
      <c r="C169" s="2">
        <v>188</v>
      </c>
      <c r="D169" s="2"/>
      <c r="E169" s="2" t="s">
        <v>258</v>
      </c>
      <c r="F169" s="2" t="s">
        <v>82</v>
      </c>
      <c r="G169" s="2" t="s">
        <v>247</v>
      </c>
      <c r="H169" s="2" t="s">
        <v>78</v>
      </c>
      <c r="I169" s="2">
        <f>I163*J169</f>
        <v>0.86499999999999999</v>
      </c>
      <c r="J169" s="226">
        <f>'5.Ведомость_списания'!F79</f>
        <v>2.5</v>
      </c>
      <c r="K169" s="2">
        <v>2.5</v>
      </c>
      <c r="L169" s="2"/>
      <c r="M169" s="2"/>
      <c r="N169" s="2"/>
      <c r="O169" s="2">
        <f t="shared" si="155"/>
        <v>49</v>
      </c>
      <c r="P169" s="2">
        <f t="shared" si="156"/>
        <v>49</v>
      </c>
      <c r="Q169" s="2">
        <f t="shared" si="157"/>
        <v>0</v>
      </c>
      <c r="R169" s="2">
        <f t="shared" si="158"/>
        <v>0</v>
      </c>
      <c r="S169" s="2">
        <f t="shared" si="159"/>
        <v>0</v>
      </c>
      <c r="T169" s="2">
        <f t="shared" si="160"/>
        <v>0</v>
      </c>
      <c r="U169" s="2">
        <f t="shared" si="161"/>
        <v>0</v>
      </c>
      <c r="V169" s="2">
        <f t="shared" si="162"/>
        <v>0</v>
      </c>
      <c r="W169" s="2">
        <f t="shared" si="163"/>
        <v>0</v>
      </c>
      <c r="X169" s="2">
        <f t="shared" si="164"/>
        <v>0</v>
      </c>
      <c r="Y169" s="2">
        <f t="shared" si="165"/>
        <v>0</v>
      </c>
      <c r="Z169" s="2"/>
      <c r="AA169" s="2">
        <v>86326987</v>
      </c>
      <c r="AB169" s="2">
        <f t="shared" si="166"/>
        <v>56.57</v>
      </c>
      <c r="AC169" s="2">
        <f t="shared" si="188"/>
        <v>56.57</v>
      </c>
      <c r="AD169" s="2">
        <f>ROUND((ET169),2)</f>
        <v>0</v>
      </c>
      <c r="AE169" s="2">
        <f t="shared" si="189"/>
        <v>0</v>
      </c>
      <c r="AF169" s="2">
        <f t="shared" si="190"/>
        <v>0</v>
      </c>
      <c r="AG169" s="2">
        <f t="shared" si="167"/>
        <v>0</v>
      </c>
      <c r="AH169" s="2">
        <f t="shared" si="191"/>
        <v>0</v>
      </c>
      <c r="AI169" s="2">
        <f t="shared" si="192"/>
        <v>0</v>
      </c>
      <c r="AJ169" s="2">
        <f t="shared" si="168"/>
        <v>0</v>
      </c>
      <c r="AK169" s="2">
        <v>56.57</v>
      </c>
      <c r="AL169" s="110">
        <f>'1.Лок.смета.и.Акт'!F311</f>
        <v>56.57</v>
      </c>
      <c r="AM169" s="2">
        <v>0</v>
      </c>
      <c r="AN169" s="2">
        <v>0</v>
      </c>
      <c r="AO169" s="2">
        <v>0</v>
      </c>
      <c r="AP169" s="2">
        <v>0</v>
      </c>
      <c r="AQ169" s="2">
        <v>0</v>
      </c>
      <c r="AR169" s="2">
        <v>0</v>
      </c>
      <c r="AS169" s="2">
        <v>0</v>
      </c>
      <c r="AT169" s="2">
        <v>0</v>
      </c>
      <c r="AU169" s="2">
        <v>0</v>
      </c>
      <c r="AV169" s="2">
        <v>1</v>
      </c>
      <c r="AW169" s="2">
        <v>1</v>
      </c>
      <c r="AX169" s="2"/>
      <c r="AY169" s="2"/>
      <c r="AZ169" s="2">
        <v>1</v>
      </c>
      <c r="BA169" s="2">
        <v>1</v>
      </c>
      <c r="BB169" s="2">
        <v>1</v>
      </c>
      <c r="BC169" s="2">
        <v>1</v>
      </c>
      <c r="BD169" s="2" t="s">
        <v>6</v>
      </c>
      <c r="BE169" s="2" t="s">
        <v>6</v>
      </c>
      <c r="BF169" s="2" t="s">
        <v>6</v>
      </c>
      <c r="BG169" s="2" t="s">
        <v>6</v>
      </c>
      <c r="BH169" s="2">
        <v>3</v>
      </c>
      <c r="BI169" s="2">
        <v>1</v>
      </c>
      <c r="BJ169" s="2" t="s">
        <v>84</v>
      </c>
      <c r="BK169" s="2"/>
      <c r="BL169" s="2"/>
      <c r="BM169" s="2">
        <v>3101</v>
      </c>
      <c r="BN169" s="2">
        <v>0</v>
      </c>
      <c r="BO169" s="2" t="s">
        <v>6</v>
      </c>
      <c r="BP169" s="2">
        <v>0</v>
      </c>
      <c r="BQ169" s="2">
        <v>0</v>
      </c>
      <c r="BR169" s="2">
        <v>0</v>
      </c>
      <c r="BS169" s="2">
        <v>1</v>
      </c>
      <c r="BT169" s="2">
        <v>1</v>
      </c>
      <c r="BU169" s="2">
        <v>1</v>
      </c>
      <c r="BV169" s="2">
        <v>1</v>
      </c>
      <c r="BW169" s="2">
        <v>1</v>
      </c>
      <c r="BX169" s="2">
        <v>1</v>
      </c>
      <c r="BY169" s="2" t="s">
        <v>6</v>
      </c>
      <c r="BZ169" s="2">
        <v>0</v>
      </c>
      <c r="CA169" s="2">
        <v>0</v>
      </c>
      <c r="CB169" s="2" t="s">
        <v>6</v>
      </c>
      <c r="CC169" s="2"/>
      <c r="CD169" s="2"/>
      <c r="CE169" s="2">
        <v>0</v>
      </c>
      <c r="CF169" s="2">
        <v>0</v>
      </c>
      <c r="CG169" s="2">
        <v>0</v>
      </c>
      <c r="CH169" s="2"/>
      <c r="CI169" s="2"/>
      <c r="CJ169" s="2"/>
      <c r="CK169" s="2"/>
      <c r="CL169" s="2"/>
      <c r="CM169" s="2">
        <v>0</v>
      </c>
      <c r="CN169" s="2" t="s">
        <v>6</v>
      </c>
      <c r="CO169" s="2">
        <v>0</v>
      </c>
      <c r="CP169" s="2">
        <f t="shared" si="169"/>
        <v>49</v>
      </c>
      <c r="CQ169" s="2">
        <f t="shared" si="170"/>
        <v>56.57</v>
      </c>
      <c r="CR169" s="2">
        <f t="shared" si="171"/>
        <v>0</v>
      </c>
      <c r="CS169" s="2">
        <f t="shared" si="172"/>
        <v>0</v>
      </c>
      <c r="CT169" s="2">
        <f t="shared" si="173"/>
        <v>0</v>
      </c>
      <c r="CU169" s="2">
        <f t="shared" si="174"/>
        <v>0</v>
      </c>
      <c r="CV169" s="2">
        <f t="shared" si="175"/>
        <v>0</v>
      </c>
      <c r="CW169" s="2">
        <f t="shared" si="176"/>
        <v>0</v>
      </c>
      <c r="CX169" s="2">
        <f t="shared" si="177"/>
        <v>0</v>
      </c>
      <c r="CY169" s="2">
        <f>0</f>
        <v>0</v>
      </c>
      <c r="CZ169" s="2">
        <f>0</f>
        <v>0</v>
      </c>
      <c r="DA169" s="2"/>
      <c r="DB169" s="2"/>
      <c r="DC169" s="2" t="s">
        <v>6</v>
      </c>
      <c r="DD169" s="2" t="s">
        <v>6</v>
      </c>
      <c r="DE169" s="2" t="s">
        <v>6</v>
      </c>
      <c r="DF169" s="2" t="s">
        <v>6</v>
      </c>
      <c r="DG169" s="2" t="s">
        <v>6</v>
      </c>
      <c r="DH169" s="2" t="s">
        <v>6</v>
      </c>
      <c r="DI169" s="2" t="s">
        <v>6</v>
      </c>
      <c r="DJ169" s="2" t="s">
        <v>6</v>
      </c>
      <c r="DK169" s="2" t="s">
        <v>6</v>
      </c>
      <c r="DL169" s="2" t="s">
        <v>6</v>
      </c>
      <c r="DM169" s="2" t="s">
        <v>6</v>
      </c>
      <c r="DN169" s="2">
        <v>0</v>
      </c>
      <c r="DO169" s="2">
        <v>0</v>
      </c>
      <c r="DP169" s="2">
        <v>1</v>
      </c>
      <c r="DQ169" s="2">
        <v>1</v>
      </c>
      <c r="DR169" s="2"/>
      <c r="DS169" s="2"/>
      <c r="DT169" s="2"/>
      <c r="DU169" s="2">
        <v>1013</v>
      </c>
      <c r="DV169" s="2" t="s">
        <v>78</v>
      </c>
      <c r="DW169" s="2" t="s">
        <v>78</v>
      </c>
      <c r="DX169" s="2">
        <v>1</v>
      </c>
      <c r="DY169" s="2"/>
      <c r="DZ169" s="2" t="s">
        <v>6</v>
      </c>
      <c r="EA169" s="2" t="s">
        <v>6</v>
      </c>
      <c r="EB169" s="2" t="s">
        <v>6</v>
      </c>
      <c r="EC169" s="2" t="s">
        <v>6</v>
      </c>
      <c r="ED169" s="2"/>
      <c r="EE169" s="2">
        <v>0</v>
      </c>
      <c r="EF169" s="2">
        <v>0</v>
      </c>
      <c r="EG169" s="2" t="s">
        <v>6</v>
      </c>
      <c r="EH169" s="2">
        <v>0</v>
      </c>
      <c r="EI169" s="2" t="s">
        <v>6</v>
      </c>
      <c r="EJ169" s="2">
        <v>0</v>
      </c>
      <c r="EK169" s="2">
        <v>3101</v>
      </c>
      <c r="EL169" s="2" t="s">
        <v>6</v>
      </c>
      <c r="EM169" s="2" t="s">
        <v>6</v>
      </c>
      <c r="EN169" s="2"/>
      <c r="EO169" s="2" t="s">
        <v>6</v>
      </c>
      <c r="EP169" s="2"/>
      <c r="EQ169" s="2">
        <v>0</v>
      </c>
      <c r="ER169" s="2">
        <v>56.57</v>
      </c>
      <c r="ES169" s="110">
        <f>'1.Лок.смета.и.Акт'!F311</f>
        <v>56.57</v>
      </c>
      <c r="ET169" s="2">
        <v>0</v>
      </c>
      <c r="EU169" s="2">
        <v>0</v>
      </c>
      <c r="EV169" s="2">
        <v>0</v>
      </c>
      <c r="EW169" s="2">
        <v>0</v>
      </c>
      <c r="EX169" s="2">
        <v>0</v>
      </c>
      <c r="EY169" s="2"/>
      <c r="EZ169" s="2"/>
      <c r="FA169" s="2"/>
      <c r="FB169" s="2"/>
      <c r="FC169" s="2"/>
      <c r="FD169" s="2"/>
      <c r="FE169" s="2"/>
      <c r="FF169" s="2"/>
      <c r="FG169" s="2"/>
      <c r="FH169" s="2"/>
      <c r="FI169" s="2"/>
      <c r="FJ169" s="2"/>
      <c r="FK169" s="2"/>
      <c r="FL169" s="2"/>
      <c r="FM169" s="2"/>
      <c r="FN169" s="2"/>
      <c r="FO169" s="2"/>
      <c r="FP169" s="2"/>
      <c r="FQ169" s="2">
        <v>0</v>
      </c>
      <c r="FR169" s="2">
        <f t="shared" si="178"/>
        <v>0</v>
      </c>
      <c r="FS169" s="2">
        <v>0</v>
      </c>
      <c r="FT169" s="2"/>
      <c r="FU169" s="2"/>
      <c r="FV169" s="2"/>
      <c r="FW169" s="2"/>
      <c r="FX169" s="2">
        <v>0</v>
      </c>
      <c r="FY169" s="2">
        <v>0</v>
      </c>
      <c r="FZ169" s="2"/>
      <c r="GA169" s="2" t="s">
        <v>6</v>
      </c>
      <c r="GB169" s="2"/>
      <c r="GC169" s="2"/>
      <c r="GD169" s="2">
        <v>1</v>
      </c>
      <c r="GE169" s="2"/>
      <c r="GF169" s="2">
        <v>-1555597847</v>
      </c>
      <c r="GG169" s="2">
        <v>2</v>
      </c>
      <c r="GH169" s="2">
        <v>1</v>
      </c>
      <c r="GI169" s="2">
        <v>-2</v>
      </c>
      <c r="GJ169" s="2">
        <v>0</v>
      </c>
      <c r="GK169" s="2">
        <v>0</v>
      </c>
      <c r="GL169" s="2">
        <f t="shared" si="179"/>
        <v>0</v>
      </c>
      <c r="GM169" s="2">
        <f t="shared" si="180"/>
        <v>49</v>
      </c>
      <c r="GN169" s="2">
        <f t="shared" si="181"/>
        <v>49</v>
      </c>
      <c r="GO169" s="2">
        <f t="shared" si="182"/>
        <v>0</v>
      </c>
      <c r="GP169" s="2">
        <f t="shared" si="183"/>
        <v>0</v>
      </c>
      <c r="GQ169" s="2"/>
      <c r="GR169" s="2">
        <v>0</v>
      </c>
      <c r="GS169" s="2">
        <v>3</v>
      </c>
      <c r="GT169" s="2">
        <v>0</v>
      </c>
      <c r="GU169" s="2" t="s">
        <v>6</v>
      </c>
      <c r="GV169" s="2">
        <f t="shared" si="184"/>
        <v>0</v>
      </c>
      <c r="GW169" s="2">
        <v>1</v>
      </c>
      <c r="GX169" s="2">
        <f t="shared" si="185"/>
        <v>0</v>
      </c>
      <c r="GY169" s="2"/>
      <c r="GZ169" s="2"/>
      <c r="HA169" s="2">
        <v>0</v>
      </c>
      <c r="HB169" s="2">
        <v>0</v>
      </c>
      <c r="HC169" s="2">
        <f t="shared" si="186"/>
        <v>0</v>
      </c>
      <c r="HD169" s="2"/>
      <c r="HE169" s="2" t="s">
        <v>6</v>
      </c>
      <c r="HF169" s="2" t="s">
        <v>6</v>
      </c>
      <c r="HG169" s="2"/>
      <c r="HH169" s="2"/>
      <c r="HI169" s="2"/>
      <c r="HJ169" s="2"/>
      <c r="HK169" s="2"/>
      <c r="HL169" s="2"/>
      <c r="HM169" s="2" t="s">
        <v>6</v>
      </c>
      <c r="HN169" s="2" t="s">
        <v>6</v>
      </c>
      <c r="HO169" s="2" t="s">
        <v>6</v>
      </c>
      <c r="HP169" s="2" t="s">
        <v>6</v>
      </c>
      <c r="HQ169" s="2" t="s">
        <v>6</v>
      </c>
      <c r="HR169" s="2"/>
      <c r="HS169" s="2"/>
      <c r="HT169" s="2"/>
      <c r="HU169" s="2"/>
      <c r="HV169" s="2"/>
      <c r="HW169" s="2"/>
      <c r="HX169" s="2"/>
      <c r="HY169" s="2"/>
      <c r="HZ169" s="2"/>
      <c r="IA169" s="2"/>
      <c r="IB169" s="2"/>
      <c r="IC169" s="2"/>
      <c r="ID169" s="2"/>
      <c r="IE169" s="2"/>
      <c r="IF169" s="2">
        <v>-1</v>
      </c>
      <c r="IG169" s="2"/>
      <c r="IH169" s="2"/>
      <c r="II169" s="2"/>
      <c r="IJ169" s="2"/>
      <c r="IK169" s="2">
        <v>0</v>
      </c>
      <c r="IL169" s="2"/>
      <c r="IM169" s="2"/>
      <c r="IN169" s="2"/>
      <c r="IO169" s="2"/>
      <c r="IP169" s="2"/>
      <c r="IQ169" s="2"/>
      <c r="IR169" s="2"/>
      <c r="IS169" s="2"/>
      <c r="IT169" s="2"/>
      <c r="IU169" s="2"/>
    </row>
    <row r="170" spans="1:255" x14ac:dyDescent="0.2">
      <c r="A170">
        <v>18</v>
      </c>
      <c r="B170">
        <v>1</v>
      </c>
      <c r="C170">
        <v>201</v>
      </c>
      <c r="E170" t="s">
        <v>258</v>
      </c>
      <c r="F170" t="e">
        <f>'2.Лок.смета.и.Акт'!#REF!</f>
        <v>#REF!</v>
      </c>
      <c r="G170" t="s">
        <v>247</v>
      </c>
      <c r="H170" t="s">
        <v>78</v>
      </c>
      <c r="I170">
        <f>I164*J170</f>
        <v>0.86499999999999999</v>
      </c>
      <c r="J170">
        <v>2.5</v>
      </c>
      <c r="K170">
        <v>2.5</v>
      </c>
      <c r="O170">
        <f t="shared" si="155"/>
        <v>198</v>
      </c>
      <c r="P170">
        <f t="shared" si="156"/>
        <v>198</v>
      </c>
      <c r="Q170">
        <f t="shared" si="157"/>
        <v>0</v>
      </c>
      <c r="R170">
        <f t="shared" si="158"/>
        <v>0</v>
      </c>
      <c r="S170">
        <f t="shared" si="159"/>
        <v>0</v>
      </c>
      <c r="T170">
        <f t="shared" si="160"/>
        <v>0</v>
      </c>
      <c r="U170">
        <f t="shared" si="161"/>
        <v>0</v>
      </c>
      <c r="V170">
        <f t="shared" si="162"/>
        <v>0</v>
      </c>
      <c r="W170">
        <f t="shared" si="163"/>
        <v>0</v>
      </c>
      <c r="X170">
        <f t="shared" si="164"/>
        <v>0</v>
      </c>
      <c r="Y170">
        <f t="shared" si="165"/>
        <v>0</v>
      </c>
      <c r="AA170">
        <v>86326988</v>
      </c>
      <c r="AB170">
        <f t="shared" si="166"/>
        <v>30.22</v>
      </c>
      <c r="AC170">
        <f t="shared" si="188"/>
        <v>30.22</v>
      </c>
      <c r="AD170">
        <f>ROUND((ET170),2)</f>
        <v>0</v>
      </c>
      <c r="AE170">
        <f t="shared" si="189"/>
        <v>0</v>
      </c>
      <c r="AF170">
        <f t="shared" si="190"/>
        <v>0</v>
      </c>
      <c r="AG170">
        <f t="shared" si="167"/>
        <v>0</v>
      </c>
      <c r="AH170">
        <f t="shared" si="191"/>
        <v>0</v>
      </c>
      <c r="AI170">
        <f t="shared" si="192"/>
        <v>0</v>
      </c>
      <c r="AJ170">
        <f t="shared" si="168"/>
        <v>0</v>
      </c>
      <c r="AK170">
        <v>30.22</v>
      </c>
      <c r="AL170">
        <v>30.22</v>
      </c>
      <c r="AM170">
        <v>0</v>
      </c>
      <c r="AN170">
        <v>0</v>
      </c>
      <c r="AO170">
        <v>0</v>
      </c>
      <c r="AP170">
        <v>0</v>
      </c>
      <c r="AQ170">
        <v>0</v>
      </c>
      <c r="AR170">
        <v>0</v>
      </c>
      <c r="AS170">
        <v>0</v>
      </c>
      <c r="AT170">
        <v>0</v>
      </c>
      <c r="AU170">
        <v>0</v>
      </c>
      <c r="AV170">
        <v>1</v>
      </c>
      <c r="AW170">
        <v>1</v>
      </c>
      <c r="AZ170">
        <v>1</v>
      </c>
      <c r="BA170">
        <v>1</v>
      </c>
      <c r="BB170">
        <v>1</v>
      </c>
      <c r="BC170">
        <v>7.56</v>
      </c>
      <c r="BD170" t="s">
        <v>6</v>
      </c>
      <c r="BE170" t="s">
        <v>6</v>
      </c>
      <c r="BF170" t="s">
        <v>6</v>
      </c>
      <c r="BG170" t="s">
        <v>6</v>
      </c>
      <c r="BH170">
        <v>3</v>
      </c>
      <c r="BI170">
        <v>1</v>
      </c>
      <c r="BJ170" t="s">
        <v>84</v>
      </c>
      <c r="BM170">
        <v>3101</v>
      </c>
      <c r="BN170">
        <v>0</v>
      </c>
      <c r="BO170" t="s">
        <v>6</v>
      </c>
      <c r="BP170">
        <v>0</v>
      </c>
      <c r="BQ170">
        <v>0</v>
      </c>
      <c r="BR170">
        <v>0</v>
      </c>
      <c r="BS170">
        <v>1</v>
      </c>
      <c r="BT170">
        <v>1</v>
      </c>
      <c r="BU170">
        <v>1</v>
      </c>
      <c r="BV170">
        <v>1</v>
      </c>
      <c r="BW170">
        <v>1</v>
      </c>
      <c r="BX170">
        <v>1</v>
      </c>
      <c r="BY170" t="s">
        <v>6</v>
      </c>
      <c r="BZ170">
        <v>0</v>
      </c>
      <c r="CA170">
        <v>0</v>
      </c>
      <c r="CB170" t="s">
        <v>6</v>
      </c>
      <c r="CE170">
        <v>0</v>
      </c>
      <c r="CF170">
        <v>0</v>
      </c>
      <c r="CG170">
        <v>0</v>
      </c>
      <c r="CM170">
        <v>0</v>
      </c>
      <c r="CN170" t="s">
        <v>6</v>
      </c>
      <c r="CO170">
        <v>0</v>
      </c>
      <c r="CP170">
        <f t="shared" si="169"/>
        <v>198</v>
      </c>
      <c r="CQ170">
        <f t="shared" si="170"/>
        <v>228.46319999999997</v>
      </c>
      <c r="CR170">
        <f t="shared" si="171"/>
        <v>0</v>
      </c>
      <c r="CS170">
        <f t="shared" si="172"/>
        <v>0</v>
      </c>
      <c r="CT170">
        <f t="shared" si="173"/>
        <v>0</v>
      </c>
      <c r="CU170">
        <f t="shared" si="174"/>
        <v>0</v>
      </c>
      <c r="CV170">
        <f t="shared" si="175"/>
        <v>0</v>
      </c>
      <c r="CW170">
        <f t="shared" si="176"/>
        <v>0</v>
      </c>
      <c r="CX170">
        <f t="shared" si="177"/>
        <v>0</v>
      </c>
      <c r="CY170">
        <f>(S170+R170)*(BZ170/100)</f>
        <v>0</v>
      </c>
      <c r="CZ170">
        <f>(S170+R170)*(CA170/100)</f>
        <v>0</v>
      </c>
      <c r="DC170" t="s">
        <v>6</v>
      </c>
      <c r="DD170" t="s">
        <v>6</v>
      </c>
      <c r="DE170" t="s">
        <v>6</v>
      </c>
      <c r="DF170" t="s">
        <v>6</v>
      </c>
      <c r="DG170" t="s">
        <v>6</v>
      </c>
      <c r="DH170" t="s">
        <v>6</v>
      </c>
      <c r="DI170" t="s">
        <v>6</v>
      </c>
      <c r="DJ170" t="s">
        <v>6</v>
      </c>
      <c r="DK170" t="s">
        <v>6</v>
      </c>
      <c r="DL170" t="s">
        <v>6</v>
      </c>
      <c r="DM170" t="s">
        <v>6</v>
      </c>
      <c r="DN170">
        <v>0</v>
      </c>
      <c r="DO170">
        <v>0</v>
      </c>
      <c r="DP170">
        <v>1</v>
      </c>
      <c r="DQ170">
        <v>1</v>
      </c>
      <c r="DU170">
        <v>1013</v>
      </c>
      <c r="DV170" t="s">
        <v>78</v>
      </c>
      <c r="DW170" t="e">
        <f>'2.Лок.смета.и.Акт'!#REF!</f>
        <v>#REF!</v>
      </c>
      <c r="DX170">
        <v>1</v>
      </c>
      <c r="DZ170" t="s">
        <v>6</v>
      </c>
      <c r="EA170" t="s">
        <v>6</v>
      </c>
      <c r="EB170" t="s">
        <v>6</v>
      </c>
      <c r="EC170" t="s">
        <v>6</v>
      </c>
      <c r="EE170">
        <v>0</v>
      </c>
      <c r="EF170">
        <v>0</v>
      </c>
      <c r="EG170" t="s">
        <v>6</v>
      </c>
      <c r="EH170">
        <v>0</v>
      </c>
      <c r="EI170" t="s">
        <v>6</v>
      </c>
      <c r="EJ170">
        <v>0</v>
      </c>
      <c r="EK170">
        <v>3101</v>
      </c>
      <c r="EL170" t="s">
        <v>6</v>
      </c>
      <c r="EM170" t="s">
        <v>6</v>
      </c>
      <c r="EO170" t="s">
        <v>6</v>
      </c>
      <c r="EQ170">
        <v>0</v>
      </c>
      <c r="ER170">
        <v>215.4</v>
      </c>
      <c r="ES170">
        <v>30.22</v>
      </c>
      <c r="ET170">
        <v>0</v>
      </c>
      <c r="EU170">
        <v>0</v>
      </c>
      <c r="EV170">
        <v>0</v>
      </c>
      <c r="EW170">
        <v>0</v>
      </c>
      <c r="EX170">
        <v>0</v>
      </c>
      <c r="EZ170">
        <v>5</v>
      </c>
      <c r="FC170">
        <v>0</v>
      </c>
      <c r="FD170">
        <v>18</v>
      </c>
      <c r="FF170">
        <v>215.4</v>
      </c>
      <c r="FQ170">
        <v>0</v>
      </c>
      <c r="FR170">
        <f t="shared" si="178"/>
        <v>0</v>
      </c>
      <c r="FS170">
        <v>0</v>
      </c>
      <c r="FX170">
        <v>0</v>
      </c>
      <c r="FY170">
        <v>0</v>
      </c>
      <c r="GA170" t="s">
        <v>85</v>
      </c>
      <c r="GD170">
        <v>1</v>
      </c>
      <c r="GF170">
        <v>-1555597847</v>
      </c>
      <c r="GG170">
        <v>2</v>
      </c>
      <c r="GH170">
        <v>3</v>
      </c>
      <c r="GI170">
        <v>5</v>
      </c>
      <c r="GJ170">
        <v>0</v>
      </c>
      <c r="GK170">
        <v>0</v>
      </c>
      <c r="GL170">
        <f t="shared" si="179"/>
        <v>0</v>
      </c>
      <c r="GM170">
        <f t="shared" si="180"/>
        <v>198</v>
      </c>
      <c r="GN170">
        <f t="shared" si="181"/>
        <v>198</v>
      </c>
      <c r="GO170">
        <f t="shared" si="182"/>
        <v>0</v>
      </c>
      <c r="GP170">
        <f t="shared" si="183"/>
        <v>0</v>
      </c>
      <c r="GR170">
        <v>1</v>
      </c>
      <c r="GS170">
        <v>1</v>
      </c>
      <c r="GT170">
        <v>0</v>
      </c>
      <c r="GU170" t="s">
        <v>6</v>
      </c>
      <c r="GV170">
        <f t="shared" si="184"/>
        <v>0</v>
      </c>
      <c r="GW170">
        <v>1</v>
      </c>
      <c r="GX170">
        <f t="shared" si="185"/>
        <v>0</v>
      </c>
      <c r="HA170">
        <v>0</v>
      </c>
      <c r="HB170">
        <v>0</v>
      </c>
      <c r="HC170">
        <f t="shared" si="186"/>
        <v>0</v>
      </c>
      <c r="HE170" t="s">
        <v>39</v>
      </c>
      <c r="HF170" t="s">
        <v>40</v>
      </c>
      <c r="HM170" t="s">
        <v>6</v>
      </c>
      <c r="HN170" t="s">
        <v>6</v>
      </c>
      <c r="HO170" t="s">
        <v>6</v>
      </c>
      <c r="HP170" t="s">
        <v>6</v>
      </c>
      <c r="HQ170" t="s">
        <v>6</v>
      </c>
      <c r="IF170">
        <v>-1</v>
      </c>
      <c r="IK170">
        <v>0</v>
      </c>
    </row>
    <row r="171" spans="1:255" x14ac:dyDescent="0.2">
      <c r="A171" s="2">
        <v>18</v>
      </c>
      <c r="B171" s="2">
        <v>1</v>
      </c>
      <c r="C171" s="2">
        <v>191</v>
      </c>
      <c r="D171" s="2"/>
      <c r="E171" s="2" t="s">
        <v>259</v>
      </c>
      <c r="F171" s="2" t="s">
        <v>87</v>
      </c>
      <c r="G171" s="2" t="s">
        <v>88</v>
      </c>
      <c r="H171" s="2" t="s">
        <v>44</v>
      </c>
      <c r="I171" s="2">
        <f>I163*J171</f>
        <v>0.87797499999999995</v>
      </c>
      <c r="J171" s="226">
        <f>'5.Ведомость_списания'!F80</f>
        <v>2.5375000000000001</v>
      </c>
      <c r="K171" s="2">
        <v>2.5375000000000001</v>
      </c>
      <c r="L171" s="2"/>
      <c r="M171" s="2"/>
      <c r="N171" s="2"/>
      <c r="O171" s="2">
        <f t="shared" si="155"/>
        <v>772</v>
      </c>
      <c r="P171" s="2">
        <f t="shared" si="156"/>
        <v>772</v>
      </c>
      <c r="Q171" s="2">
        <f t="shared" si="157"/>
        <v>0</v>
      </c>
      <c r="R171" s="2">
        <f t="shared" si="158"/>
        <v>0</v>
      </c>
      <c r="S171" s="2">
        <f t="shared" si="159"/>
        <v>0</v>
      </c>
      <c r="T171" s="2">
        <f t="shared" si="160"/>
        <v>0</v>
      </c>
      <c r="U171" s="2">
        <f t="shared" si="161"/>
        <v>0</v>
      </c>
      <c r="V171" s="2">
        <f t="shared" si="162"/>
        <v>0</v>
      </c>
      <c r="W171" s="2">
        <f t="shared" si="163"/>
        <v>0</v>
      </c>
      <c r="X171" s="2">
        <f t="shared" si="164"/>
        <v>0</v>
      </c>
      <c r="Y171" s="2">
        <f t="shared" si="165"/>
        <v>0</v>
      </c>
      <c r="Z171" s="2"/>
      <c r="AA171" s="2">
        <v>86326987</v>
      </c>
      <c r="AB171" s="2">
        <f t="shared" si="166"/>
        <v>878.79</v>
      </c>
      <c r="AC171" s="2">
        <f t="shared" si="188"/>
        <v>878.79</v>
      </c>
      <c r="AD171" s="2">
        <f>ROUND((((ET171)-(EU171))+AE171),2)</f>
        <v>0</v>
      </c>
      <c r="AE171" s="2">
        <f t="shared" si="189"/>
        <v>0</v>
      </c>
      <c r="AF171" s="2">
        <f t="shared" si="190"/>
        <v>0</v>
      </c>
      <c r="AG171" s="2">
        <f t="shared" si="167"/>
        <v>0</v>
      </c>
      <c r="AH171" s="2">
        <f t="shared" si="191"/>
        <v>0</v>
      </c>
      <c r="AI171" s="2">
        <f t="shared" si="192"/>
        <v>0</v>
      </c>
      <c r="AJ171" s="2">
        <f t="shared" si="168"/>
        <v>0</v>
      </c>
      <c r="AK171" s="2">
        <v>878.79</v>
      </c>
      <c r="AL171" s="110">
        <f>'1.Лок.смета.и.Акт'!F313</f>
        <v>878.79</v>
      </c>
      <c r="AM171" s="2">
        <v>0</v>
      </c>
      <c r="AN171" s="2">
        <v>0</v>
      </c>
      <c r="AO171" s="2">
        <v>0</v>
      </c>
      <c r="AP171" s="2">
        <v>0</v>
      </c>
      <c r="AQ171" s="2">
        <v>0</v>
      </c>
      <c r="AR171" s="2">
        <v>0</v>
      </c>
      <c r="AS171" s="2">
        <v>0</v>
      </c>
      <c r="AT171" s="2">
        <v>0</v>
      </c>
      <c r="AU171" s="2">
        <v>0</v>
      </c>
      <c r="AV171" s="2">
        <v>1</v>
      </c>
      <c r="AW171" s="2">
        <v>1</v>
      </c>
      <c r="AX171" s="2"/>
      <c r="AY171" s="2"/>
      <c r="AZ171" s="2">
        <v>1</v>
      </c>
      <c r="BA171" s="2">
        <v>1</v>
      </c>
      <c r="BB171" s="2">
        <v>1</v>
      </c>
      <c r="BC171" s="2">
        <v>1</v>
      </c>
      <c r="BD171" s="2" t="s">
        <v>6</v>
      </c>
      <c r="BE171" s="2" t="s">
        <v>6</v>
      </c>
      <c r="BF171" s="2" t="s">
        <v>6</v>
      </c>
      <c r="BG171" s="2" t="s">
        <v>6</v>
      </c>
      <c r="BH171" s="2">
        <v>3</v>
      </c>
      <c r="BI171" s="2">
        <v>1</v>
      </c>
      <c r="BJ171" s="2" t="s">
        <v>89</v>
      </c>
      <c r="BK171" s="2"/>
      <c r="BL171" s="2"/>
      <c r="BM171" s="2">
        <v>500003</v>
      </c>
      <c r="BN171" s="2">
        <v>0</v>
      </c>
      <c r="BO171" s="2" t="s">
        <v>6</v>
      </c>
      <c r="BP171" s="2">
        <v>0</v>
      </c>
      <c r="BQ171" s="2">
        <v>22</v>
      </c>
      <c r="BR171" s="2">
        <v>0</v>
      </c>
      <c r="BS171" s="2">
        <v>1</v>
      </c>
      <c r="BT171" s="2">
        <v>1</v>
      </c>
      <c r="BU171" s="2">
        <v>1</v>
      </c>
      <c r="BV171" s="2">
        <v>1</v>
      </c>
      <c r="BW171" s="2">
        <v>1</v>
      </c>
      <c r="BX171" s="2">
        <v>1</v>
      </c>
      <c r="BY171" s="2" t="s">
        <v>6</v>
      </c>
      <c r="BZ171" s="2">
        <v>0</v>
      </c>
      <c r="CA171" s="2">
        <v>0</v>
      </c>
      <c r="CB171" s="2" t="s">
        <v>6</v>
      </c>
      <c r="CC171" s="2"/>
      <c r="CD171" s="2"/>
      <c r="CE171" s="2">
        <v>0</v>
      </c>
      <c r="CF171" s="2">
        <v>0</v>
      </c>
      <c r="CG171" s="2">
        <v>0</v>
      </c>
      <c r="CH171" s="2"/>
      <c r="CI171" s="2"/>
      <c r="CJ171" s="2"/>
      <c r="CK171" s="2"/>
      <c r="CL171" s="2"/>
      <c r="CM171" s="2">
        <v>0</v>
      </c>
      <c r="CN171" s="2" t="s">
        <v>6</v>
      </c>
      <c r="CO171" s="2">
        <v>0</v>
      </c>
      <c r="CP171" s="2">
        <f t="shared" si="169"/>
        <v>772</v>
      </c>
      <c r="CQ171" s="2">
        <f t="shared" si="170"/>
        <v>878.79</v>
      </c>
      <c r="CR171" s="2">
        <f t="shared" si="171"/>
        <v>0</v>
      </c>
      <c r="CS171" s="2">
        <f t="shared" si="172"/>
        <v>0</v>
      </c>
      <c r="CT171" s="2">
        <f t="shared" si="173"/>
        <v>0</v>
      </c>
      <c r="CU171" s="2">
        <f t="shared" si="174"/>
        <v>0</v>
      </c>
      <c r="CV171" s="2">
        <f t="shared" si="175"/>
        <v>0</v>
      </c>
      <c r="CW171" s="2">
        <f t="shared" si="176"/>
        <v>0</v>
      </c>
      <c r="CX171" s="2">
        <f t="shared" si="177"/>
        <v>0</v>
      </c>
      <c r="CY171" s="2">
        <f>(((S171+(R171*IF(0,0,1)))*AT171)/100)</f>
        <v>0</v>
      </c>
      <c r="CZ171" s="2">
        <f>(((S171+(R171*IF(0,0,1)))*AU171)/100)</f>
        <v>0</v>
      </c>
      <c r="DA171" s="2"/>
      <c r="DB171" s="2"/>
      <c r="DC171" s="2" t="s">
        <v>6</v>
      </c>
      <c r="DD171" s="2" t="s">
        <v>6</v>
      </c>
      <c r="DE171" s="2" t="s">
        <v>6</v>
      </c>
      <c r="DF171" s="2" t="s">
        <v>6</v>
      </c>
      <c r="DG171" s="2" t="s">
        <v>6</v>
      </c>
      <c r="DH171" s="2" t="s">
        <v>6</v>
      </c>
      <c r="DI171" s="2" t="s">
        <v>6</v>
      </c>
      <c r="DJ171" s="2" t="s">
        <v>6</v>
      </c>
      <c r="DK171" s="2" t="s">
        <v>6</v>
      </c>
      <c r="DL171" s="2" t="s">
        <v>6</v>
      </c>
      <c r="DM171" s="2" t="s">
        <v>6</v>
      </c>
      <c r="DN171" s="2">
        <v>0</v>
      </c>
      <c r="DO171" s="2">
        <v>0</v>
      </c>
      <c r="DP171" s="2">
        <v>1</v>
      </c>
      <c r="DQ171" s="2">
        <v>1</v>
      </c>
      <c r="DR171" s="2"/>
      <c r="DS171" s="2"/>
      <c r="DT171" s="2"/>
      <c r="DU171" s="2">
        <v>1007</v>
      </c>
      <c r="DV171" s="2" t="s">
        <v>44</v>
      </c>
      <c r="DW171" s="2" t="s">
        <v>44</v>
      </c>
      <c r="DX171" s="2">
        <v>1</v>
      </c>
      <c r="DY171" s="2"/>
      <c r="DZ171" s="2" t="s">
        <v>6</v>
      </c>
      <c r="EA171" s="2" t="s">
        <v>6</v>
      </c>
      <c r="EB171" s="2" t="s">
        <v>6</v>
      </c>
      <c r="EC171" s="2" t="s">
        <v>6</v>
      </c>
      <c r="ED171" s="2"/>
      <c r="EE171" s="2">
        <v>54938783</v>
      </c>
      <c r="EF171" s="2">
        <v>22</v>
      </c>
      <c r="EG171" s="2" t="s">
        <v>57</v>
      </c>
      <c r="EH171" s="2">
        <v>0</v>
      </c>
      <c r="EI171" s="2" t="s">
        <v>6</v>
      </c>
      <c r="EJ171" s="2">
        <v>1</v>
      </c>
      <c r="EK171" s="2">
        <v>500003</v>
      </c>
      <c r="EL171" s="2" t="s">
        <v>58</v>
      </c>
      <c r="EM171" s="2" t="s">
        <v>59</v>
      </c>
      <c r="EN171" s="2"/>
      <c r="EO171" s="2" t="s">
        <v>6</v>
      </c>
      <c r="EP171" s="2"/>
      <c r="EQ171" s="2">
        <v>0</v>
      </c>
      <c r="ER171" s="2">
        <v>878.79</v>
      </c>
      <c r="ES171" s="110">
        <f>'1.Лок.смета.и.Акт'!F313</f>
        <v>878.79</v>
      </c>
      <c r="ET171" s="2">
        <v>0</v>
      </c>
      <c r="EU171" s="2">
        <v>0</v>
      </c>
      <c r="EV171" s="2">
        <v>0</v>
      </c>
      <c r="EW171" s="2">
        <v>0</v>
      </c>
      <c r="EX171" s="2">
        <v>0</v>
      </c>
      <c r="EY171" s="2"/>
      <c r="EZ171" s="2"/>
      <c r="FA171" s="2"/>
      <c r="FB171" s="2"/>
      <c r="FC171" s="2"/>
      <c r="FD171" s="2"/>
      <c r="FE171" s="2"/>
      <c r="FF171" s="2"/>
      <c r="FG171" s="2"/>
      <c r="FH171" s="2"/>
      <c r="FI171" s="2"/>
      <c r="FJ171" s="2"/>
      <c r="FK171" s="2"/>
      <c r="FL171" s="2"/>
      <c r="FM171" s="2"/>
      <c r="FN171" s="2"/>
      <c r="FO171" s="2"/>
      <c r="FP171" s="2"/>
      <c r="FQ171" s="2">
        <v>0</v>
      </c>
      <c r="FR171" s="2">
        <f t="shared" si="178"/>
        <v>0</v>
      </c>
      <c r="FS171" s="2">
        <v>0</v>
      </c>
      <c r="FT171" s="2"/>
      <c r="FU171" s="2"/>
      <c r="FV171" s="2"/>
      <c r="FW171" s="2"/>
      <c r="FX171" s="2">
        <v>0</v>
      </c>
      <c r="FY171" s="2">
        <v>0</v>
      </c>
      <c r="FZ171" s="2"/>
      <c r="GA171" s="2" t="s">
        <v>6</v>
      </c>
      <c r="GB171" s="2"/>
      <c r="GC171" s="2"/>
      <c r="GD171" s="2">
        <v>1</v>
      </c>
      <c r="GE171" s="2"/>
      <c r="GF171" s="2">
        <v>-183216560</v>
      </c>
      <c r="GG171" s="2">
        <v>2</v>
      </c>
      <c r="GH171" s="2">
        <v>2</v>
      </c>
      <c r="GI171" s="2">
        <v>-2</v>
      </c>
      <c r="GJ171" s="2">
        <v>0</v>
      </c>
      <c r="GK171" s="2">
        <v>0</v>
      </c>
      <c r="GL171" s="2">
        <f t="shared" si="179"/>
        <v>0</v>
      </c>
      <c r="GM171" s="2">
        <f t="shared" si="180"/>
        <v>772</v>
      </c>
      <c r="GN171" s="2">
        <f t="shared" si="181"/>
        <v>772</v>
      </c>
      <c r="GO171" s="2">
        <f t="shared" si="182"/>
        <v>0</v>
      </c>
      <c r="GP171" s="2">
        <f t="shared" si="183"/>
        <v>0</v>
      </c>
      <c r="GQ171" s="2"/>
      <c r="GR171" s="2">
        <v>0</v>
      </c>
      <c r="GS171" s="2">
        <v>2</v>
      </c>
      <c r="GT171" s="2">
        <v>0</v>
      </c>
      <c r="GU171" s="2" t="s">
        <v>6</v>
      </c>
      <c r="GV171" s="2">
        <f t="shared" si="184"/>
        <v>0</v>
      </c>
      <c r="GW171" s="2">
        <v>1</v>
      </c>
      <c r="GX171" s="2">
        <f t="shared" si="185"/>
        <v>0</v>
      </c>
      <c r="GY171" s="2"/>
      <c r="GZ171" s="2"/>
      <c r="HA171" s="2">
        <v>0</v>
      </c>
      <c r="HB171" s="2">
        <v>0</v>
      </c>
      <c r="HC171" s="2">
        <f t="shared" si="186"/>
        <v>0</v>
      </c>
      <c r="HD171" s="2"/>
      <c r="HE171" s="2" t="s">
        <v>6</v>
      </c>
      <c r="HF171" s="2" t="s">
        <v>6</v>
      </c>
      <c r="HG171" s="2"/>
      <c r="HH171" s="2"/>
      <c r="HI171" s="2"/>
      <c r="HJ171" s="2"/>
      <c r="HK171" s="2"/>
      <c r="HL171" s="2"/>
      <c r="HM171" s="2" t="s">
        <v>6</v>
      </c>
      <c r="HN171" s="2" t="s">
        <v>6</v>
      </c>
      <c r="HO171" s="2" t="s">
        <v>6</v>
      </c>
      <c r="HP171" s="2" t="s">
        <v>6</v>
      </c>
      <c r="HQ171" s="2" t="s">
        <v>6</v>
      </c>
      <c r="HR171" s="2"/>
      <c r="HS171" s="2"/>
      <c r="HT171" s="2"/>
      <c r="HU171" s="2"/>
      <c r="HV171" s="2"/>
      <c r="HW171" s="2"/>
      <c r="HX171" s="2"/>
      <c r="HY171" s="2"/>
      <c r="HZ171" s="2"/>
      <c r="IA171" s="2"/>
      <c r="IB171" s="2"/>
      <c r="IC171" s="2"/>
      <c r="ID171" s="2"/>
      <c r="IE171" s="2"/>
      <c r="IF171" s="2">
        <v>-1</v>
      </c>
      <c r="IG171" s="2"/>
      <c r="IH171" s="2"/>
      <c r="II171" s="2"/>
      <c r="IJ171" s="2"/>
      <c r="IK171" s="2">
        <v>0</v>
      </c>
      <c r="IL171" s="2"/>
      <c r="IM171" s="2"/>
      <c r="IN171" s="2"/>
      <c r="IO171" s="2"/>
      <c r="IP171" s="2"/>
      <c r="IQ171" s="2"/>
      <c r="IR171" s="2"/>
      <c r="IS171" s="2"/>
      <c r="IT171" s="2"/>
      <c r="IU171" s="2"/>
    </row>
    <row r="172" spans="1:255" x14ac:dyDescent="0.2">
      <c r="A172">
        <v>18</v>
      </c>
      <c r="B172">
        <v>1</v>
      </c>
      <c r="C172">
        <v>204</v>
      </c>
      <c r="E172" t="s">
        <v>259</v>
      </c>
      <c r="F172" t="e">
        <f>'2.Лок.смета.и.Акт'!#REF!</f>
        <v>#REF!</v>
      </c>
      <c r="G172" t="s">
        <v>88</v>
      </c>
      <c r="H172" t="s">
        <v>44</v>
      </c>
      <c r="I172">
        <f>I164*J172</f>
        <v>0.87797499999999995</v>
      </c>
      <c r="J172">
        <v>2.5375000000000001</v>
      </c>
      <c r="K172">
        <v>2.5375000000000001</v>
      </c>
      <c r="O172">
        <f t="shared" si="155"/>
        <v>6472</v>
      </c>
      <c r="P172">
        <f t="shared" si="156"/>
        <v>6472</v>
      </c>
      <c r="Q172">
        <f t="shared" si="157"/>
        <v>0</v>
      </c>
      <c r="R172">
        <f t="shared" si="158"/>
        <v>0</v>
      </c>
      <c r="S172">
        <f t="shared" si="159"/>
        <v>0</v>
      </c>
      <c r="T172">
        <f t="shared" si="160"/>
        <v>0</v>
      </c>
      <c r="U172">
        <f t="shared" si="161"/>
        <v>0</v>
      </c>
      <c r="V172">
        <f t="shared" si="162"/>
        <v>0</v>
      </c>
      <c r="W172">
        <f t="shared" si="163"/>
        <v>0</v>
      </c>
      <c r="X172">
        <f t="shared" si="164"/>
        <v>0</v>
      </c>
      <c r="Y172">
        <f t="shared" si="165"/>
        <v>0</v>
      </c>
      <c r="AA172">
        <v>86326988</v>
      </c>
      <c r="AB172">
        <f t="shared" si="166"/>
        <v>975</v>
      </c>
      <c r="AC172">
        <f t="shared" si="188"/>
        <v>975</v>
      </c>
      <c r="AD172">
        <f>ROUND((((ET172)-(EU172))+AE172),2)</f>
        <v>0</v>
      </c>
      <c r="AE172">
        <f t="shared" si="189"/>
        <v>0</v>
      </c>
      <c r="AF172">
        <f t="shared" si="190"/>
        <v>0</v>
      </c>
      <c r="AG172">
        <f t="shared" si="167"/>
        <v>0</v>
      </c>
      <c r="AH172">
        <f t="shared" si="191"/>
        <v>0</v>
      </c>
      <c r="AI172">
        <f t="shared" si="192"/>
        <v>0</v>
      </c>
      <c r="AJ172">
        <f t="shared" si="168"/>
        <v>0</v>
      </c>
      <c r="AK172">
        <v>975</v>
      </c>
      <c r="AL172">
        <v>975</v>
      </c>
      <c r="AM172">
        <v>0</v>
      </c>
      <c r="AN172">
        <v>0</v>
      </c>
      <c r="AO172">
        <v>0</v>
      </c>
      <c r="AP172">
        <v>0</v>
      </c>
      <c r="AQ172">
        <v>0</v>
      </c>
      <c r="AR172">
        <v>0</v>
      </c>
      <c r="AS172">
        <v>0</v>
      </c>
      <c r="AT172">
        <v>0</v>
      </c>
      <c r="AU172">
        <v>0</v>
      </c>
      <c r="AV172">
        <v>1</v>
      </c>
      <c r="AW172">
        <v>1</v>
      </c>
      <c r="AZ172">
        <v>1</v>
      </c>
      <c r="BA172">
        <v>1</v>
      </c>
      <c r="BB172">
        <v>1</v>
      </c>
      <c r="BC172">
        <v>7.56</v>
      </c>
      <c r="BD172" t="s">
        <v>6</v>
      </c>
      <c r="BE172" t="s">
        <v>6</v>
      </c>
      <c r="BF172" t="s">
        <v>6</v>
      </c>
      <c r="BG172" t="s">
        <v>6</v>
      </c>
      <c r="BH172">
        <v>3</v>
      </c>
      <c r="BI172">
        <v>1</v>
      </c>
      <c r="BJ172" t="s">
        <v>89</v>
      </c>
      <c r="BM172">
        <v>500003</v>
      </c>
      <c r="BN172">
        <v>0</v>
      </c>
      <c r="BO172" t="s">
        <v>6</v>
      </c>
      <c r="BP172">
        <v>0</v>
      </c>
      <c r="BQ172">
        <v>22</v>
      </c>
      <c r="BR172">
        <v>0</v>
      </c>
      <c r="BS172">
        <v>1</v>
      </c>
      <c r="BT172">
        <v>1</v>
      </c>
      <c r="BU172">
        <v>1</v>
      </c>
      <c r="BV172">
        <v>1</v>
      </c>
      <c r="BW172">
        <v>1</v>
      </c>
      <c r="BX172">
        <v>1</v>
      </c>
      <c r="BY172" t="s">
        <v>6</v>
      </c>
      <c r="BZ172">
        <v>0</v>
      </c>
      <c r="CA172">
        <v>0</v>
      </c>
      <c r="CB172" t="s">
        <v>6</v>
      </c>
      <c r="CE172">
        <v>0</v>
      </c>
      <c r="CF172">
        <v>0</v>
      </c>
      <c r="CG172">
        <v>0</v>
      </c>
      <c r="CM172">
        <v>0</v>
      </c>
      <c r="CN172" t="s">
        <v>6</v>
      </c>
      <c r="CO172">
        <v>0</v>
      </c>
      <c r="CP172">
        <f t="shared" si="169"/>
        <v>6472</v>
      </c>
      <c r="CQ172">
        <f t="shared" si="170"/>
        <v>7371</v>
      </c>
      <c r="CR172">
        <f t="shared" si="171"/>
        <v>0</v>
      </c>
      <c r="CS172">
        <f t="shared" si="172"/>
        <v>0</v>
      </c>
      <c r="CT172">
        <f t="shared" si="173"/>
        <v>0</v>
      </c>
      <c r="CU172">
        <f t="shared" si="174"/>
        <v>0</v>
      </c>
      <c r="CV172">
        <f t="shared" si="175"/>
        <v>0</v>
      </c>
      <c r="CW172">
        <f t="shared" si="176"/>
        <v>0</v>
      </c>
      <c r="CX172">
        <f t="shared" si="177"/>
        <v>0</v>
      </c>
      <c r="CY172">
        <f>(S172+R172)*(BZ172/100)</f>
        <v>0</v>
      </c>
      <c r="CZ172">
        <f>(S172+R172)*(CA172/100)</f>
        <v>0</v>
      </c>
      <c r="DC172" t="s">
        <v>6</v>
      </c>
      <c r="DD172" t="s">
        <v>6</v>
      </c>
      <c r="DE172" t="s">
        <v>6</v>
      </c>
      <c r="DF172" t="s">
        <v>6</v>
      </c>
      <c r="DG172" t="s">
        <v>6</v>
      </c>
      <c r="DH172" t="s">
        <v>6</v>
      </c>
      <c r="DI172" t="s">
        <v>6</v>
      </c>
      <c r="DJ172" t="s">
        <v>6</v>
      </c>
      <c r="DK172" t="s">
        <v>6</v>
      </c>
      <c r="DL172" t="s">
        <v>6</v>
      </c>
      <c r="DM172" t="s">
        <v>6</v>
      </c>
      <c r="DN172">
        <v>0</v>
      </c>
      <c r="DO172">
        <v>0</v>
      </c>
      <c r="DP172">
        <v>1</v>
      </c>
      <c r="DQ172">
        <v>1</v>
      </c>
      <c r="DU172">
        <v>1007</v>
      </c>
      <c r="DV172" t="s">
        <v>44</v>
      </c>
      <c r="DW172" t="e">
        <f>'2.Лок.смета.и.Акт'!#REF!</f>
        <v>#REF!</v>
      </c>
      <c r="DX172">
        <v>1</v>
      </c>
      <c r="DZ172" t="s">
        <v>6</v>
      </c>
      <c r="EA172" t="s">
        <v>6</v>
      </c>
      <c r="EB172" t="s">
        <v>6</v>
      </c>
      <c r="EC172" t="s">
        <v>6</v>
      </c>
      <c r="EE172">
        <v>54938783</v>
      </c>
      <c r="EF172">
        <v>22</v>
      </c>
      <c r="EG172" t="s">
        <v>57</v>
      </c>
      <c r="EH172">
        <v>0</v>
      </c>
      <c r="EI172" t="s">
        <v>6</v>
      </c>
      <c r="EJ172">
        <v>1</v>
      </c>
      <c r="EK172">
        <v>500003</v>
      </c>
      <c r="EL172" t="s">
        <v>58</v>
      </c>
      <c r="EM172" t="s">
        <v>59</v>
      </c>
      <c r="EO172" t="s">
        <v>6</v>
      </c>
      <c r="EQ172">
        <v>0</v>
      </c>
      <c r="ER172">
        <v>6948.56</v>
      </c>
      <c r="ES172">
        <v>975</v>
      </c>
      <c r="ET172">
        <v>0</v>
      </c>
      <c r="EU172">
        <v>0</v>
      </c>
      <c r="EV172">
        <v>0</v>
      </c>
      <c r="EW172">
        <v>0</v>
      </c>
      <c r="EX172">
        <v>0</v>
      </c>
      <c r="EZ172">
        <v>5</v>
      </c>
      <c r="FC172">
        <v>0</v>
      </c>
      <c r="FD172">
        <v>18</v>
      </c>
      <c r="FF172">
        <v>6948.56</v>
      </c>
      <c r="FQ172">
        <v>0</v>
      </c>
      <c r="FR172">
        <f t="shared" si="178"/>
        <v>0</v>
      </c>
      <c r="FS172">
        <v>0</v>
      </c>
      <c r="FX172">
        <v>0</v>
      </c>
      <c r="FY172">
        <v>0</v>
      </c>
      <c r="GA172" t="s">
        <v>90</v>
      </c>
      <c r="GD172">
        <v>1</v>
      </c>
      <c r="GF172">
        <v>-183216560</v>
      </c>
      <c r="GG172">
        <v>2</v>
      </c>
      <c r="GH172">
        <v>3</v>
      </c>
      <c r="GI172">
        <v>5</v>
      </c>
      <c r="GJ172">
        <v>0</v>
      </c>
      <c r="GK172">
        <v>0</v>
      </c>
      <c r="GL172">
        <f t="shared" si="179"/>
        <v>0</v>
      </c>
      <c r="GM172">
        <f t="shared" si="180"/>
        <v>6472</v>
      </c>
      <c r="GN172">
        <f t="shared" si="181"/>
        <v>6472</v>
      </c>
      <c r="GO172">
        <f t="shared" si="182"/>
        <v>0</v>
      </c>
      <c r="GP172">
        <f t="shared" si="183"/>
        <v>0</v>
      </c>
      <c r="GR172">
        <v>1</v>
      </c>
      <c r="GS172">
        <v>1</v>
      </c>
      <c r="GT172">
        <v>0</v>
      </c>
      <c r="GU172" t="s">
        <v>6</v>
      </c>
      <c r="GV172">
        <f t="shared" si="184"/>
        <v>0</v>
      </c>
      <c r="GW172">
        <v>1</v>
      </c>
      <c r="GX172">
        <f t="shared" si="185"/>
        <v>0</v>
      </c>
      <c r="HA172">
        <v>0</v>
      </c>
      <c r="HB172">
        <v>0</v>
      </c>
      <c r="HC172">
        <f t="shared" si="186"/>
        <v>0</v>
      </c>
      <c r="HE172" t="s">
        <v>39</v>
      </c>
      <c r="HF172" t="s">
        <v>40</v>
      </c>
      <c r="HM172" t="s">
        <v>6</v>
      </c>
      <c r="HN172" t="s">
        <v>6</v>
      </c>
      <c r="HO172" t="s">
        <v>6</v>
      </c>
      <c r="HP172" t="s">
        <v>6</v>
      </c>
      <c r="HQ172" t="s">
        <v>6</v>
      </c>
      <c r="IF172">
        <v>-1</v>
      </c>
      <c r="IK172">
        <v>0</v>
      </c>
    </row>
    <row r="173" spans="1:255" x14ac:dyDescent="0.2">
      <c r="A173" s="2">
        <v>18</v>
      </c>
      <c r="B173" s="2">
        <v>1</v>
      </c>
      <c r="C173" s="2">
        <v>189</v>
      </c>
      <c r="D173" s="2"/>
      <c r="E173" s="2" t="s">
        <v>260</v>
      </c>
      <c r="F173" s="2" t="s">
        <v>92</v>
      </c>
      <c r="G173" s="2" t="s">
        <v>93</v>
      </c>
      <c r="H173" s="2" t="s">
        <v>94</v>
      </c>
      <c r="I173" s="2">
        <f>I163*J173</f>
        <v>1.8642479999999999</v>
      </c>
      <c r="J173" s="226">
        <f>'5.Ведомость_списания'!F81</f>
        <v>5.3879999999999999</v>
      </c>
      <c r="K173" s="2">
        <v>5.3879999999999999</v>
      </c>
      <c r="L173" s="2"/>
      <c r="M173" s="2"/>
      <c r="N173" s="2"/>
      <c r="O173" s="2">
        <f t="shared" si="155"/>
        <v>9</v>
      </c>
      <c r="P173" s="2">
        <f t="shared" si="156"/>
        <v>9</v>
      </c>
      <c r="Q173" s="2">
        <f t="shared" si="157"/>
        <v>0</v>
      </c>
      <c r="R173" s="2">
        <f t="shared" si="158"/>
        <v>0</v>
      </c>
      <c r="S173" s="2">
        <f t="shared" si="159"/>
        <v>0</v>
      </c>
      <c r="T173" s="2">
        <f t="shared" si="160"/>
        <v>0</v>
      </c>
      <c r="U173" s="2">
        <f t="shared" si="161"/>
        <v>0</v>
      </c>
      <c r="V173" s="2">
        <f t="shared" si="162"/>
        <v>0</v>
      </c>
      <c r="W173" s="2">
        <f t="shared" si="163"/>
        <v>0</v>
      </c>
      <c r="X173" s="2">
        <f t="shared" si="164"/>
        <v>0</v>
      </c>
      <c r="Y173" s="2">
        <f t="shared" si="165"/>
        <v>0</v>
      </c>
      <c r="Z173" s="2"/>
      <c r="AA173" s="2">
        <v>86326987</v>
      </c>
      <c r="AB173" s="2">
        <f t="shared" si="166"/>
        <v>4.6900000000000004</v>
      </c>
      <c r="AC173" s="2">
        <f t="shared" si="188"/>
        <v>4.6900000000000004</v>
      </c>
      <c r="AD173" s="2">
        <f>ROUND((((ET173)-(EU173))+AE173),2)</f>
        <v>0</v>
      </c>
      <c r="AE173" s="2">
        <f t="shared" si="189"/>
        <v>0</v>
      </c>
      <c r="AF173" s="2">
        <f t="shared" si="190"/>
        <v>0</v>
      </c>
      <c r="AG173" s="2">
        <f t="shared" si="167"/>
        <v>0</v>
      </c>
      <c r="AH173" s="2">
        <f t="shared" si="191"/>
        <v>0</v>
      </c>
      <c r="AI173" s="2">
        <f t="shared" si="192"/>
        <v>0</v>
      </c>
      <c r="AJ173" s="2">
        <f t="shared" si="168"/>
        <v>0.01</v>
      </c>
      <c r="AK173" s="2">
        <v>4.6900000000000004</v>
      </c>
      <c r="AL173" s="110">
        <f>'1.Лок.смета.и.Акт'!F315</f>
        <v>4.6900000000000004</v>
      </c>
      <c r="AM173" s="2">
        <v>0</v>
      </c>
      <c r="AN173" s="2">
        <v>0</v>
      </c>
      <c r="AO173" s="2">
        <v>0</v>
      </c>
      <c r="AP173" s="2">
        <v>0</v>
      </c>
      <c r="AQ173" s="2">
        <v>0</v>
      </c>
      <c r="AR173" s="2">
        <v>0</v>
      </c>
      <c r="AS173" s="2">
        <v>0.01</v>
      </c>
      <c r="AT173" s="2">
        <v>0</v>
      </c>
      <c r="AU173" s="2">
        <v>0</v>
      </c>
      <c r="AV173" s="2">
        <v>1</v>
      </c>
      <c r="AW173" s="2">
        <v>1</v>
      </c>
      <c r="AX173" s="2"/>
      <c r="AY173" s="2"/>
      <c r="AZ173" s="2">
        <v>1</v>
      </c>
      <c r="BA173" s="2">
        <v>1</v>
      </c>
      <c r="BB173" s="2">
        <v>1</v>
      </c>
      <c r="BC173" s="2">
        <v>1</v>
      </c>
      <c r="BD173" s="2" t="s">
        <v>6</v>
      </c>
      <c r="BE173" s="2" t="s">
        <v>6</v>
      </c>
      <c r="BF173" s="2" t="s">
        <v>6</v>
      </c>
      <c r="BG173" s="2" t="s">
        <v>6</v>
      </c>
      <c r="BH173" s="2">
        <v>3</v>
      </c>
      <c r="BI173" s="2">
        <v>2</v>
      </c>
      <c r="BJ173" s="2" t="s">
        <v>95</v>
      </c>
      <c r="BK173" s="2"/>
      <c r="BL173" s="2"/>
      <c r="BM173" s="2">
        <v>500002</v>
      </c>
      <c r="BN173" s="2">
        <v>0</v>
      </c>
      <c r="BO173" s="2" t="s">
        <v>6</v>
      </c>
      <c r="BP173" s="2">
        <v>0</v>
      </c>
      <c r="BQ173" s="2">
        <v>21</v>
      </c>
      <c r="BR173" s="2">
        <v>0</v>
      </c>
      <c r="BS173" s="2">
        <v>1</v>
      </c>
      <c r="BT173" s="2">
        <v>1</v>
      </c>
      <c r="BU173" s="2">
        <v>1</v>
      </c>
      <c r="BV173" s="2">
        <v>1</v>
      </c>
      <c r="BW173" s="2">
        <v>1</v>
      </c>
      <c r="BX173" s="2">
        <v>1</v>
      </c>
      <c r="BY173" s="2" t="s">
        <v>6</v>
      </c>
      <c r="BZ173" s="2">
        <v>0</v>
      </c>
      <c r="CA173" s="2">
        <v>0</v>
      </c>
      <c r="CB173" s="2" t="s">
        <v>6</v>
      </c>
      <c r="CC173" s="2"/>
      <c r="CD173" s="2"/>
      <c r="CE173" s="2">
        <v>0</v>
      </c>
      <c r="CF173" s="2">
        <v>0</v>
      </c>
      <c r="CG173" s="2">
        <v>0</v>
      </c>
      <c r="CH173" s="2"/>
      <c r="CI173" s="2"/>
      <c r="CJ173" s="2"/>
      <c r="CK173" s="2"/>
      <c r="CL173" s="2"/>
      <c r="CM173" s="2">
        <v>0</v>
      </c>
      <c r="CN173" s="2" t="s">
        <v>6</v>
      </c>
      <c r="CO173" s="2">
        <v>0</v>
      </c>
      <c r="CP173" s="2">
        <f t="shared" si="169"/>
        <v>9</v>
      </c>
      <c r="CQ173" s="2">
        <f t="shared" si="170"/>
        <v>4.6900000000000004</v>
      </c>
      <c r="CR173" s="2">
        <f t="shared" si="171"/>
        <v>0</v>
      </c>
      <c r="CS173" s="2">
        <f t="shared" si="172"/>
        <v>0</v>
      </c>
      <c r="CT173" s="2">
        <f t="shared" si="173"/>
        <v>0</v>
      </c>
      <c r="CU173" s="2">
        <f t="shared" si="174"/>
        <v>0</v>
      </c>
      <c r="CV173" s="2">
        <f t="shared" si="175"/>
        <v>0</v>
      </c>
      <c r="CW173" s="2">
        <f t="shared" si="176"/>
        <v>0</v>
      </c>
      <c r="CX173" s="2">
        <f t="shared" si="177"/>
        <v>0.01</v>
      </c>
      <c r="CY173" s="2">
        <f>(((S173+(R173*IF(0,0,1)))*AT173)/100)</f>
        <v>0</v>
      </c>
      <c r="CZ173" s="2">
        <f>(((S173+(R173*IF(0,0,1)))*AU173)/100)</f>
        <v>0</v>
      </c>
      <c r="DA173" s="2"/>
      <c r="DB173" s="2"/>
      <c r="DC173" s="2" t="s">
        <v>6</v>
      </c>
      <c r="DD173" s="2" t="s">
        <v>6</v>
      </c>
      <c r="DE173" s="2" t="s">
        <v>6</v>
      </c>
      <c r="DF173" s="2" t="s">
        <v>6</v>
      </c>
      <c r="DG173" s="2" t="s">
        <v>6</v>
      </c>
      <c r="DH173" s="2" t="s">
        <v>6</v>
      </c>
      <c r="DI173" s="2" t="s">
        <v>6</v>
      </c>
      <c r="DJ173" s="2" t="s">
        <v>6</v>
      </c>
      <c r="DK173" s="2" t="s">
        <v>6</v>
      </c>
      <c r="DL173" s="2" t="s">
        <v>6</v>
      </c>
      <c r="DM173" s="2" t="s">
        <v>6</v>
      </c>
      <c r="DN173" s="2">
        <v>0</v>
      </c>
      <c r="DO173" s="2">
        <v>0</v>
      </c>
      <c r="DP173" s="2">
        <v>1</v>
      </c>
      <c r="DQ173" s="2">
        <v>1</v>
      </c>
      <c r="DR173" s="2"/>
      <c r="DS173" s="2"/>
      <c r="DT173" s="2"/>
      <c r="DU173" s="2">
        <v>1003</v>
      </c>
      <c r="DV173" s="2" t="s">
        <v>94</v>
      </c>
      <c r="DW173" s="2" t="s">
        <v>94</v>
      </c>
      <c r="DX173" s="2">
        <v>1</v>
      </c>
      <c r="DY173" s="2"/>
      <c r="DZ173" s="2" t="s">
        <v>6</v>
      </c>
      <c r="EA173" s="2" t="s">
        <v>6</v>
      </c>
      <c r="EB173" s="2" t="s">
        <v>6</v>
      </c>
      <c r="EC173" s="2" t="s">
        <v>6</v>
      </c>
      <c r="ED173" s="2"/>
      <c r="EE173" s="2">
        <v>54938782</v>
      </c>
      <c r="EF173" s="2">
        <v>21</v>
      </c>
      <c r="EG173" s="2" t="s">
        <v>96</v>
      </c>
      <c r="EH173" s="2">
        <v>0</v>
      </c>
      <c r="EI173" s="2" t="s">
        <v>6</v>
      </c>
      <c r="EJ173" s="2">
        <v>2</v>
      </c>
      <c r="EK173" s="2">
        <v>500002</v>
      </c>
      <c r="EL173" s="2" t="s">
        <v>97</v>
      </c>
      <c r="EM173" s="2" t="s">
        <v>98</v>
      </c>
      <c r="EN173" s="2"/>
      <c r="EO173" s="2" t="s">
        <v>6</v>
      </c>
      <c r="EP173" s="2"/>
      <c r="EQ173" s="2">
        <v>0</v>
      </c>
      <c r="ER173" s="2">
        <v>4.6900000000000004</v>
      </c>
      <c r="ES173" s="110">
        <f>'1.Лок.смета.и.Акт'!F315</f>
        <v>4.6900000000000004</v>
      </c>
      <c r="ET173" s="2">
        <v>0</v>
      </c>
      <c r="EU173" s="2">
        <v>0</v>
      </c>
      <c r="EV173" s="2">
        <v>0</v>
      </c>
      <c r="EW173" s="2">
        <v>0</v>
      </c>
      <c r="EX173" s="2">
        <v>0</v>
      </c>
      <c r="EY173" s="2"/>
      <c r="EZ173" s="2"/>
      <c r="FA173" s="2"/>
      <c r="FB173" s="2"/>
      <c r="FC173" s="2"/>
      <c r="FD173" s="2"/>
      <c r="FE173" s="2"/>
      <c r="FF173" s="2"/>
      <c r="FG173" s="2"/>
      <c r="FH173" s="2"/>
      <c r="FI173" s="2"/>
      <c r="FJ173" s="2"/>
      <c r="FK173" s="2"/>
      <c r="FL173" s="2"/>
      <c r="FM173" s="2"/>
      <c r="FN173" s="2"/>
      <c r="FO173" s="2"/>
      <c r="FP173" s="2"/>
      <c r="FQ173" s="2">
        <v>0</v>
      </c>
      <c r="FR173" s="2">
        <f t="shared" si="178"/>
        <v>0</v>
      </c>
      <c r="FS173" s="2">
        <v>0</v>
      </c>
      <c r="FT173" s="2"/>
      <c r="FU173" s="2"/>
      <c r="FV173" s="2"/>
      <c r="FW173" s="2"/>
      <c r="FX173" s="2">
        <v>0</v>
      </c>
      <c r="FY173" s="2">
        <v>0</v>
      </c>
      <c r="FZ173" s="2"/>
      <c r="GA173" s="2" t="s">
        <v>6</v>
      </c>
      <c r="GB173" s="2"/>
      <c r="GC173" s="2"/>
      <c r="GD173" s="2">
        <v>1</v>
      </c>
      <c r="GE173" s="2"/>
      <c r="GF173" s="2">
        <v>-1608277363</v>
      </c>
      <c r="GG173" s="2">
        <v>2</v>
      </c>
      <c r="GH173" s="2">
        <v>0</v>
      </c>
      <c r="GI173" s="2">
        <v>-2</v>
      </c>
      <c r="GJ173" s="2">
        <v>0</v>
      </c>
      <c r="GK173" s="2">
        <v>0</v>
      </c>
      <c r="GL173" s="2">
        <f t="shared" si="179"/>
        <v>0</v>
      </c>
      <c r="GM173" s="2">
        <f t="shared" si="180"/>
        <v>9</v>
      </c>
      <c r="GN173" s="2">
        <f t="shared" si="181"/>
        <v>0</v>
      </c>
      <c r="GO173" s="2">
        <f t="shared" si="182"/>
        <v>9</v>
      </c>
      <c r="GP173" s="2">
        <f t="shared" si="183"/>
        <v>0</v>
      </c>
      <c r="GQ173" s="2"/>
      <c r="GR173" s="2">
        <v>0</v>
      </c>
      <c r="GS173" s="2">
        <v>3</v>
      </c>
      <c r="GT173" s="2">
        <v>0</v>
      </c>
      <c r="GU173" s="2" t="s">
        <v>6</v>
      </c>
      <c r="GV173" s="2">
        <f t="shared" si="184"/>
        <v>0</v>
      </c>
      <c r="GW173" s="2">
        <v>1</v>
      </c>
      <c r="GX173" s="2">
        <f t="shared" si="185"/>
        <v>0</v>
      </c>
      <c r="GY173" s="2"/>
      <c r="GZ173" s="2"/>
      <c r="HA173" s="2">
        <v>0</v>
      </c>
      <c r="HB173" s="2">
        <v>0</v>
      </c>
      <c r="HC173" s="2">
        <f t="shared" si="186"/>
        <v>0</v>
      </c>
      <c r="HD173" s="2"/>
      <c r="HE173" s="2" t="s">
        <v>6</v>
      </c>
      <c r="HF173" s="2" t="s">
        <v>6</v>
      </c>
      <c r="HG173" s="2"/>
      <c r="HH173" s="2"/>
      <c r="HI173" s="2"/>
      <c r="HJ173" s="2"/>
      <c r="HK173" s="2"/>
      <c r="HL173" s="2"/>
      <c r="HM173" s="2" t="s">
        <v>6</v>
      </c>
      <c r="HN173" s="2" t="s">
        <v>6</v>
      </c>
      <c r="HO173" s="2" t="s">
        <v>6</v>
      </c>
      <c r="HP173" s="2" t="s">
        <v>6</v>
      </c>
      <c r="HQ173" s="2" t="s">
        <v>6</v>
      </c>
      <c r="HR173" s="2"/>
      <c r="HS173" s="2"/>
      <c r="HT173" s="2"/>
      <c r="HU173" s="2"/>
      <c r="HV173" s="2"/>
      <c r="HW173" s="2"/>
      <c r="HX173" s="2"/>
      <c r="HY173" s="2"/>
      <c r="HZ173" s="2"/>
      <c r="IA173" s="2"/>
      <c r="IB173" s="2"/>
      <c r="IC173" s="2"/>
      <c r="ID173" s="2"/>
      <c r="IE173" s="2"/>
      <c r="IF173" s="2">
        <v>-1</v>
      </c>
      <c r="IG173" s="2"/>
      <c r="IH173" s="2"/>
      <c r="II173" s="2"/>
      <c r="IJ173" s="2"/>
      <c r="IK173" s="2">
        <v>0</v>
      </c>
      <c r="IL173" s="2"/>
      <c r="IM173" s="2"/>
      <c r="IN173" s="2"/>
      <c r="IO173" s="2"/>
      <c r="IP173" s="2"/>
      <c r="IQ173" s="2"/>
      <c r="IR173" s="2"/>
      <c r="IS173" s="2"/>
      <c r="IT173" s="2"/>
      <c r="IU173" s="2"/>
    </row>
    <row r="174" spans="1:255" x14ac:dyDescent="0.2">
      <c r="A174">
        <v>18</v>
      </c>
      <c r="B174">
        <v>1</v>
      </c>
      <c r="C174">
        <v>202</v>
      </c>
      <c r="E174" t="s">
        <v>260</v>
      </c>
      <c r="F174" t="e">
        <f>'2.Лок.смета.и.Акт'!#REF!</f>
        <v>#REF!</v>
      </c>
      <c r="G174" t="s">
        <v>93</v>
      </c>
      <c r="H174" t="s">
        <v>94</v>
      </c>
      <c r="I174">
        <f>I164*J174</f>
        <v>1.8642479999999999</v>
      </c>
      <c r="J174">
        <v>5.3879999999999999</v>
      </c>
      <c r="K174">
        <v>5.3879999999999999</v>
      </c>
      <c r="O174">
        <f t="shared" si="155"/>
        <v>60</v>
      </c>
      <c r="P174">
        <f t="shared" si="156"/>
        <v>60</v>
      </c>
      <c r="Q174">
        <f t="shared" si="157"/>
        <v>0</v>
      </c>
      <c r="R174">
        <f t="shared" si="158"/>
        <v>0</v>
      </c>
      <c r="S174">
        <f t="shared" si="159"/>
        <v>0</v>
      </c>
      <c r="T174">
        <f t="shared" si="160"/>
        <v>0</v>
      </c>
      <c r="U174">
        <f t="shared" si="161"/>
        <v>0</v>
      </c>
      <c r="V174">
        <f t="shared" si="162"/>
        <v>0</v>
      </c>
      <c r="W174">
        <f t="shared" si="163"/>
        <v>0</v>
      </c>
      <c r="X174">
        <f t="shared" si="164"/>
        <v>0</v>
      </c>
      <c r="Y174">
        <f t="shared" si="165"/>
        <v>0</v>
      </c>
      <c r="AA174">
        <v>86326988</v>
      </c>
      <c r="AB174">
        <f t="shared" si="166"/>
        <v>4.28</v>
      </c>
      <c r="AC174">
        <f t="shared" si="188"/>
        <v>4.28</v>
      </c>
      <c r="AD174">
        <f>ROUND((((ET174)-(EU174))+AE174),2)</f>
        <v>0</v>
      </c>
      <c r="AE174">
        <f t="shared" si="189"/>
        <v>0</v>
      </c>
      <c r="AF174">
        <f t="shared" si="190"/>
        <v>0</v>
      </c>
      <c r="AG174">
        <f t="shared" si="167"/>
        <v>0</v>
      </c>
      <c r="AH174">
        <f t="shared" si="191"/>
        <v>0</v>
      </c>
      <c r="AI174">
        <f t="shared" si="192"/>
        <v>0</v>
      </c>
      <c r="AJ174">
        <f t="shared" si="168"/>
        <v>0.01</v>
      </c>
      <c r="AK174">
        <v>4.28</v>
      </c>
      <c r="AL174">
        <v>4.28</v>
      </c>
      <c r="AM174">
        <v>0</v>
      </c>
      <c r="AN174">
        <v>0</v>
      </c>
      <c r="AO174">
        <v>0</v>
      </c>
      <c r="AP174">
        <v>0</v>
      </c>
      <c r="AQ174">
        <v>0</v>
      </c>
      <c r="AR174">
        <v>0</v>
      </c>
      <c r="AS174">
        <v>0.01</v>
      </c>
      <c r="AT174">
        <v>0</v>
      </c>
      <c r="AU174">
        <v>0</v>
      </c>
      <c r="AV174">
        <v>1</v>
      </c>
      <c r="AW174">
        <v>1</v>
      </c>
      <c r="AZ174">
        <v>1</v>
      </c>
      <c r="BA174">
        <v>1</v>
      </c>
      <c r="BB174">
        <v>1</v>
      </c>
      <c r="BC174">
        <v>7.56</v>
      </c>
      <c r="BD174" t="s">
        <v>6</v>
      </c>
      <c r="BE174" t="s">
        <v>6</v>
      </c>
      <c r="BF174" t="s">
        <v>6</v>
      </c>
      <c r="BG174" t="s">
        <v>6</v>
      </c>
      <c r="BH174">
        <v>3</v>
      </c>
      <c r="BI174">
        <v>2</v>
      </c>
      <c r="BJ174" t="s">
        <v>95</v>
      </c>
      <c r="BM174">
        <v>500002</v>
      </c>
      <c r="BN174">
        <v>0</v>
      </c>
      <c r="BO174" t="s">
        <v>6</v>
      </c>
      <c r="BP174">
        <v>0</v>
      </c>
      <c r="BQ174">
        <v>21</v>
      </c>
      <c r="BR174">
        <v>0</v>
      </c>
      <c r="BS174">
        <v>1</v>
      </c>
      <c r="BT174">
        <v>1</v>
      </c>
      <c r="BU174">
        <v>1</v>
      </c>
      <c r="BV174">
        <v>1</v>
      </c>
      <c r="BW174">
        <v>1</v>
      </c>
      <c r="BX174">
        <v>1</v>
      </c>
      <c r="BY174" t="s">
        <v>6</v>
      </c>
      <c r="BZ174">
        <v>0</v>
      </c>
      <c r="CA174">
        <v>0</v>
      </c>
      <c r="CB174" t="s">
        <v>6</v>
      </c>
      <c r="CE174">
        <v>0</v>
      </c>
      <c r="CF174">
        <v>0</v>
      </c>
      <c r="CG174">
        <v>0</v>
      </c>
      <c r="CM174">
        <v>0</v>
      </c>
      <c r="CN174" t="s">
        <v>6</v>
      </c>
      <c r="CO174">
        <v>0</v>
      </c>
      <c r="CP174">
        <f t="shared" si="169"/>
        <v>60</v>
      </c>
      <c r="CQ174">
        <f t="shared" si="170"/>
        <v>32.3568</v>
      </c>
      <c r="CR174">
        <f t="shared" si="171"/>
        <v>0</v>
      </c>
      <c r="CS174">
        <f t="shared" si="172"/>
        <v>0</v>
      </c>
      <c r="CT174">
        <f t="shared" si="173"/>
        <v>0</v>
      </c>
      <c r="CU174">
        <f t="shared" si="174"/>
        <v>0</v>
      </c>
      <c r="CV174">
        <f t="shared" si="175"/>
        <v>0</v>
      </c>
      <c r="CW174">
        <f t="shared" si="176"/>
        <v>0</v>
      </c>
      <c r="CX174">
        <f t="shared" si="177"/>
        <v>0.01</v>
      </c>
      <c r="CY174">
        <f>(S174+R174)*(BZ174/100)</f>
        <v>0</v>
      </c>
      <c r="CZ174">
        <f>(S174+R174)*(CA174/100)</f>
        <v>0</v>
      </c>
      <c r="DC174" t="s">
        <v>6</v>
      </c>
      <c r="DD174" t="s">
        <v>6</v>
      </c>
      <c r="DE174" t="s">
        <v>6</v>
      </c>
      <c r="DF174" t="s">
        <v>6</v>
      </c>
      <c r="DG174" t="s">
        <v>6</v>
      </c>
      <c r="DH174" t="s">
        <v>6</v>
      </c>
      <c r="DI174" t="s">
        <v>6</v>
      </c>
      <c r="DJ174" t="s">
        <v>6</v>
      </c>
      <c r="DK174" t="s">
        <v>6</v>
      </c>
      <c r="DL174" t="s">
        <v>6</v>
      </c>
      <c r="DM174" t="s">
        <v>6</v>
      </c>
      <c r="DN174">
        <v>0</v>
      </c>
      <c r="DO174">
        <v>0</v>
      </c>
      <c r="DP174">
        <v>1</v>
      </c>
      <c r="DQ174">
        <v>1</v>
      </c>
      <c r="DU174">
        <v>1003</v>
      </c>
      <c r="DV174" t="s">
        <v>94</v>
      </c>
      <c r="DW174" t="e">
        <f>'2.Лок.смета.и.Акт'!#REF!</f>
        <v>#REF!</v>
      </c>
      <c r="DX174">
        <v>1</v>
      </c>
      <c r="DZ174" t="s">
        <v>6</v>
      </c>
      <c r="EA174" t="s">
        <v>6</v>
      </c>
      <c r="EB174" t="s">
        <v>6</v>
      </c>
      <c r="EC174" t="s">
        <v>6</v>
      </c>
      <c r="EE174">
        <v>54938782</v>
      </c>
      <c r="EF174">
        <v>21</v>
      </c>
      <c r="EG174" t="s">
        <v>96</v>
      </c>
      <c r="EH174">
        <v>0</v>
      </c>
      <c r="EI174" t="s">
        <v>6</v>
      </c>
      <c r="EJ174">
        <v>2</v>
      </c>
      <c r="EK174">
        <v>500002</v>
      </c>
      <c r="EL174" t="s">
        <v>97</v>
      </c>
      <c r="EM174" t="s">
        <v>98</v>
      </c>
      <c r="EO174" t="s">
        <v>6</v>
      </c>
      <c r="EQ174">
        <v>0</v>
      </c>
      <c r="ER174">
        <v>30.51</v>
      </c>
      <c r="ES174">
        <v>4.28</v>
      </c>
      <c r="ET174">
        <v>0</v>
      </c>
      <c r="EU174">
        <v>0</v>
      </c>
      <c r="EV174">
        <v>0</v>
      </c>
      <c r="EW174">
        <v>0</v>
      </c>
      <c r="EX174">
        <v>0</v>
      </c>
      <c r="EZ174">
        <v>5</v>
      </c>
      <c r="FC174">
        <v>0</v>
      </c>
      <c r="FD174">
        <v>18</v>
      </c>
      <c r="FF174">
        <v>30.51</v>
      </c>
      <c r="FQ174">
        <v>0</v>
      </c>
      <c r="FR174">
        <f t="shared" si="178"/>
        <v>0</v>
      </c>
      <c r="FS174">
        <v>0</v>
      </c>
      <c r="FX174">
        <v>0</v>
      </c>
      <c r="FY174">
        <v>0</v>
      </c>
      <c r="GA174" t="s">
        <v>99</v>
      </c>
      <c r="GD174">
        <v>1</v>
      </c>
      <c r="GF174">
        <v>-1608277363</v>
      </c>
      <c r="GG174">
        <v>2</v>
      </c>
      <c r="GH174">
        <v>3</v>
      </c>
      <c r="GI174">
        <v>5</v>
      </c>
      <c r="GJ174">
        <v>0</v>
      </c>
      <c r="GK174">
        <v>0</v>
      </c>
      <c r="GL174">
        <f t="shared" si="179"/>
        <v>0</v>
      </c>
      <c r="GM174">
        <f t="shared" si="180"/>
        <v>60</v>
      </c>
      <c r="GN174">
        <f t="shared" si="181"/>
        <v>0</v>
      </c>
      <c r="GO174">
        <f t="shared" si="182"/>
        <v>60</v>
      </c>
      <c r="GP174">
        <f t="shared" si="183"/>
        <v>0</v>
      </c>
      <c r="GR174">
        <v>1</v>
      </c>
      <c r="GS174">
        <v>1</v>
      </c>
      <c r="GT174">
        <v>0</v>
      </c>
      <c r="GU174" t="s">
        <v>6</v>
      </c>
      <c r="GV174">
        <f t="shared" si="184"/>
        <v>0</v>
      </c>
      <c r="GW174">
        <v>1</v>
      </c>
      <c r="GX174">
        <f t="shared" si="185"/>
        <v>0</v>
      </c>
      <c r="HA174">
        <v>0</v>
      </c>
      <c r="HB174">
        <v>0</v>
      </c>
      <c r="HC174">
        <f t="shared" si="186"/>
        <v>0</v>
      </c>
      <c r="HE174" t="s">
        <v>39</v>
      </c>
      <c r="HF174" t="s">
        <v>40</v>
      </c>
      <c r="HM174" t="s">
        <v>6</v>
      </c>
      <c r="HN174" t="s">
        <v>6</v>
      </c>
      <c r="HO174" t="s">
        <v>6</v>
      </c>
      <c r="HP174" t="s">
        <v>6</v>
      </c>
      <c r="HQ174" t="s">
        <v>6</v>
      </c>
      <c r="IF174">
        <v>-1</v>
      </c>
      <c r="IK174">
        <v>0</v>
      </c>
    </row>
    <row r="175" spans="1:255" x14ac:dyDescent="0.2">
      <c r="A175" s="2">
        <v>18</v>
      </c>
      <c r="B175" s="2">
        <v>1</v>
      </c>
      <c r="C175" s="2">
        <v>186</v>
      </c>
      <c r="D175" s="2"/>
      <c r="E175" s="2" t="s">
        <v>261</v>
      </c>
      <c r="F175" s="2" t="s">
        <v>101</v>
      </c>
      <c r="G175" s="2" t="s">
        <v>102</v>
      </c>
      <c r="H175" s="2" t="s">
        <v>103</v>
      </c>
      <c r="I175" s="2">
        <f>I163*J175</f>
        <v>7.9580000000000011</v>
      </c>
      <c r="J175" s="226">
        <f>'5.Ведомость_списания'!F82</f>
        <v>23.000000000000004</v>
      </c>
      <c r="K175" s="2">
        <v>23</v>
      </c>
      <c r="L175" s="2"/>
      <c r="M175" s="2"/>
      <c r="N175" s="2"/>
      <c r="O175" s="2">
        <f t="shared" si="155"/>
        <v>2</v>
      </c>
      <c r="P175" s="2">
        <f t="shared" si="156"/>
        <v>2</v>
      </c>
      <c r="Q175" s="2">
        <f t="shared" si="157"/>
        <v>0</v>
      </c>
      <c r="R175" s="2">
        <f t="shared" si="158"/>
        <v>0</v>
      </c>
      <c r="S175" s="2">
        <f t="shared" si="159"/>
        <v>0</v>
      </c>
      <c r="T175" s="2">
        <f t="shared" si="160"/>
        <v>0</v>
      </c>
      <c r="U175" s="2">
        <f t="shared" si="161"/>
        <v>0</v>
      </c>
      <c r="V175" s="2">
        <f t="shared" si="162"/>
        <v>0</v>
      </c>
      <c r="W175" s="2">
        <f t="shared" si="163"/>
        <v>0</v>
      </c>
      <c r="X175" s="2">
        <f t="shared" si="164"/>
        <v>0</v>
      </c>
      <c r="Y175" s="2">
        <f t="shared" si="165"/>
        <v>0</v>
      </c>
      <c r="Z175" s="2"/>
      <c r="AA175" s="2">
        <v>86326987</v>
      </c>
      <c r="AB175" s="2">
        <f t="shared" si="166"/>
        <v>0.24</v>
      </c>
      <c r="AC175" s="2">
        <f t="shared" si="188"/>
        <v>0.24</v>
      </c>
      <c r="AD175" s="2">
        <f t="shared" ref="AD175:AD180" si="193">ROUND((ET175),2)</f>
        <v>0</v>
      </c>
      <c r="AE175" s="2">
        <f t="shared" si="189"/>
        <v>0</v>
      </c>
      <c r="AF175" s="2">
        <f t="shared" si="190"/>
        <v>0</v>
      </c>
      <c r="AG175" s="2">
        <f t="shared" si="167"/>
        <v>0</v>
      </c>
      <c r="AH175" s="2">
        <f t="shared" si="191"/>
        <v>0</v>
      </c>
      <c r="AI175" s="2">
        <f t="shared" si="192"/>
        <v>0</v>
      </c>
      <c r="AJ175" s="2">
        <f t="shared" si="168"/>
        <v>0</v>
      </c>
      <c r="AK175" s="2">
        <v>0.24</v>
      </c>
      <c r="AL175" s="110">
        <f>'1.Лок.смета.и.Акт'!F317</f>
        <v>0.24</v>
      </c>
      <c r="AM175" s="2">
        <v>0</v>
      </c>
      <c r="AN175" s="2">
        <v>0</v>
      </c>
      <c r="AO175" s="2">
        <v>0</v>
      </c>
      <c r="AP175" s="2">
        <v>0</v>
      </c>
      <c r="AQ175" s="2">
        <v>0</v>
      </c>
      <c r="AR175" s="2">
        <v>0</v>
      </c>
      <c r="AS175" s="2">
        <v>0</v>
      </c>
      <c r="AT175" s="2">
        <v>0</v>
      </c>
      <c r="AU175" s="2">
        <v>0</v>
      </c>
      <c r="AV175" s="2">
        <v>1</v>
      </c>
      <c r="AW175" s="2">
        <v>1</v>
      </c>
      <c r="AX175" s="2"/>
      <c r="AY175" s="2"/>
      <c r="AZ175" s="2">
        <v>1</v>
      </c>
      <c r="BA175" s="2">
        <v>1</v>
      </c>
      <c r="BB175" s="2">
        <v>1</v>
      </c>
      <c r="BC175" s="2">
        <v>1</v>
      </c>
      <c r="BD175" s="2" t="s">
        <v>6</v>
      </c>
      <c r="BE175" s="2" t="s">
        <v>6</v>
      </c>
      <c r="BF175" s="2" t="s">
        <v>6</v>
      </c>
      <c r="BG175" s="2" t="s">
        <v>6</v>
      </c>
      <c r="BH175" s="2">
        <v>3</v>
      </c>
      <c r="BI175" s="2">
        <v>1</v>
      </c>
      <c r="BJ175" s="2" t="s">
        <v>104</v>
      </c>
      <c r="BK175" s="2"/>
      <c r="BL175" s="2"/>
      <c r="BM175" s="2">
        <v>3101</v>
      </c>
      <c r="BN175" s="2">
        <v>0</v>
      </c>
      <c r="BO175" s="2" t="s">
        <v>6</v>
      </c>
      <c r="BP175" s="2">
        <v>0</v>
      </c>
      <c r="BQ175" s="2">
        <v>0</v>
      </c>
      <c r="BR175" s="2">
        <v>0</v>
      </c>
      <c r="BS175" s="2">
        <v>1</v>
      </c>
      <c r="BT175" s="2">
        <v>1</v>
      </c>
      <c r="BU175" s="2">
        <v>1</v>
      </c>
      <c r="BV175" s="2">
        <v>1</v>
      </c>
      <c r="BW175" s="2">
        <v>1</v>
      </c>
      <c r="BX175" s="2">
        <v>1</v>
      </c>
      <c r="BY175" s="2" t="s">
        <v>6</v>
      </c>
      <c r="BZ175" s="2">
        <v>0</v>
      </c>
      <c r="CA175" s="2">
        <v>0</v>
      </c>
      <c r="CB175" s="2" t="s">
        <v>6</v>
      </c>
      <c r="CC175" s="2"/>
      <c r="CD175" s="2"/>
      <c r="CE175" s="2">
        <v>0</v>
      </c>
      <c r="CF175" s="2">
        <v>0</v>
      </c>
      <c r="CG175" s="2">
        <v>0</v>
      </c>
      <c r="CH175" s="2"/>
      <c r="CI175" s="2"/>
      <c r="CJ175" s="2"/>
      <c r="CK175" s="2"/>
      <c r="CL175" s="2"/>
      <c r="CM175" s="2">
        <v>0</v>
      </c>
      <c r="CN175" s="2" t="s">
        <v>6</v>
      </c>
      <c r="CO175" s="2">
        <v>0</v>
      </c>
      <c r="CP175" s="2">
        <f t="shared" si="169"/>
        <v>2</v>
      </c>
      <c r="CQ175" s="2">
        <f t="shared" si="170"/>
        <v>0.24</v>
      </c>
      <c r="CR175" s="2">
        <f t="shared" si="171"/>
        <v>0</v>
      </c>
      <c r="CS175" s="2">
        <f t="shared" si="172"/>
        <v>0</v>
      </c>
      <c r="CT175" s="2">
        <f t="shared" si="173"/>
        <v>0</v>
      </c>
      <c r="CU175" s="2">
        <f t="shared" si="174"/>
        <v>0</v>
      </c>
      <c r="CV175" s="2">
        <f t="shared" si="175"/>
        <v>0</v>
      </c>
      <c r="CW175" s="2">
        <f t="shared" si="176"/>
        <v>0</v>
      </c>
      <c r="CX175" s="2">
        <f t="shared" si="177"/>
        <v>0</v>
      </c>
      <c r="CY175" s="2">
        <f>0</f>
        <v>0</v>
      </c>
      <c r="CZ175" s="2">
        <f>0</f>
        <v>0</v>
      </c>
      <c r="DA175" s="2"/>
      <c r="DB175" s="2"/>
      <c r="DC175" s="2" t="s">
        <v>6</v>
      </c>
      <c r="DD175" s="2" t="s">
        <v>6</v>
      </c>
      <c r="DE175" s="2" t="s">
        <v>6</v>
      </c>
      <c r="DF175" s="2" t="s">
        <v>6</v>
      </c>
      <c r="DG175" s="2" t="s">
        <v>6</v>
      </c>
      <c r="DH175" s="2" t="s">
        <v>6</v>
      </c>
      <c r="DI175" s="2" t="s">
        <v>6</v>
      </c>
      <c r="DJ175" s="2" t="s">
        <v>6</v>
      </c>
      <c r="DK175" s="2" t="s">
        <v>6</v>
      </c>
      <c r="DL175" s="2" t="s">
        <v>6</v>
      </c>
      <c r="DM175" s="2" t="s">
        <v>6</v>
      </c>
      <c r="DN175" s="2">
        <v>0</v>
      </c>
      <c r="DO175" s="2">
        <v>0</v>
      </c>
      <c r="DP175" s="2">
        <v>1</v>
      </c>
      <c r="DQ175" s="2">
        <v>1</v>
      </c>
      <c r="DR175" s="2"/>
      <c r="DS175" s="2"/>
      <c r="DT175" s="2"/>
      <c r="DU175" s="2">
        <v>1013</v>
      </c>
      <c r="DV175" s="2" t="s">
        <v>103</v>
      </c>
      <c r="DW175" s="2" t="s">
        <v>103</v>
      </c>
      <c r="DX175" s="2">
        <v>1</v>
      </c>
      <c r="DY175" s="2"/>
      <c r="DZ175" s="2" t="s">
        <v>6</v>
      </c>
      <c r="EA175" s="2" t="s">
        <v>6</v>
      </c>
      <c r="EB175" s="2" t="s">
        <v>6</v>
      </c>
      <c r="EC175" s="2" t="s">
        <v>6</v>
      </c>
      <c r="ED175" s="2"/>
      <c r="EE175" s="2">
        <v>0</v>
      </c>
      <c r="EF175" s="2">
        <v>0</v>
      </c>
      <c r="EG175" s="2" t="s">
        <v>6</v>
      </c>
      <c r="EH175" s="2">
        <v>0</v>
      </c>
      <c r="EI175" s="2" t="s">
        <v>6</v>
      </c>
      <c r="EJ175" s="2">
        <v>0</v>
      </c>
      <c r="EK175" s="2">
        <v>3101</v>
      </c>
      <c r="EL175" s="2" t="s">
        <v>6</v>
      </c>
      <c r="EM175" s="2" t="s">
        <v>6</v>
      </c>
      <c r="EN175" s="2"/>
      <c r="EO175" s="2" t="s">
        <v>6</v>
      </c>
      <c r="EP175" s="2"/>
      <c r="EQ175" s="2">
        <v>0</v>
      </c>
      <c r="ER175" s="2">
        <v>0.24</v>
      </c>
      <c r="ES175" s="110">
        <f>'1.Лок.смета.и.Акт'!F317</f>
        <v>0.24</v>
      </c>
      <c r="ET175" s="2">
        <v>0</v>
      </c>
      <c r="EU175" s="2">
        <v>0</v>
      </c>
      <c r="EV175" s="2">
        <v>0</v>
      </c>
      <c r="EW175" s="2">
        <v>0</v>
      </c>
      <c r="EX175" s="2">
        <v>0</v>
      </c>
      <c r="EY175" s="2"/>
      <c r="EZ175" s="2"/>
      <c r="FA175" s="2"/>
      <c r="FB175" s="2"/>
      <c r="FC175" s="2"/>
      <c r="FD175" s="2"/>
      <c r="FE175" s="2"/>
      <c r="FF175" s="2"/>
      <c r="FG175" s="2"/>
      <c r="FH175" s="2"/>
      <c r="FI175" s="2"/>
      <c r="FJ175" s="2"/>
      <c r="FK175" s="2"/>
      <c r="FL175" s="2"/>
      <c r="FM175" s="2"/>
      <c r="FN175" s="2"/>
      <c r="FO175" s="2"/>
      <c r="FP175" s="2"/>
      <c r="FQ175" s="2">
        <v>0</v>
      </c>
      <c r="FR175" s="2">
        <f t="shared" si="178"/>
        <v>0</v>
      </c>
      <c r="FS175" s="2">
        <v>0</v>
      </c>
      <c r="FT175" s="2"/>
      <c r="FU175" s="2"/>
      <c r="FV175" s="2"/>
      <c r="FW175" s="2"/>
      <c r="FX175" s="2">
        <v>0</v>
      </c>
      <c r="FY175" s="2">
        <v>0</v>
      </c>
      <c r="FZ175" s="2"/>
      <c r="GA175" s="2" t="s">
        <v>6</v>
      </c>
      <c r="GB175" s="2"/>
      <c r="GC175" s="2"/>
      <c r="GD175" s="2">
        <v>1</v>
      </c>
      <c r="GE175" s="2"/>
      <c r="GF175" s="2">
        <v>-504018761</v>
      </c>
      <c r="GG175" s="2">
        <v>2</v>
      </c>
      <c r="GH175" s="2">
        <v>0</v>
      </c>
      <c r="GI175" s="2">
        <v>-2</v>
      </c>
      <c r="GJ175" s="2">
        <v>0</v>
      </c>
      <c r="GK175" s="2">
        <v>0</v>
      </c>
      <c r="GL175" s="2">
        <f t="shared" si="179"/>
        <v>0</v>
      </c>
      <c r="GM175" s="2">
        <f t="shared" si="180"/>
        <v>2</v>
      </c>
      <c r="GN175" s="2">
        <f t="shared" si="181"/>
        <v>2</v>
      </c>
      <c r="GO175" s="2">
        <f t="shared" si="182"/>
        <v>0</v>
      </c>
      <c r="GP175" s="2">
        <f t="shared" si="183"/>
        <v>0</v>
      </c>
      <c r="GQ175" s="2"/>
      <c r="GR175" s="2">
        <v>0</v>
      </c>
      <c r="GS175" s="2">
        <v>3</v>
      </c>
      <c r="GT175" s="2">
        <v>0</v>
      </c>
      <c r="GU175" s="2" t="s">
        <v>6</v>
      </c>
      <c r="GV175" s="2">
        <f t="shared" si="184"/>
        <v>0</v>
      </c>
      <c r="GW175" s="2">
        <v>1</v>
      </c>
      <c r="GX175" s="2">
        <f t="shared" si="185"/>
        <v>0</v>
      </c>
      <c r="GY175" s="2"/>
      <c r="GZ175" s="2"/>
      <c r="HA175" s="2">
        <v>0</v>
      </c>
      <c r="HB175" s="2">
        <v>0</v>
      </c>
      <c r="HC175" s="2">
        <f t="shared" si="186"/>
        <v>0</v>
      </c>
      <c r="HD175" s="2"/>
      <c r="HE175" s="2" t="s">
        <v>6</v>
      </c>
      <c r="HF175" s="2" t="s">
        <v>6</v>
      </c>
      <c r="HG175" s="2"/>
      <c r="HH175" s="2"/>
      <c r="HI175" s="2"/>
      <c r="HJ175" s="2"/>
      <c r="HK175" s="2"/>
      <c r="HL175" s="2"/>
      <c r="HM175" s="2" t="s">
        <v>6</v>
      </c>
      <c r="HN175" s="2" t="s">
        <v>6</v>
      </c>
      <c r="HO175" s="2" t="s">
        <v>6</v>
      </c>
      <c r="HP175" s="2" t="s">
        <v>6</v>
      </c>
      <c r="HQ175" s="2" t="s">
        <v>6</v>
      </c>
      <c r="HR175" s="2"/>
      <c r="HS175" s="2"/>
      <c r="HT175" s="2"/>
      <c r="HU175" s="2"/>
      <c r="HV175" s="2"/>
      <c r="HW175" s="2"/>
      <c r="HX175" s="2"/>
      <c r="HY175" s="2"/>
      <c r="HZ175" s="2"/>
      <c r="IA175" s="2"/>
      <c r="IB175" s="2"/>
      <c r="IC175" s="2"/>
      <c r="ID175" s="2"/>
      <c r="IE175" s="2"/>
      <c r="IF175" s="2">
        <v>-1</v>
      </c>
      <c r="IG175" s="2"/>
      <c r="IH175" s="2"/>
      <c r="II175" s="2"/>
      <c r="IJ175" s="2"/>
      <c r="IK175" s="2">
        <v>0</v>
      </c>
      <c r="IL175" s="2"/>
      <c r="IM175" s="2"/>
      <c r="IN175" s="2"/>
      <c r="IO175" s="2"/>
      <c r="IP175" s="2"/>
      <c r="IQ175" s="2"/>
      <c r="IR175" s="2"/>
      <c r="IS175" s="2"/>
      <c r="IT175" s="2"/>
      <c r="IU175" s="2"/>
    </row>
    <row r="176" spans="1:255" x14ac:dyDescent="0.2">
      <c r="A176">
        <v>18</v>
      </c>
      <c r="B176">
        <v>1</v>
      </c>
      <c r="C176">
        <v>199</v>
      </c>
      <c r="E176" t="s">
        <v>261</v>
      </c>
      <c r="F176" t="e">
        <f>'2.Лок.смета.и.Акт'!#REF!</f>
        <v>#REF!</v>
      </c>
      <c r="G176" t="s">
        <v>102</v>
      </c>
      <c r="H176" t="s">
        <v>103</v>
      </c>
      <c r="I176">
        <f>I164*J176</f>
        <v>7.9580000000000011</v>
      </c>
      <c r="J176">
        <v>23.000000000000004</v>
      </c>
      <c r="K176">
        <v>23</v>
      </c>
      <c r="O176">
        <f t="shared" si="155"/>
        <v>10</v>
      </c>
      <c r="P176">
        <f t="shared" si="156"/>
        <v>10</v>
      </c>
      <c r="Q176">
        <f t="shared" si="157"/>
        <v>0</v>
      </c>
      <c r="R176">
        <f t="shared" si="158"/>
        <v>0</v>
      </c>
      <c r="S176">
        <f t="shared" si="159"/>
        <v>0</v>
      </c>
      <c r="T176">
        <f t="shared" si="160"/>
        <v>0</v>
      </c>
      <c r="U176">
        <f t="shared" si="161"/>
        <v>0</v>
      </c>
      <c r="V176">
        <f t="shared" si="162"/>
        <v>0</v>
      </c>
      <c r="W176">
        <f t="shared" si="163"/>
        <v>0</v>
      </c>
      <c r="X176">
        <f t="shared" si="164"/>
        <v>0</v>
      </c>
      <c r="Y176">
        <f t="shared" si="165"/>
        <v>0</v>
      </c>
      <c r="AA176">
        <v>86326988</v>
      </c>
      <c r="AB176">
        <f t="shared" si="166"/>
        <v>0.16</v>
      </c>
      <c r="AC176">
        <f t="shared" si="188"/>
        <v>0.16</v>
      </c>
      <c r="AD176">
        <f t="shared" si="193"/>
        <v>0</v>
      </c>
      <c r="AE176">
        <f t="shared" si="189"/>
        <v>0</v>
      </c>
      <c r="AF176">
        <f t="shared" si="190"/>
        <v>0</v>
      </c>
      <c r="AG176">
        <f t="shared" si="167"/>
        <v>0</v>
      </c>
      <c r="AH176">
        <f t="shared" si="191"/>
        <v>0</v>
      </c>
      <c r="AI176">
        <f t="shared" si="192"/>
        <v>0</v>
      </c>
      <c r="AJ176">
        <f t="shared" si="168"/>
        <v>0</v>
      </c>
      <c r="AK176">
        <v>0.16</v>
      </c>
      <c r="AL176">
        <v>0.16</v>
      </c>
      <c r="AM176">
        <v>0</v>
      </c>
      <c r="AN176">
        <v>0</v>
      </c>
      <c r="AO176">
        <v>0</v>
      </c>
      <c r="AP176">
        <v>0</v>
      </c>
      <c r="AQ176">
        <v>0</v>
      </c>
      <c r="AR176">
        <v>0</v>
      </c>
      <c r="AS176">
        <v>0</v>
      </c>
      <c r="AT176">
        <v>0</v>
      </c>
      <c r="AU176">
        <v>0</v>
      </c>
      <c r="AV176">
        <v>1</v>
      </c>
      <c r="AW176">
        <v>1</v>
      </c>
      <c r="AZ176">
        <v>1</v>
      </c>
      <c r="BA176">
        <v>1</v>
      </c>
      <c r="BB176">
        <v>1</v>
      </c>
      <c r="BC176">
        <v>7.56</v>
      </c>
      <c r="BD176" t="s">
        <v>6</v>
      </c>
      <c r="BE176" t="s">
        <v>6</v>
      </c>
      <c r="BF176" t="s">
        <v>6</v>
      </c>
      <c r="BG176" t="s">
        <v>6</v>
      </c>
      <c r="BH176">
        <v>3</v>
      </c>
      <c r="BI176">
        <v>1</v>
      </c>
      <c r="BJ176" t="s">
        <v>104</v>
      </c>
      <c r="BM176">
        <v>3101</v>
      </c>
      <c r="BN176">
        <v>0</v>
      </c>
      <c r="BO176" t="s">
        <v>6</v>
      </c>
      <c r="BP176">
        <v>0</v>
      </c>
      <c r="BQ176">
        <v>0</v>
      </c>
      <c r="BR176">
        <v>0</v>
      </c>
      <c r="BS176">
        <v>1</v>
      </c>
      <c r="BT176">
        <v>1</v>
      </c>
      <c r="BU176">
        <v>1</v>
      </c>
      <c r="BV176">
        <v>1</v>
      </c>
      <c r="BW176">
        <v>1</v>
      </c>
      <c r="BX176">
        <v>1</v>
      </c>
      <c r="BY176" t="s">
        <v>6</v>
      </c>
      <c r="BZ176">
        <v>0</v>
      </c>
      <c r="CA176">
        <v>0</v>
      </c>
      <c r="CB176" t="s">
        <v>6</v>
      </c>
      <c r="CE176">
        <v>0</v>
      </c>
      <c r="CF176">
        <v>0</v>
      </c>
      <c r="CG176">
        <v>0</v>
      </c>
      <c r="CM176">
        <v>0</v>
      </c>
      <c r="CN176" t="s">
        <v>6</v>
      </c>
      <c r="CO176">
        <v>0</v>
      </c>
      <c r="CP176">
        <f t="shared" si="169"/>
        <v>10</v>
      </c>
      <c r="CQ176">
        <f t="shared" si="170"/>
        <v>1.2096</v>
      </c>
      <c r="CR176">
        <f t="shared" si="171"/>
        <v>0</v>
      </c>
      <c r="CS176">
        <f t="shared" si="172"/>
        <v>0</v>
      </c>
      <c r="CT176">
        <f t="shared" si="173"/>
        <v>0</v>
      </c>
      <c r="CU176">
        <f t="shared" si="174"/>
        <v>0</v>
      </c>
      <c r="CV176">
        <f t="shared" si="175"/>
        <v>0</v>
      </c>
      <c r="CW176">
        <f t="shared" si="176"/>
        <v>0</v>
      </c>
      <c r="CX176">
        <f t="shared" si="177"/>
        <v>0</v>
      </c>
      <c r="CY176">
        <f>(S176+R176)*(BZ176/100)</f>
        <v>0</v>
      </c>
      <c r="CZ176">
        <f>(S176+R176)*(CA176/100)</f>
        <v>0</v>
      </c>
      <c r="DC176" t="s">
        <v>6</v>
      </c>
      <c r="DD176" t="s">
        <v>6</v>
      </c>
      <c r="DE176" t="s">
        <v>6</v>
      </c>
      <c r="DF176" t="s">
        <v>6</v>
      </c>
      <c r="DG176" t="s">
        <v>6</v>
      </c>
      <c r="DH176" t="s">
        <v>6</v>
      </c>
      <c r="DI176" t="s">
        <v>6</v>
      </c>
      <c r="DJ176" t="s">
        <v>6</v>
      </c>
      <c r="DK176" t="s">
        <v>6</v>
      </c>
      <c r="DL176" t="s">
        <v>6</v>
      </c>
      <c r="DM176" t="s">
        <v>6</v>
      </c>
      <c r="DN176">
        <v>0</v>
      </c>
      <c r="DO176">
        <v>0</v>
      </c>
      <c r="DP176">
        <v>1</v>
      </c>
      <c r="DQ176">
        <v>1</v>
      </c>
      <c r="DU176">
        <v>1013</v>
      </c>
      <c r="DV176" t="s">
        <v>103</v>
      </c>
      <c r="DW176" t="e">
        <f>'2.Лок.смета.и.Акт'!#REF!</f>
        <v>#REF!</v>
      </c>
      <c r="DX176">
        <v>1</v>
      </c>
      <c r="DZ176" t="s">
        <v>6</v>
      </c>
      <c r="EA176" t="s">
        <v>6</v>
      </c>
      <c r="EB176" t="s">
        <v>6</v>
      </c>
      <c r="EC176" t="s">
        <v>6</v>
      </c>
      <c r="EE176">
        <v>0</v>
      </c>
      <c r="EF176">
        <v>0</v>
      </c>
      <c r="EG176" t="s">
        <v>6</v>
      </c>
      <c r="EH176">
        <v>0</v>
      </c>
      <c r="EI176" t="s">
        <v>6</v>
      </c>
      <c r="EJ176">
        <v>0</v>
      </c>
      <c r="EK176">
        <v>3101</v>
      </c>
      <c r="EL176" t="s">
        <v>6</v>
      </c>
      <c r="EM176" t="s">
        <v>6</v>
      </c>
      <c r="EO176" t="s">
        <v>6</v>
      </c>
      <c r="EQ176">
        <v>0</v>
      </c>
      <c r="ER176">
        <v>1.1299999999999999</v>
      </c>
      <c r="ES176">
        <v>0.16</v>
      </c>
      <c r="ET176">
        <v>0</v>
      </c>
      <c r="EU176">
        <v>0</v>
      </c>
      <c r="EV176">
        <v>0</v>
      </c>
      <c r="EW176">
        <v>0</v>
      </c>
      <c r="EX176">
        <v>0</v>
      </c>
      <c r="EZ176">
        <v>5</v>
      </c>
      <c r="FC176">
        <v>0</v>
      </c>
      <c r="FD176">
        <v>18</v>
      </c>
      <c r="FF176">
        <v>1.1299999999999999</v>
      </c>
      <c r="FQ176">
        <v>0</v>
      </c>
      <c r="FR176">
        <f t="shared" si="178"/>
        <v>0</v>
      </c>
      <c r="FS176">
        <v>0</v>
      </c>
      <c r="FX176">
        <v>0</v>
      </c>
      <c r="FY176">
        <v>0</v>
      </c>
      <c r="GA176" t="s">
        <v>105</v>
      </c>
      <c r="GD176">
        <v>1</v>
      </c>
      <c r="GF176">
        <v>-504018761</v>
      </c>
      <c r="GG176">
        <v>2</v>
      </c>
      <c r="GH176">
        <v>3</v>
      </c>
      <c r="GI176">
        <v>5</v>
      </c>
      <c r="GJ176">
        <v>0</v>
      </c>
      <c r="GK176">
        <v>0</v>
      </c>
      <c r="GL176">
        <f t="shared" si="179"/>
        <v>0</v>
      </c>
      <c r="GM176">
        <f t="shared" si="180"/>
        <v>10</v>
      </c>
      <c r="GN176">
        <f t="shared" si="181"/>
        <v>10</v>
      </c>
      <c r="GO176">
        <f t="shared" si="182"/>
        <v>0</v>
      </c>
      <c r="GP176">
        <f t="shared" si="183"/>
        <v>0</v>
      </c>
      <c r="GR176">
        <v>1</v>
      </c>
      <c r="GS176">
        <v>1</v>
      </c>
      <c r="GT176">
        <v>0</v>
      </c>
      <c r="GU176" t="s">
        <v>6</v>
      </c>
      <c r="GV176">
        <f t="shared" si="184"/>
        <v>0</v>
      </c>
      <c r="GW176">
        <v>1</v>
      </c>
      <c r="GX176">
        <f t="shared" si="185"/>
        <v>0</v>
      </c>
      <c r="HA176">
        <v>0</v>
      </c>
      <c r="HB176">
        <v>0</v>
      </c>
      <c r="HC176">
        <f t="shared" si="186"/>
        <v>0</v>
      </c>
      <c r="HE176" t="s">
        <v>39</v>
      </c>
      <c r="HF176" t="s">
        <v>40</v>
      </c>
      <c r="HM176" t="s">
        <v>6</v>
      </c>
      <c r="HN176" t="s">
        <v>6</v>
      </c>
      <c r="HO176" t="s">
        <v>6</v>
      </c>
      <c r="HP176" t="s">
        <v>6</v>
      </c>
      <c r="HQ176" t="s">
        <v>6</v>
      </c>
      <c r="IF176">
        <v>-1</v>
      </c>
      <c r="IK176">
        <v>0</v>
      </c>
    </row>
    <row r="177" spans="1:255" x14ac:dyDescent="0.2">
      <c r="A177" s="2">
        <v>18</v>
      </c>
      <c r="B177" s="2">
        <v>1</v>
      </c>
      <c r="C177" s="2">
        <v>184</v>
      </c>
      <c r="D177" s="2"/>
      <c r="E177" s="2" t="s">
        <v>262</v>
      </c>
      <c r="F177" s="2" t="s">
        <v>107</v>
      </c>
      <c r="G177" s="2" t="s">
        <v>108</v>
      </c>
      <c r="H177" s="2" t="s">
        <v>103</v>
      </c>
      <c r="I177" s="2">
        <f>I163*J177</f>
        <v>4.1520000000000001</v>
      </c>
      <c r="J177" s="226">
        <f>'5.Ведомость_списания'!F83</f>
        <v>12.000000000000002</v>
      </c>
      <c r="K177" s="2">
        <v>12</v>
      </c>
      <c r="L177" s="2"/>
      <c r="M177" s="2"/>
      <c r="N177" s="2"/>
      <c r="O177" s="2">
        <f t="shared" si="155"/>
        <v>1</v>
      </c>
      <c r="P177" s="2">
        <f t="shared" si="156"/>
        <v>1</v>
      </c>
      <c r="Q177" s="2">
        <f t="shared" si="157"/>
        <v>0</v>
      </c>
      <c r="R177" s="2">
        <f t="shared" si="158"/>
        <v>0</v>
      </c>
      <c r="S177" s="2">
        <f t="shared" si="159"/>
        <v>0</v>
      </c>
      <c r="T177" s="2">
        <f t="shared" si="160"/>
        <v>0</v>
      </c>
      <c r="U177" s="2">
        <f t="shared" si="161"/>
        <v>0</v>
      </c>
      <c r="V177" s="2">
        <f t="shared" si="162"/>
        <v>0</v>
      </c>
      <c r="W177" s="2">
        <f t="shared" si="163"/>
        <v>0</v>
      </c>
      <c r="X177" s="2">
        <f t="shared" si="164"/>
        <v>0</v>
      </c>
      <c r="Y177" s="2">
        <f t="shared" si="165"/>
        <v>0</v>
      </c>
      <c r="Z177" s="2"/>
      <c r="AA177" s="2">
        <v>86326987</v>
      </c>
      <c r="AB177" s="2">
        <f t="shared" si="166"/>
        <v>0.24</v>
      </c>
      <c r="AC177" s="2">
        <f t="shared" si="188"/>
        <v>0.24</v>
      </c>
      <c r="AD177" s="2">
        <f t="shared" si="193"/>
        <v>0</v>
      </c>
      <c r="AE177" s="2">
        <f t="shared" si="189"/>
        <v>0</v>
      </c>
      <c r="AF177" s="2">
        <f t="shared" si="190"/>
        <v>0</v>
      </c>
      <c r="AG177" s="2">
        <f t="shared" si="167"/>
        <v>0</v>
      </c>
      <c r="AH177" s="2">
        <f t="shared" si="191"/>
        <v>0</v>
      </c>
      <c r="AI177" s="2">
        <f t="shared" si="192"/>
        <v>0</v>
      </c>
      <c r="AJ177" s="2">
        <f t="shared" si="168"/>
        <v>0</v>
      </c>
      <c r="AK177" s="2">
        <v>0.24</v>
      </c>
      <c r="AL177" s="110">
        <f>'1.Лок.смета.и.Акт'!F319</f>
        <v>0.24</v>
      </c>
      <c r="AM177" s="2">
        <v>0</v>
      </c>
      <c r="AN177" s="2">
        <v>0</v>
      </c>
      <c r="AO177" s="2">
        <v>0</v>
      </c>
      <c r="AP177" s="2">
        <v>0</v>
      </c>
      <c r="AQ177" s="2">
        <v>0</v>
      </c>
      <c r="AR177" s="2">
        <v>0</v>
      </c>
      <c r="AS177" s="2">
        <v>0</v>
      </c>
      <c r="AT177" s="2">
        <v>0</v>
      </c>
      <c r="AU177" s="2">
        <v>0</v>
      </c>
      <c r="AV177" s="2">
        <v>1</v>
      </c>
      <c r="AW177" s="2">
        <v>1</v>
      </c>
      <c r="AX177" s="2"/>
      <c r="AY177" s="2"/>
      <c r="AZ177" s="2">
        <v>1</v>
      </c>
      <c r="BA177" s="2">
        <v>1</v>
      </c>
      <c r="BB177" s="2">
        <v>1</v>
      </c>
      <c r="BC177" s="2">
        <v>1</v>
      </c>
      <c r="BD177" s="2" t="s">
        <v>6</v>
      </c>
      <c r="BE177" s="2" t="s">
        <v>6</v>
      </c>
      <c r="BF177" s="2" t="s">
        <v>6</v>
      </c>
      <c r="BG177" s="2" t="s">
        <v>6</v>
      </c>
      <c r="BH177" s="2">
        <v>3</v>
      </c>
      <c r="BI177" s="2">
        <v>1</v>
      </c>
      <c r="BJ177" s="2" t="s">
        <v>109</v>
      </c>
      <c r="BK177" s="2"/>
      <c r="BL177" s="2"/>
      <c r="BM177" s="2">
        <v>3101</v>
      </c>
      <c r="BN177" s="2">
        <v>0</v>
      </c>
      <c r="BO177" s="2" t="s">
        <v>6</v>
      </c>
      <c r="BP177" s="2">
        <v>0</v>
      </c>
      <c r="BQ177" s="2">
        <v>0</v>
      </c>
      <c r="BR177" s="2">
        <v>0</v>
      </c>
      <c r="BS177" s="2">
        <v>1</v>
      </c>
      <c r="BT177" s="2">
        <v>1</v>
      </c>
      <c r="BU177" s="2">
        <v>1</v>
      </c>
      <c r="BV177" s="2">
        <v>1</v>
      </c>
      <c r="BW177" s="2">
        <v>1</v>
      </c>
      <c r="BX177" s="2">
        <v>1</v>
      </c>
      <c r="BY177" s="2" t="s">
        <v>6</v>
      </c>
      <c r="BZ177" s="2">
        <v>0</v>
      </c>
      <c r="CA177" s="2">
        <v>0</v>
      </c>
      <c r="CB177" s="2" t="s">
        <v>6</v>
      </c>
      <c r="CC177" s="2"/>
      <c r="CD177" s="2"/>
      <c r="CE177" s="2">
        <v>0</v>
      </c>
      <c r="CF177" s="2">
        <v>0</v>
      </c>
      <c r="CG177" s="2">
        <v>0</v>
      </c>
      <c r="CH177" s="2"/>
      <c r="CI177" s="2"/>
      <c r="CJ177" s="2"/>
      <c r="CK177" s="2"/>
      <c r="CL177" s="2"/>
      <c r="CM177" s="2">
        <v>0</v>
      </c>
      <c r="CN177" s="2" t="s">
        <v>6</v>
      </c>
      <c r="CO177" s="2">
        <v>0</v>
      </c>
      <c r="CP177" s="2">
        <f t="shared" si="169"/>
        <v>1</v>
      </c>
      <c r="CQ177" s="2">
        <f t="shared" si="170"/>
        <v>0.24</v>
      </c>
      <c r="CR177" s="2">
        <f t="shared" si="171"/>
        <v>0</v>
      </c>
      <c r="CS177" s="2">
        <f t="shared" si="172"/>
        <v>0</v>
      </c>
      <c r="CT177" s="2">
        <f t="shared" si="173"/>
        <v>0</v>
      </c>
      <c r="CU177" s="2">
        <f t="shared" si="174"/>
        <v>0</v>
      </c>
      <c r="CV177" s="2">
        <f t="shared" si="175"/>
        <v>0</v>
      </c>
      <c r="CW177" s="2">
        <f t="shared" si="176"/>
        <v>0</v>
      </c>
      <c r="CX177" s="2">
        <f t="shared" si="177"/>
        <v>0</v>
      </c>
      <c r="CY177" s="2">
        <f>0</f>
        <v>0</v>
      </c>
      <c r="CZ177" s="2">
        <f>0</f>
        <v>0</v>
      </c>
      <c r="DA177" s="2"/>
      <c r="DB177" s="2"/>
      <c r="DC177" s="2" t="s">
        <v>6</v>
      </c>
      <c r="DD177" s="2" t="s">
        <v>6</v>
      </c>
      <c r="DE177" s="2" t="s">
        <v>6</v>
      </c>
      <c r="DF177" s="2" t="s">
        <v>6</v>
      </c>
      <c r="DG177" s="2" t="s">
        <v>6</v>
      </c>
      <c r="DH177" s="2" t="s">
        <v>6</v>
      </c>
      <c r="DI177" s="2" t="s">
        <v>6</v>
      </c>
      <c r="DJ177" s="2" t="s">
        <v>6</v>
      </c>
      <c r="DK177" s="2" t="s">
        <v>6</v>
      </c>
      <c r="DL177" s="2" t="s">
        <v>6</v>
      </c>
      <c r="DM177" s="2" t="s">
        <v>6</v>
      </c>
      <c r="DN177" s="2">
        <v>0</v>
      </c>
      <c r="DO177" s="2">
        <v>0</v>
      </c>
      <c r="DP177" s="2">
        <v>1</v>
      </c>
      <c r="DQ177" s="2">
        <v>1</v>
      </c>
      <c r="DR177" s="2"/>
      <c r="DS177" s="2"/>
      <c r="DT177" s="2"/>
      <c r="DU177" s="2">
        <v>1013</v>
      </c>
      <c r="DV177" s="2" t="s">
        <v>103</v>
      </c>
      <c r="DW177" s="2" t="s">
        <v>103</v>
      </c>
      <c r="DX177" s="2">
        <v>1</v>
      </c>
      <c r="DY177" s="2"/>
      <c r="DZ177" s="2" t="s">
        <v>6</v>
      </c>
      <c r="EA177" s="2" t="s">
        <v>6</v>
      </c>
      <c r="EB177" s="2" t="s">
        <v>6</v>
      </c>
      <c r="EC177" s="2" t="s">
        <v>6</v>
      </c>
      <c r="ED177" s="2"/>
      <c r="EE177" s="2">
        <v>0</v>
      </c>
      <c r="EF177" s="2">
        <v>0</v>
      </c>
      <c r="EG177" s="2" t="s">
        <v>6</v>
      </c>
      <c r="EH177" s="2">
        <v>0</v>
      </c>
      <c r="EI177" s="2" t="s">
        <v>6</v>
      </c>
      <c r="EJ177" s="2">
        <v>0</v>
      </c>
      <c r="EK177" s="2">
        <v>3101</v>
      </c>
      <c r="EL177" s="2" t="s">
        <v>6</v>
      </c>
      <c r="EM177" s="2" t="s">
        <v>6</v>
      </c>
      <c r="EN177" s="2"/>
      <c r="EO177" s="2" t="s">
        <v>6</v>
      </c>
      <c r="EP177" s="2"/>
      <c r="EQ177" s="2">
        <v>0</v>
      </c>
      <c r="ER177" s="2">
        <v>0.24</v>
      </c>
      <c r="ES177" s="110">
        <f>'1.Лок.смета.и.Акт'!F319</f>
        <v>0.24</v>
      </c>
      <c r="ET177" s="2">
        <v>0</v>
      </c>
      <c r="EU177" s="2">
        <v>0</v>
      </c>
      <c r="EV177" s="2">
        <v>0</v>
      </c>
      <c r="EW177" s="2">
        <v>0</v>
      </c>
      <c r="EX177" s="2">
        <v>0</v>
      </c>
      <c r="EY177" s="2"/>
      <c r="EZ177" s="2"/>
      <c r="FA177" s="2"/>
      <c r="FB177" s="2"/>
      <c r="FC177" s="2"/>
      <c r="FD177" s="2"/>
      <c r="FE177" s="2"/>
      <c r="FF177" s="2"/>
      <c r="FG177" s="2"/>
      <c r="FH177" s="2"/>
      <c r="FI177" s="2"/>
      <c r="FJ177" s="2"/>
      <c r="FK177" s="2"/>
      <c r="FL177" s="2"/>
      <c r="FM177" s="2"/>
      <c r="FN177" s="2"/>
      <c r="FO177" s="2"/>
      <c r="FP177" s="2"/>
      <c r="FQ177" s="2">
        <v>0</v>
      </c>
      <c r="FR177" s="2">
        <f t="shared" si="178"/>
        <v>0</v>
      </c>
      <c r="FS177" s="2">
        <v>0</v>
      </c>
      <c r="FT177" s="2"/>
      <c r="FU177" s="2"/>
      <c r="FV177" s="2"/>
      <c r="FW177" s="2"/>
      <c r="FX177" s="2">
        <v>0</v>
      </c>
      <c r="FY177" s="2">
        <v>0</v>
      </c>
      <c r="FZ177" s="2"/>
      <c r="GA177" s="2" t="s">
        <v>6</v>
      </c>
      <c r="GB177" s="2"/>
      <c r="GC177" s="2"/>
      <c r="GD177" s="2">
        <v>1</v>
      </c>
      <c r="GE177" s="2"/>
      <c r="GF177" s="2">
        <v>-1648273723</v>
      </c>
      <c r="GG177" s="2">
        <v>2</v>
      </c>
      <c r="GH177" s="2">
        <v>1</v>
      </c>
      <c r="GI177" s="2">
        <v>-2</v>
      </c>
      <c r="GJ177" s="2">
        <v>0</v>
      </c>
      <c r="GK177" s="2">
        <v>0</v>
      </c>
      <c r="GL177" s="2">
        <f t="shared" si="179"/>
        <v>0</v>
      </c>
      <c r="GM177" s="2">
        <f t="shared" si="180"/>
        <v>1</v>
      </c>
      <c r="GN177" s="2">
        <f t="shared" si="181"/>
        <v>1</v>
      </c>
      <c r="GO177" s="2">
        <f t="shared" si="182"/>
        <v>0</v>
      </c>
      <c r="GP177" s="2">
        <f t="shared" si="183"/>
        <v>0</v>
      </c>
      <c r="GQ177" s="2"/>
      <c r="GR177" s="2">
        <v>0</v>
      </c>
      <c r="GS177" s="2">
        <v>3</v>
      </c>
      <c r="GT177" s="2">
        <v>0</v>
      </c>
      <c r="GU177" s="2" t="s">
        <v>6</v>
      </c>
      <c r="GV177" s="2">
        <f t="shared" si="184"/>
        <v>0</v>
      </c>
      <c r="GW177" s="2">
        <v>1</v>
      </c>
      <c r="GX177" s="2">
        <f t="shared" si="185"/>
        <v>0</v>
      </c>
      <c r="GY177" s="2"/>
      <c r="GZ177" s="2"/>
      <c r="HA177" s="2">
        <v>0</v>
      </c>
      <c r="HB177" s="2">
        <v>0</v>
      </c>
      <c r="HC177" s="2">
        <f t="shared" si="186"/>
        <v>0</v>
      </c>
      <c r="HD177" s="2"/>
      <c r="HE177" s="2" t="s">
        <v>6</v>
      </c>
      <c r="HF177" s="2" t="s">
        <v>6</v>
      </c>
      <c r="HG177" s="2"/>
      <c r="HH177" s="2"/>
      <c r="HI177" s="2"/>
      <c r="HJ177" s="2"/>
      <c r="HK177" s="2"/>
      <c r="HL177" s="2"/>
      <c r="HM177" s="2" t="s">
        <v>6</v>
      </c>
      <c r="HN177" s="2" t="s">
        <v>6</v>
      </c>
      <c r="HO177" s="2" t="s">
        <v>6</v>
      </c>
      <c r="HP177" s="2" t="s">
        <v>6</v>
      </c>
      <c r="HQ177" s="2" t="s">
        <v>6</v>
      </c>
      <c r="HR177" s="2"/>
      <c r="HS177" s="2"/>
      <c r="HT177" s="2"/>
      <c r="HU177" s="2"/>
      <c r="HV177" s="2"/>
      <c r="HW177" s="2"/>
      <c r="HX177" s="2"/>
      <c r="HY177" s="2"/>
      <c r="HZ177" s="2"/>
      <c r="IA177" s="2"/>
      <c r="IB177" s="2"/>
      <c r="IC177" s="2"/>
      <c r="ID177" s="2"/>
      <c r="IE177" s="2"/>
      <c r="IF177" s="2">
        <v>-1</v>
      </c>
      <c r="IG177" s="2"/>
      <c r="IH177" s="2"/>
      <c r="II177" s="2"/>
      <c r="IJ177" s="2"/>
      <c r="IK177" s="2">
        <v>0</v>
      </c>
      <c r="IL177" s="2"/>
      <c r="IM177" s="2"/>
      <c r="IN177" s="2"/>
      <c r="IO177" s="2"/>
      <c r="IP177" s="2"/>
      <c r="IQ177" s="2"/>
      <c r="IR177" s="2"/>
      <c r="IS177" s="2"/>
      <c r="IT177" s="2"/>
      <c r="IU177" s="2"/>
    </row>
    <row r="178" spans="1:255" x14ac:dyDescent="0.2">
      <c r="A178">
        <v>18</v>
      </c>
      <c r="B178">
        <v>1</v>
      </c>
      <c r="C178">
        <v>197</v>
      </c>
      <c r="E178" t="s">
        <v>262</v>
      </c>
      <c r="F178" t="e">
        <f>'2.Лок.смета.и.Акт'!#REF!</f>
        <v>#REF!</v>
      </c>
      <c r="G178" t="s">
        <v>108</v>
      </c>
      <c r="H178" t="s">
        <v>103</v>
      </c>
      <c r="I178">
        <f>I164*J178</f>
        <v>4.1520000000000001</v>
      </c>
      <c r="J178">
        <v>12.000000000000002</v>
      </c>
      <c r="K178">
        <v>12</v>
      </c>
      <c r="O178">
        <f t="shared" si="155"/>
        <v>3</v>
      </c>
      <c r="P178">
        <f t="shared" si="156"/>
        <v>3</v>
      </c>
      <c r="Q178">
        <f t="shared" si="157"/>
        <v>0</v>
      </c>
      <c r="R178">
        <f t="shared" si="158"/>
        <v>0</v>
      </c>
      <c r="S178">
        <f t="shared" si="159"/>
        <v>0</v>
      </c>
      <c r="T178">
        <f t="shared" si="160"/>
        <v>0</v>
      </c>
      <c r="U178">
        <f t="shared" si="161"/>
        <v>0</v>
      </c>
      <c r="V178">
        <f t="shared" si="162"/>
        <v>0</v>
      </c>
      <c r="W178">
        <f t="shared" si="163"/>
        <v>0</v>
      </c>
      <c r="X178">
        <f t="shared" si="164"/>
        <v>0</v>
      </c>
      <c r="Y178">
        <f t="shared" si="165"/>
        <v>0</v>
      </c>
      <c r="AA178">
        <v>86326988</v>
      </c>
      <c r="AB178">
        <f t="shared" si="166"/>
        <v>0.08</v>
      </c>
      <c r="AC178">
        <f t="shared" si="188"/>
        <v>0.08</v>
      </c>
      <c r="AD178">
        <f t="shared" si="193"/>
        <v>0</v>
      </c>
      <c r="AE178">
        <f t="shared" si="189"/>
        <v>0</v>
      </c>
      <c r="AF178">
        <f t="shared" si="190"/>
        <v>0</v>
      </c>
      <c r="AG178">
        <f t="shared" si="167"/>
        <v>0</v>
      </c>
      <c r="AH178">
        <f t="shared" si="191"/>
        <v>0</v>
      </c>
      <c r="AI178">
        <f t="shared" si="192"/>
        <v>0</v>
      </c>
      <c r="AJ178">
        <f t="shared" si="168"/>
        <v>0</v>
      </c>
      <c r="AK178">
        <v>0.08</v>
      </c>
      <c r="AL178">
        <v>0.08</v>
      </c>
      <c r="AM178">
        <v>0</v>
      </c>
      <c r="AN178">
        <v>0</v>
      </c>
      <c r="AO178">
        <v>0</v>
      </c>
      <c r="AP178">
        <v>0</v>
      </c>
      <c r="AQ178">
        <v>0</v>
      </c>
      <c r="AR178">
        <v>0</v>
      </c>
      <c r="AS178">
        <v>0</v>
      </c>
      <c r="AT178">
        <v>0</v>
      </c>
      <c r="AU178">
        <v>0</v>
      </c>
      <c r="AV178">
        <v>1</v>
      </c>
      <c r="AW178">
        <v>1</v>
      </c>
      <c r="AZ178">
        <v>1</v>
      </c>
      <c r="BA178">
        <v>1</v>
      </c>
      <c r="BB178">
        <v>1</v>
      </c>
      <c r="BC178">
        <v>7.56</v>
      </c>
      <c r="BD178" t="s">
        <v>6</v>
      </c>
      <c r="BE178" t="s">
        <v>6</v>
      </c>
      <c r="BF178" t="s">
        <v>6</v>
      </c>
      <c r="BG178" t="s">
        <v>6</v>
      </c>
      <c r="BH178">
        <v>3</v>
      </c>
      <c r="BI178">
        <v>1</v>
      </c>
      <c r="BJ178" t="s">
        <v>109</v>
      </c>
      <c r="BM178">
        <v>3101</v>
      </c>
      <c r="BN178">
        <v>0</v>
      </c>
      <c r="BO178" t="s">
        <v>6</v>
      </c>
      <c r="BP178">
        <v>0</v>
      </c>
      <c r="BQ178">
        <v>0</v>
      </c>
      <c r="BR178">
        <v>0</v>
      </c>
      <c r="BS178">
        <v>1</v>
      </c>
      <c r="BT178">
        <v>1</v>
      </c>
      <c r="BU178">
        <v>1</v>
      </c>
      <c r="BV178">
        <v>1</v>
      </c>
      <c r="BW178">
        <v>1</v>
      </c>
      <c r="BX178">
        <v>1</v>
      </c>
      <c r="BY178" t="s">
        <v>6</v>
      </c>
      <c r="BZ178">
        <v>0</v>
      </c>
      <c r="CA178">
        <v>0</v>
      </c>
      <c r="CB178" t="s">
        <v>6</v>
      </c>
      <c r="CE178">
        <v>0</v>
      </c>
      <c r="CF178">
        <v>0</v>
      </c>
      <c r="CG178">
        <v>0</v>
      </c>
      <c r="CM178">
        <v>0</v>
      </c>
      <c r="CN178" t="s">
        <v>6</v>
      </c>
      <c r="CO178">
        <v>0</v>
      </c>
      <c r="CP178">
        <f t="shared" si="169"/>
        <v>3</v>
      </c>
      <c r="CQ178">
        <f t="shared" si="170"/>
        <v>0.6048</v>
      </c>
      <c r="CR178">
        <f t="shared" si="171"/>
        <v>0</v>
      </c>
      <c r="CS178">
        <f t="shared" si="172"/>
        <v>0</v>
      </c>
      <c r="CT178">
        <f t="shared" si="173"/>
        <v>0</v>
      </c>
      <c r="CU178">
        <f t="shared" si="174"/>
        <v>0</v>
      </c>
      <c r="CV178">
        <f t="shared" si="175"/>
        <v>0</v>
      </c>
      <c r="CW178">
        <f t="shared" si="176"/>
        <v>0</v>
      </c>
      <c r="CX178">
        <f t="shared" si="177"/>
        <v>0</v>
      </c>
      <c r="CY178">
        <f>(S178+R178)*(BZ178/100)</f>
        <v>0</v>
      </c>
      <c r="CZ178">
        <f>(S178+R178)*(CA178/100)</f>
        <v>0</v>
      </c>
      <c r="DC178" t="s">
        <v>6</v>
      </c>
      <c r="DD178" t="s">
        <v>6</v>
      </c>
      <c r="DE178" t="s">
        <v>6</v>
      </c>
      <c r="DF178" t="s">
        <v>6</v>
      </c>
      <c r="DG178" t="s">
        <v>6</v>
      </c>
      <c r="DH178" t="s">
        <v>6</v>
      </c>
      <c r="DI178" t="s">
        <v>6</v>
      </c>
      <c r="DJ178" t="s">
        <v>6</v>
      </c>
      <c r="DK178" t="s">
        <v>6</v>
      </c>
      <c r="DL178" t="s">
        <v>6</v>
      </c>
      <c r="DM178" t="s">
        <v>6</v>
      </c>
      <c r="DN178">
        <v>0</v>
      </c>
      <c r="DO178">
        <v>0</v>
      </c>
      <c r="DP178">
        <v>1</v>
      </c>
      <c r="DQ178">
        <v>1</v>
      </c>
      <c r="DU178">
        <v>1013</v>
      </c>
      <c r="DV178" t="s">
        <v>103</v>
      </c>
      <c r="DW178" t="e">
        <f>'2.Лок.смета.и.Акт'!#REF!</f>
        <v>#REF!</v>
      </c>
      <c r="DX178">
        <v>1</v>
      </c>
      <c r="DZ178" t="s">
        <v>6</v>
      </c>
      <c r="EA178" t="s">
        <v>6</v>
      </c>
      <c r="EB178" t="s">
        <v>6</v>
      </c>
      <c r="EC178" t="s">
        <v>6</v>
      </c>
      <c r="EE178">
        <v>0</v>
      </c>
      <c r="EF178">
        <v>0</v>
      </c>
      <c r="EG178" t="s">
        <v>6</v>
      </c>
      <c r="EH178">
        <v>0</v>
      </c>
      <c r="EI178" t="s">
        <v>6</v>
      </c>
      <c r="EJ178">
        <v>0</v>
      </c>
      <c r="EK178">
        <v>3101</v>
      </c>
      <c r="EL178" t="s">
        <v>6</v>
      </c>
      <c r="EM178" t="s">
        <v>6</v>
      </c>
      <c r="EO178" t="s">
        <v>6</v>
      </c>
      <c r="EQ178">
        <v>0</v>
      </c>
      <c r="ER178">
        <v>0.62</v>
      </c>
      <c r="ES178">
        <v>0.08</v>
      </c>
      <c r="ET178">
        <v>0</v>
      </c>
      <c r="EU178">
        <v>0</v>
      </c>
      <c r="EV178">
        <v>0</v>
      </c>
      <c r="EW178">
        <v>0</v>
      </c>
      <c r="EX178">
        <v>0</v>
      </c>
      <c r="EZ178">
        <v>5</v>
      </c>
      <c r="FC178">
        <v>0</v>
      </c>
      <c r="FD178">
        <v>18</v>
      </c>
      <c r="FF178">
        <v>0.62</v>
      </c>
      <c r="FQ178">
        <v>0</v>
      </c>
      <c r="FR178">
        <f t="shared" si="178"/>
        <v>0</v>
      </c>
      <c r="FS178">
        <v>0</v>
      </c>
      <c r="FX178">
        <v>0</v>
      </c>
      <c r="FY178">
        <v>0</v>
      </c>
      <c r="GA178" t="s">
        <v>110</v>
      </c>
      <c r="GD178">
        <v>1</v>
      </c>
      <c r="GF178">
        <v>-1648273723</v>
      </c>
      <c r="GG178">
        <v>2</v>
      </c>
      <c r="GH178">
        <v>3</v>
      </c>
      <c r="GI178">
        <v>5</v>
      </c>
      <c r="GJ178">
        <v>0</v>
      </c>
      <c r="GK178">
        <v>0</v>
      </c>
      <c r="GL178">
        <f t="shared" si="179"/>
        <v>0</v>
      </c>
      <c r="GM178">
        <f t="shared" si="180"/>
        <v>3</v>
      </c>
      <c r="GN178">
        <f t="shared" si="181"/>
        <v>3</v>
      </c>
      <c r="GO178">
        <f t="shared" si="182"/>
        <v>0</v>
      </c>
      <c r="GP178">
        <f t="shared" si="183"/>
        <v>0</v>
      </c>
      <c r="GR178">
        <v>1</v>
      </c>
      <c r="GS178">
        <v>1</v>
      </c>
      <c r="GT178">
        <v>0</v>
      </c>
      <c r="GU178" t="s">
        <v>6</v>
      </c>
      <c r="GV178">
        <f t="shared" si="184"/>
        <v>0</v>
      </c>
      <c r="GW178">
        <v>1</v>
      </c>
      <c r="GX178">
        <f t="shared" si="185"/>
        <v>0</v>
      </c>
      <c r="HA178">
        <v>0</v>
      </c>
      <c r="HB178">
        <v>0</v>
      </c>
      <c r="HC178">
        <f t="shared" si="186"/>
        <v>0</v>
      </c>
      <c r="HE178" t="s">
        <v>39</v>
      </c>
      <c r="HF178" t="s">
        <v>40</v>
      </c>
      <c r="HM178" t="s">
        <v>6</v>
      </c>
      <c r="HN178" t="s">
        <v>6</v>
      </c>
      <c r="HO178" t="s">
        <v>6</v>
      </c>
      <c r="HP178" t="s">
        <v>6</v>
      </c>
      <c r="HQ178" t="s">
        <v>6</v>
      </c>
      <c r="IF178">
        <v>-1</v>
      </c>
      <c r="IK178">
        <v>0</v>
      </c>
    </row>
    <row r="179" spans="1:255" x14ac:dyDescent="0.2">
      <c r="A179" s="2">
        <v>18</v>
      </c>
      <c r="B179" s="2">
        <v>1</v>
      </c>
      <c r="C179" s="2">
        <v>185</v>
      </c>
      <c r="D179" s="2"/>
      <c r="E179" s="2" t="s">
        <v>263</v>
      </c>
      <c r="F179" s="2" t="s">
        <v>112</v>
      </c>
      <c r="G179" s="2" t="s">
        <v>113</v>
      </c>
      <c r="H179" s="2" t="s">
        <v>103</v>
      </c>
      <c r="I179" s="2">
        <f>I163*J179</f>
        <v>4.1520000000000001</v>
      </c>
      <c r="J179" s="226">
        <f>'5.Ведомость_списания'!F84</f>
        <v>12.000000000000002</v>
      </c>
      <c r="K179" s="2">
        <v>12</v>
      </c>
      <c r="L179" s="2"/>
      <c r="M179" s="2"/>
      <c r="N179" s="2"/>
      <c r="O179" s="2">
        <f t="shared" si="155"/>
        <v>1</v>
      </c>
      <c r="P179" s="2">
        <f t="shared" si="156"/>
        <v>1</v>
      </c>
      <c r="Q179" s="2">
        <f t="shared" si="157"/>
        <v>0</v>
      </c>
      <c r="R179" s="2">
        <f t="shared" si="158"/>
        <v>0</v>
      </c>
      <c r="S179" s="2">
        <f t="shared" si="159"/>
        <v>0</v>
      </c>
      <c r="T179" s="2">
        <f t="shared" si="160"/>
        <v>0</v>
      </c>
      <c r="U179" s="2">
        <f t="shared" si="161"/>
        <v>0</v>
      </c>
      <c r="V179" s="2">
        <f t="shared" si="162"/>
        <v>0</v>
      </c>
      <c r="W179" s="2">
        <f t="shared" si="163"/>
        <v>0</v>
      </c>
      <c r="X179" s="2">
        <f t="shared" si="164"/>
        <v>0</v>
      </c>
      <c r="Y179" s="2">
        <f t="shared" si="165"/>
        <v>0</v>
      </c>
      <c r="Z179" s="2"/>
      <c r="AA179" s="2">
        <v>86326987</v>
      </c>
      <c r="AB179" s="2">
        <f t="shared" si="166"/>
        <v>0.3</v>
      </c>
      <c r="AC179" s="2">
        <f t="shared" si="188"/>
        <v>0.3</v>
      </c>
      <c r="AD179" s="2">
        <f t="shared" si="193"/>
        <v>0</v>
      </c>
      <c r="AE179" s="2">
        <f t="shared" si="189"/>
        <v>0</v>
      </c>
      <c r="AF179" s="2">
        <f t="shared" si="190"/>
        <v>0</v>
      </c>
      <c r="AG179" s="2">
        <f t="shared" si="167"/>
        <v>0</v>
      </c>
      <c r="AH179" s="2">
        <f t="shared" si="191"/>
        <v>0</v>
      </c>
      <c r="AI179" s="2">
        <f t="shared" si="192"/>
        <v>0</v>
      </c>
      <c r="AJ179" s="2">
        <f t="shared" si="168"/>
        <v>0</v>
      </c>
      <c r="AK179" s="2">
        <v>0.3</v>
      </c>
      <c r="AL179" s="110">
        <f>'1.Лок.смета.и.Акт'!F321</f>
        <v>0.3</v>
      </c>
      <c r="AM179" s="2">
        <v>0</v>
      </c>
      <c r="AN179" s="2">
        <v>0</v>
      </c>
      <c r="AO179" s="2">
        <v>0</v>
      </c>
      <c r="AP179" s="2">
        <v>0</v>
      </c>
      <c r="AQ179" s="2">
        <v>0</v>
      </c>
      <c r="AR179" s="2">
        <v>0</v>
      </c>
      <c r="AS179" s="2">
        <v>0</v>
      </c>
      <c r="AT179" s="2">
        <v>0</v>
      </c>
      <c r="AU179" s="2">
        <v>0</v>
      </c>
      <c r="AV179" s="2">
        <v>1</v>
      </c>
      <c r="AW179" s="2">
        <v>1</v>
      </c>
      <c r="AX179" s="2"/>
      <c r="AY179" s="2"/>
      <c r="AZ179" s="2">
        <v>1</v>
      </c>
      <c r="BA179" s="2">
        <v>1</v>
      </c>
      <c r="BB179" s="2">
        <v>1</v>
      </c>
      <c r="BC179" s="2">
        <v>1</v>
      </c>
      <c r="BD179" s="2" t="s">
        <v>6</v>
      </c>
      <c r="BE179" s="2" t="s">
        <v>6</v>
      </c>
      <c r="BF179" s="2" t="s">
        <v>6</v>
      </c>
      <c r="BG179" s="2" t="s">
        <v>6</v>
      </c>
      <c r="BH179" s="2">
        <v>3</v>
      </c>
      <c r="BI179" s="2">
        <v>1</v>
      </c>
      <c r="BJ179" s="2" t="s">
        <v>114</v>
      </c>
      <c r="BK179" s="2"/>
      <c r="BL179" s="2"/>
      <c r="BM179" s="2">
        <v>3101</v>
      </c>
      <c r="BN179" s="2">
        <v>0</v>
      </c>
      <c r="BO179" s="2" t="s">
        <v>6</v>
      </c>
      <c r="BP179" s="2">
        <v>0</v>
      </c>
      <c r="BQ179" s="2">
        <v>0</v>
      </c>
      <c r="BR179" s="2">
        <v>0</v>
      </c>
      <c r="BS179" s="2">
        <v>1</v>
      </c>
      <c r="BT179" s="2">
        <v>1</v>
      </c>
      <c r="BU179" s="2">
        <v>1</v>
      </c>
      <c r="BV179" s="2">
        <v>1</v>
      </c>
      <c r="BW179" s="2">
        <v>1</v>
      </c>
      <c r="BX179" s="2">
        <v>1</v>
      </c>
      <c r="BY179" s="2" t="s">
        <v>6</v>
      </c>
      <c r="BZ179" s="2">
        <v>0</v>
      </c>
      <c r="CA179" s="2">
        <v>0</v>
      </c>
      <c r="CB179" s="2" t="s">
        <v>6</v>
      </c>
      <c r="CC179" s="2"/>
      <c r="CD179" s="2"/>
      <c r="CE179" s="2">
        <v>0</v>
      </c>
      <c r="CF179" s="2">
        <v>0</v>
      </c>
      <c r="CG179" s="2">
        <v>0</v>
      </c>
      <c r="CH179" s="2"/>
      <c r="CI179" s="2"/>
      <c r="CJ179" s="2"/>
      <c r="CK179" s="2"/>
      <c r="CL179" s="2"/>
      <c r="CM179" s="2">
        <v>0</v>
      </c>
      <c r="CN179" s="2" t="s">
        <v>6</v>
      </c>
      <c r="CO179" s="2">
        <v>0</v>
      </c>
      <c r="CP179" s="2">
        <f t="shared" si="169"/>
        <v>1</v>
      </c>
      <c r="CQ179" s="2">
        <f t="shared" si="170"/>
        <v>0.3</v>
      </c>
      <c r="CR179" s="2">
        <f t="shared" si="171"/>
        <v>0</v>
      </c>
      <c r="CS179" s="2">
        <f t="shared" si="172"/>
        <v>0</v>
      </c>
      <c r="CT179" s="2">
        <f t="shared" si="173"/>
        <v>0</v>
      </c>
      <c r="CU179" s="2">
        <f t="shared" si="174"/>
        <v>0</v>
      </c>
      <c r="CV179" s="2">
        <f t="shared" si="175"/>
        <v>0</v>
      </c>
      <c r="CW179" s="2">
        <f t="shared" si="176"/>
        <v>0</v>
      </c>
      <c r="CX179" s="2">
        <f t="shared" si="177"/>
        <v>0</v>
      </c>
      <c r="CY179" s="2">
        <f>0</f>
        <v>0</v>
      </c>
      <c r="CZ179" s="2">
        <f>0</f>
        <v>0</v>
      </c>
      <c r="DA179" s="2"/>
      <c r="DB179" s="2"/>
      <c r="DC179" s="2" t="s">
        <v>6</v>
      </c>
      <c r="DD179" s="2" t="s">
        <v>6</v>
      </c>
      <c r="DE179" s="2" t="s">
        <v>6</v>
      </c>
      <c r="DF179" s="2" t="s">
        <v>6</v>
      </c>
      <c r="DG179" s="2" t="s">
        <v>6</v>
      </c>
      <c r="DH179" s="2" t="s">
        <v>6</v>
      </c>
      <c r="DI179" s="2" t="s">
        <v>6</v>
      </c>
      <c r="DJ179" s="2" t="s">
        <v>6</v>
      </c>
      <c r="DK179" s="2" t="s">
        <v>6</v>
      </c>
      <c r="DL179" s="2" t="s">
        <v>6</v>
      </c>
      <c r="DM179" s="2" t="s">
        <v>6</v>
      </c>
      <c r="DN179" s="2">
        <v>0</v>
      </c>
      <c r="DO179" s="2">
        <v>0</v>
      </c>
      <c r="DP179" s="2">
        <v>1</v>
      </c>
      <c r="DQ179" s="2">
        <v>1</v>
      </c>
      <c r="DR179" s="2"/>
      <c r="DS179" s="2"/>
      <c r="DT179" s="2"/>
      <c r="DU179" s="2">
        <v>1013</v>
      </c>
      <c r="DV179" s="2" t="s">
        <v>103</v>
      </c>
      <c r="DW179" s="2" t="s">
        <v>103</v>
      </c>
      <c r="DX179" s="2">
        <v>1</v>
      </c>
      <c r="DY179" s="2"/>
      <c r="DZ179" s="2" t="s">
        <v>6</v>
      </c>
      <c r="EA179" s="2" t="s">
        <v>6</v>
      </c>
      <c r="EB179" s="2" t="s">
        <v>6</v>
      </c>
      <c r="EC179" s="2" t="s">
        <v>6</v>
      </c>
      <c r="ED179" s="2"/>
      <c r="EE179" s="2">
        <v>0</v>
      </c>
      <c r="EF179" s="2">
        <v>0</v>
      </c>
      <c r="EG179" s="2" t="s">
        <v>6</v>
      </c>
      <c r="EH179" s="2">
        <v>0</v>
      </c>
      <c r="EI179" s="2" t="s">
        <v>6</v>
      </c>
      <c r="EJ179" s="2">
        <v>0</v>
      </c>
      <c r="EK179" s="2">
        <v>3101</v>
      </c>
      <c r="EL179" s="2" t="s">
        <v>6</v>
      </c>
      <c r="EM179" s="2" t="s">
        <v>6</v>
      </c>
      <c r="EN179" s="2"/>
      <c r="EO179" s="2" t="s">
        <v>6</v>
      </c>
      <c r="EP179" s="2"/>
      <c r="EQ179" s="2">
        <v>0</v>
      </c>
      <c r="ER179" s="2">
        <v>0.3</v>
      </c>
      <c r="ES179" s="110">
        <f>'1.Лок.смета.и.Акт'!F321</f>
        <v>0.3</v>
      </c>
      <c r="ET179" s="2">
        <v>0</v>
      </c>
      <c r="EU179" s="2">
        <v>0</v>
      </c>
      <c r="EV179" s="2">
        <v>0</v>
      </c>
      <c r="EW179" s="2">
        <v>0</v>
      </c>
      <c r="EX179" s="2">
        <v>0</v>
      </c>
      <c r="EY179" s="2"/>
      <c r="EZ179" s="2"/>
      <c r="FA179" s="2"/>
      <c r="FB179" s="2"/>
      <c r="FC179" s="2"/>
      <c r="FD179" s="2"/>
      <c r="FE179" s="2"/>
      <c r="FF179" s="2"/>
      <c r="FG179" s="2"/>
      <c r="FH179" s="2"/>
      <c r="FI179" s="2"/>
      <c r="FJ179" s="2"/>
      <c r="FK179" s="2"/>
      <c r="FL179" s="2"/>
      <c r="FM179" s="2"/>
      <c r="FN179" s="2"/>
      <c r="FO179" s="2"/>
      <c r="FP179" s="2"/>
      <c r="FQ179" s="2">
        <v>0</v>
      </c>
      <c r="FR179" s="2">
        <f t="shared" si="178"/>
        <v>0</v>
      </c>
      <c r="FS179" s="2">
        <v>0</v>
      </c>
      <c r="FT179" s="2"/>
      <c r="FU179" s="2"/>
      <c r="FV179" s="2"/>
      <c r="FW179" s="2"/>
      <c r="FX179" s="2">
        <v>0</v>
      </c>
      <c r="FY179" s="2">
        <v>0</v>
      </c>
      <c r="FZ179" s="2"/>
      <c r="GA179" s="2" t="s">
        <v>6</v>
      </c>
      <c r="GB179" s="2"/>
      <c r="GC179" s="2"/>
      <c r="GD179" s="2">
        <v>1</v>
      </c>
      <c r="GE179" s="2"/>
      <c r="GF179" s="2">
        <v>1900494391</v>
      </c>
      <c r="GG179" s="2">
        <v>2</v>
      </c>
      <c r="GH179" s="2">
        <v>0</v>
      </c>
      <c r="GI179" s="2">
        <v>-2</v>
      </c>
      <c r="GJ179" s="2">
        <v>0</v>
      </c>
      <c r="GK179" s="2">
        <v>0</v>
      </c>
      <c r="GL179" s="2">
        <f t="shared" si="179"/>
        <v>0</v>
      </c>
      <c r="GM179" s="2">
        <f t="shared" si="180"/>
        <v>1</v>
      </c>
      <c r="GN179" s="2">
        <f t="shared" si="181"/>
        <v>1</v>
      </c>
      <c r="GO179" s="2">
        <f t="shared" si="182"/>
        <v>0</v>
      </c>
      <c r="GP179" s="2">
        <f t="shared" si="183"/>
        <v>0</v>
      </c>
      <c r="GQ179" s="2"/>
      <c r="GR179" s="2">
        <v>0</v>
      </c>
      <c r="GS179" s="2">
        <v>3</v>
      </c>
      <c r="GT179" s="2">
        <v>0</v>
      </c>
      <c r="GU179" s="2" t="s">
        <v>6</v>
      </c>
      <c r="GV179" s="2">
        <f t="shared" si="184"/>
        <v>0</v>
      </c>
      <c r="GW179" s="2">
        <v>1</v>
      </c>
      <c r="GX179" s="2">
        <f t="shared" si="185"/>
        <v>0</v>
      </c>
      <c r="GY179" s="2"/>
      <c r="GZ179" s="2"/>
      <c r="HA179" s="2">
        <v>0</v>
      </c>
      <c r="HB179" s="2">
        <v>0</v>
      </c>
      <c r="HC179" s="2">
        <f t="shared" si="186"/>
        <v>0</v>
      </c>
      <c r="HD179" s="2"/>
      <c r="HE179" s="2" t="s">
        <v>6</v>
      </c>
      <c r="HF179" s="2" t="s">
        <v>6</v>
      </c>
      <c r="HG179" s="2"/>
      <c r="HH179" s="2"/>
      <c r="HI179" s="2"/>
      <c r="HJ179" s="2"/>
      <c r="HK179" s="2"/>
      <c r="HL179" s="2"/>
      <c r="HM179" s="2" t="s">
        <v>6</v>
      </c>
      <c r="HN179" s="2" t="s">
        <v>6</v>
      </c>
      <c r="HO179" s="2" t="s">
        <v>6</v>
      </c>
      <c r="HP179" s="2" t="s">
        <v>6</v>
      </c>
      <c r="HQ179" s="2" t="s">
        <v>6</v>
      </c>
      <c r="HR179" s="2"/>
      <c r="HS179" s="2"/>
      <c r="HT179" s="2"/>
      <c r="HU179" s="2"/>
      <c r="HV179" s="2"/>
      <c r="HW179" s="2"/>
      <c r="HX179" s="2"/>
      <c r="HY179" s="2"/>
      <c r="HZ179" s="2"/>
      <c r="IA179" s="2"/>
      <c r="IB179" s="2"/>
      <c r="IC179" s="2"/>
      <c r="ID179" s="2"/>
      <c r="IE179" s="2"/>
      <c r="IF179" s="2">
        <v>-1</v>
      </c>
      <c r="IG179" s="2"/>
      <c r="IH179" s="2"/>
      <c r="II179" s="2"/>
      <c r="IJ179" s="2"/>
      <c r="IK179" s="2">
        <v>0</v>
      </c>
      <c r="IL179" s="2"/>
      <c r="IM179" s="2"/>
      <c r="IN179" s="2"/>
      <c r="IO179" s="2"/>
      <c r="IP179" s="2"/>
      <c r="IQ179" s="2"/>
      <c r="IR179" s="2"/>
      <c r="IS179" s="2"/>
      <c r="IT179" s="2"/>
      <c r="IU179" s="2"/>
    </row>
    <row r="180" spans="1:255" x14ac:dyDescent="0.2">
      <c r="A180">
        <v>18</v>
      </c>
      <c r="B180">
        <v>1</v>
      </c>
      <c r="C180">
        <v>198</v>
      </c>
      <c r="E180" t="s">
        <v>263</v>
      </c>
      <c r="F180" t="e">
        <f>'2.Лок.смета.и.Акт'!#REF!</f>
        <v>#REF!</v>
      </c>
      <c r="G180" t="s">
        <v>113</v>
      </c>
      <c r="H180" t="s">
        <v>103</v>
      </c>
      <c r="I180">
        <f>I164*J180</f>
        <v>4.1520000000000001</v>
      </c>
      <c r="J180">
        <v>12.000000000000002</v>
      </c>
      <c r="K180">
        <v>12</v>
      </c>
      <c r="O180">
        <f t="shared" si="155"/>
        <v>4</v>
      </c>
      <c r="P180">
        <f t="shared" si="156"/>
        <v>4</v>
      </c>
      <c r="Q180">
        <f t="shared" si="157"/>
        <v>0</v>
      </c>
      <c r="R180">
        <f t="shared" si="158"/>
        <v>0</v>
      </c>
      <c r="S180">
        <f t="shared" si="159"/>
        <v>0</v>
      </c>
      <c r="T180">
        <f t="shared" si="160"/>
        <v>0</v>
      </c>
      <c r="U180">
        <f t="shared" si="161"/>
        <v>0</v>
      </c>
      <c r="V180">
        <f t="shared" si="162"/>
        <v>0</v>
      </c>
      <c r="W180">
        <f t="shared" si="163"/>
        <v>0</v>
      </c>
      <c r="X180">
        <f t="shared" si="164"/>
        <v>0</v>
      </c>
      <c r="Y180">
        <f t="shared" si="165"/>
        <v>0</v>
      </c>
      <c r="AA180">
        <v>86326988</v>
      </c>
      <c r="AB180">
        <f t="shared" si="166"/>
        <v>0.14000000000000001</v>
      </c>
      <c r="AC180">
        <f t="shared" si="188"/>
        <v>0.14000000000000001</v>
      </c>
      <c r="AD180">
        <f t="shared" si="193"/>
        <v>0</v>
      </c>
      <c r="AE180">
        <f t="shared" si="189"/>
        <v>0</v>
      </c>
      <c r="AF180">
        <f t="shared" si="190"/>
        <v>0</v>
      </c>
      <c r="AG180">
        <f t="shared" si="167"/>
        <v>0</v>
      </c>
      <c r="AH180">
        <f t="shared" si="191"/>
        <v>0</v>
      </c>
      <c r="AI180">
        <f t="shared" si="192"/>
        <v>0</v>
      </c>
      <c r="AJ180">
        <f t="shared" si="168"/>
        <v>0</v>
      </c>
      <c r="AK180">
        <v>0.14000000000000001</v>
      </c>
      <c r="AL180">
        <v>0.14000000000000001</v>
      </c>
      <c r="AM180">
        <v>0</v>
      </c>
      <c r="AN180">
        <v>0</v>
      </c>
      <c r="AO180">
        <v>0</v>
      </c>
      <c r="AP180">
        <v>0</v>
      </c>
      <c r="AQ180">
        <v>0</v>
      </c>
      <c r="AR180">
        <v>0</v>
      </c>
      <c r="AS180">
        <v>0</v>
      </c>
      <c r="AT180">
        <v>0</v>
      </c>
      <c r="AU180">
        <v>0</v>
      </c>
      <c r="AV180">
        <v>1</v>
      </c>
      <c r="AW180">
        <v>1</v>
      </c>
      <c r="AZ180">
        <v>1</v>
      </c>
      <c r="BA180">
        <v>1</v>
      </c>
      <c r="BB180">
        <v>1</v>
      </c>
      <c r="BC180">
        <v>7.56</v>
      </c>
      <c r="BD180" t="s">
        <v>6</v>
      </c>
      <c r="BE180" t="s">
        <v>6</v>
      </c>
      <c r="BF180" t="s">
        <v>6</v>
      </c>
      <c r="BG180" t="s">
        <v>6</v>
      </c>
      <c r="BH180">
        <v>3</v>
      </c>
      <c r="BI180">
        <v>1</v>
      </c>
      <c r="BJ180" t="s">
        <v>114</v>
      </c>
      <c r="BM180">
        <v>3101</v>
      </c>
      <c r="BN180">
        <v>0</v>
      </c>
      <c r="BO180" t="s">
        <v>6</v>
      </c>
      <c r="BP180">
        <v>0</v>
      </c>
      <c r="BQ180">
        <v>0</v>
      </c>
      <c r="BR180">
        <v>0</v>
      </c>
      <c r="BS180">
        <v>1</v>
      </c>
      <c r="BT180">
        <v>1</v>
      </c>
      <c r="BU180">
        <v>1</v>
      </c>
      <c r="BV180">
        <v>1</v>
      </c>
      <c r="BW180">
        <v>1</v>
      </c>
      <c r="BX180">
        <v>1</v>
      </c>
      <c r="BY180" t="s">
        <v>6</v>
      </c>
      <c r="BZ180">
        <v>0</v>
      </c>
      <c r="CA180">
        <v>0</v>
      </c>
      <c r="CB180" t="s">
        <v>6</v>
      </c>
      <c r="CE180">
        <v>0</v>
      </c>
      <c r="CF180">
        <v>0</v>
      </c>
      <c r="CG180">
        <v>0</v>
      </c>
      <c r="CM180">
        <v>0</v>
      </c>
      <c r="CN180" t="s">
        <v>6</v>
      </c>
      <c r="CO180">
        <v>0</v>
      </c>
      <c r="CP180">
        <f t="shared" si="169"/>
        <v>4</v>
      </c>
      <c r="CQ180">
        <f t="shared" si="170"/>
        <v>1.0584</v>
      </c>
      <c r="CR180">
        <f t="shared" si="171"/>
        <v>0</v>
      </c>
      <c r="CS180">
        <f t="shared" si="172"/>
        <v>0</v>
      </c>
      <c r="CT180">
        <f t="shared" si="173"/>
        <v>0</v>
      </c>
      <c r="CU180">
        <f t="shared" si="174"/>
        <v>0</v>
      </c>
      <c r="CV180">
        <f t="shared" si="175"/>
        <v>0</v>
      </c>
      <c r="CW180">
        <f t="shared" si="176"/>
        <v>0</v>
      </c>
      <c r="CX180">
        <f t="shared" si="177"/>
        <v>0</v>
      </c>
      <c r="CY180">
        <f>(S180+R180)*(BZ180/100)</f>
        <v>0</v>
      </c>
      <c r="CZ180">
        <f>(S180+R180)*(CA180/100)</f>
        <v>0</v>
      </c>
      <c r="DC180" t="s">
        <v>6</v>
      </c>
      <c r="DD180" t="s">
        <v>6</v>
      </c>
      <c r="DE180" t="s">
        <v>6</v>
      </c>
      <c r="DF180" t="s">
        <v>6</v>
      </c>
      <c r="DG180" t="s">
        <v>6</v>
      </c>
      <c r="DH180" t="s">
        <v>6</v>
      </c>
      <c r="DI180" t="s">
        <v>6</v>
      </c>
      <c r="DJ180" t="s">
        <v>6</v>
      </c>
      <c r="DK180" t="s">
        <v>6</v>
      </c>
      <c r="DL180" t="s">
        <v>6</v>
      </c>
      <c r="DM180" t="s">
        <v>6</v>
      </c>
      <c r="DN180">
        <v>0</v>
      </c>
      <c r="DO180">
        <v>0</v>
      </c>
      <c r="DP180">
        <v>1</v>
      </c>
      <c r="DQ180">
        <v>1</v>
      </c>
      <c r="DU180">
        <v>1013</v>
      </c>
      <c r="DV180" t="s">
        <v>103</v>
      </c>
      <c r="DW180" t="e">
        <f>'2.Лок.смета.и.Акт'!#REF!</f>
        <v>#REF!</v>
      </c>
      <c r="DX180">
        <v>1</v>
      </c>
      <c r="DZ180" t="s">
        <v>6</v>
      </c>
      <c r="EA180" t="s">
        <v>6</v>
      </c>
      <c r="EB180" t="s">
        <v>6</v>
      </c>
      <c r="EC180" t="s">
        <v>6</v>
      </c>
      <c r="EE180">
        <v>0</v>
      </c>
      <c r="EF180">
        <v>0</v>
      </c>
      <c r="EG180" t="s">
        <v>6</v>
      </c>
      <c r="EH180">
        <v>0</v>
      </c>
      <c r="EI180" t="s">
        <v>6</v>
      </c>
      <c r="EJ180">
        <v>0</v>
      </c>
      <c r="EK180">
        <v>3101</v>
      </c>
      <c r="EL180" t="s">
        <v>6</v>
      </c>
      <c r="EM180" t="s">
        <v>6</v>
      </c>
      <c r="EO180" t="s">
        <v>6</v>
      </c>
      <c r="EQ180">
        <v>0</v>
      </c>
      <c r="ER180">
        <v>1.02</v>
      </c>
      <c r="ES180">
        <v>0.14000000000000001</v>
      </c>
      <c r="ET180">
        <v>0</v>
      </c>
      <c r="EU180">
        <v>0</v>
      </c>
      <c r="EV180">
        <v>0</v>
      </c>
      <c r="EW180">
        <v>0</v>
      </c>
      <c r="EX180">
        <v>0</v>
      </c>
      <c r="EZ180">
        <v>5</v>
      </c>
      <c r="FC180">
        <v>0</v>
      </c>
      <c r="FD180">
        <v>18</v>
      </c>
      <c r="FF180">
        <v>1.02</v>
      </c>
      <c r="FQ180">
        <v>0</v>
      </c>
      <c r="FR180">
        <f t="shared" si="178"/>
        <v>0</v>
      </c>
      <c r="FS180">
        <v>0</v>
      </c>
      <c r="FX180">
        <v>0</v>
      </c>
      <c r="FY180">
        <v>0</v>
      </c>
      <c r="GA180" t="s">
        <v>115</v>
      </c>
      <c r="GD180">
        <v>1</v>
      </c>
      <c r="GF180">
        <v>1900494391</v>
      </c>
      <c r="GG180">
        <v>2</v>
      </c>
      <c r="GH180">
        <v>3</v>
      </c>
      <c r="GI180">
        <v>5</v>
      </c>
      <c r="GJ180">
        <v>0</v>
      </c>
      <c r="GK180">
        <v>0</v>
      </c>
      <c r="GL180">
        <f t="shared" si="179"/>
        <v>0</v>
      </c>
      <c r="GM180">
        <f t="shared" si="180"/>
        <v>4</v>
      </c>
      <c r="GN180">
        <f t="shared" si="181"/>
        <v>4</v>
      </c>
      <c r="GO180">
        <f t="shared" si="182"/>
        <v>0</v>
      </c>
      <c r="GP180">
        <f t="shared" si="183"/>
        <v>0</v>
      </c>
      <c r="GR180">
        <v>1</v>
      </c>
      <c r="GS180">
        <v>1</v>
      </c>
      <c r="GT180">
        <v>0</v>
      </c>
      <c r="GU180" t="s">
        <v>6</v>
      </c>
      <c r="GV180">
        <f t="shared" si="184"/>
        <v>0</v>
      </c>
      <c r="GW180">
        <v>1</v>
      </c>
      <c r="GX180">
        <f t="shared" si="185"/>
        <v>0</v>
      </c>
      <c r="HA180">
        <v>0</v>
      </c>
      <c r="HB180">
        <v>0</v>
      </c>
      <c r="HC180">
        <f t="shared" si="186"/>
        <v>0</v>
      </c>
      <c r="HE180" t="s">
        <v>39</v>
      </c>
      <c r="HF180" t="s">
        <v>40</v>
      </c>
      <c r="HM180" t="s">
        <v>6</v>
      </c>
      <c r="HN180" t="s">
        <v>6</v>
      </c>
      <c r="HO180" t="s">
        <v>6</v>
      </c>
      <c r="HP180" t="s">
        <v>6</v>
      </c>
      <c r="HQ180" t="s">
        <v>6</v>
      </c>
      <c r="IF180">
        <v>-1</v>
      </c>
      <c r="IK180">
        <v>0</v>
      </c>
    </row>
    <row r="181" spans="1:255" x14ac:dyDescent="0.2">
      <c r="A181" s="2">
        <v>18</v>
      </c>
      <c r="B181" s="2">
        <v>1</v>
      </c>
      <c r="C181" s="2">
        <v>190</v>
      </c>
      <c r="D181" s="2"/>
      <c r="E181" s="2" t="s">
        <v>264</v>
      </c>
      <c r="F181" s="2" t="s">
        <v>117</v>
      </c>
      <c r="G181" s="2" t="s">
        <v>118</v>
      </c>
      <c r="H181" s="2" t="s">
        <v>33</v>
      </c>
      <c r="I181" s="2">
        <f>I163*J181</f>
        <v>3.2899999999999997E-4</v>
      </c>
      <c r="J181" s="226">
        <f>'5.Ведомость_списания'!F85</f>
        <v>9.5086705202312137E-4</v>
      </c>
      <c r="K181" s="2">
        <v>9.5100000000000002E-4</v>
      </c>
      <c r="L181" s="2"/>
      <c r="M181" s="2"/>
      <c r="N181" s="2"/>
      <c r="O181" s="2">
        <f t="shared" si="155"/>
        <v>3</v>
      </c>
      <c r="P181" s="2">
        <f t="shared" si="156"/>
        <v>3</v>
      </c>
      <c r="Q181" s="2">
        <f t="shared" si="157"/>
        <v>0</v>
      </c>
      <c r="R181" s="2">
        <f t="shared" si="158"/>
        <v>0</v>
      </c>
      <c r="S181" s="2">
        <f t="shared" si="159"/>
        <v>0</v>
      </c>
      <c r="T181" s="2">
        <f t="shared" si="160"/>
        <v>0</v>
      </c>
      <c r="U181" s="2">
        <f t="shared" si="161"/>
        <v>0</v>
      </c>
      <c r="V181" s="2">
        <f t="shared" si="162"/>
        <v>0</v>
      </c>
      <c r="W181" s="2">
        <f t="shared" si="163"/>
        <v>0</v>
      </c>
      <c r="X181" s="2">
        <f t="shared" si="164"/>
        <v>0</v>
      </c>
      <c r="Y181" s="2">
        <f t="shared" si="165"/>
        <v>0</v>
      </c>
      <c r="Z181" s="2"/>
      <c r="AA181" s="2">
        <v>86326987</v>
      </c>
      <c r="AB181" s="2">
        <f t="shared" si="166"/>
        <v>10633.86</v>
      </c>
      <c r="AC181" s="2">
        <f t="shared" si="188"/>
        <v>10633.86</v>
      </c>
      <c r="AD181" s="2">
        <f>ROUND((((ET181)-(EU181))+AE181),2)</f>
        <v>0</v>
      </c>
      <c r="AE181" s="2">
        <f t="shared" si="189"/>
        <v>0</v>
      </c>
      <c r="AF181" s="2">
        <f t="shared" si="190"/>
        <v>0</v>
      </c>
      <c r="AG181" s="2">
        <f t="shared" si="167"/>
        <v>0</v>
      </c>
      <c r="AH181" s="2">
        <f t="shared" si="191"/>
        <v>0</v>
      </c>
      <c r="AI181" s="2">
        <f t="shared" si="192"/>
        <v>0</v>
      </c>
      <c r="AJ181" s="2">
        <f t="shared" si="168"/>
        <v>0</v>
      </c>
      <c r="AK181" s="2">
        <v>10633.86</v>
      </c>
      <c r="AL181" s="110">
        <f>'1.Лок.смета.и.Акт'!F323</f>
        <v>10633.86</v>
      </c>
      <c r="AM181" s="2">
        <v>0</v>
      </c>
      <c r="AN181" s="2">
        <v>0</v>
      </c>
      <c r="AO181" s="2">
        <v>0</v>
      </c>
      <c r="AP181" s="2">
        <v>0</v>
      </c>
      <c r="AQ181" s="2">
        <v>0</v>
      </c>
      <c r="AR181" s="2">
        <v>0</v>
      </c>
      <c r="AS181" s="2">
        <v>0</v>
      </c>
      <c r="AT181" s="2">
        <v>0</v>
      </c>
      <c r="AU181" s="2">
        <v>0</v>
      </c>
      <c r="AV181" s="2">
        <v>1</v>
      </c>
      <c r="AW181" s="2">
        <v>1</v>
      </c>
      <c r="AX181" s="2"/>
      <c r="AY181" s="2"/>
      <c r="AZ181" s="2">
        <v>1</v>
      </c>
      <c r="BA181" s="2">
        <v>1</v>
      </c>
      <c r="BB181" s="2">
        <v>1</v>
      </c>
      <c r="BC181" s="2">
        <v>1</v>
      </c>
      <c r="BD181" s="2" t="s">
        <v>6</v>
      </c>
      <c r="BE181" s="2" t="s">
        <v>6</v>
      </c>
      <c r="BF181" s="2" t="s">
        <v>6</v>
      </c>
      <c r="BG181" s="2" t="s">
        <v>6</v>
      </c>
      <c r="BH181" s="2">
        <v>3</v>
      </c>
      <c r="BI181" s="2">
        <v>1</v>
      </c>
      <c r="BJ181" s="2" t="s">
        <v>119</v>
      </c>
      <c r="BK181" s="2"/>
      <c r="BL181" s="2"/>
      <c r="BM181" s="2">
        <v>500003</v>
      </c>
      <c r="BN181" s="2">
        <v>0</v>
      </c>
      <c r="BO181" s="2" t="s">
        <v>6</v>
      </c>
      <c r="BP181" s="2">
        <v>0</v>
      </c>
      <c r="BQ181" s="2">
        <v>22</v>
      </c>
      <c r="BR181" s="2">
        <v>0</v>
      </c>
      <c r="BS181" s="2">
        <v>1</v>
      </c>
      <c r="BT181" s="2">
        <v>1</v>
      </c>
      <c r="BU181" s="2">
        <v>1</v>
      </c>
      <c r="BV181" s="2">
        <v>1</v>
      </c>
      <c r="BW181" s="2">
        <v>1</v>
      </c>
      <c r="BX181" s="2">
        <v>1</v>
      </c>
      <c r="BY181" s="2" t="s">
        <v>6</v>
      </c>
      <c r="BZ181" s="2">
        <v>0</v>
      </c>
      <c r="CA181" s="2">
        <v>0</v>
      </c>
      <c r="CB181" s="2" t="s">
        <v>6</v>
      </c>
      <c r="CC181" s="2"/>
      <c r="CD181" s="2"/>
      <c r="CE181" s="2">
        <v>0</v>
      </c>
      <c r="CF181" s="2">
        <v>0</v>
      </c>
      <c r="CG181" s="2">
        <v>0</v>
      </c>
      <c r="CH181" s="2"/>
      <c r="CI181" s="2"/>
      <c r="CJ181" s="2"/>
      <c r="CK181" s="2"/>
      <c r="CL181" s="2"/>
      <c r="CM181" s="2">
        <v>0</v>
      </c>
      <c r="CN181" s="2" t="s">
        <v>6</v>
      </c>
      <c r="CO181" s="2">
        <v>0</v>
      </c>
      <c r="CP181" s="2">
        <f t="shared" si="169"/>
        <v>3</v>
      </c>
      <c r="CQ181" s="2">
        <f t="shared" si="170"/>
        <v>10633.86</v>
      </c>
      <c r="CR181" s="2">
        <f t="shared" si="171"/>
        <v>0</v>
      </c>
      <c r="CS181" s="2">
        <f t="shared" si="172"/>
        <v>0</v>
      </c>
      <c r="CT181" s="2">
        <f t="shared" si="173"/>
        <v>0</v>
      </c>
      <c r="CU181" s="2">
        <f t="shared" si="174"/>
        <v>0</v>
      </c>
      <c r="CV181" s="2">
        <f t="shared" si="175"/>
        <v>0</v>
      </c>
      <c r="CW181" s="2">
        <f t="shared" si="176"/>
        <v>0</v>
      </c>
      <c r="CX181" s="2">
        <f t="shared" si="177"/>
        <v>0</v>
      </c>
      <c r="CY181" s="2">
        <f>(((S181+(R181*IF(0,0,1)))*AT181)/100)</f>
        <v>0</v>
      </c>
      <c r="CZ181" s="2">
        <f>(((S181+(R181*IF(0,0,1)))*AU181)/100)</f>
        <v>0</v>
      </c>
      <c r="DA181" s="2"/>
      <c r="DB181" s="2"/>
      <c r="DC181" s="2" t="s">
        <v>6</v>
      </c>
      <c r="DD181" s="2" t="s">
        <v>6</v>
      </c>
      <c r="DE181" s="2" t="s">
        <v>6</v>
      </c>
      <c r="DF181" s="2" t="s">
        <v>6</v>
      </c>
      <c r="DG181" s="2" t="s">
        <v>6</v>
      </c>
      <c r="DH181" s="2" t="s">
        <v>6</v>
      </c>
      <c r="DI181" s="2" t="s">
        <v>6</v>
      </c>
      <c r="DJ181" s="2" t="s">
        <v>6</v>
      </c>
      <c r="DK181" s="2" t="s">
        <v>6</v>
      </c>
      <c r="DL181" s="2" t="s">
        <v>6</v>
      </c>
      <c r="DM181" s="2" t="s">
        <v>6</v>
      </c>
      <c r="DN181" s="2">
        <v>0</v>
      </c>
      <c r="DO181" s="2">
        <v>0</v>
      </c>
      <c r="DP181" s="2">
        <v>1</v>
      </c>
      <c r="DQ181" s="2">
        <v>1</v>
      </c>
      <c r="DR181" s="2"/>
      <c r="DS181" s="2"/>
      <c r="DT181" s="2"/>
      <c r="DU181" s="2">
        <v>1009</v>
      </c>
      <c r="DV181" s="2" t="s">
        <v>33</v>
      </c>
      <c r="DW181" s="2" t="s">
        <v>33</v>
      </c>
      <c r="DX181" s="2">
        <v>1000</v>
      </c>
      <c r="DY181" s="2"/>
      <c r="DZ181" s="2" t="s">
        <v>6</v>
      </c>
      <c r="EA181" s="2" t="s">
        <v>6</v>
      </c>
      <c r="EB181" s="2" t="s">
        <v>6</v>
      </c>
      <c r="EC181" s="2" t="s">
        <v>6</v>
      </c>
      <c r="ED181" s="2"/>
      <c r="EE181" s="2">
        <v>54938783</v>
      </c>
      <c r="EF181" s="2">
        <v>22</v>
      </c>
      <c r="EG181" s="2" t="s">
        <v>57</v>
      </c>
      <c r="EH181" s="2">
        <v>0</v>
      </c>
      <c r="EI181" s="2" t="s">
        <v>6</v>
      </c>
      <c r="EJ181" s="2">
        <v>1</v>
      </c>
      <c r="EK181" s="2">
        <v>500003</v>
      </c>
      <c r="EL181" s="2" t="s">
        <v>58</v>
      </c>
      <c r="EM181" s="2" t="s">
        <v>59</v>
      </c>
      <c r="EN181" s="2"/>
      <c r="EO181" s="2" t="s">
        <v>6</v>
      </c>
      <c r="EP181" s="2"/>
      <c r="EQ181" s="2">
        <v>0</v>
      </c>
      <c r="ER181" s="2">
        <v>10633.86</v>
      </c>
      <c r="ES181" s="110">
        <f>'1.Лок.смета.и.Акт'!F323</f>
        <v>10633.86</v>
      </c>
      <c r="ET181" s="2">
        <v>0</v>
      </c>
      <c r="EU181" s="2">
        <v>0</v>
      </c>
      <c r="EV181" s="2">
        <v>0</v>
      </c>
      <c r="EW181" s="2">
        <v>0</v>
      </c>
      <c r="EX181" s="2">
        <v>0</v>
      </c>
      <c r="EY181" s="2"/>
      <c r="EZ181" s="2"/>
      <c r="FA181" s="2"/>
      <c r="FB181" s="2"/>
      <c r="FC181" s="2"/>
      <c r="FD181" s="2"/>
      <c r="FE181" s="2"/>
      <c r="FF181" s="2"/>
      <c r="FG181" s="2"/>
      <c r="FH181" s="2"/>
      <c r="FI181" s="2"/>
      <c r="FJ181" s="2"/>
      <c r="FK181" s="2"/>
      <c r="FL181" s="2"/>
      <c r="FM181" s="2"/>
      <c r="FN181" s="2"/>
      <c r="FO181" s="2"/>
      <c r="FP181" s="2"/>
      <c r="FQ181" s="2">
        <v>0</v>
      </c>
      <c r="FR181" s="2">
        <f t="shared" si="178"/>
        <v>0</v>
      </c>
      <c r="FS181" s="2">
        <v>0</v>
      </c>
      <c r="FT181" s="2"/>
      <c r="FU181" s="2"/>
      <c r="FV181" s="2"/>
      <c r="FW181" s="2"/>
      <c r="FX181" s="2">
        <v>0</v>
      </c>
      <c r="FY181" s="2">
        <v>0</v>
      </c>
      <c r="FZ181" s="2"/>
      <c r="GA181" s="2" t="s">
        <v>6</v>
      </c>
      <c r="GB181" s="2"/>
      <c r="GC181" s="2"/>
      <c r="GD181" s="2">
        <v>1</v>
      </c>
      <c r="GE181" s="2"/>
      <c r="GF181" s="2">
        <v>772407484</v>
      </c>
      <c r="GG181" s="2">
        <v>2</v>
      </c>
      <c r="GH181" s="2">
        <v>2</v>
      </c>
      <c r="GI181" s="2">
        <v>-2</v>
      </c>
      <c r="GJ181" s="2">
        <v>0</v>
      </c>
      <c r="GK181" s="2">
        <v>0</v>
      </c>
      <c r="GL181" s="2">
        <f t="shared" si="179"/>
        <v>0</v>
      </c>
      <c r="GM181" s="2">
        <f t="shared" si="180"/>
        <v>3</v>
      </c>
      <c r="GN181" s="2">
        <f t="shared" si="181"/>
        <v>3</v>
      </c>
      <c r="GO181" s="2">
        <f t="shared" si="182"/>
        <v>0</v>
      </c>
      <c r="GP181" s="2">
        <f t="shared" si="183"/>
        <v>0</v>
      </c>
      <c r="GQ181" s="2"/>
      <c r="GR181" s="2">
        <v>0</v>
      </c>
      <c r="GS181" s="2">
        <v>2</v>
      </c>
      <c r="GT181" s="2">
        <v>0</v>
      </c>
      <c r="GU181" s="2" t="s">
        <v>6</v>
      </c>
      <c r="GV181" s="2">
        <f t="shared" si="184"/>
        <v>0</v>
      </c>
      <c r="GW181" s="2">
        <v>1</v>
      </c>
      <c r="GX181" s="2">
        <f t="shared" si="185"/>
        <v>0</v>
      </c>
      <c r="GY181" s="2"/>
      <c r="GZ181" s="2"/>
      <c r="HA181" s="2">
        <v>0</v>
      </c>
      <c r="HB181" s="2">
        <v>0</v>
      </c>
      <c r="HC181" s="2">
        <f t="shared" si="186"/>
        <v>0</v>
      </c>
      <c r="HD181" s="2"/>
      <c r="HE181" s="2" t="s">
        <v>6</v>
      </c>
      <c r="HF181" s="2" t="s">
        <v>6</v>
      </c>
      <c r="HG181" s="2"/>
      <c r="HH181" s="2"/>
      <c r="HI181" s="2"/>
      <c r="HJ181" s="2"/>
      <c r="HK181" s="2"/>
      <c r="HL181" s="2"/>
      <c r="HM181" s="2" t="s">
        <v>6</v>
      </c>
      <c r="HN181" s="2" t="s">
        <v>6</v>
      </c>
      <c r="HO181" s="2" t="s">
        <v>6</v>
      </c>
      <c r="HP181" s="2" t="s">
        <v>6</v>
      </c>
      <c r="HQ181" s="2" t="s">
        <v>6</v>
      </c>
      <c r="HR181" s="2"/>
      <c r="HS181" s="2"/>
      <c r="HT181" s="2"/>
      <c r="HU181" s="2"/>
      <c r="HV181" s="2"/>
      <c r="HW181" s="2"/>
      <c r="HX181" s="2"/>
      <c r="HY181" s="2"/>
      <c r="HZ181" s="2"/>
      <c r="IA181" s="2"/>
      <c r="IB181" s="2"/>
      <c r="IC181" s="2"/>
      <c r="ID181" s="2"/>
      <c r="IE181" s="2"/>
      <c r="IF181" s="2">
        <v>-1</v>
      </c>
      <c r="IG181" s="2"/>
      <c r="IH181" s="2"/>
      <c r="II181" s="2"/>
      <c r="IJ181" s="2"/>
      <c r="IK181" s="2">
        <v>0</v>
      </c>
      <c r="IL181" s="2"/>
      <c r="IM181" s="2"/>
      <c r="IN181" s="2"/>
      <c r="IO181" s="2"/>
      <c r="IP181" s="2"/>
      <c r="IQ181" s="2"/>
      <c r="IR181" s="2"/>
      <c r="IS181" s="2"/>
      <c r="IT181" s="2"/>
      <c r="IU181" s="2"/>
    </row>
    <row r="182" spans="1:255" x14ac:dyDescent="0.2">
      <c r="A182">
        <v>18</v>
      </c>
      <c r="B182">
        <v>1</v>
      </c>
      <c r="C182">
        <v>203</v>
      </c>
      <c r="E182" t="s">
        <v>264</v>
      </c>
      <c r="F182" t="e">
        <f>'2.Лок.смета.и.Акт'!#REF!</f>
        <v>#REF!</v>
      </c>
      <c r="G182" t="s">
        <v>118</v>
      </c>
      <c r="H182" t="s">
        <v>33</v>
      </c>
      <c r="I182">
        <f>I164*J182</f>
        <v>3.2899999999999997E-4</v>
      </c>
      <c r="J182">
        <v>9.5086705202312137E-4</v>
      </c>
      <c r="K182">
        <v>9.5100000000000002E-4</v>
      </c>
      <c r="O182">
        <f t="shared" si="155"/>
        <v>28</v>
      </c>
      <c r="P182">
        <f t="shared" si="156"/>
        <v>28</v>
      </c>
      <c r="Q182">
        <f t="shared" si="157"/>
        <v>0</v>
      </c>
      <c r="R182">
        <f t="shared" si="158"/>
        <v>0</v>
      </c>
      <c r="S182">
        <f t="shared" si="159"/>
        <v>0</v>
      </c>
      <c r="T182">
        <f t="shared" si="160"/>
        <v>0</v>
      </c>
      <c r="U182">
        <f t="shared" si="161"/>
        <v>0</v>
      </c>
      <c r="V182">
        <f t="shared" si="162"/>
        <v>0</v>
      </c>
      <c r="W182">
        <f t="shared" si="163"/>
        <v>0</v>
      </c>
      <c r="X182">
        <f t="shared" si="164"/>
        <v>0</v>
      </c>
      <c r="Y182">
        <f t="shared" si="165"/>
        <v>0</v>
      </c>
      <c r="AA182">
        <v>86326988</v>
      </c>
      <c r="AB182">
        <f t="shared" si="166"/>
        <v>11142.15</v>
      </c>
      <c r="AC182">
        <f t="shared" si="188"/>
        <v>11142.15</v>
      </c>
      <c r="AD182">
        <f>ROUND((((ET182)-(EU182))+AE182),2)</f>
        <v>0</v>
      </c>
      <c r="AE182">
        <f t="shared" si="189"/>
        <v>0</v>
      </c>
      <c r="AF182">
        <f t="shared" si="190"/>
        <v>0</v>
      </c>
      <c r="AG182">
        <f t="shared" si="167"/>
        <v>0</v>
      </c>
      <c r="AH182">
        <f t="shared" si="191"/>
        <v>0</v>
      </c>
      <c r="AI182">
        <f t="shared" si="192"/>
        <v>0</v>
      </c>
      <c r="AJ182">
        <f t="shared" si="168"/>
        <v>0</v>
      </c>
      <c r="AK182">
        <v>11142.150000000001</v>
      </c>
      <c r="AL182">
        <v>11142.150000000001</v>
      </c>
      <c r="AM182">
        <v>0</v>
      </c>
      <c r="AN182">
        <v>0</v>
      </c>
      <c r="AO182">
        <v>0</v>
      </c>
      <c r="AP182">
        <v>0</v>
      </c>
      <c r="AQ182">
        <v>0</v>
      </c>
      <c r="AR182">
        <v>0</v>
      </c>
      <c r="AS182">
        <v>0</v>
      </c>
      <c r="AT182">
        <v>0</v>
      </c>
      <c r="AU182">
        <v>0</v>
      </c>
      <c r="AV182">
        <v>1</v>
      </c>
      <c r="AW182">
        <v>1</v>
      </c>
      <c r="AZ182">
        <v>1</v>
      </c>
      <c r="BA182">
        <v>1</v>
      </c>
      <c r="BB182">
        <v>1</v>
      </c>
      <c r="BC182">
        <v>7.56</v>
      </c>
      <c r="BD182" t="s">
        <v>6</v>
      </c>
      <c r="BE182" t="s">
        <v>6</v>
      </c>
      <c r="BF182" t="s">
        <v>6</v>
      </c>
      <c r="BG182" t="s">
        <v>6</v>
      </c>
      <c r="BH182">
        <v>3</v>
      </c>
      <c r="BI182">
        <v>1</v>
      </c>
      <c r="BJ182" t="s">
        <v>119</v>
      </c>
      <c r="BM182">
        <v>500003</v>
      </c>
      <c r="BN182">
        <v>0</v>
      </c>
      <c r="BO182" t="s">
        <v>6</v>
      </c>
      <c r="BP182">
        <v>0</v>
      </c>
      <c r="BQ182">
        <v>22</v>
      </c>
      <c r="BR182">
        <v>0</v>
      </c>
      <c r="BS182">
        <v>1</v>
      </c>
      <c r="BT182">
        <v>1</v>
      </c>
      <c r="BU182">
        <v>1</v>
      </c>
      <c r="BV182">
        <v>1</v>
      </c>
      <c r="BW182">
        <v>1</v>
      </c>
      <c r="BX182">
        <v>1</v>
      </c>
      <c r="BY182" t="s">
        <v>6</v>
      </c>
      <c r="BZ182">
        <v>0</v>
      </c>
      <c r="CA182">
        <v>0</v>
      </c>
      <c r="CB182" t="s">
        <v>6</v>
      </c>
      <c r="CE182">
        <v>0</v>
      </c>
      <c r="CF182">
        <v>0</v>
      </c>
      <c r="CG182">
        <v>0</v>
      </c>
      <c r="CM182">
        <v>0</v>
      </c>
      <c r="CN182" t="s">
        <v>6</v>
      </c>
      <c r="CO182">
        <v>0</v>
      </c>
      <c r="CP182">
        <f t="shared" si="169"/>
        <v>28</v>
      </c>
      <c r="CQ182">
        <f t="shared" si="170"/>
        <v>84234.653999999995</v>
      </c>
      <c r="CR182">
        <f t="shared" si="171"/>
        <v>0</v>
      </c>
      <c r="CS182">
        <f t="shared" si="172"/>
        <v>0</v>
      </c>
      <c r="CT182">
        <f t="shared" si="173"/>
        <v>0</v>
      </c>
      <c r="CU182">
        <f t="shared" si="174"/>
        <v>0</v>
      </c>
      <c r="CV182">
        <f t="shared" si="175"/>
        <v>0</v>
      </c>
      <c r="CW182">
        <f t="shared" si="176"/>
        <v>0</v>
      </c>
      <c r="CX182">
        <f t="shared" si="177"/>
        <v>0</v>
      </c>
      <c r="CY182">
        <f>(S182+R182)*(BZ182/100)</f>
        <v>0</v>
      </c>
      <c r="CZ182">
        <f>(S182+R182)*(CA182/100)</f>
        <v>0</v>
      </c>
      <c r="DC182" t="s">
        <v>6</v>
      </c>
      <c r="DD182" t="s">
        <v>6</v>
      </c>
      <c r="DE182" t="s">
        <v>6</v>
      </c>
      <c r="DF182" t="s">
        <v>6</v>
      </c>
      <c r="DG182" t="s">
        <v>6</v>
      </c>
      <c r="DH182" t="s">
        <v>6</v>
      </c>
      <c r="DI182" t="s">
        <v>6</v>
      </c>
      <c r="DJ182" t="s">
        <v>6</v>
      </c>
      <c r="DK182" t="s">
        <v>6</v>
      </c>
      <c r="DL182" t="s">
        <v>6</v>
      </c>
      <c r="DM182" t="s">
        <v>6</v>
      </c>
      <c r="DN182">
        <v>0</v>
      </c>
      <c r="DO182">
        <v>0</v>
      </c>
      <c r="DP182">
        <v>1</v>
      </c>
      <c r="DQ182">
        <v>1</v>
      </c>
      <c r="DU182">
        <v>1009</v>
      </c>
      <c r="DV182" t="s">
        <v>33</v>
      </c>
      <c r="DW182" t="e">
        <f>'2.Лок.смета.и.Акт'!#REF!</f>
        <v>#REF!</v>
      </c>
      <c r="DX182">
        <v>1000</v>
      </c>
      <c r="DZ182" t="s">
        <v>6</v>
      </c>
      <c r="EA182" t="s">
        <v>6</v>
      </c>
      <c r="EB182" t="s">
        <v>6</v>
      </c>
      <c r="EC182" t="s">
        <v>6</v>
      </c>
      <c r="EE182">
        <v>54938783</v>
      </c>
      <c r="EF182">
        <v>22</v>
      </c>
      <c r="EG182" t="s">
        <v>57</v>
      </c>
      <c r="EH182">
        <v>0</v>
      </c>
      <c r="EI182" t="s">
        <v>6</v>
      </c>
      <c r="EJ182">
        <v>1</v>
      </c>
      <c r="EK182">
        <v>500003</v>
      </c>
      <c r="EL182" t="s">
        <v>58</v>
      </c>
      <c r="EM182" t="s">
        <v>59</v>
      </c>
      <c r="EO182" t="s">
        <v>6</v>
      </c>
      <c r="EQ182">
        <v>0</v>
      </c>
      <c r="ER182">
        <v>80392</v>
      </c>
      <c r="ES182">
        <v>11142.150000000001</v>
      </c>
      <c r="ET182">
        <v>0</v>
      </c>
      <c r="EU182">
        <v>0</v>
      </c>
      <c r="EV182">
        <v>0</v>
      </c>
      <c r="EW182">
        <v>0</v>
      </c>
      <c r="EX182">
        <v>0</v>
      </c>
      <c r="EZ182">
        <v>5</v>
      </c>
      <c r="FC182">
        <v>0</v>
      </c>
      <c r="FD182">
        <v>18</v>
      </c>
      <c r="FF182">
        <v>80392</v>
      </c>
      <c r="FQ182">
        <v>0</v>
      </c>
      <c r="FR182">
        <f t="shared" si="178"/>
        <v>0</v>
      </c>
      <c r="FS182">
        <v>0</v>
      </c>
      <c r="FX182">
        <v>0</v>
      </c>
      <c r="FY182">
        <v>0</v>
      </c>
      <c r="GA182" t="s">
        <v>120</v>
      </c>
      <c r="GD182">
        <v>1</v>
      </c>
      <c r="GF182">
        <v>772407484</v>
      </c>
      <c r="GG182">
        <v>2</v>
      </c>
      <c r="GH182">
        <v>3</v>
      </c>
      <c r="GI182">
        <v>5</v>
      </c>
      <c r="GJ182">
        <v>0</v>
      </c>
      <c r="GK182">
        <v>0</v>
      </c>
      <c r="GL182">
        <f t="shared" si="179"/>
        <v>0</v>
      </c>
      <c r="GM182">
        <f t="shared" si="180"/>
        <v>28</v>
      </c>
      <c r="GN182">
        <f t="shared" si="181"/>
        <v>28</v>
      </c>
      <c r="GO182">
        <f t="shared" si="182"/>
        <v>0</v>
      </c>
      <c r="GP182">
        <f t="shared" si="183"/>
        <v>0</v>
      </c>
      <c r="GR182">
        <v>1</v>
      </c>
      <c r="GS182">
        <v>1</v>
      </c>
      <c r="GT182">
        <v>0</v>
      </c>
      <c r="GU182" t="s">
        <v>6</v>
      </c>
      <c r="GV182">
        <f t="shared" si="184"/>
        <v>0</v>
      </c>
      <c r="GW182">
        <v>1</v>
      </c>
      <c r="GX182">
        <f t="shared" si="185"/>
        <v>0</v>
      </c>
      <c r="HA182">
        <v>0</v>
      </c>
      <c r="HB182">
        <v>0</v>
      </c>
      <c r="HC182">
        <f t="shared" si="186"/>
        <v>0</v>
      </c>
      <c r="HE182" t="s">
        <v>39</v>
      </c>
      <c r="HF182" t="s">
        <v>61</v>
      </c>
      <c r="HM182" t="s">
        <v>6</v>
      </c>
      <c r="HN182" t="s">
        <v>6</v>
      </c>
      <c r="HO182" t="s">
        <v>6</v>
      </c>
      <c r="HP182" t="s">
        <v>6</v>
      </c>
      <c r="HQ182" t="s">
        <v>6</v>
      </c>
      <c r="IF182">
        <v>-1</v>
      </c>
      <c r="IK182">
        <v>0</v>
      </c>
    </row>
    <row r="183" spans="1:255" x14ac:dyDescent="0.2">
      <c r="A183" s="2">
        <v>17</v>
      </c>
      <c r="B183" s="2">
        <v>1</v>
      </c>
      <c r="C183" s="2">
        <f>ROW(SmtRes!A217)</f>
        <v>217</v>
      </c>
      <c r="D183" s="2">
        <f>ROW(EtalonRes!A167)</f>
        <v>167</v>
      </c>
      <c r="E183" s="2" t="s">
        <v>265</v>
      </c>
      <c r="F183" s="2" t="s">
        <v>266</v>
      </c>
      <c r="G183" s="2" t="s">
        <v>267</v>
      </c>
      <c r="H183" s="2" t="s">
        <v>21</v>
      </c>
      <c r="I183" s="2">
        <f>'2.Лок.смета.и.Акт'!E38</f>
        <v>6.2257499999999997</v>
      </c>
      <c r="J183" s="2">
        <v>0</v>
      </c>
      <c r="K183" s="2">
        <v>24.902999999999999</v>
      </c>
      <c r="L183" s="2"/>
      <c r="M183" s="2"/>
      <c r="N183" s="2"/>
      <c r="O183" s="2">
        <f t="shared" ref="O183:O214" si="194">ROUND(CP183,0)</f>
        <v>1663</v>
      </c>
      <c r="P183" s="2">
        <f t="shared" ref="P183:P214" si="195">ROUND(CQ183*I183,0)</f>
        <v>0</v>
      </c>
      <c r="Q183" s="2">
        <f t="shared" ref="Q183:Q214" si="196">ROUND(CR183*I183,0)</f>
        <v>1410</v>
      </c>
      <c r="R183" s="2">
        <f t="shared" ref="R183:R214" si="197">ROUND(CS183*I183,0)</f>
        <v>164</v>
      </c>
      <c r="S183" s="2">
        <f t="shared" ref="S183:S214" si="198">ROUND(CT183*I183,0)</f>
        <v>253</v>
      </c>
      <c r="T183" s="2">
        <f t="shared" ref="T183:T214" si="199">ROUND(CU183*I183,0)</f>
        <v>0</v>
      </c>
      <c r="U183" s="2">
        <f t="shared" ref="U183:U214" si="200">CV183*I183</f>
        <v>29.024446500000003</v>
      </c>
      <c r="V183" s="2">
        <f t="shared" ref="V183:V214" si="201">CW183*I183</f>
        <v>12.0630132</v>
      </c>
      <c r="W183" s="2">
        <f t="shared" ref="W183:W214" si="202">ROUND(CX183*I183,0)</f>
        <v>0</v>
      </c>
      <c r="X183" s="2">
        <f t="shared" ref="X183:X214" si="203">ROUND(CY183,0)</f>
        <v>500</v>
      </c>
      <c r="Y183" s="2">
        <f t="shared" ref="Y183:Y214" si="204">ROUND(CZ183,0)</f>
        <v>321</v>
      </c>
      <c r="Z183" s="2"/>
      <c r="AA183" s="2">
        <v>86326987</v>
      </c>
      <c r="AB183" s="2">
        <f t="shared" ref="AB183:AB214" si="205">ROUND((AC183+AD183+AF183),2)</f>
        <v>267.13</v>
      </c>
      <c r="AC183" s="2">
        <f>ROUND((ES183+(SUM(SmtRes!BC205:'SmtRes'!BC217)+SUM(EtalonRes!AL161:'EtalonRes'!AL167))),2)</f>
        <v>0</v>
      </c>
      <c r="AD183" s="2">
        <f>ROUND(((((ET183*1.12)+(SUM(SmtRes!BD205:'SmtRes'!BD217)+SUM(EtalonRes!AM161:'EtalonRes'!AM167)))-((EU183*1.12)+(SUM(SmtRes!BE205:'SmtRes'!BE217)+SUM(EtalonRes!AN161:'EtalonRes'!AN167))))+AE183),2)</f>
        <v>226.53</v>
      </c>
      <c r="AE183" s="2">
        <f>ROUND(((EU183*1.12)+(SUM(SmtRes!BE205:'SmtRes'!BE217)+SUM(EtalonRes!AN161:'EtalonRes'!AN167))),2)</f>
        <v>26.38</v>
      </c>
      <c r="AF183" s="2">
        <f>ROUND(((EV183*1.05)),2)</f>
        <v>40.6</v>
      </c>
      <c r="AG183" s="2">
        <f t="shared" ref="AG183:AG214" si="206">ROUND((AP183),2)</f>
        <v>0</v>
      </c>
      <c r="AH183" s="2">
        <f>((EW183*1.05))</f>
        <v>4.6620000000000008</v>
      </c>
      <c r="AI183" s="2">
        <f>((EX183*1.12))</f>
        <v>1.9376000000000002</v>
      </c>
      <c r="AJ183" s="2">
        <f t="shared" ref="AJ183:AJ214" si="207">(AS183)</f>
        <v>0</v>
      </c>
      <c r="AK183" s="2">
        <v>206.61</v>
      </c>
      <c r="AL183" s="2">
        <v>7.12</v>
      </c>
      <c r="AM183" s="2">
        <v>160.82</v>
      </c>
      <c r="AN183" s="2">
        <v>23.55</v>
      </c>
      <c r="AO183" s="2">
        <v>38.67</v>
      </c>
      <c r="AP183" s="2">
        <v>0</v>
      </c>
      <c r="AQ183" s="2">
        <v>4.4400000000000004</v>
      </c>
      <c r="AR183" s="2">
        <v>1.73</v>
      </c>
      <c r="AS183" s="2">
        <v>0</v>
      </c>
      <c r="AT183" s="2">
        <v>120</v>
      </c>
      <c r="AU183" s="2">
        <v>77</v>
      </c>
      <c r="AV183" s="2">
        <v>1</v>
      </c>
      <c r="AW183" s="2">
        <v>1</v>
      </c>
      <c r="AX183" s="2"/>
      <c r="AY183" s="2"/>
      <c r="AZ183" s="2">
        <v>1</v>
      </c>
      <c r="BA183" s="2">
        <v>1</v>
      </c>
      <c r="BB183" s="2">
        <v>1</v>
      </c>
      <c r="BC183" s="2">
        <v>1</v>
      </c>
      <c r="BD183" s="2" t="s">
        <v>6</v>
      </c>
      <c r="BE183" s="2" t="s">
        <v>6</v>
      </c>
      <c r="BF183" s="2" t="s">
        <v>6</v>
      </c>
      <c r="BG183" s="2" t="s">
        <v>6</v>
      </c>
      <c r="BH183" s="2">
        <v>0</v>
      </c>
      <c r="BI183" s="2">
        <v>1</v>
      </c>
      <c r="BJ183" s="2" t="s">
        <v>268</v>
      </c>
      <c r="BK183" s="2"/>
      <c r="BL183" s="2"/>
      <c r="BM183" s="2">
        <v>6002</v>
      </c>
      <c r="BN183" s="2">
        <v>0</v>
      </c>
      <c r="BO183" s="2" t="s">
        <v>6</v>
      </c>
      <c r="BP183" s="2">
        <v>0</v>
      </c>
      <c r="BQ183" s="2">
        <v>1</v>
      </c>
      <c r="BR183" s="2">
        <v>0</v>
      </c>
      <c r="BS183" s="2">
        <v>1</v>
      </c>
      <c r="BT183" s="2">
        <v>1</v>
      </c>
      <c r="BU183" s="2">
        <v>1</v>
      </c>
      <c r="BV183" s="2">
        <v>1</v>
      </c>
      <c r="BW183" s="2">
        <v>1</v>
      </c>
      <c r="BX183" s="2">
        <v>1</v>
      </c>
      <c r="BY183" s="2" t="s">
        <v>6</v>
      </c>
      <c r="BZ183" s="2">
        <v>120</v>
      </c>
      <c r="CA183" s="2">
        <v>77</v>
      </c>
      <c r="CB183" s="2" t="s">
        <v>6</v>
      </c>
      <c r="CC183" s="2"/>
      <c r="CD183" s="2"/>
      <c r="CE183" s="2">
        <v>0</v>
      </c>
      <c r="CF183" s="2">
        <v>0</v>
      </c>
      <c r="CG183" s="2">
        <v>0</v>
      </c>
      <c r="CH183" s="2"/>
      <c r="CI183" s="2"/>
      <c r="CJ183" s="2"/>
      <c r="CK183" s="2"/>
      <c r="CL183" s="2"/>
      <c r="CM183" s="2">
        <v>0</v>
      </c>
      <c r="CN183" s="2" t="s">
        <v>23</v>
      </c>
      <c r="CO183" s="2">
        <v>0</v>
      </c>
      <c r="CP183" s="2">
        <f t="shared" ref="CP183:CP214" si="208">(P183+Q183+S183)</f>
        <v>1663</v>
      </c>
      <c r="CQ183" s="2">
        <f t="shared" ref="CQ183:CQ214" si="209">AC183*BC183</f>
        <v>0</v>
      </c>
      <c r="CR183" s="2">
        <f t="shared" ref="CR183:CR214" si="210">AD183*BB183</f>
        <v>226.53</v>
      </c>
      <c r="CS183" s="2">
        <f t="shared" ref="CS183:CS214" si="211">AE183*BS183</f>
        <v>26.38</v>
      </c>
      <c r="CT183" s="2">
        <f t="shared" ref="CT183:CT214" si="212">AF183*BA183</f>
        <v>40.6</v>
      </c>
      <c r="CU183" s="2">
        <f t="shared" ref="CU183:CU214" si="213">AG183</f>
        <v>0</v>
      </c>
      <c r="CV183" s="2">
        <f t="shared" ref="CV183:CV214" si="214">AH183</f>
        <v>4.6620000000000008</v>
      </c>
      <c r="CW183" s="2">
        <f t="shared" ref="CW183:CW214" si="215">AI183</f>
        <v>1.9376000000000002</v>
      </c>
      <c r="CX183" s="2">
        <f t="shared" ref="CX183:CX214" si="216">AJ183</f>
        <v>0</v>
      </c>
      <c r="CY183" s="2">
        <f>(((S183+(R183*IF(0,0,1)))*AT183)/100)</f>
        <v>500.4</v>
      </c>
      <c r="CZ183" s="2">
        <f>(((S183+(R183*IF(0,0,1)))*AU183)/100)</f>
        <v>321.08999999999997</v>
      </c>
      <c r="DA183" s="2"/>
      <c r="DB183" s="2"/>
      <c r="DC183" s="2" t="s">
        <v>6</v>
      </c>
      <c r="DD183" s="2" t="s">
        <v>6</v>
      </c>
      <c r="DE183" s="2" t="s">
        <v>24</v>
      </c>
      <c r="DF183" s="2" t="s">
        <v>24</v>
      </c>
      <c r="DG183" s="2" t="s">
        <v>25</v>
      </c>
      <c r="DH183" s="2" t="s">
        <v>6</v>
      </c>
      <c r="DI183" s="2" t="s">
        <v>25</v>
      </c>
      <c r="DJ183" s="2" t="s">
        <v>24</v>
      </c>
      <c r="DK183" s="2" t="s">
        <v>6</v>
      </c>
      <c r="DL183" s="2" t="s">
        <v>6</v>
      </c>
      <c r="DM183" s="2" t="s">
        <v>6</v>
      </c>
      <c r="DN183" s="2">
        <v>0</v>
      </c>
      <c r="DO183" s="2">
        <v>0</v>
      </c>
      <c r="DP183" s="2">
        <v>1</v>
      </c>
      <c r="DQ183" s="2">
        <v>1</v>
      </c>
      <c r="DR183" s="2"/>
      <c r="DS183" s="2"/>
      <c r="DT183" s="2"/>
      <c r="DU183" s="2">
        <v>1013</v>
      </c>
      <c r="DV183" s="2" t="s">
        <v>21</v>
      </c>
      <c r="DW183" s="2" t="s">
        <v>21</v>
      </c>
      <c r="DX183" s="2">
        <v>1</v>
      </c>
      <c r="DY183" s="2"/>
      <c r="DZ183" s="2" t="s">
        <v>6</v>
      </c>
      <c r="EA183" s="2" t="s">
        <v>6</v>
      </c>
      <c r="EB183" s="2" t="s">
        <v>6</v>
      </c>
      <c r="EC183" s="2" t="s">
        <v>6</v>
      </c>
      <c r="ED183" s="2"/>
      <c r="EE183" s="2">
        <v>54938592</v>
      </c>
      <c r="EF183" s="2">
        <v>1</v>
      </c>
      <c r="EG183" s="2" t="s">
        <v>26</v>
      </c>
      <c r="EH183" s="2">
        <v>0</v>
      </c>
      <c r="EI183" s="2" t="s">
        <v>6</v>
      </c>
      <c r="EJ183" s="2">
        <v>1</v>
      </c>
      <c r="EK183" s="2">
        <v>6002</v>
      </c>
      <c r="EL183" s="2" t="s">
        <v>27</v>
      </c>
      <c r="EM183" s="2" t="s">
        <v>28</v>
      </c>
      <c r="EN183" s="2"/>
      <c r="EO183" s="2" t="s">
        <v>29</v>
      </c>
      <c r="EP183" s="2"/>
      <c r="EQ183" s="2">
        <v>2097152</v>
      </c>
      <c r="ER183" s="2">
        <v>206.61</v>
      </c>
      <c r="ES183" s="2">
        <v>7.12</v>
      </c>
      <c r="ET183" s="2">
        <v>160.82</v>
      </c>
      <c r="EU183" s="2">
        <v>23.55</v>
      </c>
      <c r="EV183" s="2">
        <v>38.67</v>
      </c>
      <c r="EW183" s="2">
        <v>4.4400000000000004</v>
      </c>
      <c r="EX183" s="2">
        <v>1.73</v>
      </c>
      <c r="EY183" s="2">
        <v>1</v>
      </c>
      <c r="EZ183" s="2"/>
      <c r="FA183" s="2"/>
      <c r="FB183" s="2"/>
      <c r="FC183" s="2"/>
      <c r="FD183" s="2"/>
      <c r="FE183" s="2"/>
      <c r="FF183" s="2"/>
      <c r="FG183" s="2"/>
      <c r="FH183" s="2"/>
      <c r="FI183" s="2"/>
      <c r="FJ183" s="2"/>
      <c r="FK183" s="2"/>
      <c r="FL183" s="2"/>
      <c r="FM183" s="2"/>
      <c r="FN183" s="2"/>
      <c r="FO183" s="2"/>
      <c r="FP183" s="2"/>
      <c r="FQ183" s="2">
        <v>0</v>
      </c>
      <c r="FR183" s="2">
        <f t="shared" ref="FR183:FR214" si="217">ROUND(IF(BI183=3,GM183,0),0)</f>
        <v>0</v>
      </c>
      <c r="FS183" s="2">
        <v>0</v>
      </c>
      <c r="FT183" s="2"/>
      <c r="FU183" s="2"/>
      <c r="FV183" s="2"/>
      <c r="FW183" s="2"/>
      <c r="FX183" s="2">
        <v>120</v>
      </c>
      <c r="FY183" s="2">
        <v>77</v>
      </c>
      <c r="FZ183" s="2"/>
      <c r="GA183" s="2" t="s">
        <v>6</v>
      </c>
      <c r="GB183" s="2"/>
      <c r="GC183" s="2"/>
      <c r="GD183" s="2">
        <v>1</v>
      </c>
      <c r="GE183" s="2"/>
      <c r="GF183" s="2">
        <v>-1720562712</v>
      </c>
      <c r="GG183" s="2">
        <v>2</v>
      </c>
      <c r="GH183" s="2">
        <v>1</v>
      </c>
      <c r="GI183" s="2">
        <v>-2</v>
      </c>
      <c r="GJ183" s="2">
        <v>0</v>
      </c>
      <c r="GK183" s="2">
        <v>0</v>
      </c>
      <c r="GL183" s="2">
        <f t="shared" ref="GL183:GL214" si="218">ROUND(IF(AND(BH183=3,BI183=3,FS183&lt;&gt;0),P183,0),0)</f>
        <v>0</v>
      </c>
      <c r="GM183" s="2">
        <f t="shared" ref="GM183:GM214" si="219">ROUND(O183+X183+Y183,0)+GX183</f>
        <v>2484</v>
      </c>
      <c r="GN183" s="2">
        <f t="shared" ref="GN183:GN214" si="220">IF(OR(BI183=0,BI183=1),GM183-GX183,0)</f>
        <v>2484</v>
      </c>
      <c r="GO183" s="2">
        <f t="shared" ref="GO183:GO214" si="221">IF(BI183=2,GM183-GX183,0)</f>
        <v>0</v>
      </c>
      <c r="GP183" s="2">
        <f t="shared" ref="GP183:GP214" si="222">IF(BI183=4,GM183-GX183,0)</f>
        <v>0</v>
      </c>
      <c r="GQ183" s="2"/>
      <c r="GR183" s="2">
        <v>0</v>
      </c>
      <c r="GS183" s="2">
        <v>3</v>
      </c>
      <c r="GT183" s="2">
        <v>0</v>
      </c>
      <c r="GU183" s="2" t="s">
        <v>6</v>
      </c>
      <c r="GV183" s="2">
        <f t="shared" ref="GV183:GV214" si="223">ROUND((GT183),2)</f>
        <v>0</v>
      </c>
      <c r="GW183" s="2">
        <v>1</v>
      </c>
      <c r="GX183" s="2">
        <f t="shared" ref="GX183:GX214" si="224">ROUND(HC183*I183,0)</f>
        <v>0</v>
      </c>
      <c r="GY183" s="2"/>
      <c r="GZ183" s="2"/>
      <c r="HA183" s="2">
        <v>0</v>
      </c>
      <c r="HB183" s="2">
        <v>0</v>
      </c>
      <c r="HC183" s="2">
        <f t="shared" ref="HC183:HC214" si="225">GV183*GW183</f>
        <v>0</v>
      </c>
      <c r="HD183" s="2"/>
      <c r="HE183" s="2" t="s">
        <v>6</v>
      </c>
      <c r="HF183" s="2" t="s">
        <v>6</v>
      </c>
      <c r="HG183" s="2"/>
      <c r="HH183" s="2"/>
      <c r="HI183" s="2"/>
      <c r="HJ183" s="2"/>
      <c r="HK183" s="2"/>
      <c r="HL183" s="2"/>
      <c r="HM183" s="2" t="s">
        <v>6</v>
      </c>
      <c r="HN183" s="2" t="s">
        <v>6</v>
      </c>
      <c r="HO183" s="2" t="s">
        <v>6</v>
      </c>
      <c r="HP183" s="2" t="s">
        <v>6</v>
      </c>
      <c r="HQ183" s="2" t="s">
        <v>6</v>
      </c>
      <c r="HR183" s="2"/>
      <c r="HS183" s="2"/>
      <c r="HT183" s="2"/>
      <c r="HU183" s="2"/>
      <c r="HV183" s="2"/>
      <c r="HW183" s="2"/>
      <c r="HX183" s="2"/>
      <c r="HY183" s="2"/>
      <c r="HZ183" s="2"/>
      <c r="IA183" s="2"/>
      <c r="IB183" s="2"/>
      <c r="IC183" s="2"/>
      <c r="ID183" s="2"/>
      <c r="IE183" s="2"/>
      <c r="IF183" s="2">
        <v>-1</v>
      </c>
      <c r="IG183" s="2"/>
      <c r="IH183" s="2"/>
      <c r="II183" s="2"/>
      <c r="IJ183" s="2"/>
      <c r="IK183" s="2">
        <v>0</v>
      </c>
      <c r="IL183" s="2"/>
      <c r="IM183" s="2"/>
      <c r="IN183" s="2"/>
      <c r="IO183" s="2"/>
      <c r="IP183" s="2"/>
      <c r="IQ183" s="2"/>
      <c r="IR183" s="2"/>
      <c r="IS183" s="2"/>
      <c r="IT183" s="2"/>
      <c r="IU183" s="2"/>
    </row>
    <row r="184" spans="1:255" x14ac:dyDescent="0.2">
      <c r="A184">
        <v>17</v>
      </c>
      <c r="B184">
        <v>1</v>
      </c>
      <c r="C184">
        <f>ROW(SmtRes!A230)</f>
        <v>230</v>
      </c>
      <c r="D184">
        <f>ROW(EtalonRes!A174)</f>
        <v>174</v>
      </c>
      <c r="E184" t="s">
        <v>265</v>
      </c>
      <c r="F184" t="s">
        <v>266</v>
      </c>
      <c r="G184" t="s">
        <v>267</v>
      </c>
      <c r="H184" t="s">
        <v>21</v>
      </c>
      <c r="I184">
        <f>'2.Лок.смета.и.Акт'!E38</f>
        <v>6.2257499999999997</v>
      </c>
      <c r="J184">
        <v>0</v>
      </c>
      <c r="K184">
        <v>24.902999999999999</v>
      </c>
      <c r="O184">
        <f t="shared" si="194"/>
        <v>22233</v>
      </c>
      <c r="P184">
        <f t="shared" si="195"/>
        <v>0</v>
      </c>
      <c r="Q184">
        <f t="shared" si="196"/>
        <v>13116</v>
      </c>
      <c r="R184">
        <f t="shared" si="197"/>
        <v>3252</v>
      </c>
      <c r="S184">
        <f t="shared" si="198"/>
        <v>9117</v>
      </c>
      <c r="T184">
        <f t="shared" si="199"/>
        <v>0</v>
      </c>
      <c r="U184" t="e">
        <f t="shared" si="200"/>
        <v>#REF!</v>
      </c>
      <c r="V184">
        <f t="shared" si="201"/>
        <v>12.0630132</v>
      </c>
      <c r="W184">
        <f t="shared" si="202"/>
        <v>0</v>
      </c>
      <c r="X184" t="e">
        <f t="shared" si="203"/>
        <v>#REF!</v>
      </c>
      <c r="Y184" t="e">
        <f t="shared" si="204"/>
        <v>#REF!</v>
      </c>
      <c r="AA184">
        <v>86326988</v>
      </c>
      <c r="AB184">
        <f t="shared" si="205"/>
        <v>267.13</v>
      </c>
      <c r="AC184">
        <f>ROUND((ES184+(SUM(SmtRes!BC218:'SmtRes'!BC230)+SUM(EtalonRes!AL168:'EtalonRes'!AL174))),2)</f>
        <v>0</v>
      </c>
      <c r="AD184">
        <f>ROUND(((((ET184*1.12)+(SUM(SmtRes!BD218:'SmtRes'!BD230)+SUM(EtalonRes!AM168:'EtalonRes'!AM174)))-((EU184*1.12)+(SUM(SmtRes!BE218:'SmtRes'!BE230)+SUM(EtalonRes!AN168:'EtalonRes'!AN174))))+AE184),2)</f>
        <v>226.53</v>
      </c>
      <c r="AE184">
        <f>ROUND(((EU184*1.12)+(SUM(SmtRes!BE218:'SmtRes'!BE230)+SUM(EtalonRes!AN168:'EtalonRes'!AN174))),2)</f>
        <v>26.38</v>
      </c>
      <c r="AF184">
        <f>ROUND(((EV184*1.05)),2)</f>
        <v>40.6</v>
      </c>
      <c r="AG184">
        <f t="shared" si="206"/>
        <v>0</v>
      </c>
      <c r="AH184" t="e">
        <f>((EW184*1.05))</f>
        <v>#REF!</v>
      </c>
      <c r="AI184">
        <f>((EX184*1.12))</f>
        <v>1.9376000000000002</v>
      </c>
      <c r="AJ184">
        <f t="shared" si="207"/>
        <v>0</v>
      </c>
      <c r="AK184">
        <f>AL184+AM184+AO184</f>
        <v>206.61</v>
      </c>
      <c r="AL184">
        <v>7.12</v>
      </c>
      <c r="AM184" s="75">
        <f>'1.Лок.смета.и.Акт'!F330</f>
        <v>160.82</v>
      </c>
      <c r="AN184" s="75">
        <f>'1.Лок.смета.и.Акт'!F331</f>
        <v>23.55</v>
      </c>
      <c r="AO184" s="75">
        <f>'1.Лок.смета.и.Акт'!F329</f>
        <v>38.67</v>
      </c>
      <c r="AP184">
        <v>0</v>
      </c>
      <c r="AQ184" t="e">
        <f>'2.Лок.смета.и.Акт'!#REF!</f>
        <v>#REF!</v>
      </c>
      <c r="AR184">
        <v>1.73</v>
      </c>
      <c r="AS184">
        <v>0</v>
      </c>
      <c r="AT184">
        <v>114</v>
      </c>
      <c r="AU184">
        <v>65</v>
      </c>
      <c r="AV184">
        <v>1</v>
      </c>
      <c r="AW184">
        <v>1</v>
      </c>
      <c r="AZ184">
        <v>1</v>
      </c>
      <c r="BA184">
        <f>'1.Лок.смета.и.Акт'!J329</f>
        <v>36.07</v>
      </c>
      <c r="BB184">
        <f>'1.Лок.смета.и.Акт'!J330</f>
        <v>9.3000000000000007</v>
      </c>
      <c r="BC184">
        <v>7.56</v>
      </c>
      <c r="BD184" t="s">
        <v>6</v>
      </c>
      <c r="BE184" t="s">
        <v>6</v>
      </c>
      <c r="BF184" t="s">
        <v>6</v>
      </c>
      <c r="BG184" t="s">
        <v>6</v>
      </c>
      <c r="BH184">
        <v>0</v>
      </c>
      <c r="BI184">
        <v>1</v>
      </c>
      <c r="BJ184" t="s">
        <v>268</v>
      </c>
      <c r="BM184">
        <v>6002</v>
      </c>
      <c r="BN184">
        <v>0</v>
      </c>
      <c r="BO184" t="s">
        <v>266</v>
      </c>
      <c r="BP184">
        <v>1</v>
      </c>
      <c r="BQ184">
        <v>1</v>
      </c>
      <c r="BR184">
        <v>0</v>
      </c>
      <c r="BS184">
        <f>'1.Лок.смета.и.Акт'!J331</f>
        <v>19.8</v>
      </c>
      <c r="BT184">
        <v>1</v>
      </c>
      <c r="BU184">
        <v>1</v>
      </c>
      <c r="BV184">
        <v>1</v>
      </c>
      <c r="BW184">
        <v>1</v>
      </c>
      <c r="BX184">
        <v>1</v>
      </c>
      <c r="BY184" t="s">
        <v>6</v>
      </c>
      <c r="BZ184" t="e">
        <f>'2.Лок.смета.и.Акт'!#REF!</f>
        <v>#REF!</v>
      </c>
      <c r="CA184" t="e">
        <f>'2.Лок.смета.и.Акт'!#REF!</f>
        <v>#REF!</v>
      </c>
      <c r="CB184" t="s">
        <v>6</v>
      </c>
      <c r="CE184">
        <v>0</v>
      </c>
      <c r="CF184">
        <v>0</v>
      </c>
      <c r="CG184">
        <v>0</v>
      </c>
      <c r="CM184">
        <v>0</v>
      </c>
      <c r="CN184" t="s">
        <v>23</v>
      </c>
      <c r="CO184">
        <v>0</v>
      </c>
      <c r="CP184">
        <f t="shared" si="208"/>
        <v>22233</v>
      </c>
      <c r="CQ184">
        <f t="shared" si="209"/>
        <v>0</v>
      </c>
      <c r="CR184">
        <f t="shared" si="210"/>
        <v>2106.7290000000003</v>
      </c>
      <c r="CS184">
        <f t="shared" si="211"/>
        <v>522.32399999999996</v>
      </c>
      <c r="CT184">
        <f t="shared" si="212"/>
        <v>1464.442</v>
      </c>
      <c r="CU184">
        <f t="shared" si="213"/>
        <v>0</v>
      </c>
      <c r="CV184" t="e">
        <f t="shared" si="214"/>
        <v>#REF!</v>
      </c>
      <c r="CW184">
        <f t="shared" si="215"/>
        <v>1.9376000000000002</v>
      </c>
      <c r="CX184">
        <f t="shared" si="216"/>
        <v>0</v>
      </c>
      <c r="CY184" t="e">
        <f>(S184+R184)*(BZ184/100)</f>
        <v>#REF!</v>
      </c>
      <c r="CZ184" t="e">
        <f>(S184+R184)*(CA184/100)</f>
        <v>#REF!</v>
      </c>
      <c r="DC184" t="s">
        <v>6</v>
      </c>
      <c r="DD184" t="s">
        <v>6</v>
      </c>
      <c r="DE184" t="s">
        <v>24</v>
      </c>
      <c r="DF184" t="s">
        <v>24</v>
      </c>
      <c r="DG184" t="s">
        <v>25</v>
      </c>
      <c r="DH184" t="s">
        <v>6</v>
      </c>
      <c r="DI184" t="s">
        <v>25</v>
      </c>
      <c r="DJ184" t="s">
        <v>24</v>
      </c>
      <c r="DK184" t="s">
        <v>6</v>
      </c>
      <c r="DL184" t="s">
        <v>6</v>
      </c>
      <c r="DM184" t="s">
        <v>6</v>
      </c>
      <c r="DN184">
        <f>'1.Лок.смета.и.Акт'!E332</f>
        <v>120</v>
      </c>
      <c r="DO184">
        <f>'1.Лок.смета.и.Акт'!E333</f>
        <v>77</v>
      </c>
      <c r="DP184">
        <v>1</v>
      </c>
      <c r="DQ184">
        <v>1</v>
      </c>
      <c r="DU184">
        <v>1013</v>
      </c>
      <c r="DV184" t="s">
        <v>21</v>
      </c>
      <c r="DW184" t="str">
        <f>'2.Лок.смета.и.Акт'!D38</f>
        <v>10 м2 конструкций</v>
      </c>
      <c r="DX184">
        <v>1</v>
      </c>
      <c r="DZ184" t="s">
        <v>6</v>
      </c>
      <c r="EA184" t="s">
        <v>6</v>
      </c>
      <c r="EB184" t="s">
        <v>6</v>
      </c>
      <c r="EC184" t="s">
        <v>6</v>
      </c>
      <c r="EE184">
        <v>54938592</v>
      </c>
      <c r="EF184">
        <v>1</v>
      </c>
      <c r="EG184" t="s">
        <v>26</v>
      </c>
      <c r="EH184">
        <v>0</v>
      </c>
      <c r="EI184" t="s">
        <v>6</v>
      </c>
      <c r="EJ184">
        <v>1</v>
      </c>
      <c r="EK184">
        <v>6002</v>
      </c>
      <c r="EL184" t="s">
        <v>27</v>
      </c>
      <c r="EM184" t="s">
        <v>28</v>
      </c>
      <c r="EO184" t="s">
        <v>29</v>
      </c>
      <c r="EQ184">
        <v>2097152</v>
      </c>
      <c r="ER184">
        <f>ES184+ET184+EV184</f>
        <v>206.61</v>
      </c>
      <c r="ES184">
        <v>7.12</v>
      </c>
      <c r="ET184" s="75">
        <f>'1.Лок.смета.и.Акт'!F330</f>
        <v>160.82</v>
      </c>
      <c r="EU184" s="75">
        <f>'1.Лок.смета.и.Акт'!F331</f>
        <v>23.55</v>
      </c>
      <c r="EV184" s="75">
        <f>'1.Лок.смета.и.Акт'!F329</f>
        <v>38.67</v>
      </c>
      <c r="EW184" t="e">
        <f>'2.Лок.смета.и.Акт'!#REF!</f>
        <v>#REF!</v>
      </c>
      <c r="EX184">
        <v>1.73</v>
      </c>
      <c r="EY184">
        <v>1</v>
      </c>
      <c r="FQ184">
        <v>0</v>
      </c>
      <c r="FR184">
        <f t="shared" si="217"/>
        <v>0</v>
      </c>
      <c r="FS184">
        <v>0</v>
      </c>
      <c r="FX184">
        <v>120</v>
      </c>
      <c r="FY184">
        <v>77</v>
      </c>
      <c r="GA184" t="s">
        <v>6</v>
      </c>
      <c r="GD184">
        <v>1</v>
      </c>
      <c r="GF184">
        <v>-1720562712</v>
      </c>
      <c r="GG184">
        <v>2</v>
      </c>
      <c r="GH184">
        <v>1</v>
      </c>
      <c r="GI184">
        <v>2</v>
      </c>
      <c r="GJ184">
        <v>0</v>
      </c>
      <c r="GK184">
        <v>0</v>
      </c>
      <c r="GL184">
        <f t="shared" si="218"/>
        <v>0</v>
      </c>
      <c r="GM184" t="e">
        <f t="shared" si="219"/>
        <v>#REF!</v>
      </c>
      <c r="GN184" t="e">
        <f t="shared" si="220"/>
        <v>#REF!</v>
      </c>
      <c r="GO184">
        <f t="shared" si="221"/>
        <v>0</v>
      </c>
      <c r="GP184">
        <f t="shared" si="222"/>
        <v>0</v>
      </c>
      <c r="GR184">
        <v>0</v>
      </c>
      <c r="GS184">
        <v>3</v>
      </c>
      <c r="GT184">
        <v>0</v>
      </c>
      <c r="GU184" t="s">
        <v>6</v>
      </c>
      <c r="GV184">
        <f t="shared" si="223"/>
        <v>0</v>
      </c>
      <c r="GW184">
        <v>1003.4</v>
      </c>
      <c r="GX184">
        <f t="shared" si="224"/>
        <v>0</v>
      </c>
      <c r="HA184">
        <v>0</v>
      </c>
      <c r="HB184">
        <v>0</v>
      </c>
      <c r="HC184">
        <f t="shared" si="225"/>
        <v>0</v>
      </c>
      <c r="HE184" t="s">
        <v>6</v>
      </c>
      <c r="HF184" t="s">
        <v>6</v>
      </c>
      <c r="HM184" t="s">
        <v>6</v>
      </c>
      <c r="HN184" t="s">
        <v>6</v>
      </c>
      <c r="HO184" t="s">
        <v>6</v>
      </c>
      <c r="HP184" t="s">
        <v>6</v>
      </c>
      <c r="HQ184" t="s">
        <v>6</v>
      </c>
      <c r="IF184">
        <v>-1</v>
      </c>
      <c r="IK184">
        <v>0</v>
      </c>
    </row>
    <row r="185" spans="1:255" x14ac:dyDescent="0.2">
      <c r="A185" s="2">
        <v>18</v>
      </c>
      <c r="B185" s="2">
        <v>1</v>
      </c>
      <c r="C185" s="2">
        <v>209</v>
      </c>
      <c r="D185" s="2"/>
      <c r="E185" s="2" t="s">
        <v>269</v>
      </c>
      <c r="F185" s="2" t="s">
        <v>71</v>
      </c>
      <c r="G185" s="2" t="s">
        <v>72</v>
      </c>
      <c r="H185" s="2" t="s">
        <v>33</v>
      </c>
      <c r="I185" s="2">
        <f>I183*J185</f>
        <v>2.6148250000000001E-2</v>
      </c>
      <c r="J185" s="226">
        <f>'5.Ведомость_списания'!F87</f>
        <v>4.2000160623218092E-3</v>
      </c>
      <c r="K185" s="2">
        <v>4.1999999999999997E-3</v>
      </c>
      <c r="L185" s="2"/>
      <c r="M185" s="2"/>
      <c r="N185" s="2"/>
      <c r="O185" s="2">
        <f t="shared" si="194"/>
        <v>44</v>
      </c>
      <c r="P185" s="2">
        <f t="shared" si="195"/>
        <v>44</v>
      </c>
      <c r="Q185" s="2">
        <f t="shared" si="196"/>
        <v>0</v>
      </c>
      <c r="R185" s="2">
        <f t="shared" si="197"/>
        <v>0</v>
      </c>
      <c r="S185" s="2">
        <f t="shared" si="198"/>
        <v>0</v>
      </c>
      <c r="T185" s="2">
        <f t="shared" si="199"/>
        <v>0</v>
      </c>
      <c r="U185" s="2">
        <f t="shared" si="200"/>
        <v>0</v>
      </c>
      <c r="V185" s="2">
        <f t="shared" si="201"/>
        <v>0</v>
      </c>
      <c r="W185" s="2">
        <f t="shared" si="202"/>
        <v>1</v>
      </c>
      <c r="X185" s="2">
        <f t="shared" si="203"/>
        <v>0</v>
      </c>
      <c r="Y185" s="2">
        <f t="shared" si="204"/>
        <v>0</v>
      </c>
      <c r="Z185" s="2"/>
      <c r="AA185" s="2">
        <v>86326987</v>
      </c>
      <c r="AB185" s="2">
        <f t="shared" si="205"/>
        <v>1696.01</v>
      </c>
      <c r="AC185" s="2">
        <f t="shared" ref="AC185:AC202" si="226">ROUND((ES185),2)</f>
        <v>1696.01</v>
      </c>
      <c r="AD185" s="2">
        <f>ROUND((((ET185)-(EU185))+AE185),2)</f>
        <v>0</v>
      </c>
      <c r="AE185" s="2">
        <f t="shared" ref="AE185:AE202" si="227">ROUND((EU185),2)</f>
        <v>0</v>
      </c>
      <c r="AF185" s="2">
        <f t="shared" ref="AF185:AF202" si="228">ROUND((EV185),2)</f>
        <v>0</v>
      </c>
      <c r="AG185" s="2">
        <f t="shared" si="206"/>
        <v>0</v>
      </c>
      <c r="AH185" s="2">
        <f t="shared" ref="AH185:AH202" si="229">(EW185)</f>
        <v>0</v>
      </c>
      <c r="AI185" s="2">
        <f t="shared" ref="AI185:AI202" si="230">(EX185)</f>
        <v>0</v>
      </c>
      <c r="AJ185" s="2">
        <f t="shared" si="207"/>
        <v>44.58</v>
      </c>
      <c r="AK185" s="2">
        <v>1696.01</v>
      </c>
      <c r="AL185" s="110">
        <f>'1.Лок.смета.и.Акт'!F335</f>
        <v>1696.01</v>
      </c>
      <c r="AM185" s="2">
        <v>0</v>
      </c>
      <c r="AN185" s="2">
        <v>0</v>
      </c>
      <c r="AO185" s="2">
        <v>0</v>
      </c>
      <c r="AP185" s="2">
        <v>0</v>
      </c>
      <c r="AQ185" s="2">
        <v>0</v>
      </c>
      <c r="AR185" s="2">
        <v>0</v>
      </c>
      <c r="AS185" s="2">
        <v>44.58</v>
      </c>
      <c r="AT185" s="2">
        <v>0</v>
      </c>
      <c r="AU185" s="2">
        <v>0</v>
      </c>
      <c r="AV185" s="2">
        <v>1</v>
      </c>
      <c r="AW185" s="2">
        <v>1</v>
      </c>
      <c r="AX185" s="2"/>
      <c r="AY185" s="2"/>
      <c r="AZ185" s="2">
        <v>1</v>
      </c>
      <c r="BA185" s="2">
        <v>1</v>
      </c>
      <c r="BB185" s="2">
        <v>1</v>
      </c>
      <c r="BC185" s="2">
        <v>1</v>
      </c>
      <c r="BD185" s="2" t="s">
        <v>6</v>
      </c>
      <c r="BE185" s="2" t="s">
        <v>6</v>
      </c>
      <c r="BF185" s="2" t="s">
        <v>6</v>
      </c>
      <c r="BG185" s="2" t="s">
        <v>6</v>
      </c>
      <c r="BH185" s="2">
        <v>3</v>
      </c>
      <c r="BI185" s="2">
        <v>1</v>
      </c>
      <c r="BJ185" s="2" t="s">
        <v>73</v>
      </c>
      <c r="BK185" s="2"/>
      <c r="BL185" s="2"/>
      <c r="BM185" s="2">
        <v>500001</v>
      </c>
      <c r="BN185" s="2">
        <v>0</v>
      </c>
      <c r="BO185" s="2" t="s">
        <v>6</v>
      </c>
      <c r="BP185" s="2">
        <v>0</v>
      </c>
      <c r="BQ185" s="2">
        <v>20</v>
      </c>
      <c r="BR185" s="2">
        <v>0</v>
      </c>
      <c r="BS185" s="2">
        <v>1</v>
      </c>
      <c r="BT185" s="2">
        <v>1</v>
      </c>
      <c r="BU185" s="2">
        <v>1</v>
      </c>
      <c r="BV185" s="2">
        <v>1</v>
      </c>
      <c r="BW185" s="2">
        <v>1</v>
      </c>
      <c r="BX185" s="2">
        <v>1</v>
      </c>
      <c r="BY185" s="2" t="s">
        <v>6</v>
      </c>
      <c r="BZ185" s="2">
        <v>0</v>
      </c>
      <c r="CA185" s="2">
        <v>0</v>
      </c>
      <c r="CB185" s="2" t="s">
        <v>6</v>
      </c>
      <c r="CC185" s="2"/>
      <c r="CD185" s="2"/>
      <c r="CE185" s="2">
        <v>0</v>
      </c>
      <c r="CF185" s="2">
        <v>0</v>
      </c>
      <c r="CG185" s="2">
        <v>0</v>
      </c>
      <c r="CH185" s="2"/>
      <c r="CI185" s="2"/>
      <c r="CJ185" s="2"/>
      <c r="CK185" s="2"/>
      <c r="CL185" s="2"/>
      <c r="CM185" s="2">
        <v>0</v>
      </c>
      <c r="CN185" s="2" t="s">
        <v>6</v>
      </c>
      <c r="CO185" s="2">
        <v>0</v>
      </c>
      <c r="CP185" s="2">
        <f t="shared" si="208"/>
        <v>44</v>
      </c>
      <c r="CQ185" s="2">
        <f t="shared" si="209"/>
        <v>1696.01</v>
      </c>
      <c r="CR185" s="2">
        <f t="shared" si="210"/>
        <v>0</v>
      </c>
      <c r="CS185" s="2">
        <f t="shared" si="211"/>
        <v>0</v>
      </c>
      <c r="CT185" s="2">
        <f t="shared" si="212"/>
        <v>0</v>
      </c>
      <c r="CU185" s="2">
        <f t="shared" si="213"/>
        <v>0</v>
      </c>
      <c r="CV185" s="2">
        <f t="shared" si="214"/>
        <v>0</v>
      </c>
      <c r="CW185" s="2">
        <f t="shared" si="215"/>
        <v>0</v>
      </c>
      <c r="CX185" s="2">
        <f t="shared" si="216"/>
        <v>44.58</v>
      </c>
      <c r="CY185" s="2">
        <f>(((S185+(R185*IF(0,0,1)))*AT185)/100)</f>
        <v>0</v>
      </c>
      <c r="CZ185" s="2">
        <f>(((S185+(R185*IF(0,0,1)))*AU185)/100)</f>
        <v>0</v>
      </c>
      <c r="DA185" s="2"/>
      <c r="DB185" s="2"/>
      <c r="DC185" s="2" t="s">
        <v>6</v>
      </c>
      <c r="DD185" s="2" t="s">
        <v>6</v>
      </c>
      <c r="DE185" s="2" t="s">
        <v>6</v>
      </c>
      <c r="DF185" s="2" t="s">
        <v>6</v>
      </c>
      <c r="DG185" s="2" t="s">
        <v>6</v>
      </c>
      <c r="DH185" s="2" t="s">
        <v>6</v>
      </c>
      <c r="DI185" s="2" t="s">
        <v>6</v>
      </c>
      <c r="DJ185" s="2" t="s">
        <v>6</v>
      </c>
      <c r="DK185" s="2" t="s">
        <v>6</v>
      </c>
      <c r="DL185" s="2" t="s">
        <v>6</v>
      </c>
      <c r="DM185" s="2" t="s">
        <v>6</v>
      </c>
      <c r="DN185" s="2">
        <v>0</v>
      </c>
      <c r="DO185" s="2">
        <v>0</v>
      </c>
      <c r="DP185" s="2">
        <v>1</v>
      </c>
      <c r="DQ185" s="2">
        <v>1</v>
      </c>
      <c r="DR185" s="2"/>
      <c r="DS185" s="2"/>
      <c r="DT185" s="2"/>
      <c r="DU185" s="2">
        <v>1009</v>
      </c>
      <c r="DV185" s="2" t="s">
        <v>33</v>
      </c>
      <c r="DW185" s="2" t="s">
        <v>33</v>
      </c>
      <c r="DX185" s="2">
        <v>1000</v>
      </c>
      <c r="DY185" s="2"/>
      <c r="DZ185" s="2" t="s">
        <v>6</v>
      </c>
      <c r="EA185" s="2" t="s">
        <v>6</v>
      </c>
      <c r="EB185" s="2" t="s">
        <v>6</v>
      </c>
      <c r="EC185" s="2" t="s">
        <v>6</v>
      </c>
      <c r="ED185" s="2"/>
      <c r="EE185" s="2">
        <v>54938781</v>
      </c>
      <c r="EF185" s="2">
        <v>20</v>
      </c>
      <c r="EG185" s="2" t="s">
        <v>35</v>
      </c>
      <c r="EH185" s="2">
        <v>0</v>
      </c>
      <c r="EI185" s="2" t="s">
        <v>6</v>
      </c>
      <c r="EJ185" s="2">
        <v>1</v>
      </c>
      <c r="EK185" s="2">
        <v>500001</v>
      </c>
      <c r="EL185" s="2" t="s">
        <v>36</v>
      </c>
      <c r="EM185" s="2" t="s">
        <v>37</v>
      </c>
      <c r="EN185" s="2"/>
      <c r="EO185" s="2" t="s">
        <v>6</v>
      </c>
      <c r="EP185" s="2"/>
      <c r="EQ185" s="2">
        <v>0</v>
      </c>
      <c r="ER185" s="2">
        <v>1696.01</v>
      </c>
      <c r="ES185" s="110">
        <f>'1.Лок.смета.и.Акт'!F335</f>
        <v>1696.01</v>
      </c>
      <c r="ET185" s="2">
        <v>0</v>
      </c>
      <c r="EU185" s="2">
        <v>0</v>
      </c>
      <c r="EV185" s="2">
        <v>0</v>
      </c>
      <c r="EW185" s="2">
        <v>0</v>
      </c>
      <c r="EX185" s="2">
        <v>0</v>
      </c>
      <c r="EY185" s="2"/>
      <c r="EZ185" s="2"/>
      <c r="FA185" s="2"/>
      <c r="FB185" s="2"/>
      <c r="FC185" s="2"/>
      <c r="FD185" s="2"/>
      <c r="FE185" s="2"/>
      <c r="FF185" s="2"/>
      <c r="FG185" s="2"/>
      <c r="FH185" s="2"/>
      <c r="FI185" s="2"/>
      <c r="FJ185" s="2"/>
      <c r="FK185" s="2"/>
      <c r="FL185" s="2"/>
      <c r="FM185" s="2"/>
      <c r="FN185" s="2"/>
      <c r="FO185" s="2"/>
      <c r="FP185" s="2"/>
      <c r="FQ185" s="2">
        <v>0</v>
      </c>
      <c r="FR185" s="2">
        <f t="shared" si="217"/>
        <v>0</v>
      </c>
      <c r="FS185" s="2">
        <v>0</v>
      </c>
      <c r="FT185" s="2"/>
      <c r="FU185" s="2"/>
      <c r="FV185" s="2"/>
      <c r="FW185" s="2"/>
      <c r="FX185" s="2">
        <v>0</v>
      </c>
      <c r="FY185" s="2">
        <v>0</v>
      </c>
      <c r="FZ185" s="2"/>
      <c r="GA185" s="2" t="s">
        <v>6</v>
      </c>
      <c r="GB185" s="2"/>
      <c r="GC185" s="2"/>
      <c r="GD185" s="2">
        <v>1</v>
      </c>
      <c r="GE185" s="2"/>
      <c r="GF185" s="2">
        <v>-81122142</v>
      </c>
      <c r="GG185" s="2">
        <v>2</v>
      </c>
      <c r="GH185" s="2">
        <v>0</v>
      </c>
      <c r="GI185" s="2">
        <v>-2</v>
      </c>
      <c r="GJ185" s="2">
        <v>0</v>
      </c>
      <c r="GK185" s="2">
        <v>0</v>
      </c>
      <c r="GL185" s="2">
        <f t="shared" si="218"/>
        <v>0</v>
      </c>
      <c r="GM185" s="2">
        <f t="shared" si="219"/>
        <v>44</v>
      </c>
      <c r="GN185" s="2">
        <f t="shared" si="220"/>
        <v>44</v>
      </c>
      <c r="GO185" s="2">
        <f t="shared" si="221"/>
        <v>0</v>
      </c>
      <c r="GP185" s="2">
        <f t="shared" si="222"/>
        <v>0</v>
      </c>
      <c r="GQ185" s="2"/>
      <c r="GR185" s="2">
        <v>0</v>
      </c>
      <c r="GS185" s="2">
        <v>3</v>
      </c>
      <c r="GT185" s="2">
        <v>0</v>
      </c>
      <c r="GU185" s="2" t="s">
        <v>6</v>
      </c>
      <c r="GV185" s="2">
        <f t="shared" si="223"/>
        <v>0</v>
      </c>
      <c r="GW185" s="2">
        <v>1</v>
      </c>
      <c r="GX185" s="2">
        <f t="shared" si="224"/>
        <v>0</v>
      </c>
      <c r="GY185" s="2"/>
      <c r="GZ185" s="2"/>
      <c r="HA185" s="2">
        <v>0</v>
      </c>
      <c r="HB185" s="2">
        <v>0</v>
      </c>
      <c r="HC185" s="2">
        <f t="shared" si="225"/>
        <v>0</v>
      </c>
      <c r="HD185" s="2"/>
      <c r="HE185" s="2" t="s">
        <v>6</v>
      </c>
      <c r="HF185" s="2" t="s">
        <v>6</v>
      </c>
      <c r="HG185" s="2"/>
      <c r="HH185" s="2"/>
      <c r="HI185" s="2"/>
      <c r="HJ185" s="2"/>
      <c r="HK185" s="2"/>
      <c r="HL185" s="2"/>
      <c r="HM185" s="2" t="s">
        <v>6</v>
      </c>
      <c r="HN185" s="2" t="s">
        <v>6</v>
      </c>
      <c r="HO185" s="2" t="s">
        <v>6</v>
      </c>
      <c r="HP185" s="2" t="s">
        <v>6</v>
      </c>
      <c r="HQ185" s="2" t="s">
        <v>6</v>
      </c>
      <c r="HR185" s="2"/>
      <c r="HS185" s="2"/>
      <c r="HT185" s="2"/>
      <c r="HU185" s="2"/>
      <c r="HV185" s="2"/>
      <c r="HW185" s="2"/>
      <c r="HX185" s="2"/>
      <c r="HY185" s="2"/>
      <c r="HZ185" s="2"/>
      <c r="IA185" s="2"/>
      <c r="IB185" s="2"/>
      <c r="IC185" s="2"/>
      <c r="ID185" s="2"/>
      <c r="IE185" s="2"/>
      <c r="IF185" s="2">
        <v>-1</v>
      </c>
      <c r="IG185" s="2"/>
      <c r="IH185" s="2"/>
      <c r="II185" s="2"/>
      <c r="IJ185" s="2"/>
      <c r="IK185" s="2">
        <v>0</v>
      </c>
      <c r="IL185" s="2"/>
      <c r="IM185" s="2"/>
      <c r="IN185" s="2"/>
      <c r="IO185" s="2"/>
      <c r="IP185" s="2"/>
      <c r="IQ185" s="2"/>
      <c r="IR185" s="2"/>
      <c r="IS185" s="2"/>
      <c r="IT185" s="2"/>
      <c r="IU185" s="2"/>
    </row>
    <row r="186" spans="1:255" x14ac:dyDescent="0.2">
      <c r="A186">
        <v>18</v>
      </c>
      <c r="B186">
        <v>1</v>
      </c>
      <c r="C186">
        <v>222</v>
      </c>
      <c r="E186" t="s">
        <v>269</v>
      </c>
      <c r="F186" t="e">
        <f>'2.Лок.смета.и.Акт'!#REF!</f>
        <v>#REF!</v>
      </c>
      <c r="G186" t="s">
        <v>72</v>
      </c>
      <c r="H186" t="s">
        <v>33</v>
      </c>
      <c r="I186">
        <f>I184*J186</f>
        <v>2.6148250000000001E-2</v>
      </c>
      <c r="J186">
        <v>4.2000160623218092E-3</v>
      </c>
      <c r="K186">
        <v>4.1999999999999997E-3</v>
      </c>
      <c r="O186">
        <f t="shared" si="194"/>
        <v>2288</v>
      </c>
      <c r="P186">
        <f t="shared" si="195"/>
        <v>2288</v>
      </c>
      <c r="Q186">
        <f t="shared" si="196"/>
        <v>0</v>
      </c>
      <c r="R186">
        <f t="shared" si="197"/>
        <v>0</v>
      </c>
      <c r="S186">
        <f t="shared" si="198"/>
        <v>0</v>
      </c>
      <c r="T186">
        <f t="shared" si="199"/>
        <v>0</v>
      </c>
      <c r="U186">
        <f t="shared" si="200"/>
        <v>0</v>
      </c>
      <c r="V186">
        <f t="shared" si="201"/>
        <v>0</v>
      </c>
      <c r="W186">
        <f t="shared" si="202"/>
        <v>1</v>
      </c>
      <c r="X186">
        <f t="shared" si="203"/>
        <v>0</v>
      </c>
      <c r="Y186">
        <f t="shared" si="204"/>
        <v>0</v>
      </c>
      <c r="AA186">
        <v>86326988</v>
      </c>
      <c r="AB186">
        <f t="shared" si="205"/>
        <v>11576.19</v>
      </c>
      <c r="AC186">
        <f t="shared" si="226"/>
        <v>11576.19</v>
      </c>
      <c r="AD186">
        <f>ROUND((((ET186)-(EU186))+AE186),2)</f>
        <v>0</v>
      </c>
      <c r="AE186">
        <f t="shared" si="227"/>
        <v>0</v>
      </c>
      <c r="AF186">
        <f t="shared" si="228"/>
        <v>0</v>
      </c>
      <c r="AG186">
        <f t="shared" si="206"/>
        <v>0</v>
      </c>
      <c r="AH186">
        <f t="shared" si="229"/>
        <v>0</v>
      </c>
      <c r="AI186">
        <f t="shared" si="230"/>
        <v>0</v>
      </c>
      <c r="AJ186">
        <f t="shared" si="207"/>
        <v>44.58</v>
      </c>
      <c r="AK186">
        <v>11576.19</v>
      </c>
      <c r="AL186">
        <v>11576.19</v>
      </c>
      <c r="AM186">
        <v>0</v>
      </c>
      <c r="AN186">
        <v>0</v>
      </c>
      <c r="AO186">
        <v>0</v>
      </c>
      <c r="AP186">
        <v>0</v>
      </c>
      <c r="AQ186">
        <v>0</v>
      </c>
      <c r="AR186">
        <v>0</v>
      </c>
      <c r="AS186">
        <v>44.58</v>
      </c>
      <c r="AT186">
        <v>0</v>
      </c>
      <c r="AU186">
        <v>0</v>
      </c>
      <c r="AV186">
        <v>1</v>
      </c>
      <c r="AW186">
        <v>1</v>
      </c>
      <c r="AZ186">
        <v>1</v>
      </c>
      <c r="BA186">
        <v>1</v>
      </c>
      <c r="BB186">
        <v>1</v>
      </c>
      <c r="BC186">
        <v>7.56</v>
      </c>
      <c r="BD186" t="s">
        <v>6</v>
      </c>
      <c r="BE186" t="s">
        <v>6</v>
      </c>
      <c r="BF186" t="s">
        <v>6</v>
      </c>
      <c r="BG186" t="s">
        <v>6</v>
      </c>
      <c r="BH186">
        <v>3</v>
      </c>
      <c r="BI186">
        <v>1</v>
      </c>
      <c r="BJ186" t="s">
        <v>73</v>
      </c>
      <c r="BM186">
        <v>500001</v>
      </c>
      <c r="BN186">
        <v>0</v>
      </c>
      <c r="BO186" t="s">
        <v>6</v>
      </c>
      <c r="BP186">
        <v>0</v>
      </c>
      <c r="BQ186">
        <v>20</v>
      </c>
      <c r="BR186">
        <v>0</v>
      </c>
      <c r="BS186">
        <v>1</v>
      </c>
      <c r="BT186">
        <v>1</v>
      </c>
      <c r="BU186">
        <v>1</v>
      </c>
      <c r="BV186">
        <v>1</v>
      </c>
      <c r="BW186">
        <v>1</v>
      </c>
      <c r="BX186">
        <v>1</v>
      </c>
      <c r="BY186" t="s">
        <v>6</v>
      </c>
      <c r="BZ186">
        <v>0</v>
      </c>
      <c r="CA186">
        <v>0</v>
      </c>
      <c r="CB186" t="s">
        <v>6</v>
      </c>
      <c r="CE186">
        <v>0</v>
      </c>
      <c r="CF186">
        <v>0</v>
      </c>
      <c r="CG186">
        <v>0</v>
      </c>
      <c r="CM186">
        <v>0</v>
      </c>
      <c r="CN186" t="s">
        <v>6</v>
      </c>
      <c r="CO186">
        <v>0</v>
      </c>
      <c r="CP186">
        <f t="shared" si="208"/>
        <v>2288</v>
      </c>
      <c r="CQ186">
        <f t="shared" si="209"/>
        <v>87515.996400000004</v>
      </c>
      <c r="CR186">
        <f t="shared" si="210"/>
        <v>0</v>
      </c>
      <c r="CS186">
        <f t="shared" si="211"/>
        <v>0</v>
      </c>
      <c r="CT186">
        <f t="shared" si="212"/>
        <v>0</v>
      </c>
      <c r="CU186">
        <f t="shared" si="213"/>
        <v>0</v>
      </c>
      <c r="CV186">
        <f t="shared" si="214"/>
        <v>0</v>
      </c>
      <c r="CW186">
        <f t="shared" si="215"/>
        <v>0</v>
      </c>
      <c r="CX186">
        <f t="shared" si="216"/>
        <v>44.58</v>
      </c>
      <c r="CY186">
        <f>(S186+R186)*(BZ186/100)</f>
        <v>0</v>
      </c>
      <c r="CZ186">
        <f>(S186+R186)*(CA186/100)</f>
        <v>0</v>
      </c>
      <c r="DC186" t="s">
        <v>6</v>
      </c>
      <c r="DD186" t="s">
        <v>6</v>
      </c>
      <c r="DE186" t="s">
        <v>6</v>
      </c>
      <c r="DF186" t="s">
        <v>6</v>
      </c>
      <c r="DG186" t="s">
        <v>6</v>
      </c>
      <c r="DH186" t="s">
        <v>6</v>
      </c>
      <c r="DI186" t="s">
        <v>6</v>
      </c>
      <c r="DJ186" t="s">
        <v>6</v>
      </c>
      <c r="DK186" t="s">
        <v>6</v>
      </c>
      <c r="DL186" t="s">
        <v>6</v>
      </c>
      <c r="DM186" t="s">
        <v>6</v>
      </c>
      <c r="DN186">
        <v>0</v>
      </c>
      <c r="DO186">
        <v>0</v>
      </c>
      <c r="DP186">
        <v>1</v>
      </c>
      <c r="DQ186">
        <v>1</v>
      </c>
      <c r="DU186">
        <v>1009</v>
      </c>
      <c r="DV186" t="s">
        <v>33</v>
      </c>
      <c r="DW186" t="e">
        <f>'2.Лок.смета.и.Акт'!#REF!</f>
        <v>#REF!</v>
      </c>
      <c r="DX186">
        <v>1000</v>
      </c>
      <c r="DZ186" t="s">
        <v>6</v>
      </c>
      <c r="EA186" t="s">
        <v>6</v>
      </c>
      <c r="EB186" t="s">
        <v>6</v>
      </c>
      <c r="EC186" t="s">
        <v>6</v>
      </c>
      <c r="EE186">
        <v>54938781</v>
      </c>
      <c r="EF186">
        <v>20</v>
      </c>
      <c r="EG186" t="s">
        <v>35</v>
      </c>
      <c r="EH186">
        <v>0</v>
      </c>
      <c r="EI186" t="s">
        <v>6</v>
      </c>
      <c r="EJ186">
        <v>1</v>
      </c>
      <c r="EK186">
        <v>500001</v>
      </c>
      <c r="EL186" t="s">
        <v>36</v>
      </c>
      <c r="EM186" t="s">
        <v>37</v>
      </c>
      <c r="EO186" t="s">
        <v>6</v>
      </c>
      <c r="EQ186">
        <v>0</v>
      </c>
      <c r="ER186">
        <v>82500</v>
      </c>
      <c r="ES186">
        <v>11576.19</v>
      </c>
      <c r="ET186">
        <v>0</v>
      </c>
      <c r="EU186">
        <v>0</v>
      </c>
      <c r="EV186">
        <v>0</v>
      </c>
      <c r="EW186">
        <v>0</v>
      </c>
      <c r="EX186">
        <v>0</v>
      </c>
      <c r="EZ186">
        <v>5</v>
      </c>
      <c r="FC186">
        <v>0</v>
      </c>
      <c r="FD186">
        <v>18</v>
      </c>
      <c r="FF186">
        <v>82500</v>
      </c>
      <c r="FQ186">
        <v>0</v>
      </c>
      <c r="FR186">
        <f t="shared" si="217"/>
        <v>0</v>
      </c>
      <c r="FS186">
        <v>0</v>
      </c>
      <c r="FX186">
        <v>0</v>
      </c>
      <c r="FY186">
        <v>0</v>
      </c>
      <c r="GA186" t="s">
        <v>74</v>
      </c>
      <c r="GD186">
        <v>1</v>
      </c>
      <c r="GF186">
        <v>-81122142</v>
      </c>
      <c r="GG186">
        <v>2</v>
      </c>
      <c r="GH186">
        <v>3</v>
      </c>
      <c r="GI186">
        <v>5</v>
      </c>
      <c r="GJ186">
        <v>0</v>
      </c>
      <c r="GK186">
        <v>0</v>
      </c>
      <c r="GL186">
        <f t="shared" si="218"/>
        <v>0</v>
      </c>
      <c r="GM186">
        <f t="shared" si="219"/>
        <v>2288</v>
      </c>
      <c r="GN186">
        <f t="shared" si="220"/>
        <v>2288</v>
      </c>
      <c r="GO186">
        <f t="shared" si="221"/>
        <v>0</v>
      </c>
      <c r="GP186">
        <f t="shared" si="222"/>
        <v>0</v>
      </c>
      <c r="GR186">
        <v>1</v>
      </c>
      <c r="GS186">
        <v>1</v>
      </c>
      <c r="GT186">
        <v>0</v>
      </c>
      <c r="GU186" t="s">
        <v>6</v>
      </c>
      <c r="GV186">
        <f t="shared" si="223"/>
        <v>0</v>
      </c>
      <c r="GW186">
        <v>1</v>
      </c>
      <c r="GX186">
        <f t="shared" si="224"/>
        <v>0</v>
      </c>
      <c r="HA186">
        <v>0</v>
      </c>
      <c r="HB186">
        <v>0</v>
      </c>
      <c r="HC186">
        <f t="shared" si="225"/>
        <v>0</v>
      </c>
      <c r="HE186" t="s">
        <v>39</v>
      </c>
      <c r="HF186" t="s">
        <v>40</v>
      </c>
      <c r="HM186" t="s">
        <v>6</v>
      </c>
      <c r="HN186" t="s">
        <v>6</v>
      </c>
      <c r="HO186" t="s">
        <v>6</v>
      </c>
      <c r="HP186" t="s">
        <v>6</v>
      </c>
      <c r="HQ186" t="s">
        <v>6</v>
      </c>
      <c r="IF186">
        <v>-1</v>
      </c>
      <c r="IK186">
        <v>0</v>
      </c>
    </row>
    <row r="187" spans="1:255" x14ac:dyDescent="0.2">
      <c r="A187" s="2">
        <v>18</v>
      </c>
      <c r="B187" s="2">
        <v>1</v>
      </c>
      <c r="C187" s="2">
        <v>213</v>
      </c>
      <c r="D187" s="2"/>
      <c r="E187" s="2" t="s">
        <v>270</v>
      </c>
      <c r="F187" s="2" t="s">
        <v>76</v>
      </c>
      <c r="G187" s="2" t="s">
        <v>271</v>
      </c>
      <c r="H187" s="2" t="s">
        <v>78</v>
      </c>
      <c r="I187" s="2">
        <f>I183*J187</f>
        <v>5.7160000000000002</v>
      </c>
      <c r="J187" s="226">
        <f>'5.Ведомость_списания'!F88</f>
        <v>0.9181223145805727</v>
      </c>
      <c r="K187" s="2">
        <v>0.91812229999999995</v>
      </c>
      <c r="L187" s="2"/>
      <c r="M187" s="2"/>
      <c r="N187" s="2"/>
      <c r="O187" s="2">
        <f t="shared" si="194"/>
        <v>501</v>
      </c>
      <c r="P187" s="2">
        <f t="shared" si="195"/>
        <v>501</v>
      </c>
      <c r="Q187" s="2">
        <f t="shared" si="196"/>
        <v>0</v>
      </c>
      <c r="R187" s="2">
        <f t="shared" si="197"/>
        <v>0</v>
      </c>
      <c r="S187" s="2">
        <f t="shared" si="198"/>
        <v>0</v>
      </c>
      <c r="T187" s="2">
        <f t="shared" si="199"/>
        <v>0</v>
      </c>
      <c r="U187" s="2">
        <f t="shared" si="200"/>
        <v>0</v>
      </c>
      <c r="V187" s="2">
        <f t="shared" si="201"/>
        <v>0</v>
      </c>
      <c r="W187" s="2">
        <f t="shared" si="202"/>
        <v>0</v>
      </c>
      <c r="X187" s="2">
        <f t="shared" si="203"/>
        <v>0</v>
      </c>
      <c r="Y187" s="2">
        <f t="shared" si="204"/>
        <v>0</v>
      </c>
      <c r="Z187" s="2"/>
      <c r="AA187" s="2">
        <v>86326987</v>
      </c>
      <c r="AB187" s="2">
        <f t="shared" si="205"/>
        <v>87.58</v>
      </c>
      <c r="AC187" s="2">
        <f t="shared" si="226"/>
        <v>87.58</v>
      </c>
      <c r="AD187" s="2">
        <f>ROUND((ET187),2)</f>
        <v>0</v>
      </c>
      <c r="AE187" s="2">
        <f t="shared" si="227"/>
        <v>0</v>
      </c>
      <c r="AF187" s="2">
        <f t="shared" si="228"/>
        <v>0</v>
      </c>
      <c r="AG187" s="2">
        <f t="shared" si="206"/>
        <v>0</v>
      </c>
      <c r="AH187" s="2">
        <f t="shared" si="229"/>
        <v>0</v>
      </c>
      <c r="AI187" s="2">
        <f t="shared" si="230"/>
        <v>0</v>
      </c>
      <c r="AJ187" s="2">
        <f t="shared" si="207"/>
        <v>0</v>
      </c>
      <c r="AK187" s="2">
        <v>87.58</v>
      </c>
      <c r="AL187" s="110">
        <f>'1.Лок.смета.и.Акт'!F337</f>
        <v>87.58</v>
      </c>
      <c r="AM187" s="2">
        <v>0</v>
      </c>
      <c r="AN187" s="2">
        <v>0</v>
      </c>
      <c r="AO187" s="2">
        <v>0</v>
      </c>
      <c r="AP187" s="2">
        <v>0</v>
      </c>
      <c r="AQ187" s="2">
        <v>0</v>
      </c>
      <c r="AR187" s="2">
        <v>0</v>
      </c>
      <c r="AS187" s="2">
        <v>0</v>
      </c>
      <c r="AT187" s="2">
        <v>0</v>
      </c>
      <c r="AU187" s="2">
        <v>0</v>
      </c>
      <c r="AV187" s="2">
        <v>1</v>
      </c>
      <c r="AW187" s="2">
        <v>1</v>
      </c>
      <c r="AX187" s="2"/>
      <c r="AY187" s="2"/>
      <c r="AZ187" s="2">
        <v>1</v>
      </c>
      <c r="BA187" s="2">
        <v>1</v>
      </c>
      <c r="BB187" s="2">
        <v>1</v>
      </c>
      <c r="BC187" s="2">
        <v>1</v>
      </c>
      <c r="BD187" s="2" t="s">
        <v>6</v>
      </c>
      <c r="BE187" s="2" t="s">
        <v>6</v>
      </c>
      <c r="BF187" s="2" t="s">
        <v>6</v>
      </c>
      <c r="BG187" s="2" t="s">
        <v>6</v>
      </c>
      <c r="BH187" s="2">
        <v>3</v>
      </c>
      <c r="BI187" s="2">
        <v>1</v>
      </c>
      <c r="BJ187" s="2" t="s">
        <v>79</v>
      </c>
      <c r="BK187" s="2"/>
      <c r="BL187" s="2"/>
      <c r="BM187" s="2">
        <v>3101</v>
      </c>
      <c r="BN187" s="2">
        <v>0</v>
      </c>
      <c r="BO187" s="2" t="s">
        <v>6</v>
      </c>
      <c r="BP187" s="2">
        <v>0</v>
      </c>
      <c r="BQ187" s="2">
        <v>0</v>
      </c>
      <c r="BR187" s="2">
        <v>0</v>
      </c>
      <c r="BS187" s="2">
        <v>1</v>
      </c>
      <c r="BT187" s="2">
        <v>1</v>
      </c>
      <c r="BU187" s="2">
        <v>1</v>
      </c>
      <c r="BV187" s="2">
        <v>1</v>
      </c>
      <c r="BW187" s="2">
        <v>1</v>
      </c>
      <c r="BX187" s="2">
        <v>1</v>
      </c>
      <c r="BY187" s="2" t="s">
        <v>6</v>
      </c>
      <c r="BZ187" s="2">
        <v>0</v>
      </c>
      <c r="CA187" s="2">
        <v>0</v>
      </c>
      <c r="CB187" s="2" t="s">
        <v>6</v>
      </c>
      <c r="CC187" s="2"/>
      <c r="CD187" s="2"/>
      <c r="CE187" s="2">
        <v>0</v>
      </c>
      <c r="CF187" s="2">
        <v>0</v>
      </c>
      <c r="CG187" s="2">
        <v>0</v>
      </c>
      <c r="CH187" s="2"/>
      <c r="CI187" s="2"/>
      <c r="CJ187" s="2"/>
      <c r="CK187" s="2"/>
      <c r="CL187" s="2"/>
      <c r="CM187" s="2">
        <v>0</v>
      </c>
      <c r="CN187" s="2" t="s">
        <v>6</v>
      </c>
      <c r="CO187" s="2">
        <v>0</v>
      </c>
      <c r="CP187" s="2">
        <f t="shared" si="208"/>
        <v>501</v>
      </c>
      <c r="CQ187" s="2">
        <f t="shared" si="209"/>
        <v>87.58</v>
      </c>
      <c r="CR187" s="2">
        <f t="shared" si="210"/>
        <v>0</v>
      </c>
      <c r="CS187" s="2">
        <f t="shared" si="211"/>
        <v>0</v>
      </c>
      <c r="CT187" s="2">
        <f t="shared" si="212"/>
        <v>0</v>
      </c>
      <c r="CU187" s="2">
        <f t="shared" si="213"/>
        <v>0</v>
      </c>
      <c r="CV187" s="2">
        <f t="shared" si="214"/>
        <v>0</v>
      </c>
      <c r="CW187" s="2">
        <f t="shared" si="215"/>
        <v>0</v>
      </c>
      <c r="CX187" s="2">
        <f t="shared" si="216"/>
        <v>0</v>
      </c>
      <c r="CY187" s="2">
        <f>0</f>
        <v>0</v>
      </c>
      <c r="CZ187" s="2">
        <f>0</f>
        <v>0</v>
      </c>
      <c r="DA187" s="2"/>
      <c r="DB187" s="2"/>
      <c r="DC187" s="2" t="s">
        <v>6</v>
      </c>
      <c r="DD187" s="2" t="s">
        <v>6</v>
      </c>
      <c r="DE187" s="2" t="s">
        <v>6</v>
      </c>
      <c r="DF187" s="2" t="s">
        <v>6</v>
      </c>
      <c r="DG187" s="2" t="s">
        <v>6</v>
      </c>
      <c r="DH187" s="2" t="s">
        <v>6</v>
      </c>
      <c r="DI187" s="2" t="s">
        <v>6</v>
      </c>
      <c r="DJ187" s="2" t="s">
        <v>6</v>
      </c>
      <c r="DK187" s="2" t="s">
        <v>6</v>
      </c>
      <c r="DL187" s="2" t="s">
        <v>6</v>
      </c>
      <c r="DM187" s="2" t="s">
        <v>6</v>
      </c>
      <c r="DN187" s="2">
        <v>0</v>
      </c>
      <c r="DO187" s="2">
        <v>0</v>
      </c>
      <c r="DP187" s="2">
        <v>1</v>
      </c>
      <c r="DQ187" s="2">
        <v>1</v>
      </c>
      <c r="DR187" s="2"/>
      <c r="DS187" s="2"/>
      <c r="DT187" s="2"/>
      <c r="DU187" s="2">
        <v>1013</v>
      </c>
      <c r="DV187" s="2" t="s">
        <v>78</v>
      </c>
      <c r="DW187" s="2" t="s">
        <v>78</v>
      </c>
      <c r="DX187" s="2">
        <v>1</v>
      </c>
      <c r="DY187" s="2"/>
      <c r="DZ187" s="2" t="s">
        <v>6</v>
      </c>
      <c r="EA187" s="2" t="s">
        <v>6</v>
      </c>
      <c r="EB187" s="2" t="s">
        <v>6</v>
      </c>
      <c r="EC187" s="2" t="s">
        <v>6</v>
      </c>
      <c r="ED187" s="2"/>
      <c r="EE187" s="2">
        <v>0</v>
      </c>
      <c r="EF187" s="2">
        <v>0</v>
      </c>
      <c r="EG187" s="2" t="s">
        <v>6</v>
      </c>
      <c r="EH187" s="2">
        <v>0</v>
      </c>
      <c r="EI187" s="2" t="s">
        <v>6</v>
      </c>
      <c r="EJ187" s="2">
        <v>0</v>
      </c>
      <c r="EK187" s="2">
        <v>3101</v>
      </c>
      <c r="EL187" s="2" t="s">
        <v>6</v>
      </c>
      <c r="EM187" s="2" t="s">
        <v>6</v>
      </c>
      <c r="EN187" s="2"/>
      <c r="EO187" s="2" t="s">
        <v>6</v>
      </c>
      <c r="EP187" s="2"/>
      <c r="EQ187" s="2">
        <v>0</v>
      </c>
      <c r="ER187" s="2">
        <v>87.58</v>
      </c>
      <c r="ES187" s="110">
        <f>'1.Лок.смета.и.Акт'!F337</f>
        <v>87.58</v>
      </c>
      <c r="ET187" s="2">
        <v>0</v>
      </c>
      <c r="EU187" s="2">
        <v>0</v>
      </c>
      <c r="EV187" s="2">
        <v>0</v>
      </c>
      <c r="EW187" s="2">
        <v>0</v>
      </c>
      <c r="EX187" s="2">
        <v>0</v>
      </c>
      <c r="EY187" s="2"/>
      <c r="EZ187" s="2"/>
      <c r="FA187" s="2"/>
      <c r="FB187" s="2"/>
      <c r="FC187" s="2"/>
      <c r="FD187" s="2"/>
      <c r="FE187" s="2"/>
      <c r="FF187" s="2"/>
      <c r="FG187" s="2"/>
      <c r="FH187" s="2"/>
      <c r="FI187" s="2"/>
      <c r="FJ187" s="2"/>
      <c r="FK187" s="2"/>
      <c r="FL187" s="2"/>
      <c r="FM187" s="2"/>
      <c r="FN187" s="2"/>
      <c r="FO187" s="2"/>
      <c r="FP187" s="2"/>
      <c r="FQ187" s="2">
        <v>0</v>
      </c>
      <c r="FR187" s="2">
        <f t="shared" si="217"/>
        <v>0</v>
      </c>
      <c r="FS187" s="2">
        <v>0</v>
      </c>
      <c r="FT187" s="2"/>
      <c r="FU187" s="2"/>
      <c r="FV187" s="2"/>
      <c r="FW187" s="2"/>
      <c r="FX187" s="2">
        <v>0</v>
      </c>
      <c r="FY187" s="2">
        <v>0</v>
      </c>
      <c r="FZ187" s="2"/>
      <c r="GA187" s="2" t="s">
        <v>6</v>
      </c>
      <c r="GB187" s="2"/>
      <c r="GC187" s="2"/>
      <c r="GD187" s="2">
        <v>1</v>
      </c>
      <c r="GE187" s="2"/>
      <c r="GF187" s="2">
        <v>861347200</v>
      </c>
      <c r="GG187" s="2">
        <v>2</v>
      </c>
      <c r="GH187" s="2">
        <v>1</v>
      </c>
      <c r="GI187" s="2">
        <v>-2</v>
      </c>
      <c r="GJ187" s="2">
        <v>0</v>
      </c>
      <c r="GK187" s="2">
        <v>0</v>
      </c>
      <c r="GL187" s="2">
        <f t="shared" si="218"/>
        <v>0</v>
      </c>
      <c r="GM187" s="2">
        <f t="shared" si="219"/>
        <v>501</v>
      </c>
      <c r="GN187" s="2">
        <f t="shared" si="220"/>
        <v>501</v>
      </c>
      <c r="GO187" s="2">
        <f t="shared" si="221"/>
        <v>0</v>
      </c>
      <c r="GP187" s="2">
        <f t="shared" si="222"/>
        <v>0</v>
      </c>
      <c r="GQ187" s="2"/>
      <c r="GR187" s="2">
        <v>0</v>
      </c>
      <c r="GS187" s="2">
        <v>3</v>
      </c>
      <c r="GT187" s="2">
        <v>0</v>
      </c>
      <c r="GU187" s="2" t="s">
        <v>6</v>
      </c>
      <c r="GV187" s="2">
        <f t="shared" si="223"/>
        <v>0</v>
      </c>
      <c r="GW187" s="2">
        <v>1</v>
      </c>
      <c r="GX187" s="2">
        <f t="shared" si="224"/>
        <v>0</v>
      </c>
      <c r="GY187" s="2"/>
      <c r="GZ187" s="2"/>
      <c r="HA187" s="2">
        <v>0</v>
      </c>
      <c r="HB187" s="2">
        <v>0</v>
      </c>
      <c r="HC187" s="2">
        <f t="shared" si="225"/>
        <v>0</v>
      </c>
      <c r="HD187" s="2"/>
      <c r="HE187" s="2" t="s">
        <v>6</v>
      </c>
      <c r="HF187" s="2" t="s">
        <v>6</v>
      </c>
      <c r="HG187" s="2"/>
      <c r="HH187" s="2"/>
      <c r="HI187" s="2"/>
      <c r="HJ187" s="2"/>
      <c r="HK187" s="2"/>
      <c r="HL187" s="2"/>
      <c r="HM187" s="2" t="s">
        <v>6</v>
      </c>
      <c r="HN187" s="2" t="s">
        <v>6</v>
      </c>
      <c r="HO187" s="2" t="s">
        <v>6</v>
      </c>
      <c r="HP187" s="2" t="s">
        <v>6</v>
      </c>
      <c r="HQ187" s="2" t="s">
        <v>6</v>
      </c>
      <c r="HR187" s="2"/>
      <c r="HS187" s="2"/>
      <c r="HT187" s="2"/>
      <c r="HU187" s="2"/>
      <c r="HV187" s="2"/>
      <c r="HW187" s="2"/>
      <c r="HX187" s="2"/>
      <c r="HY187" s="2"/>
      <c r="HZ187" s="2"/>
      <c r="IA187" s="2"/>
      <c r="IB187" s="2"/>
      <c r="IC187" s="2"/>
      <c r="ID187" s="2"/>
      <c r="IE187" s="2"/>
      <c r="IF187" s="2">
        <v>-1</v>
      </c>
      <c r="IG187" s="2"/>
      <c r="IH187" s="2"/>
      <c r="II187" s="2"/>
      <c r="IJ187" s="2"/>
      <c r="IK187" s="2">
        <v>0</v>
      </c>
      <c r="IL187" s="2"/>
      <c r="IM187" s="2"/>
      <c r="IN187" s="2"/>
      <c r="IO187" s="2"/>
      <c r="IP187" s="2"/>
      <c r="IQ187" s="2"/>
      <c r="IR187" s="2"/>
      <c r="IS187" s="2"/>
      <c r="IT187" s="2"/>
      <c r="IU187" s="2"/>
    </row>
    <row r="188" spans="1:255" x14ac:dyDescent="0.2">
      <c r="A188">
        <v>18</v>
      </c>
      <c r="B188">
        <v>1</v>
      </c>
      <c r="C188">
        <v>226</v>
      </c>
      <c r="E188" t="s">
        <v>270</v>
      </c>
      <c r="F188" t="e">
        <f>'2.Лок.смета.и.Акт'!#REF!</f>
        <v>#REF!</v>
      </c>
      <c r="G188" t="s">
        <v>271</v>
      </c>
      <c r="H188" t="s">
        <v>78</v>
      </c>
      <c r="I188">
        <f>I184*J188</f>
        <v>5.7160000000000002</v>
      </c>
      <c r="J188">
        <v>0.9181223145805727</v>
      </c>
      <c r="K188">
        <v>0.91812229999999995</v>
      </c>
      <c r="O188">
        <f t="shared" si="194"/>
        <v>1997</v>
      </c>
      <c r="P188">
        <f t="shared" si="195"/>
        <v>1997</v>
      </c>
      <c r="Q188">
        <f t="shared" si="196"/>
        <v>0</v>
      </c>
      <c r="R188">
        <f t="shared" si="197"/>
        <v>0</v>
      </c>
      <c r="S188">
        <f t="shared" si="198"/>
        <v>0</v>
      </c>
      <c r="T188">
        <f t="shared" si="199"/>
        <v>0</v>
      </c>
      <c r="U188">
        <f t="shared" si="200"/>
        <v>0</v>
      </c>
      <c r="V188">
        <f t="shared" si="201"/>
        <v>0</v>
      </c>
      <c r="W188">
        <f t="shared" si="202"/>
        <v>0</v>
      </c>
      <c r="X188">
        <f t="shared" si="203"/>
        <v>0</v>
      </c>
      <c r="Y188">
        <f t="shared" si="204"/>
        <v>0</v>
      </c>
      <c r="AA188">
        <v>86326988</v>
      </c>
      <c r="AB188">
        <f t="shared" si="205"/>
        <v>46.21</v>
      </c>
      <c r="AC188">
        <f t="shared" si="226"/>
        <v>46.21</v>
      </c>
      <c r="AD188">
        <f>ROUND((ET188),2)</f>
        <v>0</v>
      </c>
      <c r="AE188">
        <f t="shared" si="227"/>
        <v>0</v>
      </c>
      <c r="AF188">
        <f t="shared" si="228"/>
        <v>0</v>
      </c>
      <c r="AG188">
        <f t="shared" si="206"/>
        <v>0</v>
      </c>
      <c r="AH188">
        <f t="shared" si="229"/>
        <v>0</v>
      </c>
      <c r="AI188">
        <f t="shared" si="230"/>
        <v>0</v>
      </c>
      <c r="AJ188">
        <f t="shared" si="207"/>
        <v>0</v>
      </c>
      <c r="AK188">
        <v>46.21</v>
      </c>
      <c r="AL188">
        <v>46.21</v>
      </c>
      <c r="AM188">
        <v>0</v>
      </c>
      <c r="AN188">
        <v>0</v>
      </c>
      <c r="AO188">
        <v>0</v>
      </c>
      <c r="AP188">
        <v>0</v>
      </c>
      <c r="AQ188">
        <v>0</v>
      </c>
      <c r="AR188">
        <v>0</v>
      </c>
      <c r="AS188">
        <v>0</v>
      </c>
      <c r="AT188">
        <v>0</v>
      </c>
      <c r="AU188">
        <v>0</v>
      </c>
      <c r="AV188">
        <v>1</v>
      </c>
      <c r="AW188">
        <v>1</v>
      </c>
      <c r="AZ188">
        <v>1</v>
      </c>
      <c r="BA188">
        <v>1</v>
      </c>
      <c r="BB188">
        <v>1</v>
      </c>
      <c r="BC188">
        <v>7.56</v>
      </c>
      <c r="BD188" t="s">
        <v>6</v>
      </c>
      <c r="BE188" t="s">
        <v>6</v>
      </c>
      <c r="BF188" t="s">
        <v>6</v>
      </c>
      <c r="BG188" t="s">
        <v>6</v>
      </c>
      <c r="BH188">
        <v>3</v>
      </c>
      <c r="BI188">
        <v>1</v>
      </c>
      <c r="BJ188" t="s">
        <v>79</v>
      </c>
      <c r="BM188">
        <v>3101</v>
      </c>
      <c r="BN188">
        <v>0</v>
      </c>
      <c r="BO188" t="s">
        <v>6</v>
      </c>
      <c r="BP188">
        <v>0</v>
      </c>
      <c r="BQ188">
        <v>0</v>
      </c>
      <c r="BR188">
        <v>0</v>
      </c>
      <c r="BS188">
        <v>1</v>
      </c>
      <c r="BT188">
        <v>1</v>
      </c>
      <c r="BU188">
        <v>1</v>
      </c>
      <c r="BV188">
        <v>1</v>
      </c>
      <c r="BW188">
        <v>1</v>
      </c>
      <c r="BX188">
        <v>1</v>
      </c>
      <c r="BY188" t="s">
        <v>6</v>
      </c>
      <c r="BZ188">
        <v>0</v>
      </c>
      <c r="CA188">
        <v>0</v>
      </c>
      <c r="CB188" t="s">
        <v>6</v>
      </c>
      <c r="CE188">
        <v>0</v>
      </c>
      <c r="CF188">
        <v>0</v>
      </c>
      <c r="CG188">
        <v>0</v>
      </c>
      <c r="CM188">
        <v>0</v>
      </c>
      <c r="CN188" t="s">
        <v>6</v>
      </c>
      <c r="CO188">
        <v>0</v>
      </c>
      <c r="CP188">
        <f t="shared" si="208"/>
        <v>1997</v>
      </c>
      <c r="CQ188">
        <f t="shared" si="209"/>
        <v>349.3476</v>
      </c>
      <c r="CR188">
        <f t="shared" si="210"/>
        <v>0</v>
      </c>
      <c r="CS188">
        <f t="shared" si="211"/>
        <v>0</v>
      </c>
      <c r="CT188">
        <f t="shared" si="212"/>
        <v>0</v>
      </c>
      <c r="CU188">
        <f t="shared" si="213"/>
        <v>0</v>
      </c>
      <c r="CV188">
        <f t="shared" si="214"/>
        <v>0</v>
      </c>
      <c r="CW188">
        <f t="shared" si="215"/>
        <v>0</v>
      </c>
      <c r="CX188">
        <f t="shared" si="216"/>
        <v>0</v>
      </c>
      <c r="CY188">
        <f>(S188+R188)*(BZ188/100)</f>
        <v>0</v>
      </c>
      <c r="CZ188">
        <f>(S188+R188)*(CA188/100)</f>
        <v>0</v>
      </c>
      <c r="DC188" t="s">
        <v>6</v>
      </c>
      <c r="DD188" t="s">
        <v>6</v>
      </c>
      <c r="DE188" t="s">
        <v>6</v>
      </c>
      <c r="DF188" t="s">
        <v>6</v>
      </c>
      <c r="DG188" t="s">
        <v>6</v>
      </c>
      <c r="DH188" t="s">
        <v>6</v>
      </c>
      <c r="DI188" t="s">
        <v>6</v>
      </c>
      <c r="DJ188" t="s">
        <v>6</v>
      </c>
      <c r="DK188" t="s">
        <v>6</v>
      </c>
      <c r="DL188" t="s">
        <v>6</v>
      </c>
      <c r="DM188" t="s">
        <v>6</v>
      </c>
      <c r="DN188">
        <v>0</v>
      </c>
      <c r="DO188">
        <v>0</v>
      </c>
      <c r="DP188">
        <v>1</v>
      </c>
      <c r="DQ188">
        <v>1</v>
      </c>
      <c r="DU188">
        <v>1013</v>
      </c>
      <c r="DV188" t="s">
        <v>78</v>
      </c>
      <c r="DW188" t="e">
        <f>'2.Лок.смета.и.Акт'!#REF!</f>
        <v>#REF!</v>
      </c>
      <c r="DX188">
        <v>1</v>
      </c>
      <c r="DZ188" t="s">
        <v>6</v>
      </c>
      <c r="EA188" t="s">
        <v>6</v>
      </c>
      <c r="EB188" t="s">
        <v>6</v>
      </c>
      <c r="EC188" t="s">
        <v>6</v>
      </c>
      <c r="EE188">
        <v>0</v>
      </c>
      <c r="EF188">
        <v>0</v>
      </c>
      <c r="EG188" t="s">
        <v>6</v>
      </c>
      <c r="EH188">
        <v>0</v>
      </c>
      <c r="EI188" t="s">
        <v>6</v>
      </c>
      <c r="EJ188">
        <v>0</v>
      </c>
      <c r="EK188">
        <v>3101</v>
      </c>
      <c r="EL188" t="s">
        <v>6</v>
      </c>
      <c r="EM188" t="s">
        <v>6</v>
      </c>
      <c r="EO188" t="s">
        <v>6</v>
      </c>
      <c r="EQ188">
        <v>0</v>
      </c>
      <c r="ER188">
        <v>333.45</v>
      </c>
      <c r="ES188">
        <v>46.21</v>
      </c>
      <c r="ET188">
        <v>0</v>
      </c>
      <c r="EU188">
        <v>0</v>
      </c>
      <c r="EV188">
        <v>0</v>
      </c>
      <c r="EW188">
        <v>0</v>
      </c>
      <c r="EX188">
        <v>0</v>
      </c>
      <c r="EZ188">
        <v>5</v>
      </c>
      <c r="FC188">
        <v>0</v>
      </c>
      <c r="FD188">
        <v>18</v>
      </c>
      <c r="FF188">
        <v>333.45</v>
      </c>
      <c r="FQ188">
        <v>0</v>
      </c>
      <c r="FR188">
        <f t="shared" si="217"/>
        <v>0</v>
      </c>
      <c r="FS188">
        <v>0</v>
      </c>
      <c r="FX188">
        <v>0</v>
      </c>
      <c r="FY188">
        <v>0</v>
      </c>
      <c r="GA188" t="s">
        <v>80</v>
      </c>
      <c r="GD188">
        <v>1</v>
      </c>
      <c r="GF188">
        <v>861347200</v>
      </c>
      <c r="GG188">
        <v>2</v>
      </c>
      <c r="GH188">
        <v>3</v>
      </c>
      <c r="GI188">
        <v>5</v>
      </c>
      <c r="GJ188">
        <v>0</v>
      </c>
      <c r="GK188">
        <v>0</v>
      </c>
      <c r="GL188">
        <f t="shared" si="218"/>
        <v>0</v>
      </c>
      <c r="GM188">
        <f t="shared" si="219"/>
        <v>1997</v>
      </c>
      <c r="GN188">
        <f t="shared" si="220"/>
        <v>1997</v>
      </c>
      <c r="GO188">
        <f t="shared" si="221"/>
        <v>0</v>
      </c>
      <c r="GP188">
        <f t="shared" si="222"/>
        <v>0</v>
      </c>
      <c r="GR188">
        <v>1</v>
      </c>
      <c r="GS188">
        <v>1</v>
      </c>
      <c r="GT188">
        <v>0</v>
      </c>
      <c r="GU188" t="s">
        <v>6</v>
      </c>
      <c r="GV188">
        <f t="shared" si="223"/>
        <v>0</v>
      </c>
      <c r="GW188">
        <v>1</v>
      </c>
      <c r="GX188">
        <f t="shared" si="224"/>
        <v>0</v>
      </c>
      <c r="HA188">
        <v>0</v>
      </c>
      <c r="HB188">
        <v>0</v>
      </c>
      <c r="HC188">
        <f t="shared" si="225"/>
        <v>0</v>
      </c>
      <c r="HE188" t="s">
        <v>39</v>
      </c>
      <c r="HF188" t="s">
        <v>61</v>
      </c>
      <c r="HM188" t="s">
        <v>6</v>
      </c>
      <c r="HN188" t="s">
        <v>6</v>
      </c>
      <c r="HO188" t="s">
        <v>6</v>
      </c>
      <c r="HP188" t="s">
        <v>6</v>
      </c>
      <c r="HQ188" t="s">
        <v>6</v>
      </c>
      <c r="IF188">
        <v>-1</v>
      </c>
      <c r="IK188">
        <v>0</v>
      </c>
    </row>
    <row r="189" spans="1:255" x14ac:dyDescent="0.2">
      <c r="A189" s="2">
        <v>18</v>
      </c>
      <c r="B189" s="2">
        <v>1</v>
      </c>
      <c r="C189" s="2">
        <v>214</v>
      </c>
      <c r="D189" s="2"/>
      <c r="E189" s="2" t="s">
        <v>272</v>
      </c>
      <c r="F189" s="2" t="s">
        <v>82</v>
      </c>
      <c r="G189" s="2" t="s">
        <v>273</v>
      </c>
      <c r="H189" s="2" t="s">
        <v>78</v>
      </c>
      <c r="I189" s="2">
        <f>I183*J189</f>
        <v>5.7160000000000002</v>
      </c>
      <c r="J189" s="226">
        <f>'5.Ведомость_списания'!F89</f>
        <v>0.9181223145805727</v>
      </c>
      <c r="K189" s="2">
        <v>0.91812229999999995</v>
      </c>
      <c r="L189" s="2"/>
      <c r="M189" s="2"/>
      <c r="N189" s="2"/>
      <c r="O189" s="2">
        <f t="shared" si="194"/>
        <v>323</v>
      </c>
      <c r="P189" s="2">
        <f t="shared" si="195"/>
        <v>323</v>
      </c>
      <c r="Q189" s="2">
        <f t="shared" si="196"/>
        <v>0</v>
      </c>
      <c r="R189" s="2">
        <f t="shared" si="197"/>
        <v>0</v>
      </c>
      <c r="S189" s="2">
        <f t="shared" si="198"/>
        <v>0</v>
      </c>
      <c r="T189" s="2">
        <f t="shared" si="199"/>
        <v>0</v>
      </c>
      <c r="U189" s="2">
        <f t="shared" si="200"/>
        <v>0</v>
      </c>
      <c r="V189" s="2">
        <f t="shared" si="201"/>
        <v>0</v>
      </c>
      <c r="W189" s="2">
        <f t="shared" si="202"/>
        <v>0</v>
      </c>
      <c r="X189" s="2">
        <f t="shared" si="203"/>
        <v>0</v>
      </c>
      <c r="Y189" s="2">
        <f t="shared" si="204"/>
        <v>0</v>
      </c>
      <c r="Z189" s="2"/>
      <c r="AA189" s="2">
        <v>86326987</v>
      </c>
      <c r="AB189" s="2">
        <f t="shared" si="205"/>
        <v>56.57</v>
      </c>
      <c r="AC189" s="2">
        <f t="shared" si="226"/>
        <v>56.57</v>
      </c>
      <c r="AD189" s="2">
        <f>ROUND((ET189),2)</f>
        <v>0</v>
      </c>
      <c r="AE189" s="2">
        <f t="shared" si="227"/>
        <v>0</v>
      </c>
      <c r="AF189" s="2">
        <f t="shared" si="228"/>
        <v>0</v>
      </c>
      <c r="AG189" s="2">
        <f t="shared" si="206"/>
        <v>0</v>
      </c>
      <c r="AH189" s="2">
        <f t="shared" si="229"/>
        <v>0</v>
      </c>
      <c r="AI189" s="2">
        <f t="shared" si="230"/>
        <v>0</v>
      </c>
      <c r="AJ189" s="2">
        <f t="shared" si="207"/>
        <v>0</v>
      </c>
      <c r="AK189" s="2">
        <v>56.57</v>
      </c>
      <c r="AL189" s="110">
        <f>'1.Лок.смета.и.Акт'!F339</f>
        <v>56.57</v>
      </c>
      <c r="AM189" s="2">
        <v>0</v>
      </c>
      <c r="AN189" s="2">
        <v>0</v>
      </c>
      <c r="AO189" s="2">
        <v>0</v>
      </c>
      <c r="AP189" s="2">
        <v>0</v>
      </c>
      <c r="AQ189" s="2">
        <v>0</v>
      </c>
      <c r="AR189" s="2">
        <v>0</v>
      </c>
      <c r="AS189" s="2">
        <v>0</v>
      </c>
      <c r="AT189" s="2">
        <v>0</v>
      </c>
      <c r="AU189" s="2">
        <v>0</v>
      </c>
      <c r="AV189" s="2">
        <v>1</v>
      </c>
      <c r="AW189" s="2">
        <v>1</v>
      </c>
      <c r="AX189" s="2"/>
      <c r="AY189" s="2"/>
      <c r="AZ189" s="2">
        <v>1</v>
      </c>
      <c r="BA189" s="2">
        <v>1</v>
      </c>
      <c r="BB189" s="2">
        <v>1</v>
      </c>
      <c r="BC189" s="2">
        <v>1</v>
      </c>
      <c r="BD189" s="2" t="s">
        <v>6</v>
      </c>
      <c r="BE189" s="2" t="s">
        <v>6</v>
      </c>
      <c r="BF189" s="2" t="s">
        <v>6</v>
      </c>
      <c r="BG189" s="2" t="s">
        <v>6</v>
      </c>
      <c r="BH189" s="2">
        <v>3</v>
      </c>
      <c r="BI189" s="2">
        <v>1</v>
      </c>
      <c r="BJ189" s="2" t="s">
        <v>84</v>
      </c>
      <c r="BK189" s="2"/>
      <c r="BL189" s="2"/>
      <c r="BM189" s="2">
        <v>3101</v>
      </c>
      <c r="BN189" s="2">
        <v>0</v>
      </c>
      <c r="BO189" s="2" t="s">
        <v>6</v>
      </c>
      <c r="BP189" s="2">
        <v>0</v>
      </c>
      <c r="BQ189" s="2">
        <v>0</v>
      </c>
      <c r="BR189" s="2">
        <v>0</v>
      </c>
      <c r="BS189" s="2">
        <v>1</v>
      </c>
      <c r="BT189" s="2">
        <v>1</v>
      </c>
      <c r="BU189" s="2">
        <v>1</v>
      </c>
      <c r="BV189" s="2">
        <v>1</v>
      </c>
      <c r="BW189" s="2">
        <v>1</v>
      </c>
      <c r="BX189" s="2">
        <v>1</v>
      </c>
      <c r="BY189" s="2" t="s">
        <v>6</v>
      </c>
      <c r="BZ189" s="2">
        <v>0</v>
      </c>
      <c r="CA189" s="2">
        <v>0</v>
      </c>
      <c r="CB189" s="2" t="s">
        <v>6</v>
      </c>
      <c r="CC189" s="2"/>
      <c r="CD189" s="2"/>
      <c r="CE189" s="2">
        <v>0</v>
      </c>
      <c r="CF189" s="2">
        <v>0</v>
      </c>
      <c r="CG189" s="2">
        <v>0</v>
      </c>
      <c r="CH189" s="2"/>
      <c r="CI189" s="2"/>
      <c r="CJ189" s="2"/>
      <c r="CK189" s="2"/>
      <c r="CL189" s="2"/>
      <c r="CM189" s="2">
        <v>0</v>
      </c>
      <c r="CN189" s="2" t="s">
        <v>6</v>
      </c>
      <c r="CO189" s="2">
        <v>0</v>
      </c>
      <c r="CP189" s="2">
        <f t="shared" si="208"/>
        <v>323</v>
      </c>
      <c r="CQ189" s="2">
        <f t="shared" si="209"/>
        <v>56.57</v>
      </c>
      <c r="CR189" s="2">
        <f t="shared" si="210"/>
        <v>0</v>
      </c>
      <c r="CS189" s="2">
        <f t="shared" si="211"/>
        <v>0</v>
      </c>
      <c r="CT189" s="2">
        <f t="shared" si="212"/>
        <v>0</v>
      </c>
      <c r="CU189" s="2">
        <f t="shared" si="213"/>
        <v>0</v>
      </c>
      <c r="CV189" s="2">
        <f t="shared" si="214"/>
        <v>0</v>
      </c>
      <c r="CW189" s="2">
        <f t="shared" si="215"/>
        <v>0</v>
      </c>
      <c r="CX189" s="2">
        <f t="shared" si="216"/>
        <v>0</v>
      </c>
      <c r="CY189" s="2">
        <f>0</f>
        <v>0</v>
      </c>
      <c r="CZ189" s="2">
        <f>0</f>
        <v>0</v>
      </c>
      <c r="DA189" s="2"/>
      <c r="DB189" s="2"/>
      <c r="DC189" s="2" t="s">
        <v>6</v>
      </c>
      <c r="DD189" s="2" t="s">
        <v>6</v>
      </c>
      <c r="DE189" s="2" t="s">
        <v>6</v>
      </c>
      <c r="DF189" s="2" t="s">
        <v>6</v>
      </c>
      <c r="DG189" s="2" t="s">
        <v>6</v>
      </c>
      <c r="DH189" s="2" t="s">
        <v>6</v>
      </c>
      <c r="DI189" s="2" t="s">
        <v>6</v>
      </c>
      <c r="DJ189" s="2" t="s">
        <v>6</v>
      </c>
      <c r="DK189" s="2" t="s">
        <v>6</v>
      </c>
      <c r="DL189" s="2" t="s">
        <v>6</v>
      </c>
      <c r="DM189" s="2" t="s">
        <v>6</v>
      </c>
      <c r="DN189" s="2">
        <v>0</v>
      </c>
      <c r="DO189" s="2">
        <v>0</v>
      </c>
      <c r="DP189" s="2">
        <v>1</v>
      </c>
      <c r="DQ189" s="2">
        <v>1</v>
      </c>
      <c r="DR189" s="2"/>
      <c r="DS189" s="2"/>
      <c r="DT189" s="2"/>
      <c r="DU189" s="2">
        <v>1013</v>
      </c>
      <c r="DV189" s="2" t="s">
        <v>78</v>
      </c>
      <c r="DW189" s="2" t="s">
        <v>78</v>
      </c>
      <c r="DX189" s="2">
        <v>1</v>
      </c>
      <c r="DY189" s="2"/>
      <c r="DZ189" s="2" t="s">
        <v>6</v>
      </c>
      <c r="EA189" s="2" t="s">
        <v>6</v>
      </c>
      <c r="EB189" s="2" t="s">
        <v>6</v>
      </c>
      <c r="EC189" s="2" t="s">
        <v>6</v>
      </c>
      <c r="ED189" s="2"/>
      <c r="EE189" s="2">
        <v>0</v>
      </c>
      <c r="EF189" s="2">
        <v>0</v>
      </c>
      <c r="EG189" s="2" t="s">
        <v>6</v>
      </c>
      <c r="EH189" s="2">
        <v>0</v>
      </c>
      <c r="EI189" s="2" t="s">
        <v>6</v>
      </c>
      <c r="EJ189" s="2">
        <v>0</v>
      </c>
      <c r="EK189" s="2">
        <v>3101</v>
      </c>
      <c r="EL189" s="2" t="s">
        <v>6</v>
      </c>
      <c r="EM189" s="2" t="s">
        <v>6</v>
      </c>
      <c r="EN189" s="2"/>
      <c r="EO189" s="2" t="s">
        <v>6</v>
      </c>
      <c r="EP189" s="2"/>
      <c r="EQ189" s="2">
        <v>0</v>
      </c>
      <c r="ER189" s="2">
        <v>56.57</v>
      </c>
      <c r="ES189" s="110">
        <f>'1.Лок.смета.и.Акт'!F339</f>
        <v>56.57</v>
      </c>
      <c r="ET189" s="2">
        <v>0</v>
      </c>
      <c r="EU189" s="2">
        <v>0</v>
      </c>
      <c r="EV189" s="2">
        <v>0</v>
      </c>
      <c r="EW189" s="2">
        <v>0</v>
      </c>
      <c r="EX189" s="2">
        <v>0</v>
      </c>
      <c r="EY189" s="2"/>
      <c r="EZ189" s="2"/>
      <c r="FA189" s="2"/>
      <c r="FB189" s="2"/>
      <c r="FC189" s="2"/>
      <c r="FD189" s="2"/>
      <c r="FE189" s="2"/>
      <c r="FF189" s="2"/>
      <c r="FG189" s="2"/>
      <c r="FH189" s="2"/>
      <c r="FI189" s="2"/>
      <c r="FJ189" s="2"/>
      <c r="FK189" s="2"/>
      <c r="FL189" s="2"/>
      <c r="FM189" s="2"/>
      <c r="FN189" s="2"/>
      <c r="FO189" s="2"/>
      <c r="FP189" s="2"/>
      <c r="FQ189" s="2">
        <v>0</v>
      </c>
      <c r="FR189" s="2">
        <f t="shared" si="217"/>
        <v>0</v>
      </c>
      <c r="FS189" s="2">
        <v>0</v>
      </c>
      <c r="FT189" s="2"/>
      <c r="FU189" s="2"/>
      <c r="FV189" s="2"/>
      <c r="FW189" s="2"/>
      <c r="FX189" s="2">
        <v>0</v>
      </c>
      <c r="FY189" s="2">
        <v>0</v>
      </c>
      <c r="FZ189" s="2"/>
      <c r="GA189" s="2" t="s">
        <v>6</v>
      </c>
      <c r="GB189" s="2"/>
      <c r="GC189" s="2"/>
      <c r="GD189" s="2">
        <v>1</v>
      </c>
      <c r="GE189" s="2"/>
      <c r="GF189" s="2">
        <v>-1286139580</v>
      </c>
      <c r="GG189" s="2">
        <v>2</v>
      </c>
      <c r="GH189" s="2">
        <v>1</v>
      </c>
      <c r="GI189" s="2">
        <v>-2</v>
      </c>
      <c r="GJ189" s="2">
        <v>0</v>
      </c>
      <c r="GK189" s="2">
        <v>0</v>
      </c>
      <c r="GL189" s="2">
        <f t="shared" si="218"/>
        <v>0</v>
      </c>
      <c r="GM189" s="2">
        <f t="shared" si="219"/>
        <v>323</v>
      </c>
      <c r="GN189" s="2">
        <f t="shared" si="220"/>
        <v>323</v>
      </c>
      <c r="GO189" s="2">
        <f t="shared" si="221"/>
        <v>0</v>
      </c>
      <c r="GP189" s="2">
        <f t="shared" si="222"/>
        <v>0</v>
      </c>
      <c r="GQ189" s="2"/>
      <c r="GR189" s="2">
        <v>0</v>
      </c>
      <c r="GS189" s="2">
        <v>3</v>
      </c>
      <c r="GT189" s="2">
        <v>0</v>
      </c>
      <c r="GU189" s="2" t="s">
        <v>6</v>
      </c>
      <c r="GV189" s="2">
        <f t="shared" si="223"/>
        <v>0</v>
      </c>
      <c r="GW189" s="2">
        <v>1</v>
      </c>
      <c r="GX189" s="2">
        <f t="shared" si="224"/>
        <v>0</v>
      </c>
      <c r="GY189" s="2"/>
      <c r="GZ189" s="2"/>
      <c r="HA189" s="2">
        <v>0</v>
      </c>
      <c r="HB189" s="2">
        <v>0</v>
      </c>
      <c r="HC189" s="2">
        <f t="shared" si="225"/>
        <v>0</v>
      </c>
      <c r="HD189" s="2"/>
      <c r="HE189" s="2" t="s">
        <v>6</v>
      </c>
      <c r="HF189" s="2" t="s">
        <v>6</v>
      </c>
      <c r="HG189" s="2"/>
      <c r="HH189" s="2"/>
      <c r="HI189" s="2"/>
      <c r="HJ189" s="2"/>
      <c r="HK189" s="2"/>
      <c r="HL189" s="2"/>
      <c r="HM189" s="2" t="s">
        <v>6</v>
      </c>
      <c r="HN189" s="2" t="s">
        <v>6</v>
      </c>
      <c r="HO189" s="2" t="s">
        <v>6</v>
      </c>
      <c r="HP189" s="2" t="s">
        <v>6</v>
      </c>
      <c r="HQ189" s="2" t="s">
        <v>6</v>
      </c>
      <c r="HR189" s="2"/>
      <c r="HS189" s="2"/>
      <c r="HT189" s="2"/>
      <c r="HU189" s="2"/>
      <c r="HV189" s="2"/>
      <c r="HW189" s="2"/>
      <c r="HX189" s="2"/>
      <c r="HY189" s="2"/>
      <c r="HZ189" s="2"/>
      <c r="IA189" s="2"/>
      <c r="IB189" s="2"/>
      <c r="IC189" s="2"/>
      <c r="ID189" s="2"/>
      <c r="IE189" s="2"/>
      <c r="IF189" s="2">
        <v>-1</v>
      </c>
      <c r="IG189" s="2"/>
      <c r="IH189" s="2"/>
      <c r="II189" s="2"/>
      <c r="IJ189" s="2"/>
      <c r="IK189" s="2">
        <v>0</v>
      </c>
      <c r="IL189" s="2"/>
      <c r="IM189" s="2"/>
      <c r="IN189" s="2"/>
      <c r="IO189" s="2"/>
      <c r="IP189" s="2"/>
      <c r="IQ189" s="2"/>
      <c r="IR189" s="2"/>
      <c r="IS189" s="2"/>
      <c r="IT189" s="2"/>
      <c r="IU189" s="2"/>
    </row>
    <row r="190" spans="1:255" x14ac:dyDescent="0.2">
      <c r="A190">
        <v>18</v>
      </c>
      <c r="B190">
        <v>1</v>
      </c>
      <c r="C190">
        <v>227</v>
      </c>
      <c r="E190" t="s">
        <v>272</v>
      </c>
      <c r="F190" t="e">
        <f>'2.Лок.смета.и.Акт'!#REF!</f>
        <v>#REF!</v>
      </c>
      <c r="G190" t="s">
        <v>273</v>
      </c>
      <c r="H190" t="s">
        <v>78</v>
      </c>
      <c r="I190">
        <f>I184*J190</f>
        <v>5.7160000000000002</v>
      </c>
      <c r="J190">
        <v>0.9181223145805727</v>
      </c>
      <c r="K190">
        <v>0.91812229999999995</v>
      </c>
      <c r="O190">
        <f t="shared" si="194"/>
        <v>1306</v>
      </c>
      <c r="P190">
        <f t="shared" si="195"/>
        <v>1306</v>
      </c>
      <c r="Q190">
        <f t="shared" si="196"/>
        <v>0</v>
      </c>
      <c r="R190">
        <f t="shared" si="197"/>
        <v>0</v>
      </c>
      <c r="S190">
        <f t="shared" si="198"/>
        <v>0</v>
      </c>
      <c r="T190">
        <f t="shared" si="199"/>
        <v>0</v>
      </c>
      <c r="U190">
        <f t="shared" si="200"/>
        <v>0</v>
      </c>
      <c r="V190">
        <f t="shared" si="201"/>
        <v>0</v>
      </c>
      <c r="W190">
        <f t="shared" si="202"/>
        <v>0</v>
      </c>
      <c r="X190">
        <f t="shared" si="203"/>
        <v>0</v>
      </c>
      <c r="Y190">
        <f t="shared" si="204"/>
        <v>0</v>
      </c>
      <c r="AA190">
        <v>86326988</v>
      </c>
      <c r="AB190">
        <f t="shared" si="205"/>
        <v>30.22</v>
      </c>
      <c r="AC190">
        <f t="shared" si="226"/>
        <v>30.22</v>
      </c>
      <c r="AD190">
        <f>ROUND((ET190),2)</f>
        <v>0</v>
      </c>
      <c r="AE190">
        <f t="shared" si="227"/>
        <v>0</v>
      </c>
      <c r="AF190">
        <f t="shared" si="228"/>
        <v>0</v>
      </c>
      <c r="AG190">
        <f t="shared" si="206"/>
        <v>0</v>
      </c>
      <c r="AH190">
        <f t="shared" si="229"/>
        <v>0</v>
      </c>
      <c r="AI190">
        <f t="shared" si="230"/>
        <v>0</v>
      </c>
      <c r="AJ190">
        <f t="shared" si="207"/>
        <v>0</v>
      </c>
      <c r="AK190">
        <v>30.22</v>
      </c>
      <c r="AL190">
        <v>30.22</v>
      </c>
      <c r="AM190">
        <v>0</v>
      </c>
      <c r="AN190">
        <v>0</v>
      </c>
      <c r="AO190">
        <v>0</v>
      </c>
      <c r="AP190">
        <v>0</v>
      </c>
      <c r="AQ190">
        <v>0</v>
      </c>
      <c r="AR190">
        <v>0</v>
      </c>
      <c r="AS190">
        <v>0</v>
      </c>
      <c r="AT190">
        <v>0</v>
      </c>
      <c r="AU190">
        <v>0</v>
      </c>
      <c r="AV190">
        <v>1</v>
      </c>
      <c r="AW190">
        <v>1</v>
      </c>
      <c r="AZ190">
        <v>1</v>
      </c>
      <c r="BA190">
        <v>1</v>
      </c>
      <c r="BB190">
        <v>1</v>
      </c>
      <c r="BC190">
        <v>7.56</v>
      </c>
      <c r="BD190" t="s">
        <v>6</v>
      </c>
      <c r="BE190" t="s">
        <v>6</v>
      </c>
      <c r="BF190" t="s">
        <v>6</v>
      </c>
      <c r="BG190" t="s">
        <v>6</v>
      </c>
      <c r="BH190">
        <v>3</v>
      </c>
      <c r="BI190">
        <v>1</v>
      </c>
      <c r="BJ190" t="s">
        <v>84</v>
      </c>
      <c r="BM190">
        <v>3101</v>
      </c>
      <c r="BN190">
        <v>0</v>
      </c>
      <c r="BO190" t="s">
        <v>6</v>
      </c>
      <c r="BP190">
        <v>0</v>
      </c>
      <c r="BQ190">
        <v>0</v>
      </c>
      <c r="BR190">
        <v>0</v>
      </c>
      <c r="BS190">
        <v>1</v>
      </c>
      <c r="BT190">
        <v>1</v>
      </c>
      <c r="BU190">
        <v>1</v>
      </c>
      <c r="BV190">
        <v>1</v>
      </c>
      <c r="BW190">
        <v>1</v>
      </c>
      <c r="BX190">
        <v>1</v>
      </c>
      <c r="BY190" t="s">
        <v>6</v>
      </c>
      <c r="BZ190">
        <v>0</v>
      </c>
      <c r="CA190">
        <v>0</v>
      </c>
      <c r="CB190" t="s">
        <v>6</v>
      </c>
      <c r="CE190">
        <v>0</v>
      </c>
      <c r="CF190">
        <v>0</v>
      </c>
      <c r="CG190">
        <v>0</v>
      </c>
      <c r="CM190">
        <v>0</v>
      </c>
      <c r="CN190" t="s">
        <v>6</v>
      </c>
      <c r="CO190">
        <v>0</v>
      </c>
      <c r="CP190">
        <f t="shared" si="208"/>
        <v>1306</v>
      </c>
      <c r="CQ190">
        <f t="shared" si="209"/>
        <v>228.46319999999997</v>
      </c>
      <c r="CR190">
        <f t="shared" si="210"/>
        <v>0</v>
      </c>
      <c r="CS190">
        <f t="shared" si="211"/>
        <v>0</v>
      </c>
      <c r="CT190">
        <f t="shared" si="212"/>
        <v>0</v>
      </c>
      <c r="CU190">
        <f t="shared" si="213"/>
        <v>0</v>
      </c>
      <c r="CV190">
        <f t="shared" si="214"/>
        <v>0</v>
      </c>
      <c r="CW190">
        <f t="shared" si="215"/>
        <v>0</v>
      </c>
      <c r="CX190">
        <f t="shared" si="216"/>
        <v>0</v>
      </c>
      <c r="CY190">
        <f>(S190+R190)*(BZ190/100)</f>
        <v>0</v>
      </c>
      <c r="CZ190">
        <f>(S190+R190)*(CA190/100)</f>
        <v>0</v>
      </c>
      <c r="DC190" t="s">
        <v>6</v>
      </c>
      <c r="DD190" t="s">
        <v>6</v>
      </c>
      <c r="DE190" t="s">
        <v>6</v>
      </c>
      <c r="DF190" t="s">
        <v>6</v>
      </c>
      <c r="DG190" t="s">
        <v>6</v>
      </c>
      <c r="DH190" t="s">
        <v>6</v>
      </c>
      <c r="DI190" t="s">
        <v>6</v>
      </c>
      <c r="DJ190" t="s">
        <v>6</v>
      </c>
      <c r="DK190" t="s">
        <v>6</v>
      </c>
      <c r="DL190" t="s">
        <v>6</v>
      </c>
      <c r="DM190" t="s">
        <v>6</v>
      </c>
      <c r="DN190">
        <v>0</v>
      </c>
      <c r="DO190">
        <v>0</v>
      </c>
      <c r="DP190">
        <v>1</v>
      </c>
      <c r="DQ190">
        <v>1</v>
      </c>
      <c r="DU190">
        <v>1013</v>
      </c>
      <c r="DV190" t="s">
        <v>78</v>
      </c>
      <c r="DW190" t="e">
        <f>'2.Лок.смета.и.Акт'!#REF!</f>
        <v>#REF!</v>
      </c>
      <c r="DX190">
        <v>1</v>
      </c>
      <c r="DZ190" t="s">
        <v>6</v>
      </c>
      <c r="EA190" t="s">
        <v>6</v>
      </c>
      <c r="EB190" t="s">
        <v>6</v>
      </c>
      <c r="EC190" t="s">
        <v>6</v>
      </c>
      <c r="EE190">
        <v>0</v>
      </c>
      <c r="EF190">
        <v>0</v>
      </c>
      <c r="EG190" t="s">
        <v>6</v>
      </c>
      <c r="EH190">
        <v>0</v>
      </c>
      <c r="EI190" t="s">
        <v>6</v>
      </c>
      <c r="EJ190">
        <v>0</v>
      </c>
      <c r="EK190">
        <v>3101</v>
      </c>
      <c r="EL190" t="s">
        <v>6</v>
      </c>
      <c r="EM190" t="s">
        <v>6</v>
      </c>
      <c r="EO190" t="s">
        <v>6</v>
      </c>
      <c r="EQ190">
        <v>0</v>
      </c>
      <c r="ER190">
        <v>215.4</v>
      </c>
      <c r="ES190">
        <v>30.22</v>
      </c>
      <c r="ET190">
        <v>0</v>
      </c>
      <c r="EU190">
        <v>0</v>
      </c>
      <c r="EV190">
        <v>0</v>
      </c>
      <c r="EW190">
        <v>0</v>
      </c>
      <c r="EX190">
        <v>0</v>
      </c>
      <c r="EZ190">
        <v>5</v>
      </c>
      <c r="FC190">
        <v>0</v>
      </c>
      <c r="FD190">
        <v>18</v>
      </c>
      <c r="FF190">
        <v>215.4</v>
      </c>
      <c r="FQ190">
        <v>0</v>
      </c>
      <c r="FR190">
        <f t="shared" si="217"/>
        <v>0</v>
      </c>
      <c r="FS190">
        <v>0</v>
      </c>
      <c r="FX190">
        <v>0</v>
      </c>
      <c r="FY190">
        <v>0</v>
      </c>
      <c r="GA190" t="s">
        <v>85</v>
      </c>
      <c r="GD190">
        <v>1</v>
      </c>
      <c r="GF190">
        <v>-1286139580</v>
      </c>
      <c r="GG190">
        <v>2</v>
      </c>
      <c r="GH190">
        <v>3</v>
      </c>
      <c r="GI190">
        <v>5</v>
      </c>
      <c r="GJ190">
        <v>0</v>
      </c>
      <c r="GK190">
        <v>0</v>
      </c>
      <c r="GL190">
        <f t="shared" si="218"/>
        <v>0</v>
      </c>
      <c r="GM190">
        <f t="shared" si="219"/>
        <v>1306</v>
      </c>
      <c r="GN190">
        <f t="shared" si="220"/>
        <v>1306</v>
      </c>
      <c r="GO190">
        <f t="shared" si="221"/>
        <v>0</v>
      </c>
      <c r="GP190">
        <f t="shared" si="222"/>
        <v>0</v>
      </c>
      <c r="GR190">
        <v>1</v>
      </c>
      <c r="GS190">
        <v>1</v>
      </c>
      <c r="GT190">
        <v>0</v>
      </c>
      <c r="GU190" t="s">
        <v>6</v>
      </c>
      <c r="GV190">
        <f t="shared" si="223"/>
        <v>0</v>
      </c>
      <c r="GW190">
        <v>1</v>
      </c>
      <c r="GX190">
        <f t="shared" si="224"/>
        <v>0</v>
      </c>
      <c r="HA190">
        <v>0</v>
      </c>
      <c r="HB190">
        <v>0</v>
      </c>
      <c r="HC190">
        <f t="shared" si="225"/>
        <v>0</v>
      </c>
      <c r="HE190" t="s">
        <v>39</v>
      </c>
      <c r="HF190" t="s">
        <v>40</v>
      </c>
      <c r="HM190" t="s">
        <v>6</v>
      </c>
      <c r="HN190" t="s">
        <v>6</v>
      </c>
      <c r="HO190" t="s">
        <v>6</v>
      </c>
      <c r="HP190" t="s">
        <v>6</v>
      </c>
      <c r="HQ190" t="s">
        <v>6</v>
      </c>
      <c r="IF190">
        <v>-1</v>
      </c>
      <c r="IK190">
        <v>0</v>
      </c>
    </row>
    <row r="191" spans="1:255" x14ac:dyDescent="0.2">
      <c r="A191" s="2">
        <v>18</v>
      </c>
      <c r="B191" s="2">
        <v>1</v>
      </c>
      <c r="C191" s="2">
        <v>217</v>
      </c>
      <c r="D191" s="2"/>
      <c r="E191" s="2" t="s">
        <v>274</v>
      </c>
      <c r="F191" s="2" t="s">
        <v>87</v>
      </c>
      <c r="G191" s="2" t="s">
        <v>88</v>
      </c>
      <c r="H191" s="2" t="s">
        <v>44</v>
      </c>
      <c r="I191" s="2">
        <f>I183*J191</f>
        <v>9.1146999999999991</v>
      </c>
      <c r="J191" s="226">
        <f>'5.Ведомость_списания'!F90</f>
        <v>1.4640324458900533</v>
      </c>
      <c r="K191" s="2">
        <v>1.4640324499999999</v>
      </c>
      <c r="L191" s="2"/>
      <c r="M191" s="2"/>
      <c r="N191" s="2"/>
      <c r="O191" s="2">
        <f t="shared" si="194"/>
        <v>8010</v>
      </c>
      <c r="P191" s="2">
        <f t="shared" si="195"/>
        <v>8010</v>
      </c>
      <c r="Q191" s="2">
        <f t="shared" si="196"/>
        <v>0</v>
      </c>
      <c r="R191" s="2">
        <f t="shared" si="197"/>
        <v>0</v>
      </c>
      <c r="S191" s="2">
        <f t="shared" si="198"/>
        <v>0</v>
      </c>
      <c r="T191" s="2">
        <f t="shared" si="199"/>
        <v>0</v>
      </c>
      <c r="U191" s="2">
        <f t="shared" si="200"/>
        <v>0</v>
      </c>
      <c r="V191" s="2">
        <f t="shared" si="201"/>
        <v>0</v>
      </c>
      <c r="W191" s="2">
        <f t="shared" si="202"/>
        <v>0</v>
      </c>
      <c r="X191" s="2">
        <f t="shared" si="203"/>
        <v>0</v>
      </c>
      <c r="Y191" s="2">
        <f t="shared" si="204"/>
        <v>0</v>
      </c>
      <c r="Z191" s="2"/>
      <c r="AA191" s="2">
        <v>86326987</v>
      </c>
      <c r="AB191" s="2">
        <f t="shared" si="205"/>
        <v>878.79</v>
      </c>
      <c r="AC191" s="2">
        <f t="shared" si="226"/>
        <v>878.79</v>
      </c>
      <c r="AD191" s="2">
        <f>ROUND((((ET191)-(EU191))+AE191),2)</f>
        <v>0</v>
      </c>
      <c r="AE191" s="2">
        <f t="shared" si="227"/>
        <v>0</v>
      </c>
      <c r="AF191" s="2">
        <f t="shared" si="228"/>
        <v>0</v>
      </c>
      <c r="AG191" s="2">
        <f t="shared" si="206"/>
        <v>0</v>
      </c>
      <c r="AH191" s="2">
        <f t="shared" si="229"/>
        <v>0</v>
      </c>
      <c r="AI191" s="2">
        <f t="shared" si="230"/>
        <v>0</v>
      </c>
      <c r="AJ191" s="2">
        <f t="shared" si="207"/>
        <v>0</v>
      </c>
      <c r="AK191" s="2">
        <v>878.79</v>
      </c>
      <c r="AL191" s="110">
        <f>'1.Лок.смета.и.Акт'!F341</f>
        <v>878.79</v>
      </c>
      <c r="AM191" s="2">
        <v>0</v>
      </c>
      <c r="AN191" s="2">
        <v>0</v>
      </c>
      <c r="AO191" s="2">
        <v>0</v>
      </c>
      <c r="AP191" s="2">
        <v>0</v>
      </c>
      <c r="AQ191" s="2">
        <v>0</v>
      </c>
      <c r="AR191" s="2">
        <v>0</v>
      </c>
      <c r="AS191" s="2">
        <v>0</v>
      </c>
      <c r="AT191" s="2">
        <v>0</v>
      </c>
      <c r="AU191" s="2">
        <v>0</v>
      </c>
      <c r="AV191" s="2">
        <v>1</v>
      </c>
      <c r="AW191" s="2">
        <v>1</v>
      </c>
      <c r="AX191" s="2"/>
      <c r="AY191" s="2"/>
      <c r="AZ191" s="2">
        <v>1</v>
      </c>
      <c r="BA191" s="2">
        <v>1</v>
      </c>
      <c r="BB191" s="2">
        <v>1</v>
      </c>
      <c r="BC191" s="2">
        <v>1</v>
      </c>
      <c r="BD191" s="2" t="s">
        <v>6</v>
      </c>
      <c r="BE191" s="2" t="s">
        <v>6</v>
      </c>
      <c r="BF191" s="2" t="s">
        <v>6</v>
      </c>
      <c r="BG191" s="2" t="s">
        <v>6</v>
      </c>
      <c r="BH191" s="2">
        <v>3</v>
      </c>
      <c r="BI191" s="2">
        <v>1</v>
      </c>
      <c r="BJ191" s="2" t="s">
        <v>89</v>
      </c>
      <c r="BK191" s="2"/>
      <c r="BL191" s="2"/>
      <c r="BM191" s="2">
        <v>500003</v>
      </c>
      <c r="BN191" s="2">
        <v>0</v>
      </c>
      <c r="BO191" s="2" t="s">
        <v>6</v>
      </c>
      <c r="BP191" s="2">
        <v>0</v>
      </c>
      <c r="BQ191" s="2">
        <v>22</v>
      </c>
      <c r="BR191" s="2">
        <v>0</v>
      </c>
      <c r="BS191" s="2">
        <v>1</v>
      </c>
      <c r="BT191" s="2">
        <v>1</v>
      </c>
      <c r="BU191" s="2">
        <v>1</v>
      </c>
      <c r="BV191" s="2">
        <v>1</v>
      </c>
      <c r="BW191" s="2">
        <v>1</v>
      </c>
      <c r="BX191" s="2">
        <v>1</v>
      </c>
      <c r="BY191" s="2" t="s">
        <v>6</v>
      </c>
      <c r="BZ191" s="2">
        <v>0</v>
      </c>
      <c r="CA191" s="2">
        <v>0</v>
      </c>
      <c r="CB191" s="2" t="s">
        <v>6</v>
      </c>
      <c r="CC191" s="2"/>
      <c r="CD191" s="2"/>
      <c r="CE191" s="2">
        <v>0</v>
      </c>
      <c r="CF191" s="2">
        <v>0</v>
      </c>
      <c r="CG191" s="2">
        <v>0</v>
      </c>
      <c r="CH191" s="2"/>
      <c r="CI191" s="2"/>
      <c r="CJ191" s="2"/>
      <c r="CK191" s="2"/>
      <c r="CL191" s="2"/>
      <c r="CM191" s="2">
        <v>0</v>
      </c>
      <c r="CN191" s="2" t="s">
        <v>6</v>
      </c>
      <c r="CO191" s="2">
        <v>0</v>
      </c>
      <c r="CP191" s="2">
        <f t="shared" si="208"/>
        <v>8010</v>
      </c>
      <c r="CQ191" s="2">
        <f t="shared" si="209"/>
        <v>878.79</v>
      </c>
      <c r="CR191" s="2">
        <f t="shared" si="210"/>
        <v>0</v>
      </c>
      <c r="CS191" s="2">
        <f t="shared" si="211"/>
        <v>0</v>
      </c>
      <c r="CT191" s="2">
        <f t="shared" si="212"/>
        <v>0</v>
      </c>
      <c r="CU191" s="2">
        <f t="shared" si="213"/>
        <v>0</v>
      </c>
      <c r="CV191" s="2">
        <f t="shared" si="214"/>
        <v>0</v>
      </c>
      <c r="CW191" s="2">
        <f t="shared" si="215"/>
        <v>0</v>
      </c>
      <c r="CX191" s="2">
        <f t="shared" si="216"/>
        <v>0</v>
      </c>
      <c r="CY191" s="2">
        <f>(((S191+(R191*IF(0,0,1)))*AT191)/100)</f>
        <v>0</v>
      </c>
      <c r="CZ191" s="2">
        <f>(((S191+(R191*IF(0,0,1)))*AU191)/100)</f>
        <v>0</v>
      </c>
      <c r="DA191" s="2"/>
      <c r="DB191" s="2"/>
      <c r="DC191" s="2" t="s">
        <v>6</v>
      </c>
      <c r="DD191" s="2" t="s">
        <v>6</v>
      </c>
      <c r="DE191" s="2" t="s">
        <v>6</v>
      </c>
      <c r="DF191" s="2" t="s">
        <v>6</v>
      </c>
      <c r="DG191" s="2" t="s">
        <v>6</v>
      </c>
      <c r="DH191" s="2" t="s">
        <v>6</v>
      </c>
      <c r="DI191" s="2" t="s">
        <v>6</v>
      </c>
      <c r="DJ191" s="2" t="s">
        <v>6</v>
      </c>
      <c r="DK191" s="2" t="s">
        <v>6</v>
      </c>
      <c r="DL191" s="2" t="s">
        <v>6</v>
      </c>
      <c r="DM191" s="2" t="s">
        <v>6</v>
      </c>
      <c r="DN191" s="2">
        <v>0</v>
      </c>
      <c r="DO191" s="2">
        <v>0</v>
      </c>
      <c r="DP191" s="2">
        <v>1</v>
      </c>
      <c r="DQ191" s="2">
        <v>1</v>
      </c>
      <c r="DR191" s="2"/>
      <c r="DS191" s="2"/>
      <c r="DT191" s="2"/>
      <c r="DU191" s="2">
        <v>1007</v>
      </c>
      <c r="DV191" s="2" t="s">
        <v>44</v>
      </c>
      <c r="DW191" s="2" t="s">
        <v>44</v>
      </c>
      <c r="DX191" s="2">
        <v>1</v>
      </c>
      <c r="DY191" s="2"/>
      <c r="DZ191" s="2" t="s">
        <v>6</v>
      </c>
      <c r="EA191" s="2" t="s">
        <v>6</v>
      </c>
      <c r="EB191" s="2" t="s">
        <v>6</v>
      </c>
      <c r="EC191" s="2" t="s">
        <v>6</v>
      </c>
      <c r="ED191" s="2"/>
      <c r="EE191" s="2">
        <v>54938783</v>
      </c>
      <c r="EF191" s="2">
        <v>22</v>
      </c>
      <c r="EG191" s="2" t="s">
        <v>57</v>
      </c>
      <c r="EH191" s="2">
        <v>0</v>
      </c>
      <c r="EI191" s="2" t="s">
        <v>6</v>
      </c>
      <c r="EJ191" s="2">
        <v>1</v>
      </c>
      <c r="EK191" s="2">
        <v>500003</v>
      </c>
      <c r="EL191" s="2" t="s">
        <v>58</v>
      </c>
      <c r="EM191" s="2" t="s">
        <v>59</v>
      </c>
      <c r="EN191" s="2"/>
      <c r="EO191" s="2" t="s">
        <v>6</v>
      </c>
      <c r="EP191" s="2"/>
      <c r="EQ191" s="2">
        <v>0</v>
      </c>
      <c r="ER191" s="2">
        <v>878.79</v>
      </c>
      <c r="ES191" s="110">
        <f>'1.Лок.смета.и.Акт'!F341</f>
        <v>878.79</v>
      </c>
      <c r="ET191" s="2">
        <v>0</v>
      </c>
      <c r="EU191" s="2">
        <v>0</v>
      </c>
      <c r="EV191" s="2">
        <v>0</v>
      </c>
      <c r="EW191" s="2">
        <v>0</v>
      </c>
      <c r="EX191" s="2">
        <v>0</v>
      </c>
      <c r="EY191" s="2"/>
      <c r="EZ191" s="2"/>
      <c r="FA191" s="2"/>
      <c r="FB191" s="2"/>
      <c r="FC191" s="2"/>
      <c r="FD191" s="2"/>
      <c r="FE191" s="2"/>
      <c r="FF191" s="2"/>
      <c r="FG191" s="2"/>
      <c r="FH191" s="2"/>
      <c r="FI191" s="2"/>
      <c r="FJ191" s="2"/>
      <c r="FK191" s="2"/>
      <c r="FL191" s="2"/>
      <c r="FM191" s="2"/>
      <c r="FN191" s="2"/>
      <c r="FO191" s="2"/>
      <c r="FP191" s="2"/>
      <c r="FQ191" s="2">
        <v>0</v>
      </c>
      <c r="FR191" s="2">
        <f t="shared" si="217"/>
        <v>0</v>
      </c>
      <c r="FS191" s="2">
        <v>0</v>
      </c>
      <c r="FT191" s="2"/>
      <c r="FU191" s="2"/>
      <c r="FV191" s="2"/>
      <c r="FW191" s="2"/>
      <c r="FX191" s="2">
        <v>0</v>
      </c>
      <c r="FY191" s="2">
        <v>0</v>
      </c>
      <c r="FZ191" s="2"/>
      <c r="GA191" s="2" t="s">
        <v>6</v>
      </c>
      <c r="GB191" s="2"/>
      <c r="GC191" s="2"/>
      <c r="GD191" s="2">
        <v>1</v>
      </c>
      <c r="GE191" s="2"/>
      <c r="GF191" s="2">
        <v>-183216560</v>
      </c>
      <c r="GG191" s="2">
        <v>2</v>
      </c>
      <c r="GH191" s="2">
        <v>2</v>
      </c>
      <c r="GI191" s="2">
        <v>-2</v>
      </c>
      <c r="GJ191" s="2">
        <v>0</v>
      </c>
      <c r="GK191" s="2">
        <v>0</v>
      </c>
      <c r="GL191" s="2">
        <f t="shared" si="218"/>
        <v>0</v>
      </c>
      <c r="GM191" s="2">
        <f t="shared" si="219"/>
        <v>8010</v>
      </c>
      <c r="GN191" s="2">
        <f t="shared" si="220"/>
        <v>8010</v>
      </c>
      <c r="GO191" s="2">
        <f t="shared" si="221"/>
        <v>0</v>
      </c>
      <c r="GP191" s="2">
        <f t="shared" si="222"/>
        <v>0</v>
      </c>
      <c r="GQ191" s="2"/>
      <c r="GR191" s="2">
        <v>0</v>
      </c>
      <c r="GS191" s="2">
        <v>2</v>
      </c>
      <c r="GT191" s="2">
        <v>0</v>
      </c>
      <c r="GU191" s="2" t="s">
        <v>6</v>
      </c>
      <c r="GV191" s="2">
        <f t="shared" si="223"/>
        <v>0</v>
      </c>
      <c r="GW191" s="2">
        <v>1</v>
      </c>
      <c r="GX191" s="2">
        <f t="shared" si="224"/>
        <v>0</v>
      </c>
      <c r="GY191" s="2"/>
      <c r="GZ191" s="2"/>
      <c r="HA191" s="2">
        <v>0</v>
      </c>
      <c r="HB191" s="2">
        <v>0</v>
      </c>
      <c r="HC191" s="2">
        <f t="shared" si="225"/>
        <v>0</v>
      </c>
      <c r="HD191" s="2"/>
      <c r="HE191" s="2" t="s">
        <v>6</v>
      </c>
      <c r="HF191" s="2" t="s">
        <v>6</v>
      </c>
      <c r="HG191" s="2"/>
      <c r="HH191" s="2"/>
      <c r="HI191" s="2"/>
      <c r="HJ191" s="2"/>
      <c r="HK191" s="2"/>
      <c r="HL191" s="2"/>
      <c r="HM191" s="2" t="s">
        <v>6</v>
      </c>
      <c r="HN191" s="2" t="s">
        <v>6</v>
      </c>
      <c r="HO191" s="2" t="s">
        <v>6</v>
      </c>
      <c r="HP191" s="2" t="s">
        <v>6</v>
      </c>
      <c r="HQ191" s="2" t="s">
        <v>6</v>
      </c>
      <c r="HR191" s="2"/>
      <c r="HS191" s="2"/>
      <c r="HT191" s="2"/>
      <c r="HU191" s="2"/>
      <c r="HV191" s="2"/>
      <c r="HW191" s="2"/>
      <c r="HX191" s="2"/>
      <c r="HY191" s="2"/>
      <c r="HZ191" s="2"/>
      <c r="IA191" s="2"/>
      <c r="IB191" s="2"/>
      <c r="IC191" s="2"/>
      <c r="ID191" s="2"/>
      <c r="IE191" s="2"/>
      <c r="IF191" s="2">
        <v>-1</v>
      </c>
      <c r="IG191" s="2"/>
      <c r="IH191" s="2"/>
      <c r="II191" s="2"/>
      <c r="IJ191" s="2"/>
      <c r="IK191" s="2">
        <v>0</v>
      </c>
      <c r="IL191" s="2"/>
      <c r="IM191" s="2"/>
      <c r="IN191" s="2"/>
      <c r="IO191" s="2"/>
      <c r="IP191" s="2"/>
      <c r="IQ191" s="2"/>
      <c r="IR191" s="2"/>
      <c r="IS191" s="2"/>
      <c r="IT191" s="2"/>
      <c r="IU191" s="2"/>
    </row>
    <row r="192" spans="1:255" x14ac:dyDescent="0.2">
      <c r="A192">
        <v>18</v>
      </c>
      <c r="B192">
        <v>1</v>
      </c>
      <c r="C192">
        <v>230</v>
      </c>
      <c r="E192" t="s">
        <v>274</v>
      </c>
      <c r="F192" t="e">
        <f>'2.Лок.смета.и.Акт'!#REF!</f>
        <v>#REF!</v>
      </c>
      <c r="G192" t="s">
        <v>88</v>
      </c>
      <c r="H192" t="s">
        <v>44</v>
      </c>
      <c r="I192">
        <f>I184*J192</f>
        <v>9.1146999999999991</v>
      </c>
      <c r="J192">
        <v>1.4640324458900533</v>
      </c>
      <c r="K192">
        <v>1.4640324499999999</v>
      </c>
      <c r="O192">
        <f t="shared" si="194"/>
        <v>67184</v>
      </c>
      <c r="P192">
        <f t="shared" si="195"/>
        <v>67184</v>
      </c>
      <c r="Q192">
        <f t="shared" si="196"/>
        <v>0</v>
      </c>
      <c r="R192">
        <f t="shared" si="197"/>
        <v>0</v>
      </c>
      <c r="S192">
        <f t="shared" si="198"/>
        <v>0</v>
      </c>
      <c r="T192">
        <f t="shared" si="199"/>
        <v>0</v>
      </c>
      <c r="U192">
        <f t="shared" si="200"/>
        <v>0</v>
      </c>
      <c r="V192">
        <f t="shared" si="201"/>
        <v>0</v>
      </c>
      <c r="W192">
        <f t="shared" si="202"/>
        <v>0</v>
      </c>
      <c r="X192">
        <f t="shared" si="203"/>
        <v>0</v>
      </c>
      <c r="Y192">
        <f t="shared" si="204"/>
        <v>0</v>
      </c>
      <c r="AA192">
        <v>86326988</v>
      </c>
      <c r="AB192">
        <f t="shared" si="205"/>
        <v>975</v>
      </c>
      <c r="AC192">
        <f t="shared" si="226"/>
        <v>975</v>
      </c>
      <c r="AD192">
        <f>ROUND((((ET192)-(EU192))+AE192),2)</f>
        <v>0</v>
      </c>
      <c r="AE192">
        <f t="shared" si="227"/>
        <v>0</v>
      </c>
      <c r="AF192">
        <f t="shared" si="228"/>
        <v>0</v>
      </c>
      <c r="AG192">
        <f t="shared" si="206"/>
        <v>0</v>
      </c>
      <c r="AH192">
        <f t="shared" si="229"/>
        <v>0</v>
      </c>
      <c r="AI192">
        <f t="shared" si="230"/>
        <v>0</v>
      </c>
      <c r="AJ192">
        <f t="shared" si="207"/>
        <v>0</v>
      </c>
      <c r="AK192">
        <v>975</v>
      </c>
      <c r="AL192">
        <v>975</v>
      </c>
      <c r="AM192">
        <v>0</v>
      </c>
      <c r="AN192">
        <v>0</v>
      </c>
      <c r="AO192">
        <v>0</v>
      </c>
      <c r="AP192">
        <v>0</v>
      </c>
      <c r="AQ192">
        <v>0</v>
      </c>
      <c r="AR192">
        <v>0</v>
      </c>
      <c r="AS192">
        <v>0</v>
      </c>
      <c r="AT192">
        <v>0</v>
      </c>
      <c r="AU192">
        <v>0</v>
      </c>
      <c r="AV192">
        <v>1</v>
      </c>
      <c r="AW192">
        <v>1</v>
      </c>
      <c r="AZ192">
        <v>1</v>
      </c>
      <c r="BA192">
        <v>1</v>
      </c>
      <c r="BB192">
        <v>1</v>
      </c>
      <c r="BC192">
        <v>7.56</v>
      </c>
      <c r="BD192" t="s">
        <v>6</v>
      </c>
      <c r="BE192" t="s">
        <v>6</v>
      </c>
      <c r="BF192" t="s">
        <v>6</v>
      </c>
      <c r="BG192" t="s">
        <v>6</v>
      </c>
      <c r="BH192">
        <v>3</v>
      </c>
      <c r="BI192">
        <v>1</v>
      </c>
      <c r="BJ192" t="s">
        <v>89</v>
      </c>
      <c r="BM192">
        <v>500003</v>
      </c>
      <c r="BN192">
        <v>0</v>
      </c>
      <c r="BO192" t="s">
        <v>6</v>
      </c>
      <c r="BP192">
        <v>0</v>
      </c>
      <c r="BQ192">
        <v>22</v>
      </c>
      <c r="BR192">
        <v>0</v>
      </c>
      <c r="BS192">
        <v>1</v>
      </c>
      <c r="BT192">
        <v>1</v>
      </c>
      <c r="BU192">
        <v>1</v>
      </c>
      <c r="BV192">
        <v>1</v>
      </c>
      <c r="BW192">
        <v>1</v>
      </c>
      <c r="BX192">
        <v>1</v>
      </c>
      <c r="BY192" t="s">
        <v>6</v>
      </c>
      <c r="BZ192">
        <v>0</v>
      </c>
      <c r="CA192">
        <v>0</v>
      </c>
      <c r="CB192" t="s">
        <v>6</v>
      </c>
      <c r="CE192">
        <v>0</v>
      </c>
      <c r="CF192">
        <v>0</v>
      </c>
      <c r="CG192">
        <v>0</v>
      </c>
      <c r="CM192">
        <v>0</v>
      </c>
      <c r="CN192" t="s">
        <v>6</v>
      </c>
      <c r="CO192">
        <v>0</v>
      </c>
      <c r="CP192">
        <f t="shared" si="208"/>
        <v>67184</v>
      </c>
      <c r="CQ192">
        <f t="shared" si="209"/>
        <v>7371</v>
      </c>
      <c r="CR192">
        <f t="shared" si="210"/>
        <v>0</v>
      </c>
      <c r="CS192">
        <f t="shared" si="211"/>
        <v>0</v>
      </c>
      <c r="CT192">
        <f t="shared" si="212"/>
        <v>0</v>
      </c>
      <c r="CU192">
        <f t="shared" si="213"/>
        <v>0</v>
      </c>
      <c r="CV192">
        <f t="shared" si="214"/>
        <v>0</v>
      </c>
      <c r="CW192">
        <f t="shared" si="215"/>
        <v>0</v>
      </c>
      <c r="CX192">
        <f t="shared" si="216"/>
        <v>0</v>
      </c>
      <c r="CY192">
        <f>(S192+R192)*(BZ192/100)</f>
        <v>0</v>
      </c>
      <c r="CZ192">
        <f>(S192+R192)*(CA192/100)</f>
        <v>0</v>
      </c>
      <c r="DC192" t="s">
        <v>6</v>
      </c>
      <c r="DD192" t="s">
        <v>6</v>
      </c>
      <c r="DE192" t="s">
        <v>6</v>
      </c>
      <c r="DF192" t="s">
        <v>6</v>
      </c>
      <c r="DG192" t="s">
        <v>6</v>
      </c>
      <c r="DH192" t="s">
        <v>6</v>
      </c>
      <c r="DI192" t="s">
        <v>6</v>
      </c>
      <c r="DJ192" t="s">
        <v>6</v>
      </c>
      <c r="DK192" t="s">
        <v>6</v>
      </c>
      <c r="DL192" t="s">
        <v>6</v>
      </c>
      <c r="DM192" t="s">
        <v>6</v>
      </c>
      <c r="DN192">
        <v>0</v>
      </c>
      <c r="DO192">
        <v>0</v>
      </c>
      <c r="DP192">
        <v>1</v>
      </c>
      <c r="DQ192">
        <v>1</v>
      </c>
      <c r="DU192">
        <v>1007</v>
      </c>
      <c r="DV192" t="s">
        <v>44</v>
      </c>
      <c r="DW192" t="e">
        <f>'2.Лок.смета.и.Акт'!#REF!</f>
        <v>#REF!</v>
      </c>
      <c r="DX192">
        <v>1</v>
      </c>
      <c r="DZ192" t="s">
        <v>6</v>
      </c>
      <c r="EA192" t="s">
        <v>6</v>
      </c>
      <c r="EB192" t="s">
        <v>6</v>
      </c>
      <c r="EC192" t="s">
        <v>6</v>
      </c>
      <c r="EE192">
        <v>54938783</v>
      </c>
      <c r="EF192">
        <v>22</v>
      </c>
      <c r="EG192" t="s">
        <v>57</v>
      </c>
      <c r="EH192">
        <v>0</v>
      </c>
      <c r="EI192" t="s">
        <v>6</v>
      </c>
      <c r="EJ192">
        <v>1</v>
      </c>
      <c r="EK192">
        <v>500003</v>
      </c>
      <c r="EL192" t="s">
        <v>58</v>
      </c>
      <c r="EM192" t="s">
        <v>59</v>
      </c>
      <c r="EO192" t="s">
        <v>6</v>
      </c>
      <c r="EQ192">
        <v>0</v>
      </c>
      <c r="ER192">
        <v>6948.56</v>
      </c>
      <c r="ES192">
        <v>975</v>
      </c>
      <c r="ET192">
        <v>0</v>
      </c>
      <c r="EU192">
        <v>0</v>
      </c>
      <c r="EV192">
        <v>0</v>
      </c>
      <c r="EW192">
        <v>0</v>
      </c>
      <c r="EX192">
        <v>0</v>
      </c>
      <c r="EZ192">
        <v>5</v>
      </c>
      <c r="FC192">
        <v>0</v>
      </c>
      <c r="FD192">
        <v>18</v>
      </c>
      <c r="FF192">
        <v>6948.56</v>
      </c>
      <c r="FQ192">
        <v>0</v>
      </c>
      <c r="FR192">
        <f t="shared" si="217"/>
        <v>0</v>
      </c>
      <c r="FS192">
        <v>0</v>
      </c>
      <c r="FX192">
        <v>0</v>
      </c>
      <c r="FY192">
        <v>0</v>
      </c>
      <c r="GA192" t="s">
        <v>90</v>
      </c>
      <c r="GD192">
        <v>1</v>
      </c>
      <c r="GF192">
        <v>-183216560</v>
      </c>
      <c r="GG192">
        <v>2</v>
      </c>
      <c r="GH192">
        <v>3</v>
      </c>
      <c r="GI192">
        <v>5</v>
      </c>
      <c r="GJ192">
        <v>0</v>
      </c>
      <c r="GK192">
        <v>0</v>
      </c>
      <c r="GL192">
        <f t="shared" si="218"/>
        <v>0</v>
      </c>
      <c r="GM192">
        <f t="shared" si="219"/>
        <v>67184</v>
      </c>
      <c r="GN192">
        <f t="shared" si="220"/>
        <v>67184</v>
      </c>
      <c r="GO192">
        <f t="shared" si="221"/>
        <v>0</v>
      </c>
      <c r="GP192">
        <f t="shared" si="222"/>
        <v>0</v>
      </c>
      <c r="GR192">
        <v>1</v>
      </c>
      <c r="GS192">
        <v>1</v>
      </c>
      <c r="GT192">
        <v>0</v>
      </c>
      <c r="GU192" t="s">
        <v>6</v>
      </c>
      <c r="GV192">
        <f t="shared" si="223"/>
        <v>0</v>
      </c>
      <c r="GW192">
        <v>1</v>
      </c>
      <c r="GX192">
        <f t="shared" si="224"/>
        <v>0</v>
      </c>
      <c r="HA192">
        <v>0</v>
      </c>
      <c r="HB192">
        <v>0</v>
      </c>
      <c r="HC192">
        <f t="shared" si="225"/>
        <v>0</v>
      </c>
      <c r="HE192" t="s">
        <v>39</v>
      </c>
      <c r="HF192" t="s">
        <v>40</v>
      </c>
      <c r="HM192" t="s">
        <v>6</v>
      </c>
      <c r="HN192" t="s">
        <v>6</v>
      </c>
      <c r="HO192" t="s">
        <v>6</v>
      </c>
      <c r="HP192" t="s">
        <v>6</v>
      </c>
      <c r="HQ192" t="s">
        <v>6</v>
      </c>
      <c r="IF192">
        <v>-1</v>
      </c>
      <c r="IK192">
        <v>0</v>
      </c>
    </row>
    <row r="193" spans="1:255" x14ac:dyDescent="0.2">
      <c r="A193" s="2">
        <v>18</v>
      </c>
      <c r="B193" s="2">
        <v>1</v>
      </c>
      <c r="C193" s="2">
        <v>215</v>
      </c>
      <c r="D193" s="2"/>
      <c r="E193" s="2" t="s">
        <v>275</v>
      </c>
      <c r="F193" s="2" t="s">
        <v>92</v>
      </c>
      <c r="G193" s="2" t="s">
        <v>93</v>
      </c>
      <c r="H193" s="2" t="s">
        <v>94</v>
      </c>
      <c r="I193" s="2">
        <f>I183*J193</f>
        <v>33.544341000000003</v>
      </c>
      <c r="J193" s="226">
        <f>'5.Ведомость_списания'!F91</f>
        <v>5.3880000000000008</v>
      </c>
      <c r="K193" s="2">
        <v>5.3879999999999999</v>
      </c>
      <c r="L193" s="2"/>
      <c r="M193" s="2"/>
      <c r="N193" s="2"/>
      <c r="O193" s="2">
        <f t="shared" si="194"/>
        <v>157</v>
      </c>
      <c r="P193" s="2">
        <f t="shared" si="195"/>
        <v>157</v>
      </c>
      <c r="Q193" s="2">
        <f t="shared" si="196"/>
        <v>0</v>
      </c>
      <c r="R193" s="2">
        <f t="shared" si="197"/>
        <v>0</v>
      </c>
      <c r="S193" s="2">
        <f t="shared" si="198"/>
        <v>0</v>
      </c>
      <c r="T193" s="2">
        <f t="shared" si="199"/>
        <v>0</v>
      </c>
      <c r="U193" s="2">
        <f t="shared" si="200"/>
        <v>0</v>
      </c>
      <c r="V193" s="2">
        <f t="shared" si="201"/>
        <v>0</v>
      </c>
      <c r="W193" s="2">
        <f t="shared" si="202"/>
        <v>0</v>
      </c>
      <c r="X193" s="2">
        <f t="shared" si="203"/>
        <v>0</v>
      </c>
      <c r="Y193" s="2">
        <f t="shared" si="204"/>
        <v>0</v>
      </c>
      <c r="Z193" s="2"/>
      <c r="AA193" s="2">
        <v>86326987</v>
      </c>
      <c r="AB193" s="2">
        <f t="shared" si="205"/>
        <v>4.6900000000000004</v>
      </c>
      <c r="AC193" s="2">
        <f t="shared" si="226"/>
        <v>4.6900000000000004</v>
      </c>
      <c r="AD193" s="2">
        <f>ROUND((((ET193)-(EU193))+AE193),2)</f>
        <v>0</v>
      </c>
      <c r="AE193" s="2">
        <f t="shared" si="227"/>
        <v>0</v>
      </c>
      <c r="AF193" s="2">
        <f t="shared" si="228"/>
        <v>0</v>
      </c>
      <c r="AG193" s="2">
        <f t="shared" si="206"/>
        <v>0</v>
      </c>
      <c r="AH193" s="2">
        <f t="shared" si="229"/>
        <v>0</v>
      </c>
      <c r="AI193" s="2">
        <f t="shared" si="230"/>
        <v>0</v>
      </c>
      <c r="AJ193" s="2">
        <f t="shared" si="207"/>
        <v>0.01</v>
      </c>
      <c r="AK193" s="2">
        <v>4.6900000000000004</v>
      </c>
      <c r="AL193" s="110">
        <f>'1.Лок.смета.и.Акт'!F343</f>
        <v>4.6900000000000004</v>
      </c>
      <c r="AM193" s="2">
        <v>0</v>
      </c>
      <c r="AN193" s="2">
        <v>0</v>
      </c>
      <c r="AO193" s="2">
        <v>0</v>
      </c>
      <c r="AP193" s="2">
        <v>0</v>
      </c>
      <c r="AQ193" s="2">
        <v>0</v>
      </c>
      <c r="AR193" s="2">
        <v>0</v>
      </c>
      <c r="AS193" s="2">
        <v>0.01</v>
      </c>
      <c r="AT193" s="2">
        <v>0</v>
      </c>
      <c r="AU193" s="2">
        <v>0</v>
      </c>
      <c r="AV193" s="2">
        <v>1</v>
      </c>
      <c r="AW193" s="2">
        <v>1</v>
      </c>
      <c r="AX193" s="2"/>
      <c r="AY193" s="2"/>
      <c r="AZ193" s="2">
        <v>1</v>
      </c>
      <c r="BA193" s="2">
        <v>1</v>
      </c>
      <c r="BB193" s="2">
        <v>1</v>
      </c>
      <c r="BC193" s="2">
        <v>1</v>
      </c>
      <c r="BD193" s="2" t="s">
        <v>6</v>
      </c>
      <c r="BE193" s="2" t="s">
        <v>6</v>
      </c>
      <c r="BF193" s="2" t="s">
        <v>6</v>
      </c>
      <c r="BG193" s="2" t="s">
        <v>6</v>
      </c>
      <c r="BH193" s="2">
        <v>3</v>
      </c>
      <c r="BI193" s="2">
        <v>2</v>
      </c>
      <c r="BJ193" s="2" t="s">
        <v>95</v>
      </c>
      <c r="BK193" s="2"/>
      <c r="BL193" s="2"/>
      <c r="BM193" s="2">
        <v>500002</v>
      </c>
      <c r="BN193" s="2">
        <v>0</v>
      </c>
      <c r="BO193" s="2" t="s">
        <v>6</v>
      </c>
      <c r="BP193" s="2">
        <v>0</v>
      </c>
      <c r="BQ193" s="2">
        <v>21</v>
      </c>
      <c r="BR193" s="2">
        <v>0</v>
      </c>
      <c r="BS193" s="2">
        <v>1</v>
      </c>
      <c r="BT193" s="2">
        <v>1</v>
      </c>
      <c r="BU193" s="2">
        <v>1</v>
      </c>
      <c r="BV193" s="2">
        <v>1</v>
      </c>
      <c r="BW193" s="2">
        <v>1</v>
      </c>
      <c r="BX193" s="2">
        <v>1</v>
      </c>
      <c r="BY193" s="2" t="s">
        <v>6</v>
      </c>
      <c r="BZ193" s="2">
        <v>0</v>
      </c>
      <c r="CA193" s="2">
        <v>0</v>
      </c>
      <c r="CB193" s="2" t="s">
        <v>6</v>
      </c>
      <c r="CC193" s="2"/>
      <c r="CD193" s="2"/>
      <c r="CE193" s="2">
        <v>0</v>
      </c>
      <c r="CF193" s="2">
        <v>0</v>
      </c>
      <c r="CG193" s="2">
        <v>0</v>
      </c>
      <c r="CH193" s="2"/>
      <c r="CI193" s="2"/>
      <c r="CJ193" s="2"/>
      <c r="CK193" s="2"/>
      <c r="CL193" s="2"/>
      <c r="CM193" s="2">
        <v>0</v>
      </c>
      <c r="CN193" s="2" t="s">
        <v>6</v>
      </c>
      <c r="CO193" s="2">
        <v>0</v>
      </c>
      <c r="CP193" s="2">
        <f t="shared" si="208"/>
        <v>157</v>
      </c>
      <c r="CQ193" s="2">
        <f t="shared" si="209"/>
        <v>4.6900000000000004</v>
      </c>
      <c r="CR193" s="2">
        <f t="shared" si="210"/>
        <v>0</v>
      </c>
      <c r="CS193" s="2">
        <f t="shared" si="211"/>
        <v>0</v>
      </c>
      <c r="CT193" s="2">
        <f t="shared" si="212"/>
        <v>0</v>
      </c>
      <c r="CU193" s="2">
        <f t="shared" si="213"/>
        <v>0</v>
      </c>
      <c r="CV193" s="2">
        <f t="shared" si="214"/>
        <v>0</v>
      </c>
      <c r="CW193" s="2">
        <f t="shared" si="215"/>
        <v>0</v>
      </c>
      <c r="CX193" s="2">
        <f t="shared" si="216"/>
        <v>0.01</v>
      </c>
      <c r="CY193" s="2">
        <f>(((S193+(R193*IF(0,0,1)))*AT193)/100)</f>
        <v>0</v>
      </c>
      <c r="CZ193" s="2">
        <f>(((S193+(R193*IF(0,0,1)))*AU193)/100)</f>
        <v>0</v>
      </c>
      <c r="DA193" s="2"/>
      <c r="DB193" s="2"/>
      <c r="DC193" s="2" t="s">
        <v>6</v>
      </c>
      <c r="DD193" s="2" t="s">
        <v>6</v>
      </c>
      <c r="DE193" s="2" t="s">
        <v>6</v>
      </c>
      <c r="DF193" s="2" t="s">
        <v>6</v>
      </c>
      <c r="DG193" s="2" t="s">
        <v>6</v>
      </c>
      <c r="DH193" s="2" t="s">
        <v>6</v>
      </c>
      <c r="DI193" s="2" t="s">
        <v>6</v>
      </c>
      <c r="DJ193" s="2" t="s">
        <v>6</v>
      </c>
      <c r="DK193" s="2" t="s">
        <v>6</v>
      </c>
      <c r="DL193" s="2" t="s">
        <v>6</v>
      </c>
      <c r="DM193" s="2" t="s">
        <v>6</v>
      </c>
      <c r="DN193" s="2">
        <v>0</v>
      </c>
      <c r="DO193" s="2">
        <v>0</v>
      </c>
      <c r="DP193" s="2">
        <v>1</v>
      </c>
      <c r="DQ193" s="2">
        <v>1</v>
      </c>
      <c r="DR193" s="2"/>
      <c r="DS193" s="2"/>
      <c r="DT193" s="2"/>
      <c r="DU193" s="2">
        <v>1003</v>
      </c>
      <c r="DV193" s="2" t="s">
        <v>94</v>
      </c>
      <c r="DW193" s="2" t="s">
        <v>94</v>
      </c>
      <c r="DX193" s="2">
        <v>1</v>
      </c>
      <c r="DY193" s="2"/>
      <c r="DZ193" s="2" t="s">
        <v>6</v>
      </c>
      <c r="EA193" s="2" t="s">
        <v>6</v>
      </c>
      <c r="EB193" s="2" t="s">
        <v>6</v>
      </c>
      <c r="EC193" s="2" t="s">
        <v>6</v>
      </c>
      <c r="ED193" s="2"/>
      <c r="EE193" s="2">
        <v>54938782</v>
      </c>
      <c r="EF193" s="2">
        <v>21</v>
      </c>
      <c r="EG193" s="2" t="s">
        <v>96</v>
      </c>
      <c r="EH193" s="2">
        <v>0</v>
      </c>
      <c r="EI193" s="2" t="s">
        <v>6</v>
      </c>
      <c r="EJ193" s="2">
        <v>2</v>
      </c>
      <c r="EK193" s="2">
        <v>500002</v>
      </c>
      <c r="EL193" s="2" t="s">
        <v>97</v>
      </c>
      <c r="EM193" s="2" t="s">
        <v>98</v>
      </c>
      <c r="EN193" s="2"/>
      <c r="EO193" s="2" t="s">
        <v>6</v>
      </c>
      <c r="EP193" s="2"/>
      <c r="EQ193" s="2">
        <v>0</v>
      </c>
      <c r="ER193" s="2">
        <v>4.6900000000000004</v>
      </c>
      <c r="ES193" s="110">
        <f>'1.Лок.смета.и.Акт'!F343</f>
        <v>4.6900000000000004</v>
      </c>
      <c r="ET193" s="2">
        <v>0</v>
      </c>
      <c r="EU193" s="2">
        <v>0</v>
      </c>
      <c r="EV193" s="2">
        <v>0</v>
      </c>
      <c r="EW193" s="2">
        <v>0</v>
      </c>
      <c r="EX193" s="2">
        <v>0</v>
      </c>
      <c r="EY193" s="2"/>
      <c r="EZ193" s="2"/>
      <c r="FA193" s="2"/>
      <c r="FB193" s="2"/>
      <c r="FC193" s="2"/>
      <c r="FD193" s="2"/>
      <c r="FE193" s="2"/>
      <c r="FF193" s="2"/>
      <c r="FG193" s="2"/>
      <c r="FH193" s="2"/>
      <c r="FI193" s="2"/>
      <c r="FJ193" s="2"/>
      <c r="FK193" s="2"/>
      <c r="FL193" s="2"/>
      <c r="FM193" s="2"/>
      <c r="FN193" s="2"/>
      <c r="FO193" s="2"/>
      <c r="FP193" s="2"/>
      <c r="FQ193" s="2">
        <v>0</v>
      </c>
      <c r="FR193" s="2">
        <f t="shared" si="217"/>
        <v>0</v>
      </c>
      <c r="FS193" s="2">
        <v>0</v>
      </c>
      <c r="FT193" s="2"/>
      <c r="FU193" s="2"/>
      <c r="FV193" s="2"/>
      <c r="FW193" s="2"/>
      <c r="FX193" s="2">
        <v>0</v>
      </c>
      <c r="FY193" s="2">
        <v>0</v>
      </c>
      <c r="FZ193" s="2"/>
      <c r="GA193" s="2" t="s">
        <v>6</v>
      </c>
      <c r="GB193" s="2"/>
      <c r="GC193" s="2"/>
      <c r="GD193" s="2">
        <v>1</v>
      </c>
      <c r="GE193" s="2"/>
      <c r="GF193" s="2">
        <v>-1608277363</v>
      </c>
      <c r="GG193" s="2">
        <v>2</v>
      </c>
      <c r="GH193" s="2">
        <v>0</v>
      </c>
      <c r="GI193" s="2">
        <v>-2</v>
      </c>
      <c r="GJ193" s="2">
        <v>0</v>
      </c>
      <c r="GK193" s="2">
        <v>0</v>
      </c>
      <c r="GL193" s="2">
        <f t="shared" si="218"/>
        <v>0</v>
      </c>
      <c r="GM193" s="2">
        <f t="shared" si="219"/>
        <v>157</v>
      </c>
      <c r="GN193" s="2">
        <f t="shared" si="220"/>
        <v>0</v>
      </c>
      <c r="GO193" s="2">
        <f t="shared" si="221"/>
        <v>157</v>
      </c>
      <c r="GP193" s="2">
        <f t="shared" si="222"/>
        <v>0</v>
      </c>
      <c r="GQ193" s="2"/>
      <c r="GR193" s="2">
        <v>0</v>
      </c>
      <c r="GS193" s="2">
        <v>3</v>
      </c>
      <c r="GT193" s="2">
        <v>0</v>
      </c>
      <c r="GU193" s="2" t="s">
        <v>6</v>
      </c>
      <c r="GV193" s="2">
        <f t="shared" si="223"/>
        <v>0</v>
      </c>
      <c r="GW193" s="2">
        <v>1</v>
      </c>
      <c r="GX193" s="2">
        <f t="shared" si="224"/>
        <v>0</v>
      </c>
      <c r="GY193" s="2"/>
      <c r="GZ193" s="2"/>
      <c r="HA193" s="2">
        <v>0</v>
      </c>
      <c r="HB193" s="2">
        <v>0</v>
      </c>
      <c r="HC193" s="2">
        <f t="shared" si="225"/>
        <v>0</v>
      </c>
      <c r="HD193" s="2"/>
      <c r="HE193" s="2" t="s">
        <v>6</v>
      </c>
      <c r="HF193" s="2" t="s">
        <v>6</v>
      </c>
      <c r="HG193" s="2"/>
      <c r="HH193" s="2"/>
      <c r="HI193" s="2"/>
      <c r="HJ193" s="2"/>
      <c r="HK193" s="2"/>
      <c r="HL193" s="2"/>
      <c r="HM193" s="2" t="s">
        <v>6</v>
      </c>
      <c r="HN193" s="2" t="s">
        <v>6</v>
      </c>
      <c r="HO193" s="2" t="s">
        <v>6</v>
      </c>
      <c r="HP193" s="2" t="s">
        <v>6</v>
      </c>
      <c r="HQ193" s="2" t="s">
        <v>6</v>
      </c>
      <c r="HR193" s="2"/>
      <c r="HS193" s="2"/>
      <c r="HT193" s="2"/>
      <c r="HU193" s="2"/>
      <c r="HV193" s="2"/>
      <c r="HW193" s="2"/>
      <c r="HX193" s="2"/>
      <c r="HY193" s="2"/>
      <c r="HZ193" s="2"/>
      <c r="IA193" s="2"/>
      <c r="IB193" s="2"/>
      <c r="IC193" s="2"/>
      <c r="ID193" s="2"/>
      <c r="IE193" s="2"/>
      <c r="IF193" s="2">
        <v>-1</v>
      </c>
      <c r="IG193" s="2"/>
      <c r="IH193" s="2"/>
      <c r="II193" s="2"/>
      <c r="IJ193" s="2"/>
      <c r="IK193" s="2">
        <v>0</v>
      </c>
      <c r="IL193" s="2"/>
      <c r="IM193" s="2"/>
      <c r="IN193" s="2"/>
      <c r="IO193" s="2"/>
      <c r="IP193" s="2"/>
      <c r="IQ193" s="2"/>
      <c r="IR193" s="2"/>
      <c r="IS193" s="2"/>
      <c r="IT193" s="2"/>
      <c r="IU193" s="2"/>
    </row>
    <row r="194" spans="1:255" x14ac:dyDescent="0.2">
      <c r="A194">
        <v>18</v>
      </c>
      <c r="B194">
        <v>1</v>
      </c>
      <c r="C194">
        <v>228</v>
      </c>
      <c r="E194" t="s">
        <v>275</v>
      </c>
      <c r="F194" t="e">
        <f>'2.Лок.смета.и.Акт'!#REF!</f>
        <v>#REF!</v>
      </c>
      <c r="G194" t="s">
        <v>93</v>
      </c>
      <c r="H194" t="s">
        <v>94</v>
      </c>
      <c r="I194">
        <f>I184*J194</f>
        <v>33.544341000000003</v>
      </c>
      <c r="J194">
        <v>5.3880000000000008</v>
      </c>
      <c r="K194">
        <v>5.3879999999999999</v>
      </c>
      <c r="O194">
        <f t="shared" si="194"/>
        <v>1085</v>
      </c>
      <c r="P194">
        <f t="shared" si="195"/>
        <v>1085</v>
      </c>
      <c r="Q194">
        <f t="shared" si="196"/>
        <v>0</v>
      </c>
      <c r="R194">
        <f t="shared" si="197"/>
        <v>0</v>
      </c>
      <c r="S194">
        <f t="shared" si="198"/>
        <v>0</v>
      </c>
      <c r="T194">
        <f t="shared" si="199"/>
        <v>0</v>
      </c>
      <c r="U194">
        <f t="shared" si="200"/>
        <v>0</v>
      </c>
      <c r="V194">
        <f t="shared" si="201"/>
        <v>0</v>
      </c>
      <c r="W194">
        <f t="shared" si="202"/>
        <v>0</v>
      </c>
      <c r="X194">
        <f t="shared" si="203"/>
        <v>0</v>
      </c>
      <c r="Y194">
        <f t="shared" si="204"/>
        <v>0</v>
      </c>
      <c r="AA194">
        <v>86326988</v>
      </c>
      <c r="AB194">
        <f t="shared" si="205"/>
        <v>4.28</v>
      </c>
      <c r="AC194">
        <f t="shared" si="226"/>
        <v>4.28</v>
      </c>
      <c r="AD194">
        <f>ROUND((((ET194)-(EU194))+AE194),2)</f>
        <v>0</v>
      </c>
      <c r="AE194">
        <f t="shared" si="227"/>
        <v>0</v>
      </c>
      <c r="AF194">
        <f t="shared" si="228"/>
        <v>0</v>
      </c>
      <c r="AG194">
        <f t="shared" si="206"/>
        <v>0</v>
      </c>
      <c r="AH194">
        <f t="shared" si="229"/>
        <v>0</v>
      </c>
      <c r="AI194">
        <f t="shared" si="230"/>
        <v>0</v>
      </c>
      <c r="AJ194">
        <f t="shared" si="207"/>
        <v>0.01</v>
      </c>
      <c r="AK194">
        <v>4.28</v>
      </c>
      <c r="AL194">
        <v>4.28</v>
      </c>
      <c r="AM194">
        <v>0</v>
      </c>
      <c r="AN194">
        <v>0</v>
      </c>
      <c r="AO194">
        <v>0</v>
      </c>
      <c r="AP194">
        <v>0</v>
      </c>
      <c r="AQ194">
        <v>0</v>
      </c>
      <c r="AR194">
        <v>0</v>
      </c>
      <c r="AS194">
        <v>0.01</v>
      </c>
      <c r="AT194">
        <v>0</v>
      </c>
      <c r="AU194">
        <v>0</v>
      </c>
      <c r="AV194">
        <v>1</v>
      </c>
      <c r="AW194">
        <v>1</v>
      </c>
      <c r="AZ194">
        <v>1</v>
      </c>
      <c r="BA194">
        <v>1</v>
      </c>
      <c r="BB194">
        <v>1</v>
      </c>
      <c r="BC194">
        <v>7.56</v>
      </c>
      <c r="BD194" t="s">
        <v>6</v>
      </c>
      <c r="BE194" t="s">
        <v>6</v>
      </c>
      <c r="BF194" t="s">
        <v>6</v>
      </c>
      <c r="BG194" t="s">
        <v>6</v>
      </c>
      <c r="BH194">
        <v>3</v>
      </c>
      <c r="BI194">
        <v>2</v>
      </c>
      <c r="BJ194" t="s">
        <v>95</v>
      </c>
      <c r="BM194">
        <v>500002</v>
      </c>
      <c r="BN194">
        <v>0</v>
      </c>
      <c r="BO194" t="s">
        <v>6</v>
      </c>
      <c r="BP194">
        <v>0</v>
      </c>
      <c r="BQ194">
        <v>21</v>
      </c>
      <c r="BR194">
        <v>0</v>
      </c>
      <c r="BS194">
        <v>1</v>
      </c>
      <c r="BT194">
        <v>1</v>
      </c>
      <c r="BU194">
        <v>1</v>
      </c>
      <c r="BV194">
        <v>1</v>
      </c>
      <c r="BW194">
        <v>1</v>
      </c>
      <c r="BX194">
        <v>1</v>
      </c>
      <c r="BY194" t="s">
        <v>6</v>
      </c>
      <c r="BZ194">
        <v>0</v>
      </c>
      <c r="CA194">
        <v>0</v>
      </c>
      <c r="CB194" t="s">
        <v>6</v>
      </c>
      <c r="CE194">
        <v>0</v>
      </c>
      <c r="CF194">
        <v>0</v>
      </c>
      <c r="CG194">
        <v>0</v>
      </c>
      <c r="CM194">
        <v>0</v>
      </c>
      <c r="CN194" t="s">
        <v>6</v>
      </c>
      <c r="CO194">
        <v>0</v>
      </c>
      <c r="CP194">
        <f t="shared" si="208"/>
        <v>1085</v>
      </c>
      <c r="CQ194">
        <f t="shared" si="209"/>
        <v>32.3568</v>
      </c>
      <c r="CR194">
        <f t="shared" si="210"/>
        <v>0</v>
      </c>
      <c r="CS194">
        <f t="shared" si="211"/>
        <v>0</v>
      </c>
      <c r="CT194">
        <f t="shared" si="212"/>
        <v>0</v>
      </c>
      <c r="CU194">
        <f t="shared" si="213"/>
        <v>0</v>
      </c>
      <c r="CV194">
        <f t="shared" si="214"/>
        <v>0</v>
      </c>
      <c r="CW194">
        <f t="shared" si="215"/>
        <v>0</v>
      </c>
      <c r="CX194">
        <f t="shared" si="216"/>
        <v>0.01</v>
      </c>
      <c r="CY194">
        <f>(S194+R194)*(BZ194/100)</f>
        <v>0</v>
      </c>
      <c r="CZ194">
        <f>(S194+R194)*(CA194/100)</f>
        <v>0</v>
      </c>
      <c r="DC194" t="s">
        <v>6</v>
      </c>
      <c r="DD194" t="s">
        <v>6</v>
      </c>
      <c r="DE194" t="s">
        <v>6</v>
      </c>
      <c r="DF194" t="s">
        <v>6</v>
      </c>
      <c r="DG194" t="s">
        <v>6</v>
      </c>
      <c r="DH194" t="s">
        <v>6</v>
      </c>
      <c r="DI194" t="s">
        <v>6</v>
      </c>
      <c r="DJ194" t="s">
        <v>6</v>
      </c>
      <c r="DK194" t="s">
        <v>6</v>
      </c>
      <c r="DL194" t="s">
        <v>6</v>
      </c>
      <c r="DM194" t="s">
        <v>6</v>
      </c>
      <c r="DN194">
        <v>0</v>
      </c>
      <c r="DO194">
        <v>0</v>
      </c>
      <c r="DP194">
        <v>1</v>
      </c>
      <c r="DQ194">
        <v>1</v>
      </c>
      <c r="DU194">
        <v>1003</v>
      </c>
      <c r="DV194" t="s">
        <v>94</v>
      </c>
      <c r="DW194" t="e">
        <f>'2.Лок.смета.и.Акт'!#REF!</f>
        <v>#REF!</v>
      </c>
      <c r="DX194">
        <v>1</v>
      </c>
      <c r="DZ194" t="s">
        <v>6</v>
      </c>
      <c r="EA194" t="s">
        <v>6</v>
      </c>
      <c r="EB194" t="s">
        <v>6</v>
      </c>
      <c r="EC194" t="s">
        <v>6</v>
      </c>
      <c r="EE194">
        <v>54938782</v>
      </c>
      <c r="EF194">
        <v>21</v>
      </c>
      <c r="EG194" t="s">
        <v>96</v>
      </c>
      <c r="EH194">
        <v>0</v>
      </c>
      <c r="EI194" t="s">
        <v>6</v>
      </c>
      <c r="EJ194">
        <v>2</v>
      </c>
      <c r="EK194">
        <v>500002</v>
      </c>
      <c r="EL194" t="s">
        <v>97</v>
      </c>
      <c r="EM194" t="s">
        <v>98</v>
      </c>
      <c r="EO194" t="s">
        <v>6</v>
      </c>
      <c r="EQ194">
        <v>0</v>
      </c>
      <c r="ER194">
        <v>30.51</v>
      </c>
      <c r="ES194">
        <v>4.28</v>
      </c>
      <c r="ET194">
        <v>0</v>
      </c>
      <c r="EU194">
        <v>0</v>
      </c>
      <c r="EV194">
        <v>0</v>
      </c>
      <c r="EW194">
        <v>0</v>
      </c>
      <c r="EX194">
        <v>0</v>
      </c>
      <c r="EZ194">
        <v>5</v>
      </c>
      <c r="FC194">
        <v>0</v>
      </c>
      <c r="FD194">
        <v>18</v>
      </c>
      <c r="FF194">
        <v>30.51</v>
      </c>
      <c r="FQ194">
        <v>0</v>
      </c>
      <c r="FR194">
        <f t="shared" si="217"/>
        <v>0</v>
      </c>
      <c r="FS194">
        <v>0</v>
      </c>
      <c r="FX194">
        <v>0</v>
      </c>
      <c r="FY194">
        <v>0</v>
      </c>
      <c r="GA194" t="s">
        <v>99</v>
      </c>
      <c r="GD194">
        <v>1</v>
      </c>
      <c r="GF194">
        <v>-1608277363</v>
      </c>
      <c r="GG194">
        <v>2</v>
      </c>
      <c r="GH194">
        <v>3</v>
      </c>
      <c r="GI194">
        <v>5</v>
      </c>
      <c r="GJ194">
        <v>0</v>
      </c>
      <c r="GK194">
        <v>0</v>
      </c>
      <c r="GL194">
        <f t="shared" si="218"/>
        <v>0</v>
      </c>
      <c r="GM194">
        <f t="shared" si="219"/>
        <v>1085</v>
      </c>
      <c r="GN194">
        <f t="shared" si="220"/>
        <v>0</v>
      </c>
      <c r="GO194">
        <f t="shared" si="221"/>
        <v>1085</v>
      </c>
      <c r="GP194">
        <f t="shared" si="222"/>
        <v>0</v>
      </c>
      <c r="GR194">
        <v>1</v>
      </c>
      <c r="GS194">
        <v>1</v>
      </c>
      <c r="GT194">
        <v>0</v>
      </c>
      <c r="GU194" t="s">
        <v>6</v>
      </c>
      <c r="GV194">
        <f t="shared" si="223"/>
        <v>0</v>
      </c>
      <c r="GW194">
        <v>1</v>
      </c>
      <c r="GX194">
        <f t="shared" si="224"/>
        <v>0</v>
      </c>
      <c r="HA194">
        <v>0</v>
      </c>
      <c r="HB194">
        <v>0</v>
      </c>
      <c r="HC194">
        <f t="shared" si="225"/>
        <v>0</v>
      </c>
      <c r="HE194" t="s">
        <v>39</v>
      </c>
      <c r="HF194" t="s">
        <v>40</v>
      </c>
      <c r="HM194" t="s">
        <v>6</v>
      </c>
      <c r="HN194" t="s">
        <v>6</v>
      </c>
      <c r="HO194" t="s">
        <v>6</v>
      </c>
      <c r="HP194" t="s">
        <v>6</v>
      </c>
      <c r="HQ194" t="s">
        <v>6</v>
      </c>
      <c r="IF194">
        <v>-1</v>
      </c>
      <c r="IK194">
        <v>0</v>
      </c>
    </row>
    <row r="195" spans="1:255" x14ac:dyDescent="0.2">
      <c r="A195" s="2">
        <v>18</v>
      </c>
      <c r="B195" s="2">
        <v>1</v>
      </c>
      <c r="C195" s="2">
        <v>212</v>
      </c>
      <c r="D195" s="2"/>
      <c r="E195" s="2" t="s">
        <v>276</v>
      </c>
      <c r="F195" s="2" t="s">
        <v>101</v>
      </c>
      <c r="G195" s="2" t="s">
        <v>102</v>
      </c>
      <c r="H195" s="2" t="s">
        <v>103</v>
      </c>
      <c r="I195" s="2">
        <f>I183*J195</f>
        <v>143.19225</v>
      </c>
      <c r="J195" s="226">
        <f>'5.Ведомость_списания'!F92</f>
        <v>23</v>
      </c>
      <c r="K195" s="2">
        <v>23</v>
      </c>
      <c r="L195" s="2"/>
      <c r="M195" s="2"/>
      <c r="N195" s="2"/>
      <c r="O195" s="2">
        <f t="shared" si="194"/>
        <v>34</v>
      </c>
      <c r="P195" s="2">
        <f t="shared" si="195"/>
        <v>34</v>
      </c>
      <c r="Q195" s="2">
        <f t="shared" si="196"/>
        <v>0</v>
      </c>
      <c r="R195" s="2">
        <f t="shared" si="197"/>
        <v>0</v>
      </c>
      <c r="S195" s="2">
        <f t="shared" si="198"/>
        <v>0</v>
      </c>
      <c r="T195" s="2">
        <f t="shared" si="199"/>
        <v>0</v>
      </c>
      <c r="U195" s="2">
        <f t="shared" si="200"/>
        <v>0</v>
      </c>
      <c r="V195" s="2">
        <f t="shared" si="201"/>
        <v>0</v>
      </c>
      <c r="W195" s="2">
        <f t="shared" si="202"/>
        <v>0</v>
      </c>
      <c r="X195" s="2">
        <f t="shared" si="203"/>
        <v>0</v>
      </c>
      <c r="Y195" s="2">
        <f t="shared" si="204"/>
        <v>0</v>
      </c>
      <c r="Z195" s="2"/>
      <c r="AA195" s="2">
        <v>86326987</v>
      </c>
      <c r="AB195" s="2">
        <f t="shared" si="205"/>
        <v>0.24</v>
      </c>
      <c r="AC195" s="2">
        <f t="shared" si="226"/>
        <v>0.24</v>
      </c>
      <c r="AD195" s="2">
        <f t="shared" ref="AD195:AD200" si="231">ROUND((ET195),2)</f>
        <v>0</v>
      </c>
      <c r="AE195" s="2">
        <f t="shared" si="227"/>
        <v>0</v>
      </c>
      <c r="AF195" s="2">
        <f t="shared" si="228"/>
        <v>0</v>
      </c>
      <c r="AG195" s="2">
        <f t="shared" si="206"/>
        <v>0</v>
      </c>
      <c r="AH195" s="2">
        <f t="shared" si="229"/>
        <v>0</v>
      </c>
      <c r="AI195" s="2">
        <f t="shared" si="230"/>
        <v>0</v>
      </c>
      <c r="AJ195" s="2">
        <f t="shared" si="207"/>
        <v>0</v>
      </c>
      <c r="AK195" s="2">
        <v>0.24</v>
      </c>
      <c r="AL195" s="110">
        <f>'1.Лок.смета.и.Акт'!F345</f>
        <v>0.24</v>
      </c>
      <c r="AM195" s="2">
        <v>0</v>
      </c>
      <c r="AN195" s="2">
        <v>0</v>
      </c>
      <c r="AO195" s="2">
        <v>0</v>
      </c>
      <c r="AP195" s="2">
        <v>0</v>
      </c>
      <c r="AQ195" s="2">
        <v>0</v>
      </c>
      <c r="AR195" s="2">
        <v>0</v>
      </c>
      <c r="AS195" s="2">
        <v>0</v>
      </c>
      <c r="AT195" s="2">
        <v>0</v>
      </c>
      <c r="AU195" s="2">
        <v>0</v>
      </c>
      <c r="AV195" s="2">
        <v>1</v>
      </c>
      <c r="AW195" s="2">
        <v>1</v>
      </c>
      <c r="AX195" s="2"/>
      <c r="AY195" s="2"/>
      <c r="AZ195" s="2">
        <v>1</v>
      </c>
      <c r="BA195" s="2">
        <v>1</v>
      </c>
      <c r="BB195" s="2">
        <v>1</v>
      </c>
      <c r="BC195" s="2">
        <v>1</v>
      </c>
      <c r="BD195" s="2" t="s">
        <v>6</v>
      </c>
      <c r="BE195" s="2" t="s">
        <v>6</v>
      </c>
      <c r="BF195" s="2" t="s">
        <v>6</v>
      </c>
      <c r="BG195" s="2" t="s">
        <v>6</v>
      </c>
      <c r="BH195" s="2">
        <v>3</v>
      </c>
      <c r="BI195" s="2">
        <v>1</v>
      </c>
      <c r="BJ195" s="2" t="s">
        <v>104</v>
      </c>
      <c r="BK195" s="2"/>
      <c r="BL195" s="2"/>
      <c r="BM195" s="2">
        <v>3101</v>
      </c>
      <c r="BN195" s="2">
        <v>0</v>
      </c>
      <c r="BO195" s="2" t="s">
        <v>6</v>
      </c>
      <c r="BP195" s="2">
        <v>0</v>
      </c>
      <c r="BQ195" s="2">
        <v>0</v>
      </c>
      <c r="BR195" s="2">
        <v>0</v>
      </c>
      <c r="BS195" s="2">
        <v>1</v>
      </c>
      <c r="BT195" s="2">
        <v>1</v>
      </c>
      <c r="BU195" s="2">
        <v>1</v>
      </c>
      <c r="BV195" s="2">
        <v>1</v>
      </c>
      <c r="BW195" s="2">
        <v>1</v>
      </c>
      <c r="BX195" s="2">
        <v>1</v>
      </c>
      <c r="BY195" s="2" t="s">
        <v>6</v>
      </c>
      <c r="BZ195" s="2">
        <v>0</v>
      </c>
      <c r="CA195" s="2">
        <v>0</v>
      </c>
      <c r="CB195" s="2" t="s">
        <v>6</v>
      </c>
      <c r="CC195" s="2"/>
      <c r="CD195" s="2"/>
      <c r="CE195" s="2">
        <v>0</v>
      </c>
      <c r="CF195" s="2">
        <v>0</v>
      </c>
      <c r="CG195" s="2">
        <v>0</v>
      </c>
      <c r="CH195" s="2"/>
      <c r="CI195" s="2"/>
      <c r="CJ195" s="2"/>
      <c r="CK195" s="2"/>
      <c r="CL195" s="2"/>
      <c r="CM195" s="2">
        <v>0</v>
      </c>
      <c r="CN195" s="2" t="s">
        <v>6</v>
      </c>
      <c r="CO195" s="2">
        <v>0</v>
      </c>
      <c r="CP195" s="2">
        <f t="shared" si="208"/>
        <v>34</v>
      </c>
      <c r="CQ195" s="2">
        <f t="shared" si="209"/>
        <v>0.24</v>
      </c>
      <c r="CR195" s="2">
        <f t="shared" si="210"/>
        <v>0</v>
      </c>
      <c r="CS195" s="2">
        <f t="shared" si="211"/>
        <v>0</v>
      </c>
      <c r="CT195" s="2">
        <f t="shared" si="212"/>
        <v>0</v>
      </c>
      <c r="CU195" s="2">
        <f t="shared" si="213"/>
        <v>0</v>
      </c>
      <c r="CV195" s="2">
        <f t="shared" si="214"/>
        <v>0</v>
      </c>
      <c r="CW195" s="2">
        <f t="shared" si="215"/>
        <v>0</v>
      </c>
      <c r="CX195" s="2">
        <f t="shared" si="216"/>
        <v>0</v>
      </c>
      <c r="CY195" s="2">
        <f>0</f>
        <v>0</v>
      </c>
      <c r="CZ195" s="2">
        <f>0</f>
        <v>0</v>
      </c>
      <c r="DA195" s="2"/>
      <c r="DB195" s="2"/>
      <c r="DC195" s="2" t="s">
        <v>6</v>
      </c>
      <c r="DD195" s="2" t="s">
        <v>6</v>
      </c>
      <c r="DE195" s="2" t="s">
        <v>6</v>
      </c>
      <c r="DF195" s="2" t="s">
        <v>6</v>
      </c>
      <c r="DG195" s="2" t="s">
        <v>6</v>
      </c>
      <c r="DH195" s="2" t="s">
        <v>6</v>
      </c>
      <c r="DI195" s="2" t="s">
        <v>6</v>
      </c>
      <c r="DJ195" s="2" t="s">
        <v>6</v>
      </c>
      <c r="DK195" s="2" t="s">
        <v>6</v>
      </c>
      <c r="DL195" s="2" t="s">
        <v>6</v>
      </c>
      <c r="DM195" s="2" t="s">
        <v>6</v>
      </c>
      <c r="DN195" s="2">
        <v>0</v>
      </c>
      <c r="DO195" s="2">
        <v>0</v>
      </c>
      <c r="DP195" s="2">
        <v>1</v>
      </c>
      <c r="DQ195" s="2">
        <v>1</v>
      </c>
      <c r="DR195" s="2"/>
      <c r="DS195" s="2"/>
      <c r="DT195" s="2"/>
      <c r="DU195" s="2">
        <v>1013</v>
      </c>
      <c r="DV195" s="2" t="s">
        <v>103</v>
      </c>
      <c r="DW195" s="2" t="s">
        <v>103</v>
      </c>
      <c r="DX195" s="2">
        <v>1</v>
      </c>
      <c r="DY195" s="2"/>
      <c r="DZ195" s="2" t="s">
        <v>6</v>
      </c>
      <c r="EA195" s="2" t="s">
        <v>6</v>
      </c>
      <c r="EB195" s="2" t="s">
        <v>6</v>
      </c>
      <c r="EC195" s="2" t="s">
        <v>6</v>
      </c>
      <c r="ED195" s="2"/>
      <c r="EE195" s="2">
        <v>0</v>
      </c>
      <c r="EF195" s="2">
        <v>0</v>
      </c>
      <c r="EG195" s="2" t="s">
        <v>6</v>
      </c>
      <c r="EH195" s="2">
        <v>0</v>
      </c>
      <c r="EI195" s="2" t="s">
        <v>6</v>
      </c>
      <c r="EJ195" s="2">
        <v>0</v>
      </c>
      <c r="EK195" s="2">
        <v>3101</v>
      </c>
      <c r="EL195" s="2" t="s">
        <v>6</v>
      </c>
      <c r="EM195" s="2" t="s">
        <v>6</v>
      </c>
      <c r="EN195" s="2"/>
      <c r="EO195" s="2" t="s">
        <v>6</v>
      </c>
      <c r="EP195" s="2"/>
      <c r="EQ195" s="2">
        <v>0</v>
      </c>
      <c r="ER195" s="2">
        <v>0.24</v>
      </c>
      <c r="ES195" s="110">
        <f>'1.Лок.смета.и.Акт'!F345</f>
        <v>0.24</v>
      </c>
      <c r="ET195" s="2">
        <v>0</v>
      </c>
      <c r="EU195" s="2">
        <v>0</v>
      </c>
      <c r="EV195" s="2">
        <v>0</v>
      </c>
      <c r="EW195" s="2">
        <v>0</v>
      </c>
      <c r="EX195" s="2">
        <v>0</v>
      </c>
      <c r="EY195" s="2"/>
      <c r="EZ195" s="2"/>
      <c r="FA195" s="2"/>
      <c r="FB195" s="2"/>
      <c r="FC195" s="2"/>
      <c r="FD195" s="2"/>
      <c r="FE195" s="2"/>
      <c r="FF195" s="2"/>
      <c r="FG195" s="2"/>
      <c r="FH195" s="2"/>
      <c r="FI195" s="2"/>
      <c r="FJ195" s="2"/>
      <c r="FK195" s="2"/>
      <c r="FL195" s="2"/>
      <c r="FM195" s="2"/>
      <c r="FN195" s="2"/>
      <c r="FO195" s="2"/>
      <c r="FP195" s="2"/>
      <c r="FQ195" s="2">
        <v>0</v>
      </c>
      <c r="FR195" s="2">
        <f t="shared" si="217"/>
        <v>0</v>
      </c>
      <c r="FS195" s="2">
        <v>0</v>
      </c>
      <c r="FT195" s="2"/>
      <c r="FU195" s="2"/>
      <c r="FV195" s="2"/>
      <c r="FW195" s="2"/>
      <c r="FX195" s="2">
        <v>0</v>
      </c>
      <c r="FY195" s="2">
        <v>0</v>
      </c>
      <c r="FZ195" s="2"/>
      <c r="GA195" s="2" t="s">
        <v>6</v>
      </c>
      <c r="GB195" s="2"/>
      <c r="GC195" s="2"/>
      <c r="GD195" s="2">
        <v>1</v>
      </c>
      <c r="GE195" s="2"/>
      <c r="GF195" s="2">
        <v>-504018761</v>
      </c>
      <c r="GG195" s="2">
        <v>2</v>
      </c>
      <c r="GH195" s="2">
        <v>0</v>
      </c>
      <c r="GI195" s="2">
        <v>-2</v>
      </c>
      <c r="GJ195" s="2">
        <v>0</v>
      </c>
      <c r="GK195" s="2">
        <v>0</v>
      </c>
      <c r="GL195" s="2">
        <f t="shared" si="218"/>
        <v>0</v>
      </c>
      <c r="GM195" s="2">
        <f t="shared" si="219"/>
        <v>34</v>
      </c>
      <c r="GN195" s="2">
        <f t="shared" si="220"/>
        <v>34</v>
      </c>
      <c r="GO195" s="2">
        <f t="shared" si="221"/>
        <v>0</v>
      </c>
      <c r="GP195" s="2">
        <f t="shared" si="222"/>
        <v>0</v>
      </c>
      <c r="GQ195" s="2"/>
      <c r="GR195" s="2">
        <v>0</v>
      </c>
      <c r="GS195" s="2">
        <v>3</v>
      </c>
      <c r="GT195" s="2">
        <v>0</v>
      </c>
      <c r="GU195" s="2" t="s">
        <v>6</v>
      </c>
      <c r="GV195" s="2">
        <f t="shared" si="223"/>
        <v>0</v>
      </c>
      <c r="GW195" s="2">
        <v>1</v>
      </c>
      <c r="GX195" s="2">
        <f t="shared" si="224"/>
        <v>0</v>
      </c>
      <c r="GY195" s="2"/>
      <c r="GZ195" s="2"/>
      <c r="HA195" s="2">
        <v>0</v>
      </c>
      <c r="HB195" s="2">
        <v>0</v>
      </c>
      <c r="HC195" s="2">
        <f t="shared" si="225"/>
        <v>0</v>
      </c>
      <c r="HD195" s="2"/>
      <c r="HE195" s="2" t="s">
        <v>6</v>
      </c>
      <c r="HF195" s="2" t="s">
        <v>6</v>
      </c>
      <c r="HG195" s="2"/>
      <c r="HH195" s="2"/>
      <c r="HI195" s="2"/>
      <c r="HJ195" s="2"/>
      <c r="HK195" s="2"/>
      <c r="HL195" s="2"/>
      <c r="HM195" s="2" t="s">
        <v>6</v>
      </c>
      <c r="HN195" s="2" t="s">
        <v>6</v>
      </c>
      <c r="HO195" s="2" t="s">
        <v>6</v>
      </c>
      <c r="HP195" s="2" t="s">
        <v>6</v>
      </c>
      <c r="HQ195" s="2" t="s">
        <v>6</v>
      </c>
      <c r="HR195" s="2"/>
      <c r="HS195" s="2"/>
      <c r="HT195" s="2"/>
      <c r="HU195" s="2"/>
      <c r="HV195" s="2"/>
      <c r="HW195" s="2"/>
      <c r="HX195" s="2"/>
      <c r="HY195" s="2"/>
      <c r="HZ195" s="2"/>
      <c r="IA195" s="2"/>
      <c r="IB195" s="2"/>
      <c r="IC195" s="2"/>
      <c r="ID195" s="2"/>
      <c r="IE195" s="2"/>
      <c r="IF195" s="2">
        <v>-1</v>
      </c>
      <c r="IG195" s="2"/>
      <c r="IH195" s="2"/>
      <c r="II195" s="2"/>
      <c r="IJ195" s="2"/>
      <c r="IK195" s="2">
        <v>0</v>
      </c>
      <c r="IL195" s="2"/>
      <c r="IM195" s="2"/>
      <c r="IN195" s="2"/>
      <c r="IO195" s="2"/>
      <c r="IP195" s="2"/>
      <c r="IQ195" s="2"/>
      <c r="IR195" s="2"/>
      <c r="IS195" s="2"/>
      <c r="IT195" s="2"/>
      <c r="IU195" s="2"/>
    </row>
    <row r="196" spans="1:255" x14ac:dyDescent="0.2">
      <c r="A196">
        <v>18</v>
      </c>
      <c r="B196">
        <v>1</v>
      </c>
      <c r="C196">
        <v>225</v>
      </c>
      <c r="E196" t="s">
        <v>276</v>
      </c>
      <c r="F196" t="e">
        <f>'2.Лок.смета.и.Акт'!#REF!</f>
        <v>#REF!</v>
      </c>
      <c r="G196" t="s">
        <v>102</v>
      </c>
      <c r="H196" t="s">
        <v>103</v>
      </c>
      <c r="I196">
        <f>I184*J196</f>
        <v>143.19225</v>
      </c>
      <c r="J196">
        <v>23</v>
      </c>
      <c r="K196">
        <v>23</v>
      </c>
      <c r="O196">
        <f t="shared" si="194"/>
        <v>173</v>
      </c>
      <c r="P196">
        <f t="shared" si="195"/>
        <v>173</v>
      </c>
      <c r="Q196">
        <f t="shared" si="196"/>
        <v>0</v>
      </c>
      <c r="R196">
        <f t="shared" si="197"/>
        <v>0</v>
      </c>
      <c r="S196">
        <f t="shared" si="198"/>
        <v>0</v>
      </c>
      <c r="T196">
        <f t="shared" si="199"/>
        <v>0</v>
      </c>
      <c r="U196">
        <f t="shared" si="200"/>
        <v>0</v>
      </c>
      <c r="V196">
        <f t="shared" si="201"/>
        <v>0</v>
      </c>
      <c r="W196">
        <f t="shared" si="202"/>
        <v>0</v>
      </c>
      <c r="X196">
        <f t="shared" si="203"/>
        <v>0</v>
      </c>
      <c r="Y196">
        <f t="shared" si="204"/>
        <v>0</v>
      </c>
      <c r="AA196">
        <v>86326988</v>
      </c>
      <c r="AB196">
        <f t="shared" si="205"/>
        <v>0.16</v>
      </c>
      <c r="AC196">
        <f t="shared" si="226"/>
        <v>0.16</v>
      </c>
      <c r="AD196">
        <f t="shared" si="231"/>
        <v>0</v>
      </c>
      <c r="AE196">
        <f t="shared" si="227"/>
        <v>0</v>
      </c>
      <c r="AF196">
        <f t="shared" si="228"/>
        <v>0</v>
      </c>
      <c r="AG196">
        <f t="shared" si="206"/>
        <v>0</v>
      </c>
      <c r="AH196">
        <f t="shared" si="229"/>
        <v>0</v>
      </c>
      <c r="AI196">
        <f t="shared" si="230"/>
        <v>0</v>
      </c>
      <c r="AJ196">
        <f t="shared" si="207"/>
        <v>0</v>
      </c>
      <c r="AK196">
        <v>0.16</v>
      </c>
      <c r="AL196">
        <v>0.16</v>
      </c>
      <c r="AM196">
        <v>0</v>
      </c>
      <c r="AN196">
        <v>0</v>
      </c>
      <c r="AO196">
        <v>0</v>
      </c>
      <c r="AP196">
        <v>0</v>
      </c>
      <c r="AQ196">
        <v>0</v>
      </c>
      <c r="AR196">
        <v>0</v>
      </c>
      <c r="AS196">
        <v>0</v>
      </c>
      <c r="AT196">
        <v>0</v>
      </c>
      <c r="AU196">
        <v>0</v>
      </c>
      <c r="AV196">
        <v>1</v>
      </c>
      <c r="AW196">
        <v>1</v>
      </c>
      <c r="AZ196">
        <v>1</v>
      </c>
      <c r="BA196">
        <v>1</v>
      </c>
      <c r="BB196">
        <v>1</v>
      </c>
      <c r="BC196">
        <v>7.56</v>
      </c>
      <c r="BD196" t="s">
        <v>6</v>
      </c>
      <c r="BE196" t="s">
        <v>6</v>
      </c>
      <c r="BF196" t="s">
        <v>6</v>
      </c>
      <c r="BG196" t="s">
        <v>6</v>
      </c>
      <c r="BH196">
        <v>3</v>
      </c>
      <c r="BI196">
        <v>1</v>
      </c>
      <c r="BJ196" t="s">
        <v>104</v>
      </c>
      <c r="BM196">
        <v>3101</v>
      </c>
      <c r="BN196">
        <v>0</v>
      </c>
      <c r="BO196" t="s">
        <v>6</v>
      </c>
      <c r="BP196">
        <v>0</v>
      </c>
      <c r="BQ196">
        <v>0</v>
      </c>
      <c r="BR196">
        <v>0</v>
      </c>
      <c r="BS196">
        <v>1</v>
      </c>
      <c r="BT196">
        <v>1</v>
      </c>
      <c r="BU196">
        <v>1</v>
      </c>
      <c r="BV196">
        <v>1</v>
      </c>
      <c r="BW196">
        <v>1</v>
      </c>
      <c r="BX196">
        <v>1</v>
      </c>
      <c r="BY196" t="s">
        <v>6</v>
      </c>
      <c r="BZ196">
        <v>0</v>
      </c>
      <c r="CA196">
        <v>0</v>
      </c>
      <c r="CB196" t="s">
        <v>6</v>
      </c>
      <c r="CE196">
        <v>0</v>
      </c>
      <c r="CF196">
        <v>0</v>
      </c>
      <c r="CG196">
        <v>0</v>
      </c>
      <c r="CM196">
        <v>0</v>
      </c>
      <c r="CN196" t="s">
        <v>6</v>
      </c>
      <c r="CO196">
        <v>0</v>
      </c>
      <c r="CP196">
        <f t="shared" si="208"/>
        <v>173</v>
      </c>
      <c r="CQ196">
        <f t="shared" si="209"/>
        <v>1.2096</v>
      </c>
      <c r="CR196">
        <f t="shared" si="210"/>
        <v>0</v>
      </c>
      <c r="CS196">
        <f t="shared" si="211"/>
        <v>0</v>
      </c>
      <c r="CT196">
        <f t="shared" si="212"/>
        <v>0</v>
      </c>
      <c r="CU196">
        <f t="shared" si="213"/>
        <v>0</v>
      </c>
      <c r="CV196">
        <f t="shared" si="214"/>
        <v>0</v>
      </c>
      <c r="CW196">
        <f t="shared" si="215"/>
        <v>0</v>
      </c>
      <c r="CX196">
        <f t="shared" si="216"/>
        <v>0</v>
      </c>
      <c r="CY196">
        <f>(S196+R196)*(BZ196/100)</f>
        <v>0</v>
      </c>
      <c r="CZ196">
        <f>(S196+R196)*(CA196/100)</f>
        <v>0</v>
      </c>
      <c r="DC196" t="s">
        <v>6</v>
      </c>
      <c r="DD196" t="s">
        <v>6</v>
      </c>
      <c r="DE196" t="s">
        <v>6</v>
      </c>
      <c r="DF196" t="s">
        <v>6</v>
      </c>
      <c r="DG196" t="s">
        <v>6</v>
      </c>
      <c r="DH196" t="s">
        <v>6</v>
      </c>
      <c r="DI196" t="s">
        <v>6</v>
      </c>
      <c r="DJ196" t="s">
        <v>6</v>
      </c>
      <c r="DK196" t="s">
        <v>6</v>
      </c>
      <c r="DL196" t="s">
        <v>6</v>
      </c>
      <c r="DM196" t="s">
        <v>6</v>
      </c>
      <c r="DN196">
        <v>0</v>
      </c>
      <c r="DO196">
        <v>0</v>
      </c>
      <c r="DP196">
        <v>1</v>
      </c>
      <c r="DQ196">
        <v>1</v>
      </c>
      <c r="DU196">
        <v>1013</v>
      </c>
      <c r="DV196" t="s">
        <v>103</v>
      </c>
      <c r="DW196" t="e">
        <f>'2.Лок.смета.и.Акт'!#REF!</f>
        <v>#REF!</v>
      </c>
      <c r="DX196">
        <v>1</v>
      </c>
      <c r="DZ196" t="s">
        <v>6</v>
      </c>
      <c r="EA196" t="s">
        <v>6</v>
      </c>
      <c r="EB196" t="s">
        <v>6</v>
      </c>
      <c r="EC196" t="s">
        <v>6</v>
      </c>
      <c r="EE196">
        <v>0</v>
      </c>
      <c r="EF196">
        <v>0</v>
      </c>
      <c r="EG196" t="s">
        <v>6</v>
      </c>
      <c r="EH196">
        <v>0</v>
      </c>
      <c r="EI196" t="s">
        <v>6</v>
      </c>
      <c r="EJ196">
        <v>0</v>
      </c>
      <c r="EK196">
        <v>3101</v>
      </c>
      <c r="EL196" t="s">
        <v>6</v>
      </c>
      <c r="EM196" t="s">
        <v>6</v>
      </c>
      <c r="EO196" t="s">
        <v>6</v>
      </c>
      <c r="EQ196">
        <v>0</v>
      </c>
      <c r="ER196">
        <v>1.1299999999999999</v>
      </c>
      <c r="ES196">
        <v>0.16</v>
      </c>
      <c r="ET196">
        <v>0</v>
      </c>
      <c r="EU196">
        <v>0</v>
      </c>
      <c r="EV196">
        <v>0</v>
      </c>
      <c r="EW196">
        <v>0</v>
      </c>
      <c r="EX196">
        <v>0</v>
      </c>
      <c r="EZ196">
        <v>5</v>
      </c>
      <c r="FC196">
        <v>0</v>
      </c>
      <c r="FD196">
        <v>18</v>
      </c>
      <c r="FF196">
        <v>1.1299999999999999</v>
      </c>
      <c r="FQ196">
        <v>0</v>
      </c>
      <c r="FR196">
        <f t="shared" si="217"/>
        <v>0</v>
      </c>
      <c r="FS196">
        <v>0</v>
      </c>
      <c r="FX196">
        <v>0</v>
      </c>
      <c r="FY196">
        <v>0</v>
      </c>
      <c r="GA196" t="s">
        <v>105</v>
      </c>
      <c r="GD196">
        <v>1</v>
      </c>
      <c r="GF196">
        <v>-504018761</v>
      </c>
      <c r="GG196">
        <v>2</v>
      </c>
      <c r="GH196">
        <v>3</v>
      </c>
      <c r="GI196">
        <v>5</v>
      </c>
      <c r="GJ196">
        <v>0</v>
      </c>
      <c r="GK196">
        <v>0</v>
      </c>
      <c r="GL196">
        <f t="shared" si="218"/>
        <v>0</v>
      </c>
      <c r="GM196">
        <f t="shared" si="219"/>
        <v>173</v>
      </c>
      <c r="GN196">
        <f t="shared" si="220"/>
        <v>173</v>
      </c>
      <c r="GO196">
        <f t="shared" si="221"/>
        <v>0</v>
      </c>
      <c r="GP196">
        <f t="shared" si="222"/>
        <v>0</v>
      </c>
      <c r="GR196">
        <v>1</v>
      </c>
      <c r="GS196">
        <v>1</v>
      </c>
      <c r="GT196">
        <v>0</v>
      </c>
      <c r="GU196" t="s">
        <v>6</v>
      </c>
      <c r="GV196">
        <f t="shared" si="223"/>
        <v>0</v>
      </c>
      <c r="GW196">
        <v>1</v>
      </c>
      <c r="GX196">
        <f t="shared" si="224"/>
        <v>0</v>
      </c>
      <c r="HA196">
        <v>0</v>
      </c>
      <c r="HB196">
        <v>0</v>
      </c>
      <c r="HC196">
        <f t="shared" si="225"/>
        <v>0</v>
      </c>
      <c r="HE196" t="s">
        <v>39</v>
      </c>
      <c r="HF196" t="s">
        <v>40</v>
      </c>
      <c r="HM196" t="s">
        <v>6</v>
      </c>
      <c r="HN196" t="s">
        <v>6</v>
      </c>
      <c r="HO196" t="s">
        <v>6</v>
      </c>
      <c r="HP196" t="s">
        <v>6</v>
      </c>
      <c r="HQ196" t="s">
        <v>6</v>
      </c>
      <c r="IF196">
        <v>-1</v>
      </c>
      <c r="IK196">
        <v>0</v>
      </c>
    </row>
    <row r="197" spans="1:255" x14ac:dyDescent="0.2">
      <c r="A197" s="2">
        <v>18</v>
      </c>
      <c r="B197" s="2">
        <v>1</v>
      </c>
      <c r="C197" s="2">
        <v>210</v>
      </c>
      <c r="D197" s="2"/>
      <c r="E197" s="2" t="s">
        <v>277</v>
      </c>
      <c r="F197" s="2" t="s">
        <v>107</v>
      </c>
      <c r="G197" s="2" t="s">
        <v>108</v>
      </c>
      <c r="H197" s="2" t="s">
        <v>103</v>
      </c>
      <c r="I197" s="2">
        <f>I183*J197</f>
        <v>74.709000000000003</v>
      </c>
      <c r="J197" s="226">
        <f>'5.Ведомость_списания'!F93</f>
        <v>12.000000000000002</v>
      </c>
      <c r="K197" s="2">
        <v>12</v>
      </c>
      <c r="L197" s="2"/>
      <c r="M197" s="2"/>
      <c r="N197" s="2"/>
      <c r="O197" s="2">
        <f t="shared" si="194"/>
        <v>18</v>
      </c>
      <c r="P197" s="2">
        <f t="shared" si="195"/>
        <v>18</v>
      </c>
      <c r="Q197" s="2">
        <f t="shared" si="196"/>
        <v>0</v>
      </c>
      <c r="R197" s="2">
        <f t="shared" si="197"/>
        <v>0</v>
      </c>
      <c r="S197" s="2">
        <f t="shared" si="198"/>
        <v>0</v>
      </c>
      <c r="T197" s="2">
        <f t="shared" si="199"/>
        <v>0</v>
      </c>
      <c r="U197" s="2">
        <f t="shared" si="200"/>
        <v>0</v>
      </c>
      <c r="V197" s="2">
        <f t="shared" si="201"/>
        <v>0</v>
      </c>
      <c r="W197" s="2">
        <f t="shared" si="202"/>
        <v>0</v>
      </c>
      <c r="X197" s="2">
        <f t="shared" si="203"/>
        <v>0</v>
      </c>
      <c r="Y197" s="2">
        <f t="shared" si="204"/>
        <v>0</v>
      </c>
      <c r="Z197" s="2"/>
      <c r="AA197" s="2">
        <v>86326987</v>
      </c>
      <c r="AB197" s="2">
        <f t="shared" si="205"/>
        <v>0.24</v>
      </c>
      <c r="AC197" s="2">
        <f t="shared" si="226"/>
        <v>0.24</v>
      </c>
      <c r="AD197" s="2">
        <f t="shared" si="231"/>
        <v>0</v>
      </c>
      <c r="AE197" s="2">
        <f t="shared" si="227"/>
        <v>0</v>
      </c>
      <c r="AF197" s="2">
        <f t="shared" si="228"/>
        <v>0</v>
      </c>
      <c r="AG197" s="2">
        <f t="shared" si="206"/>
        <v>0</v>
      </c>
      <c r="AH197" s="2">
        <f t="shared" si="229"/>
        <v>0</v>
      </c>
      <c r="AI197" s="2">
        <f t="shared" si="230"/>
        <v>0</v>
      </c>
      <c r="AJ197" s="2">
        <f t="shared" si="207"/>
        <v>0</v>
      </c>
      <c r="AK197" s="2">
        <v>0.24</v>
      </c>
      <c r="AL197" s="110">
        <f>'1.Лок.смета.и.Акт'!F347</f>
        <v>0.24</v>
      </c>
      <c r="AM197" s="2">
        <v>0</v>
      </c>
      <c r="AN197" s="2">
        <v>0</v>
      </c>
      <c r="AO197" s="2">
        <v>0</v>
      </c>
      <c r="AP197" s="2">
        <v>0</v>
      </c>
      <c r="AQ197" s="2">
        <v>0</v>
      </c>
      <c r="AR197" s="2">
        <v>0</v>
      </c>
      <c r="AS197" s="2">
        <v>0</v>
      </c>
      <c r="AT197" s="2">
        <v>0</v>
      </c>
      <c r="AU197" s="2">
        <v>0</v>
      </c>
      <c r="AV197" s="2">
        <v>1</v>
      </c>
      <c r="AW197" s="2">
        <v>1</v>
      </c>
      <c r="AX197" s="2"/>
      <c r="AY197" s="2"/>
      <c r="AZ197" s="2">
        <v>1</v>
      </c>
      <c r="BA197" s="2">
        <v>1</v>
      </c>
      <c r="BB197" s="2">
        <v>1</v>
      </c>
      <c r="BC197" s="2">
        <v>1</v>
      </c>
      <c r="BD197" s="2" t="s">
        <v>6</v>
      </c>
      <c r="BE197" s="2" t="s">
        <v>6</v>
      </c>
      <c r="BF197" s="2" t="s">
        <v>6</v>
      </c>
      <c r="BG197" s="2" t="s">
        <v>6</v>
      </c>
      <c r="BH197" s="2">
        <v>3</v>
      </c>
      <c r="BI197" s="2">
        <v>1</v>
      </c>
      <c r="BJ197" s="2" t="s">
        <v>109</v>
      </c>
      <c r="BK197" s="2"/>
      <c r="BL197" s="2"/>
      <c r="BM197" s="2">
        <v>3101</v>
      </c>
      <c r="BN197" s="2">
        <v>0</v>
      </c>
      <c r="BO197" s="2" t="s">
        <v>6</v>
      </c>
      <c r="BP197" s="2">
        <v>0</v>
      </c>
      <c r="BQ197" s="2">
        <v>0</v>
      </c>
      <c r="BR197" s="2">
        <v>0</v>
      </c>
      <c r="BS197" s="2">
        <v>1</v>
      </c>
      <c r="BT197" s="2">
        <v>1</v>
      </c>
      <c r="BU197" s="2">
        <v>1</v>
      </c>
      <c r="BV197" s="2">
        <v>1</v>
      </c>
      <c r="BW197" s="2">
        <v>1</v>
      </c>
      <c r="BX197" s="2">
        <v>1</v>
      </c>
      <c r="BY197" s="2" t="s">
        <v>6</v>
      </c>
      <c r="BZ197" s="2">
        <v>0</v>
      </c>
      <c r="CA197" s="2">
        <v>0</v>
      </c>
      <c r="CB197" s="2" t="s">
        <v>6</v>
      </c>
      <c r="CC197" s="2"/>
      <c r="CD197" s="2"/>
      <c r="CE197" s="2">
        <v>0</v>
      </c>
      <c r="CF197" s="2">
        <v>0</v>
      </c>
      <c r="CG197" s="2">
        <v>0</v>
      </c>
      <c r="CH197" s="2"/>
      <c r="CI197" s="2"/>
      <c r="CJ197" s="2"/>
      <c r="CK197" s="2"/>
      <c r="CL197" s="2"/>
      <c r="CM197" s="2">
        <v>0</v>
      </c>
      <c r="CN197" s="2" t="s">
        <v>6</v>
      </c>
      <c r="CO197" s="2">
        <v>0</v>
      </c>
      <c r="CP197" s="2">
        <f t="shared" si="208"/>
        <v>18</v>
      </c>
      <c r="CQ197" s="2">
        <f t="shared" si="209"/>
        <v>0.24</v>
      </c>
      <c r="CR197" s="2">
        <f t="shared" si="210"/>
        <v>0</v>
      </c>
      <c r="CS197" s="2">
        <f t="shared" si="211"/>
        <v>0</v>
      </c>
      <c r="CT197" s="2">
        <f t="shared" si="212"/>
        <v>0</v>
      </c>
      <c r="CU197" s="2">
        <f t="shared" si="213"/>
        <v>0</v>
      </c>
      <c r="CV197" s="2">
        <f t="shared" si="214"/>
        <v>0</v>
      </c>
      <c r="CW197" s="2">
        <f t="shared" si="215"/>
        <v>0</v>
      </c>
      <c r="CX197" s="2">
        <f t="shared" si="216"/>
        <v>0</v>
      </c>
      <c r="CY197" s="2">
        <f>0</f>
        <v>0</v>
      </c>
      <c r="CZ197" s="2">
        <f>0</f>
        <v>0</v>
      </c>
      <c r="DA197" s="2"/>
      <c r="DB197" s="2"/>
      <c r="DC197" s="2" t="s">
        <v>6</v>
      </c>
      <c r="DD197" s="2" t="s">
        <v>6</v>
      </c>
      <c r="DE197" s="2" t="s">
        <v>6</v>
      </c>
      <c r="DF197" s="2" t="s">
        <v>6</v>
      </c>
      <c r="DG197" s="2" t="s">
        <v>6</v>
      </c>
      <c r="DH197" s="2" t="s">
        <v>6</v>
      </c>
      <c r="DI197" s="2" t="s">
        <v>6</v>
      </c>
      <c r="DJ197" s="2" t="s">
        <v>6</v>
      </c>
      <c r="DK197" s="2" t="s">
        <v>6</v>
      </c>
      <c r="DL197" s="2" t="s">
        <v>6</v>
      </c>
      <c r="DM197" s="2" t="s">
        <v>6</v>
      </c>
      <c r="DN197" s="2">
        <v>0</v>
      </c>
      <c r="DO197" s="2">
        <v>0</v>
      </c>
      <c r="DP197" s="2">
        <v>1</v>
      </c>
      <c r="DQ197" s="2">
        <v>1</v>
      </c>
      <c r="DR197" s="2"/>
      <c r="DS197" s="2"/>
      <c r="DT197" s="2"/>
      <c r="DU197" s="2">
        <v>1013</v>
      </c>
      <c r="DV197" s="2" t="s">
        <v>103</v>
      </c>
      <c r="DW197" s="2" t="s">
        <v>103</v>
      </c>
      <c r="DX197" s="2">
        <v>1</v>
      </c>
      <c r="DY197" s="2"/>
      <c r="DZ197" s="2" t="s">
        <v>6</v>
      </c>
      <c r="EA197" s="2" t="s">
        <v>6</v>
      </c>
      <c r="EB197" s="2" t="s">
        <v>6</v>
      </c>
      <c r="EC197" s="2" t="s">
        <v>6</v>
      </c>
      <c r="ED197" s="2"/>
      <c r="EE197" s="2">
        <v>0</v>
      </c>
      <c r="EF197" s="2">
        <v>0</v>
      </c>
      <c r="EG197" s="2" t="s">
        <v>6</v>
      </c>
      <c r="EH197" s="2">
        <v>0</v>
      </c>
      <c r="EI197" s="2" t="s">
        <v>6</v>
      </c>
      <c r="EJ197" s="2">
        <v>0</v>
      </c>
      <c r="EK197" s="2">
        <v>3101</v>
      </c>
      <c r="EL197" s="2" t="s">
        <v>6</v>
      </c>
      <c r="EM197" s="2" t="s">
        <v>6</v>
      </c>
      <c r="EN197" s="2"/>
      <c r="EO197" s="2" t="s">
        <v>6</v>
      </c>
      <c r="EP197" s="2"/>
      <c r="EQ197" s="2">
        <v>0</v>
      </c>
      <c r="ER197" s="2">
        <v>0.24</v>
      </c>
      <c r="ES197" s="110">
        <f>'1.Лок.смета.и.Акт'!F347</f>
        <v>0.24</v>
      </c>
      <c r="ET197" s="2">
        <v>0</v>
      </c>
      <c r="EU197" s="2">
        <v>0</v>
      </c>
      <c r="EV197" s="2">
        <v>0</v>
      </c>
      <c r="EW197" s="2">
        <v>0</v>
      </c>
      <c r="EX197" s="2">
        <v>0</v>
      </c>
      <c r="EY197" s="2"/>
      <c r="EZ197" s="2"/>
      <c r="FA197" s="2"/>
      <c r="FB197" s="2"/>
      <c r="FC197" s="2"/>
      <c r="FD197" s="2"/>
      <c r="FE197" s="2"/>
      <c r="FF197" s="2"/>
      <c r="FG197" s="2"/>
      <c r="FH197" s="2"/>
      <c r="FI197" s="2"/>
      <c r="FJ197" s="2"/>
      <c r="FK197" s="2"/>
      <c r="FL197" s="2"/>
      <c r="FM197" s="2"/>
      <c r="FN197" s="2"/>
      <c r="FO197" s="2"/>
      <c r="FP197" s="2"/>
      <c r="FQ197" s="2">
        <v>0</v>
      </c>
      <c r="FR197" s="2">
        <f t="shared" si="217"/>
        <v>0</v>
      </c>
      <c r="FS197" s="2">
        <v>0</v>
      </c>
      <c r="FT197" s="2"/>
      <c r="FU197" s="2"/>
      <c r="FV197" s="2"/>
      <c r="FW197" s="2"/>
      <c r="FX197" s="2">
        <v>0</v>
      </c>
      <c r="FY197" s="2">
        <v>0</v>
      </c>
      <c r="FZ197" s="2"/>
      <c r="GA197" s="2" t="s">
        <v>6</v>
      </c>
      <c r="GB197" s="2"/>
      <c r="GC197" s="2"/>
      <c r="GD197" s="2">
        <v>1</v>
      </c>
      <c r="GE197" s="2"/>
      <c r="GF197" s="2">
        <v>-1648273723</v>
      </c>
      <c r="GG197" s="2">
        <v>2</v>
      </c>
      <c r="GH197" s="2">
        <v>1</v>
      </c>
      <c r="GI197" s="2">
        <v>-2</v>
      </c>
      <c r="GJ197" s="2">
        <v>0</v>
      </c>
      <c r="GK197" s="2">
        <v>0</v>
      </c>
      <c r="GL197" s="2">
        <f t="shared" si="218"/>
        <v>0</v>
      </c>
      <c r="GM197" s="2">
        <f t="shared" si="219"/>
        <v>18</v>
      </c>
      <c r="GN197" s="2">
        <f t="shared" si="220"/>
        <v>18</v>
      </c>
      <c r="GO197" s="2">
        <f t="shared" si="221"/>
        <v>0</v>
      </c>
      <c r="GP197" s="2">
        <f t="shared" si="222"/>
        <v>0</v>
      </c>
      <c r="GQ197" s="2"/>
      <c r="GR197" s="2">
        <v>0</v>
      </c>
      <c r="GS197" s="2">
        <v>3</v>
      </c>
      <c r="GT197" s="2">
        <v>0</v>
      </c>
      <c r="GU197" s="2" t="s">
        <v>6</v>
      </c>
      <c r="GV197" s="2">
        <f t="shared" si="223"/>
        <v>0</v>
      </c>
      <c r="GW197" s="2">
        <v>1</v>
      </c>
      <c r="GX197" s="2">
        <f t="shared" si="224"/>
        <v>0</v>
      </c>
      <c r="GY197" s="2"/>
      <c r="GZ197" s="2"/>
      <c r="HA197" s="2">
        <v>0</v>
      </c>
      <c r="HB197" s="2">
        <v>0</v>
      </c>
      <c r="HC197" s="2">
        <f t="shared" si="225"/>
        <v>0</v>
      </c>
      <c r="HD197" s="2"/>
      <c r="HE197" s="2" t="s">
        <v>6</v>
      </c>
      <c r="HF197" s="2" t="s">
        <v>6</v>
      </c>
      <c r="HG197" s="2"/>
      <c r="HH197" s="2"/>
      <c r="HI197" s="2"/>
      <c r="HJ197" s="2"/>
      <c r="HK197" s="2"/>
      <c r="HL197" s="2"/>
      <c r="HM197" s="2" t="s">
        <v>6</v>
      </c>
      <c r="HN197" s="2" t="s">
        <v>6</v>
      </c>
      <c r="HO197" s="2" t="s">
        <v>6</v>
      </c>
      <c r="HP197" s="2" t="s">
        <v>6</v>
      </c>
      <c r="HQ197" s="2" t="s">
        <v>6</v>
      </c>
      <c r="HR197" s="2"/>
      <c r="HS197" s="2"/>
      <c r="HT197" s="2"/>
      <c r="HU197" s="2"/>
      <c r="HV197" s="2"/>
      <c r="HW197" s="2"/>
      <c r="HX197" s="2"/>
      <c r="HY197" s="2"/>
      <c r="HZ197" s="2"/>
      <c r="IA197" s="2"/>
      <c r="IB197" s="2"/>
      <c r="IC197" s="2"/>
      <c r="ID197" s="2"/>
      <c r="IE197" s="2"/>
      <c r="IF197" s="2">
        <v>-1</v>
      </c>
      <c r="IG197" s="2"/>
      <c r="IH197" s="2"/>
      <c r="II197" s="2"/>
      <c r="IJ197" s="2"/>
      <c r="IK197" s="2">
        <v>0</v>
      </c>
      <c r="IL197" s="2"/>
      <c r="IM197" s="2"/>
      <c r="IN197" s="2"/>
      <c r="IO197" s="2"/>
      <c r="IP197" s="2"/>
      <c r="IQ197" s="2"/>
      <c r="IR197" s="2"/>
      <c r="IS197" s="2"/>
      <c r="IT197" s="2"/>
      <c r="IU197" s="2"/>
    </row>
    <row r="198" spans="1:255" x14ac:dyDescent="0.2">
      <c r="A198">
        <v>18</v>
      </c>
      <c r="B198">
        <v>1</v>
      </c>
      <c r="C198">
        <v>223</v>
      </c>
      <c r="E198" t="s">
        <v>277</v>
      </c>
      <c r="F198" t="e">
        <f>'2.Лок.смета.и.Акт'!#REF!</f>
        <v>#REF!</v>
      </c>
      <c r="G198" t="s">
        <v>108</v>
      </c>
      <c r="H198" t="s">
        <v>103</v>
      </c>
      <c r="I198">
        <f>I184*J198</f>
        <v>74.709000000000003</v>
      </c>
      <c r="J198">
        <v>12.000000000000002</v>
      </c>
      <c r="K198">
        <v>12</v>
      </c>
      <c r="O198">
        <f t="shared" si="194"/>
        <v>45</v>
      </c>
      <c r="P198">
        <f t="shared" si="195"/>
        <v>45</v>
      </c>
      <c r="Q198">
        <f t="shared" si="196"/>
        <v>0</v>
      </c>
      <c r="R198">
        <f t="shared" si="197"/>
        <v>0</v>
      </c>
      <c r="S198">
        <f t="shared" si="198"/>
        <v>0</v>
      </c>
      <c r="T198">
        <f t="shared" si="199"/>
        <v>0</v>
      </c>
      <c r="U198">
        <f t="shared" si="200"/>
        <v>0</v>
      </c>
      <c r="V198">
        <f t="shared" si="201"/>
        <v>0</v>
      </c>
      <c r="W198">
        <f t="shared" si="202"/>
        <v>0</v>
      </c>
      <c r="X198">
        <f t="shared" si="203"/>
        <v>0</v>
      </c>
      <c r="Y198">
        <f t="shared" si="204"/>
        <v>0</v>
      </c>
      <c r="AA198">
        <v>86326988</v>
      </c>
      <c r="AB198">
        <f t="shared" si="205"/>
        <v>0.08</v>
      </c>
      <c r="AC198">
        <f t="shared" si="226"/>
        <v>0.08</v>
      </c>
      <c r="AD198">
        <f t="shared" si="231"/>
        <v>0</v>
      </c>
      <c r="AE198">
        <f t="shared" si="227"/>
        <v>0</v>
      </c>
      <c r="AF198">
        <f t="shared" si="228"/>
        <v>0</v>
      </c>
      <c r="AG198">
        <f t="shared" si="206"/>
        <v>0</v>
      </c>
      <c r="AH198">
        <f t="shared" si="229"/>
        <v>0</v>
      </c>
      <c r="AI198">
        <f t="shared" si="230"/>
        <v>0</v>
      </c>
      <c r="AJ198">
        <f t="shared" si="207"/>
        <v>0</v>
      </c>
      <c r="AK198">
        <v>0.08</v>
      </c>
      <c r="AL198">
        <v>0.08</v>
      </c>
      <c r="AM198">
        <v>0</v>
      </c>
      <c r="AN198">
        <v>0</v>
      </c>
      <c r="AO198">
        <v>0</v>
      </c>
      <c r="AP198">
        <v>0</v>
      </c>
      <c r="AQ198">
        <v>0</v>
      </c>
      <c r="AR198">
        <v>0</v>
      </c>
      <c r="AS198">
        <v>0</v>
      </c>
      <c r="AT198">
        <v>0</v>
      </c>
      <c r="AU198">
        <v>0</v>
      </c>
      <c r="AV198">
        <v>1</v>
      </c>
      <c r="AW198">
        <v>1</v>
      </c>
      <c r="AZ198">
        <v>1</v>
      </c>
      <c r="BA198">
        <v>1</v>
      </c>
      <c r="BB198">
        <v>1</v>
      </c>
      <c r="BC198">
        <v>7.56</v>
      </c>
      <c r="BD198" t="s">
        <v>6</v>
      </c>
      <c r="BE198" t="s">
        <v>6</v>
      </c>
      <c r="BF198" t="s">
        <v>6</v>
      </c>
      <c r="BG198" t="s">
        <v>6</v>
      </c>
      <c r="BH198">
        <v>3</v>
      </c>
      <c r="BI198">
        <v>1</v>
      </c>
      <c r="BJ198" t="s">
        <v>109</v>
      </c>
      <c r="BM198">
        <v>3101</v>
      </c>
      <c r="BN198">
        <v>0</v>
      </c>
      <c r="BO198" t="s">
        <v>6</v>
      </c>
      <c r="BP198">
        <v>0</v>
      </c>
      <c r="BQ198">
        <v>0</v>
      </c>
      <c r="BR198">
        <v>0</v>
      </c>
      <c r="BS198">
        <v>1</v>
      </c>
      <c r="BT198">
        <v>1</v>
      </c>
      <c r="BU198">
        <v>1</v>
      </c>
      <c r="BV198">
        <v>1</v>
      </c>
      <c r="BW198">
        <v>1</v>
      </c>
      <c r="BX198">
        <v>1</v>
      </c>
      <c r="BY198" t="s">
        <v>6</v>
      </c>
      <c r="BZ198">
        <v>0</v>
      </c>
      <c r="CA198">
        <v>0</v>
      </c>
      <c r="CB198" t="s">
        <v>6</v>
      </c>
      <c r="CE198">
        <v>0</v>
      </c>
      <c r="CF198">
        <v>0</v>
      </c>
      <c r="CG198">
        <v>0</v>
      </c>
      <c r="CM198">
        <v>0</v>
      </c>
      <c r="CN198" t="s">
        <v>6</v>
      </c>
      <c r="CO198">
        <v>0</v>
      </c>
      <c r="CP198">
        <f t="shared" si="208"/>
        <v>45</v>
      </c>
      <c r="CQ198">
        <f t="shared" si="209"/>
        <v>0.6048</v>
      </c>
      <c r="CR198">
        <f t="shared" si="210"/>
        <v>0</v>
      </c>
      <c r="CS198">
        <f t="shared" si="211"/>
        <v>0</v>
      </c>
      <c r="CT198">
        <f t="shared" si="212"/>
        <v>0</v>
      </c>
      <c r="CU198">
        <f t="shared" si="213"/>
        <v>0</v>
      </c>
      <c r="CV198">
        <f t="shared" si="214"/>
        <v>0</v>
      </c>
      <c r="CW198">
        <f t="shared" si="215"/>
        <v>0</v>
      </c>
      <c r="CX198">
        <f t="shared" si="216"/>
        <v>0</v>
      </c>
      <c r="CY198">
        <f>(S198+R198)*(BZ198/100)</f>
        <v>0</v>
      </c>
      <c r="CZ198">
        <f>(S198+R198)*(CA198/100)</f>
        <v>0</v>
      </c>
      <c r="DC198" t="s">
        <v>6</v>
      </c>
      <c r="DD198" t="s">
        <v>6</v>
      </c>
      <c r="DE198" t="s">
        <v>6</v>
      </c>
      <c r="DF198" t="s">
        <v>6</v>
      </c>
      <c r="DG198" t="s">
        <v>6</v>
      </c>
      <c r="DH198" t="s">
        <v>6</v>
      </c>
      <c r="DI198" t="s">
        <v>6</v>
      </c>
      <c r="DJ198" t="s">
        <v>6</v>
      </c>
      <c r="DK198" t="s">
        <v>6</v>
      </c>
      <c r="DL198" t="s">
        <v>6</v>
      </c>
      <c r="DM198" t="s">
        <v>6</v>
      </c>
      <c r="DN198">
        <v>0</v>
      </c>
      <c r="DO198">
        <v>0</v>
      </c>
      <c r="DP198">
        <v>1</v>
      </c>
      <c r="DQ198">
        <v>1</v>
      </c>
      <c r="DU198">
        <v>1013</v>
      </c>
      <c r="DV198" t="s">
        <v>103</v>
      </c>
      <c r="DW198" t="e">
        <f>'2.Лок.смета.и.Акт'!#REF!</f>
        <v>#REF!</v>
      </c>
      <c r="DX198">
        <v>1</v>
      </c>
      <c r="DZ198" t="s">
        <v>6</v>
      </c>
      <c r="EA198" t="s">
        <v>6</v>
      </c>
      <c r="EB198" t="s">
        <v>6</v>
      </c>
      <c r="EC198" t="s">
        <v>6</v>
      </c>
      <c r="EE198">
        <v>0</v>
      </c>
      <c r="EF198">
        <v>0</v>
      </c>
      <c r="EG198" t="s">
        <v>6</v>
      </c>
      <c r="EH198">
        <v>0</v>
      </c>
      <c r="EI198" t="s">
        <v>6</v>
      </c>
      <c r="EJ198">
        <v>0</v>
      </c>
      <c r="EK198">
        <v>3101</v>
      </c>
      <c r="EL198" t="s">
        <v>6</v>
      </c>
      <c r="EM198" t="s">
        <v>6</v>
      </c>
      <c r="EO198" t="s">
        <v>6</v>
      </c>
      <c r="EQ198">
        <v>0</v>
      </c>
      <c r="ER198">
        <v>0.62</v>
      </c>
      <c r="ES198">
        <v>0.08</v>
      </c>
      <c r="ET198">
        <v>0</v>
      </c>
      <c r="EU198">
        <v>0</v>
      </c>
      <c r="EV198">
        <v>0</v>
      </c>
      <c r="EW198">
        <v>0</v>
      </c>
      <c r="EX198">
        <v>0</v>
      </c>
      <c r="EZ198">
        <v>5</v>
      </c>
      <c r="FC198">
        <v>0</v>
      </c>
      <c r="FD198">
        <v>18</v>
      </c>
      <c r="FF198">
        <v>0.62</v>
      </c>
      <c r="FQ198">
        <v>0</v>
      </c>
      <c r="FR198">
        <f t="shared" si="217"/>
        <v>0</v>
      </c>
      <c r="FS198">
        <v>0</v>
      </c>
      <c r="FX198">
        <v>0</v>
      </c>
      <c r="FY198">
        <v>0</v>
      </c>
      <c r="GA198" t="s">
        <v>110</v>
      </c>
      <c r="GD198">
        <v>1</v>
      </c>
      <c r="GF198">
        <v>-1648273723</v>
      </c>
      <c r="GG198">
        <v>2</v>
      </c>
      <c r="GH198">
        <v>3</v>
      </c>
      <c r="GI198">
        <v>5</v>
      </c>
      <c r="GJ198">
        <v>0</v>
      </c>
      <c r="GK198">
        <v>0</v>
      </c>
      <c r="GL198">
        <f t="shared" si="218"/>
        <v>0</v>
      </c>
      <c r="GM198">
        <f t="shared" si="219"/>
        <v>45</v>
      </c>
      <c r="GN198">
        <f t="shared" si="220"/>
        <v>45</v>
      </c>
      <c r="GO198">
        <f t="shared" si="221"/>
        <v>0</v>
      </c>
      <c r="GP198">
        <f t="shared" si="222"/>
        <v>0</v>
      </c>
      <c r="GR198">
        <v>1</v>
      </c>
      <c r="GS198">
        <v>1</v>
      </c>
      <c r="GT198">
        <v>0</v>
      </c>
      <c r="GU198" t="s">
        <v>6</v>
      </c>
      <c r="GV198">
        <f t="shared" si="223"/>
        <v>0</v>
      </c>
      <c r="GW198">
        <v>1</v>
      </c>
      <c r="GX198">
        <f t="shared" si="224"/>
        <v>0</v>
      </c>
      <c r="HA198">
        <v>0</v>
      </c>
      <c r="HB198">
        <v>0</v>
      </c>
      <c r="HC198">
        <f t="shared" si="225"/>
        <v>0</v>
      </c>
      <c r="HE198" t="s">
        <v>39</v>
      </c>
      <c r="HF198" t="s">
        <v>40</v>
      </c>
      <c r="HM198" t="s">
        <v>6</v>
      </c>
      <c r="HN198" t="s">
        <v>6</v>
      </c>
      <c r="HO198" t="s">
        <v>6</v>
      </c>
      <c r="HP198" t="s">
        <v>6</v>
      </c>
      <c r="HQ198" t="s">
        <v>6</v>
      </c>
      <c r="IF198">
        <v>-1</v>
      </c>
      <c r="IK198">
        <v>0</v>
      </c>
    </row>
    <row r="199" spans="1:255" x14ac:dyDescent="0.2">
      <c r="A199" s="2">
        <v>18</v>
      </c>
      <c r="B199" s="2">
        <v>1</v>
      </c>
      <c r="C199" s="2">
        <v>211</v>
      </c>
      <c r="D199" s="2"/>
      <c r="E199" s="2" t="s">
        <v>278</v>
      </c>
      <c r="F199" s="2" t="s">
        <v>112</v>
      </c>
      <c r="G199" s="2" t="s">
        <v>113</v>
      </c>
      <c r="H199" s="2" t="s">
        <v>103</v>
      </c>
      <c r="I199" s="2">
        <f>I183*J199</f>
        <v>74.709000000000003</v>
      </c>
      <c r="J199" s="226">
        <f>'5.Ведомость_списания'!F94</f>
        <v>12.000000000000002</v>
      </c>
      <c r="K199" s="2">
        <v>12</v>
      </c>
      <c r="L199" s="2"/>
      <c r="M199" s="2"/>
      <c r="N199" s="2"/>
      <c r="O199" s="2">
        <f t="shared" si="194"/>
        <v>22</v>
      </c>
      <c r="P199" s="2">
        <f t="shared" si="195"/>
        <v>22</v>
      </c>
      <c r="Q199" s="2">
        <f t="shared" si="196"/>
        <v>0</v>
      </c>
      <c r="R199" s="2">
        <f t="shared" si="197"/>
        <v>0</v>
      </c>
      <c r="S199" s="2">
        <f t="shared" si="198"/>
        <v>0</v>
      </c>
      <c r="T199" s="2">
        <f t="shared" si="199"/>
        <v>0</v>
      </c>
      <c r="U199" s="2">
        <f t="shared" si="200"/>
        <v>0</v>
      </c>
      <c r="V199" s="2">
        <f t="shared" si="201"/>
        <v>0</v>
      </c>
      <c r="W199" s="2">
        <f t="shared" si="202"/>
        <v>0</v>
      </c>
      <c r="X199" s="2">
        <f t="shared" si="203"/>
        <v>0</v>
      </c>
      <c r="Y199" s="2">
        <f t="shared" si="204"/>
        <v>0</v>
      </c>
      <c r="Z199" s="2"/>
      <c r="AA199" s="2">
        <v>86326987</v>
      </c>
      <c r="AB199" s="2">
        <f t="shared" si="205"/>
        <v>0.3</v>
      </c>
      <c r="AC199" s="2">
        <f t="shared" si="226"/>
        <v>0.3</v>
      </c>
      <c r="AD199" s="2">
        <f t="shared" si="231"/>
        <v>0</v>
      </c>
      <c r="AE199" s="2">
        <f t="shared" si="227"/>
        <v>0</v>
      </c>
      <c r="AF199" s="2">
        <f t="shared" si="228"/>
        <v>0</v>
      </c>
      <c r="AG199" s="2">
        <f t="shared" si="206"/>
        <v>0</v>
      </c>
      <c r="AH199" s="2">
        <f t="shared" si="229"/>
        <v>0</v>
      </c>
      <c r="AI199" s="2">
        <f t="shared" si="230"/>
        <v>0</v>
      </c>
      <c r="AJ199" s="2">
        <f t="shared" si="207"/>
        <v>0</v>
      </c>
      <c r="AK199" s="2">
        <v>0.3</v>
      </c>
      <c r="AL199" s="110">
        <f>'1.Лок.смета.и.Акт'!F349</f>
        <v>0.3</v>
      </c>
      <c r="AM199" s="2">
        <v>0</v>
      </c>
      <c r="AN199" s="2">
        <v>0</v>
      </c>
      <c r="AO199" s="2">
        <v>0</v>
      </c>
      <c r="AP199" s="2">
        <v>0</v>
      </c>
      <c r="AQ199" s="2">
        <v>0</v>
      </c>
      <c r="AR199" s="2">
        <v>0</v>
      </c>
      <c r="AS199" s="2">
        <v>0</v>
      </c>
      <c r="AT199" s="2">
        <v>0</v>
      </c>
      <c r="AU199" s="2">
        <v>0</v>
      </c>
      <c r="AV199" s="2">
        <v>1</v>
      </c>
      <c r="AW199" s="2">
        <v>1</v>
      </c>
      <c r="AX199" s="2"/>
      <c r="AY199" s="2"/>
      <c r="AZ199" s="2">
        <v>1</v>
      </c>
      <c r="BA199" s="2">
        <v>1</v>
      </c>
      <c r="BB199" s="2">
        <v>1</v>
      </c>
      <c r="BC199" s="2">
        <v>1</v>
      </c>
      <c r="BD199" s="2" t="s">
        <v>6</v>
      </c>
      <c r="BE199" s="2" t="s">
        <v>6</v>
      </c>
      <c r="BF199" s="2" t="s">
        <v>6</v>
      </c>
      <c r="BG199" s="2" t="s">
        <v>6</v>
      </c>
      <c r="BH199" s="2">
        <v>3</v>
      </c>
      <c r="BI199" s="2">
        <v>1</v>
      </c>
      <c r="BJ199" s="2" t="s">
        <v>114</v>
      </c>
      <c r="BK199" s="2"/>
      <c r="BL199" s="2"/>
      <c r="BM199" s="2">
        <v>3101</v>
      </c>
      <c r="BN199" s="2">
        <v>0</v>
      </c>
      <c r="BO199" s="2" t="s">
        <v>6</v>
      </c>
      <c r="BP199" s="2">
        <v>0</v>
      </c>
      <c r="BQ199" s="2">
        <v>0</v>
      </c>
      <c r="BR199" s="2">
        <v>0</v>
      </c>
      <c r="BS199" s="2">
        <v>1</v>
      </c>
      <c r="BT199" s="2">
        <v>1</v>
      </c>
      <c r="BU199" s="2">
        <v>1</v>
      </c>
      <c r="BV199" s="2">
        <v>1</v>
      </c>
      <c r="BW199" s="2">
        <v>1</v>
      </c>
      <c r="BX199" s="2">
        <v>1</v>
      </c>
      <c r="BY199" s="2" t="s">
        <v>6</v>
      </c>
      <c r="BZ199" s="2">
        <v>0</v>
      </c>
      <c r="CA199" s="2">
        <v>0</v>
      </c>
      <c r="CB199" s="2" t="s">
        <v>6</v>
      </c>
      <c r="CC199" s="2"/>
      <c r="CD199" s="2"/>
      <c r="CE199" s="2">
        <v>0</v>
      </c>
      <c r="CF199" s="2">
        <v>0</v>
      </c>
      <c r="CG199" s="2">
        <v>0</v>
      </c>
      <c r="CH199" s="2"/>
      <c r="CI199" s="2"/>
      <c r="CJ199" s="2"/>
      <c r="CK199" s="2"/>
      <c r="CL199" s="2"/>
      <c r="CM199" s="2">
        <v>0</v>
      </c>
      <c r="CN199" s="2" t="s">
        <v>6</v>
      </c>
      <c r="CO199" s="2">
        <v>0</v>
      </c>
      <c r="CP199" s="2">
        <f t="shared" si="208"/>
        <v>22</v>
      </c>
      <c r="CQ199" s="2">
        <f t="shared" si="209"/>
        <v>0.3</v>
      </c>
      <c r="CR199" s="2">
        <f t="shared" si="210"/>
        <v>0</v>
      </c>
      <c r="CS199" s="2">
        <f t="shared" si="211"/>
        <v>0</v>
      </c>
      <c r="CT199" s="2">
        <f t="shared" si="212"/>
        <v>0</v>
      </c>
      <c r="CU199" s="2">
        <f t="shared" si="213"/>
        <v>0</v>
      </c>
      <c r="CV199" s="2">
        <f t="shared" si="214"/>
        <v>0</v>
      </c>
      <c r="CW199" s="2">
        <f t="shared" si="215"/>
        <v>0</v>
      </c>
      <c r="CX199" s="2">
        <f t="shared" si="216"/>
        <v>0</v>
      </c>
      <c r="CY199" s="2">
        <f>0</f>
        <v>0</v>
      </c>
      <c r="CZ199" s="2">
        <f>0</f>
        <v>0</v>
      </c>
      <c r="DA199" s="2"/>
      <c r="DB199" s="2"/>
      <c r="DC199" s="2" t="s">
        <v>6</v>
      </c>
      <c r="DD199" s="2" t="s">
        <v>6</v>
      </c>
      <c r="DE199" s="2" t="s">
        <v>6</v>
      </c>
      <c r="DF199" s="2" t="s">
        <v>6</v>
      </c>
      <c r="DG199" s="2" t="s">
        <v>6</v>
      </c>
      <c r="DH199" s="2" t="s">
        <v>6</v>
      </c>
      <c r="DI199" s="2" t="s">
        <v>6</v>
      </c>
      <c r="DJ199" s="2" t="s">
        <v>6</v>
      </c>
      <c r="DK199" s="2" t="s">
        <v>6</v>
      </c>
      <c r="DL199" s="2" t="s">
        <v>6</v>
      </c>
      <c r="DM199" s="2" t="s">
        <v>6</v>
      </c>
      <c r="DN199" s="2">
        <v>0</v>
      </c>
      <c r="DO199" s="2">
        <v>0</v>
      </c>
      <c r="DP199" s="2">
        <v>1</v>
      </c>
      <c r="DQ199" s="2">
        <v>1</v>
      </c>
      <c r="DR199" s="2"/>
      <c r="DS199" s="2"/>
      <c r="DT199" s="2"/>
      <c r="DU199" s="2">
        <v>1013</v>
      </c>
      <c r="DV199" s="2" t="s">
        <v>103</v>
      </c>
      <c r="DW199" s="2" t="s">
        <v>103</v>
      </c>
      <c r="DX199" s="2">
        <v>1</v>
      </c>
      <c r="DY199" s="2"/>
      <c r="DZ199" s="2" t="s">
        <v>6</v>
      </c>
      <c r="EA199" s="2" t="s">
        <v>6</v>
      </c>
      <c r="EB199" s="2" t="s">
        <v>6</v>
      </c>
      <c r="EC199" s="2" t="s">
        <v>6</v>
      </c>
      <c r="ED199" s="2"/>
      <c r="EE199" s="2">
        <v>0</v>
      </c>
      <c r="EF199" s="2">
        <v>0</v>
      </c>
      <c r="EG199" s="2" t="s">
        <v>6</v>
      </c>
      <c r="EH199" s="2">
        <v>0</v>
      </c>
      <c r="EI199" s="2" t="s">
        <v>6</v>
      </c>
      <c r="EJ199" s="2">
        <v>0</v>
      </c>
      <c r="EK199" s="2">
        <v>3101</v>
      </c>
      <c r="EL199" s="2" t="s">
        <v>6</v>
      </c>
      <c r="EM199" s="2" t="s">
        <v>6</v>
      </c>
      <c r="EN199" s="2"/>
      <c r="EO199" s="2" t="s">
        <v>6</v>
      </c>
      <c r="EP199" s="2"/>
      <c r="EQ199" s="2">
        <v>0</v>
      </c>
      <c r="ER199" s="2">
        <v>0.3</v>
      </c>
      <c r="ES199" s="110">
        <f>'1.Лок.смета.и.Акт'!F349</f>
        <v>0.3</v>
      </c>
      <c r="ET199" s="2">
        <v>0</v>
      </c>
      <c r="EU199" s="2">
        <v>0</v>
      </c>
      <c r="EV199" s="2">
        <v>0</v>
      </c>
      <c r="EW199" s="2">
        <v>0</v>
      </c>
      <c r="EX199" s="2">
        <v>0</v>
      </c>
      <c r="EY199" s="2"/>
      <c r="EZ199" s="2"/>
      <c r="FA199" s="2"/>
      <c r="FB199" s="2"/>
      <c r="FC199" s="2"/>
      <c r="FD199" s="2"/>
      <c r="FE199" s="2"/>
      <c r="FF199" s="2"/>
      <c r="FG199" s="2"/>
      <c r="FH199" s="2"/>
      <c r="FI199" s="2"/>
      <c r="FJ199" s="2"/>
      <c r="FK199" s="2"/>
      <c r="FL199" s="2"/>
      <c r="FM199" s="2"/>
      <c r="FN199" s="2"/>
      <c r="FO199" s="2"/>
      <c r="FP199" s="2"/>
      <c r="FQ199" s="2">
        <v>0</v>
      </c>
      <c r="FR199" s="2">
        <f t="shared" si="217"/>
        <v>0</v>
      </c>
      <c r="FS199" s="2">
        <v>0</v>
      </c>
      <c r="FT199" s="2"/>
      <c r="FU199" s="2"/>
      <c r="FV199" s="2"/>
      <c r="FW199" s="2"/>
      <c r="FX199" s="2">
        <v>0</v>
      </c>
      <c r="FY199" s="2">
        <v>0</v>
      </c>
      <c r="FZ199" s="2"/>
      <c r="GA199" s="2" t="s">
        <v>6</v>
      </c>
      <c r="GB199" s="2"/>
      <c r="GC199" s="2"/>
      <c r="GD199" s="2">
        <v>1</v>
      </c>
      <c r="GE199" s="2"/>
      <c r="GF199" s="2">
        <v>1900494391</v>
      </c>
      <c r="GG199" s="2">
        <v>2</v>
      </c>
      <c r="GH199" s="2">
        <v>0</v>
      </c>
      <c r="GI199" s="2">
        <v>-2</v>
      </c>
      <c r="GJ199" s="2">
        <v>0</v>
      </c>
      <c r="GK199" s="2">
        <v>0</v>
      </c>
      <c r="GL199" s="2">
        <f t="shared" si="218"/>
        <v>0</v>
      </c>
      <c r="GM199" s="2">
        <f t="shared" si="219"/>
        <v>22</v>
      </c>
      <c r="GN199" s="2">
        <f t="shared" si="220"/>
        <v>22</v>
      </c>
      <c r="GO199" s="2">
        <f t="shared" si="221"/>
        <v>0</v>
      </c>
      <c r="GP199" s="2">
        <f t="shared" si="222"/>
        <v>0</v>
      </c>
      <c r="GQ199" s="2"/>
      <c r="GR199" s="2">
        <v>0</v>
      </c>
      <c r="GS199" s="2">
        <v>3</v>
      </c>
      <c r="GT199" s="2">
        <v>0</v>
      </c>
      <c r="GU199" s="2" t="s">
        <v>6</v>
      </c>
      <c r="GV199" s="2">
        <f t="shared" si="223"/>
        <v>0</v>
      </c>
      <c r="GW199" s="2">
        <v>1</v>
      </c>
      <c r="GX199" s="2">
        <f t="shared" si="224"/>
        <v>0</v>
      </c>
      <c r="GY199" s="2"/>
      <c r="GZ199" s="2"/>
      <c r="HA199" s="2">
        <v>0</v>
      </c>
      <c r="HB199" s="2">
        <v>0</v>
      </c>
      <c r="HC199" s="2">
        <f t="shared" si="225"/>
        <v>0</v>
      </c>
      <c r="HD199" s="2"/>
      <c r="HE199" s="2" t="s">
        <v>6</v>
      </c>
      <c r="HF199" s="2" t="s">
        <v>6</v>
      </c>
      <c r="HG199" s="2"/>
      <c r="HH199" s="2"/>
      <c r="HI199" s="2"/>
      <c r="HJ199" s="2"/>
      <c r="HK199" s="2"/>
      <c r="HL199" s="2"/>
      <c r="HM199" s="2" t="s">
        <v>6</v>
      </c>
      <c r="HN199" s="2" t="s">
        <v>6</v>
      </c>
      <c r="HO199" s="2" t="s">
        <v>6</v>
      </c>
      <c r="HP199" s="2" t="s">
        <v>6</v>
      </c>
      <c r="HQ199" s="2" t="s">
        <v>6</v>
      </c>
      <c r="HR199" s="2"/>
      <c r="HS199" s="2"/>
      <c r="HT199" s="2"/>
      <c r="HU199" s="2"/>
      <c r="HV199" s="2"/>
      <c r="HW199" s="2"/>
      <c r="HX199" s="2"/>
      <c r="HY199" s="2"/>
      <c r="HZ199" s="2"/>
      <c r="IA199" s="2"/>
      <c r="IB199" s="2"/>
      <c r="IC199" s="2"/>
      <c r="ID199" s="2"/>
      <c r="IE199" s="2"/>
      <c r="IF199" s="2">
        <v>-1</v>
      </c>
      <c r="IG199" s="2"/>
      <c r="IH199" s="2"/>
      <c r="II199" s="2"/>
      <c r="IJ199" s="2"/>
      <c r="IK199" s="2">
        <v>0</v>
      </c>
      <c r="IL199" s="2"/>
      <c r="IM199" s="2"/>
      <c r="IN199" s="2"/>
      <c r="IO199" s="2"/>
      <c r="IP199" s="2"/>
      <c r="IQ199" s="2"/>
      <c r="IR199" s="2"/>
      <c r="IS199" s="2"/>
      <c r="IT199" s="2"/>
      <c r="IU199" s="2"/>
    </row>
    <row r="200" spans="1:255" x14ac:dyDescent="0.2">
      <c r="A200">
        <v>18</v>
      </c>
      <c r="B200">
        <v>1</v>
      </c>
      <c r="C200">
        <v>224</v>
      </c>
      <c r="E200" t="s">
        <v>278</v>
      </c>
      <c r="F200" t="e">
        <f>'2.Лок.смета.и.Акт'!#REF!</f>
        <v>#REF!</v>
      </c>
      <c r="G200" t="s">
        <v>113</v>
      </c>
      <c r="H200" t="s">
        <v>103</v>
      </c>
      <c r="I200">
        <f>I184*J200</f>
        <v>74.709000000000003</v>
      </c>
      <c r="J200">
        <v>12.000000000000002</v>
      </c>
      <c r="K200">
        <v>12</v>
      </c>
      <c r="O200">
        <f t="shared" si="194"/>
        <v>79</v>
      </c>
      <c r="P200">
        <f t="shared" si="195"/>
        <v>79</v>
      </c>
      <c r="Q200">
        <f t="shared" si="196"/>
        <v>0</v>
      </c>
      <c r="R200">
        <f t="shared" si="197"/>
        <v>0</v>
      </c>
      <c r="S200">
        <f t="shared" si="198"/>
        <v>0</v>
      </c>
      <c r="T200">
        <f t="shared" si="199"/>
        <v>0</v>
      </c>
      <c r="U200">
        <f t="shared" si="200"/>
        <v>0</v>
      </c>
      <c r="V200">
        <f t="shared" si="201"/>
        <v>0</v>
      </c>
      <c r="W200">
        <f t="shared" si="202"/>
        <v>0</v>
      </c>
      <c r="X200">
        <f t="shared" si="203"/>
        <v>0</v>
      </c>
      <c r="Y200">
        <f t="shared" si="204"/>
        <v>0</v>
      </c>
      <c r="AA200">
        <v>86326988</v>
      </c>
      <c r="AB200">
        <f t="shared" si="205"/>
        <v>0.14000000000000001</v>
      </c>
      <c r="AC200">
        <f t="shared" si="226"/>
        <v>0.14000000000000001</v>
      </c>
      <c r="AD200">
        <f t="shared" si="231"/>
        <v>0</v>
      </c>
      <c r="AE200">
        <f t="shared" si="227"/>
        <v>0</v>
      </c>
      <c r="AF200">
        <f t="shared" si="228"/>
        <v>0</v>
      </c>
      <c r="AG200">
        <f t="shared" si="206"/>
        <v>0</v>
      </c>
      <c r="AH200">
        <f t="shared" si="229"/>
        <v>0</v>
      </c>
      <c r="AI200">
        <f t="shared" si="230"/>
        <v>0</v>
      </c>
      <c r="AJ200">
        <f t="shared" si="207"/>
        <v>0</v>
      </c>
      <c r="AK200">
        <v>0.14000000000000001</v>
      </c>
      <c r="AL200">
        <v>0.14000000000000001</v>
      </c>
      <c r="AM200">
        <v>0</v>
      </c>
      <c r="AN200">
        <v>0</v>
      </c>
      <c r="AO200">
        <v>0</v>
      </c>
      <c r="AP200">
        <v>0</v>
      </c>
      <c r="AQ200">
        <v>0</v>
      </c>
      <c r="AR200">
        <v>0</v>
      </c>
      <c r="AS200">
        <v>0</v>
      </c>
      <c r="AT200">
        <v>0</v>
      </c>
      <c r="AU200">
        <v>0</v>
      </c>
      <c r="AV200">
        <v>1</v>
      </c>
      <c r="AW200">
        <v>1</v>
      </c>
      <c r="AZ200">
        <v>1</v>
      </c>
      <c r="BA200">
        <v>1</v>
      </c>
      <c r="BB200">
        <v>1</v>
      </c>
      <c r="BC200">
        <v>7.56</v>
      </c>
      <c r="BD200" t="s">
        <v>6</v>
      </c>
      <c r="BE200" t="s">
        <v>6</v>
      </c>
      <c r="BF200" t="s">
        <v>6</v>
      </c>
      <c r="BG200" t="s">
        <v>6</v>
      </c>
      <c r="BH200">
        <v>3</v>
      </c>
      <c r="BI200">
        <v>1</v>
      </c>
      <c r="BJ200" t="s">
        <v>114</v>
      </c>
      <c r="BM200">
        <v>3101</v>
      </c>
      <c r="BN200">
        <v>0</v>
      </c>
      <c r="BO200" t="s">
        <v>6</v>
      </c>
      <c r="BP200">
        <v>0</v>
      </c>
      <c r="BQ200">
        <v>0</v>
      </c>
      <c r="BR200">
        <v>0</v>
      </c>
      <c r="BS200">
        <v>1</v>
      </c>
      <c r="BT200">
        <v>1</v>
      </c>
      <c r="BU200">
        <v>1</v>
      </c>
      <c r="BV200">
        <v>1</v>
      </c>
      <c r="BW200">
        <v>1</v>
      </c>
      <c r="BX200">
        <v>1</v>
      </c>
      <c r="BY200" t="s">
        <v>6</v>
      </c>
      <c r="BZ200">
        <v>0</v>
      </c>
      <c r="CA200">
        <v>0</v>
      </c>
      <c r="CB200" t="s">
        <v>6</v>
      </c>
      <c r="CE200">
        <v>0</v>
      </c>
      <c r="CF200">
        <v>0</v>
      </c>
      <c r="CG200">
        <v>0</v>
      </c>
      <c r="CM200">
        <v>0</v>
      </c>
      <c r="CN200" t="s">
        <v>6</v>
      </c>
      <c r="CO200">
        <v>0</v>
      </c>
      <c r="CP200">
        <f t="shared" si="208"/>
        <v>79</v>
      </c>
      <c r="CQ200">
        <f t="shared" si="209"/>
        <v>1.0584</v>
      </c>
      <c r="CR200">
        <f t="shared" si="210"/>
        <v>0</v>
      </c>
      <c r="CS200">
        <f t="shared" si="211"/>
        <v>0</v>
      </c>
      <c r="CT200">
        <f t="shared" si="212"/>
        <v>0</v>
      </c>
      <c r="CU200">
        <f t="shared" si="213"/>
        <v>0</v>
      </c>
      <c r="CV200">
        <f t="shared" si="214"/>
        <v>0</v>
      </c>
      <c r="CW200">
        <f t="shared" si="215"/>
        <v>0</v>
      </c>
      <c r="CX200">
        <f t="shared" si="216"/>
        <v>0</v>
      </c>
      <c r="CY200">
        <f>(S200+R200)*(BZ200/100)</f>
        <v>0</v>
      </c>
      <c r="CZ200">
        <f>(S200+R200)*(CA200/100)</f>
        <v>0</v>
      </c>
      <c r="DC200" t="s">
        <v>6</v>
      </c>
      <c r="DD200" t="s">
        <v>6</v>
      </c>
      <c r="DE200" t="s">
        <v>6</v>
      </c>
      <c r="DF200" t="s">
        <v>6</v>
      </c>
      <c r="DG200" t="s">
        <v>6</v>
      </c>
      <c r="DH200" t="s">
        <v>6</v>
      </c>
      <c r="DI200" t="s">
        <v>6</v>
      </c>
      <c r="DJ200" t="s">
        <v>6</v>
      </c>
      <c r="DK200" t="s">
        <v>6</v>
      </c>
      <c r="DL200" t="s">
        <v>6</v>
      </c>
      <c r="DM200" t="s">
        <v>6</v>
      </c>
      <c r="DN200">
        <v>0</v>
      </c>
      <c r="DO200">
        <v>0</v>
      </c>
      <c r="DP200">
        <v>1</v>
      </c>
      <c r="DQ200">
        <v>1</v>
      </c>
      <c r="DU200">
        <v>1013</v>
      </c>
      <c r="DV200" t="s">
        <v>103</v>
      </c>
      <c r="DW200" t="e">
        <f>'2.Лок.смета.и.Акт'!#REF!</f>
        <v>#REF!</v>
      </c>
      <c r="DX200">
        <v>1</v>
      </c>
      <c r="DZ200" t="s">
        <v>6</v>
      </c>
      <c r="EA200" t="s">
        <v>6</v>
      </c>
      <c r="EB200" t="s">
        <v>6</v>
      </c>
      <c r="EC200" t="s">
        <v>6</v>
      </c>
      <c r="EE200">
        <v>0</v>
      </c>
      <c r="EF200">
        <v>0</v>
      </c>
      <c r="EG200" t="s">
        <v>6</v>
      </c>
      <c r="EH200">
        <v>0</v>
      </c>
      <c r="EI200" t="s">
        <v>6</v>
      </c>
      <c r="EJ200">
        <v>0</v>
      </c>
      <c r="EK200">
        <v>3101</v>
      </c>
      <c r="EL200" t="s">
        <v>6</v>
      </c>
      <c r="EM200" t="s">
        <v>6</v>
      </c>
      <c r="EO200" t="s">
        <v>6</v>
      </c>
      <c r="EQ200">
        <v>0</v>
      </c>
      <c r="ER200">
        <v>1.02</v>
      </c>
      <c r="ES200">
        <v>0.14000000000000001</v>
      </c>
      <c r="ET200">
        <v>0</v>
      </c>
      <c r="EU200">
        <v>0</v>
      </c>
      <c r="EV200">
        <v>0</v>
      </c>
      <c r="EW200">
        <v>0</v>
      </c>
      <c r="EX200">
        <v>0</v>
      </c>
      <c r="EZ200">
        <v>5</v>
      </c>
      <c r="FC200">
        <v>0</v>
      </c>
      <c r="FD200">
        <v>18</v>
      </c>
      <c r="FF200">
        <v>1.02</v>
      </c>
      <c r="FQ200">
        <v>0</v>
      </c>
      <c r="FR200">
        <f t="shared" si="217"/>
        <v>0</v>
      </c>
      <c r="FS200">
        <v>0</v>
      </c>
      <c r="FX200">
        <v>0</v>
      </c>
      <c r="FY200">
        <v>0</v>
      </c>
      <c r="GA200" t="s">
        <v>115</v>
      </c>
      <c r="GD200">
        <v>1</v>
      </c>
      <c r="GF200">
        <v>1900494391</v>
      </c>
      <c r="GG200">
        <v>2</v>
      </c>
      <c r="GH200">
        <v>3</v>
      </c>
      <c r="GI200">
        <v>5</v>
      </c>
      <c r="GJ200">
        <v>0</v>
      </c>
      <c r="GK200">
        <v>0</v>
      </c>
      <c r="GL200">
        <f t="shared" si="218"/>
        <v>0</v>
      </c>
      <c r="GM200">
        <f t="shared" si="219"/>
        <v>79</v>
      </c>
      <c r="GN200">
        <f t="shared" si="220"/>
        <v>79</v>
      </c>
      <c r="GO200">
        <f t="shared" si="221"/>
        <v>0</v>
      </c>
      <c r="GP200">
        <f t="shared" si="222"/>
        <v>0</v>
      </c>
      <c r="GR200">
        <v>1</v>
      </c>
      <c r="GS200">
        <v>1</v>
      </c>
      <c r="GT200">
        <v>0</v>
      </c>
      <c r="GU200" t="s">
        <v>6</v>
      </c>
      <c r="GV200">
        <f t="shared" si="223"/>
        <v>0</v>
      </c>
      <c r="GW200">
        <v>1</v>
      </c>
      <c r="GX200">
        <f t="shared" si="224"/>
        <v>0</v>
      </c>
      <c r="HA200">
        <v>0</v>
      </c>
      <c r="HB200">
        <v>0</v>
      </c>
      <c r="HC200">
        <f t="shared" si="225"/>
        <v>0</v>
      </c>
      <c r="HE200" t="s">
        <v>39</v>
      </c>
      <c r="HF200" t="s">
        <v>40</v>
      </c>
      <c r="HM200" t="s">
        <v>6</v>
      </c>
      <c r="HN200" t="s">
        <v>6</v>
      </c>
      <c r="HO200" t="s">
        <v>6</v>
      </c>
      <c r="HP200" t="s">
        <v>6</v>
      </c>
      <c r="HQ200" t="s">
        <v>6</v>
      </c>
      <c r="IF200">
        <v>-1</v>
      </c>
      <c r="IK200">
        <v>0</v>
      </c>
    </row>
    <row r="201" spans="1:255" x14ac:dyDescent="0.2">
      <c r="A201" s="2">
        <v>18</v>
      </c>
      <c r="B201" s="2">
        <v>1</v>
      </c>
      <c r="C201" s="2">
        <v>216</v>
      </c>
      <c r="D201" s="2"/>
      <c r="E201" s="2" t="s">
        <v>279</v>
      </c>
      <c r="F201" s="2" t="s">
        <v>117</v>
      </c>
      <c r="G201" s="2" t="s">
        <v>118</v>
      </c>
      <c r="H201" s="2" t="s">
        <v>33</v>
      </c>
      <c r="I201" s="2">
        <f>I183*J201</f>
        <v>5.9207499999999998E-3</v>
      </c>
      <c r="J201" s="226">
        <f>'5.Ведомость_списания'!F95</f>
        <v>9.5100991848371687E-4</v>
      </c>
      <c r="K201" s="2">
        <v>9.5100000000000002E-4</v>
      </c>
      <c r="L201" s="2"/>
      <c r="M201" s="2"/>
      <c r="N201" s="2"/>
      <c r="O201" s="2">
        <f t="shared" si="194"/>
        <v>63</v>
      </c>
      <c r="P201" s="2">
        <f t="shared" si="195"/>
        <v>63</v>
      </c>
      <c r="Q201" s="2">
        <f t="shared" si="196"/>
        <v>0</v>
      </c>
      <c r="R201" s="2">
        <f t="shared" si="197"/>
        <v>0</v>
      </c>
      <c r="S201" s="2">
        <f t="shared" si="198"/>
        <v>0</v>
      </c>
      <c r="T201" s="2">
        <f t="shared" si="199"/>
        <v>0</v>
      </c>
      <c r="U201" s="2">
        <f t="shared" si="200"/>
        <v>0</v>
      </c>
      <c r="V201" s="2">
        <f t="shared" si="201"/>
        <v>0</v>
      </c>
      <c r="W201" s="2">
        <f t="shared" si="202"/>
        <v>0</v>
      </c>
      <c r="X201" s="2">
        <f t="shared" si="203"/>
        <v>0</v>
      </c>
      <c r="Y201" s="2">
        <f t="shared" si="204"/>
        <v>0</v>
      </c>
      <c r="Z201" s="2"/>
      <c r="AA201" s="2">
        <v>86326987</v>
      </c>
      <c r="AB201" s="2">
        <f t="shared" si="205"/>
        <v>10633.86</v>
      </c>
      <c r="AC201" s="2">
        <f t="shared" si="226"/>
        <v>10633.86</v>
      </c>
      <c r="AD201" s="2">
        <f>ROUND((((ET201)-(EU201))+AE201),2)</f>
        <v>0</v>
      </c>
      <c r="AE201" s="2">
        <f t="shared" si="227"/>
        <v>0</v>
      </c>
      <c r="AF201" s="2">
        <f t="shared" si="228"/>
        <v>0</v>
      </c>
      <c r="AG201" s="2">
        <f t="shared" si="206"/>
        <v>0</v>
      </c>
      <c r="AH201" s="2">
        <f t="shared" si="229"/>
        <v>0</v>
      </c>
      <c r="AI201" s="2">
        <f t="shared" si="230"/>
        <v>0</v>
      </c>
      <c r="AJ201" s="2">
        <f t="shared" si="207"/>
        <v>0</v>
      </c>
      <c r="AK201" s="2">
        <v>10633.86</v>
      </c>
      <c r="AL201" s="110">
        <f>'1.Лок.смета.и.Акт'!F351</f>
        <v>10633.86</v>
      </c>
      <c r="AM201" s="2">
        <v>0</v>
      </c>
      <c r="AN201" s="2">
        <v>0</v>
      </c>
      <c r="AO201" s="2">
        <v>0</v>
      </c>
      <c r="AP201" s="2">
        <v>0</v>
      </c>
      <c r="AQ201" s="2">
        <v>0</v>
      </c>
      <c r="AR201" s="2">
        <v>0</v>
      </c>
      <c r="AS201" s="2">
        <v>0</v>
      </c>
      <c r="AT201" s="2">
        <v>0</v>
      </c>
      <c r="AU201" s="2">
        <v>0</v>
      </c>
      <c r="AV201" s="2">
        <v>1</v>
      </c>
      <c r="AW201" s="2">
        <v>1</v>
      </c>
      <c r="AX201" s="2"/>
      <c r="AY201" s="2"/>
      <c r="AZ201" s="2">
        <v>1</v>
      </c>
      <c r="BA201" s="2">
        <v>1</v>
      </c>
      <c r="BB201" s="2">
        <v>1</v>
      </c>
      <c r="BC201" s="2">
        <v>1</v>
      </c>
      <c r="BD201" s="2" t="s">
        <v>6</v>
      </c>
      <c r="BE201" s="2" t="s">
        <v>6</v>
      </c>
      <c r="BF201" s="2" t="s">
        <v>6</v>
      </c>
      <c r="BG201" s="2" t="s">
        <v>6</v>
      </c>
      <c r="BH201" s="2">
        <v>3</v>
      </c>
      <c r="BI201" s="2">
        <v>1</v>
      </c>
      <c r="BJ201" s="2" t="s">
        <v>119</v>
      </c>
      <c r="BK201" s="2"/>
      <c r="BL201" s="2"/>
      <c r="BM201" s="2">
        <v>500003</v>
      </c>
      <c r="BN201" s="2">
        <v>0</v>
      </c>
      <c r="BO201" s="2" t="s">
        <v>6</v>
      </c>
      <c r="BP201" s="2">
        <v>0</v>
      </c>
      <c r="BQ201" s="2">
        <v>22</v>
      </c>
      <c r="BR201" s="2">
        <v>0</v>
      </c>
      <c r="BS201" s="2">
        <v>1</v>
      </c>
      <c r="BT201" s="2">
        <v>1</v>
      </c>
      <c r="BU201" s="2">
        <v>1</v>
      </c>
      <c r="BV201" s="2">
        <v>1</v>
      </c>
      <c r="BW201" s="2">
        <v>1</v>
      </c>
      <c r="BX201" s="2">
        <v>1</v>
      </c>
      <c r="BY201" s="2" t="s">
        <v>6</v>
      </c>
      <c r="BZ201" s="2">
        <v>0</v>
      </c>
      <c r="CA201" s="2">
        <v>0</v>
      </c>
      <c r="CB201" s="2" t="s">
        <v>6</v>
      </c>
      <c r="CC201" s="2"/>
      <c r="CD201" s="2"/>
      <c r="CE201" s="2">
        <v>0</v>
      </c>
      <c r="CF201" s="2">
        <v>0</v>
      </c>
      <c r="CG201" s="2">
        <v>0</v>
      </c>
      <c r="CH201" s="2"/>
      <c r="CI201" s="2"/>
      <c r="CJ201" s="2"/>
      <c r="CK201" s="2"/>
      <c r="CL201" s="2"/>
      <c r="CM201" s="2">
        <v>0</v>
      </c>
      <c r="CN201" s="2" t="s">
        <v>6</v>
      </c>
      <c r="CO201" s="2">
        <v>0</v>
      </c>
      <c r="CP201" s="2">
        <f t="shared" si="208"/>
        <v>63</v>
      </c>
      <c r="CQ201" s="2">
        <f t="shared" si="209"/>
        <v>10633.86</v>
      </c>
      <c r="CR201" s="2">
        <f t="shared" si="210"/>
        <v>0</v>
      </c>
      <c r="CS201" s="2">
        <f t="shared" si="211"/>
        <v>0</v>
      </c>
      <c r="CT201" s="2">
        <f t="shared" si="212"/>
        <v>0</v>
      </c>
      <c r="CU201" s="2">
        <f t="shared" si="213"/>
        <v>0</v>
      </c>
      <c r="CV201" s="2">
        <f t="shared" si="214"/>
        <v>0</v>
      </c>
      <c r="CW201" s="2">
        <f t="shared" si="215"/>
        <v>0</v>
      </c>
      <c r="CX201" s="2">
        <f t="shared" si="216"/>
        <v>0</v>
      </c>
      <c r="CY201" s="2">
        <f>(((S201+(R201*IF(0,0,1)))*AT201)/100)</f>
        <v>0</v>
      </c>
      <c r="CZ201" s="2">
        <f>(((S201+(R201*IF(0,0,1)))*AU201)/100)</f>
        <v>0</v>
      </c>
      <c r="DA201" s="2"/>
      <c r="DB201" s="2"/>
      <c r="DC201" s="2" t="s">
        <v>6</v>
      </c>
      <c r="DD201" s="2" t="s">
        <v>6</v>
      </c>
      <c r="DE201" s="2" t="s">
        <v>6</v>
      </c>
      <c r="DF201" s="2" t="s">
        <v>6</v>
      </c>
      <c r="DG201" s="2" t="s">
        <v>6</v>
      </c>
      <c r="DH201" s="2" t="s">
        <v>6</v>
      </c>
      <c r="DI201" s="2" t="s">
        <v>6</v>
      </c>
      <c r="DJ201" s="2" t="s">
        <v>6</v>
      </c>
      <c r="DK201" s="2" t="s">
        <v>6</v>
      </c>
      <c r="DL201" s="2" t="s">
        <v>6</v>
      </c>
      <c r="DM201" s="2" t="s">
        <v>6</v>
      </c>
      <c r="DN201" s="2">
        <v>0</v>
      </c>
      <c r="DO201" s="2">
        <v>0</v>
      </c>
      <c r="DP201" s="2">
        <v>1</v>
      </c>
      <c r="DQ201" s="2">
        <v>1</v>
      </c>
      <c r="DR201" s="2"/>
      <c r="DS201" s="2"/>
      <c r="DT201" s="2"/>
      <c r="DU201" s="2">
        <v>1009</v>
      </c>
      <c r="DV201" s="2" t="s">
        <v>33</v>
      </c>
      <c r="DW201" s="2" t="s">
        <v>33</v>
      </c>
      <c r="DX201" s="2">
        <v>1000</v>
      </c>
      <c r="DY201" s="2"/>
      <c r="DZ201" s="2" t="s">
        <v>6</v>
      </c>
      <c r="EA201" s="2" t="s">
        <v>6</v>
      </c>
      <c r="EB201" s="2" t="s">
        <v>6</v>
      </c>
      <c r="EC201" s="2" t="s">
        <v>6</v>
      </c>
      <c r="ED201" s="2"/>
      <c r="EE201" s="2">
        <v>54938783</v>
      </c>
      <c r="EF201" s="2">
        <v>22</v>
      </c>
      <c r="EG201" s="2" t="s">
        <v>57</v>
      </c>
      <c r="EH201" s="2">
        <v>0</v>
      </c>
      <c r="EI201" s="2" t="s">
        <v>6</v>
      </c>
      <c r="EJ201" s="2">
        <v>1</v>
      </c>
      <c r="EK201" s="2">
        <v>500003</v>
      </c>
      <c r="EL201" s="2" t="s">
        <v>58</v>
      </c>
      <c r="EM201" s="2" t="s">
        <v>59</v>
      </c>
      <c r="EN201" s="2"/>
      <c r="EO201" s="2" t="s">
        <v>6</v>
      </c>
      <c r="EP201" s="2"/>
      <c r="EQ201" s="2">
        <v>0</v>
      </c>
      <c r="ER201" s="2">
        <v>10633.86</v>
      </c>
      <c r="ES201" s="110">
        <f>'1.Лок.смета.и.Акт'!F351</f>
        <v>10633.86</v>
      </c>
      <c r="ET201" s="2">
        <v>0</v>
      </c>
      <c r="EU201" s="2">
        <v>0</v>
      </c>
      <c r="EV201" s="2">
        <v>0</v>
      </c>
      <c r="EW201" s="2">
        <v>0</v>
      </c>
      <c r="EX201" s="2">
        <v>0</v>
      </c>
      <c r="EY201" s="2"/>
      <c r="EZ201" s="2"/>
      <c r="FA201" s="2"/>
      <c r="FB201" s="2"/>
      <c r="FC201" s="2"/>
      <c r="FD201" s="2"/>
      <c r="FE201" s="2"/>
      <c r="FF201" s="2"/>
      <c r="FG201" s="2"/>
      <c r="FH201" s="2"/>
      <c r="FI201" s="2"/>
      <c r="FJ201" s="2"/>
      <c r="FK201" s="2"/>
      <c r="FL201" s="2"/>
      <c r="FM201" s="2"/>
      <c r="FN201" s="2"/>
      <c r="FO201" s="2"/>
      <c r="FP201" s="2"/>
      <c r="FQ201" s="2">
        <v>0</v>
      </c>
      <c r="FR201" s="2">
        <f t="shared" si="217"/>
        <v>0</v>
      </c>
      <c r="FS201" s="2">
        <v>0</v>
      </c>
      <c r="FT201" s="2"/>
      <c r="FU201" s="2"/>
      <c r="FV201" s="2"/>
      <c r="FW201" s="2"/>
      <c r="FX201" s="2">
        <v>0</v>
      </c>
      <c r="FY201" s="2">
        <v>0</v>
      </c>
      <c r="FZ201" s="2"/>
      <c r="GA201" s="2" t="s">
        <v>6</v>
      </c>
      <c r="GB201" s="2"/>
      <c r="GC201" s="2"/>
      <c r="GD201" s="2">
        <v>1</v>
      </c>
      <c r="GE201" s="2"/>
      <c r="GF201" s="2">
        <v>772407484</v>
      </c>
      <c r="GG201" s="2">
        <v>2</v>
      </c>
      <c r="GH201" s="2">
        <v>2</v>
      </c>
      <c r="GI201" s="2">
        <v>-2</v>
      </c>
      <c r="GJ201" s="2">
        <v>0</v>
      </c>
      <c r="GK201" s="2">
        <v>0</v>
      </c>
      <c r="GL201" s="2">
        <f t="shared" si="218"/>
        <v>0</v>
      </c>
      <c r="GM201" s="2">
        <f t="shared" si="219"/>
        <v>63</v>
      </c>
      <c r="GN201" s="2">
        <f t="shared" si="220"/>
        <v>63</v>
      </c>
      <c r="GO201" s="2">
        <f t="shared" si="221"/>
        <v>0</v>
      </c>
      <c r="GP201" s="2">
        <f t="shared" si="222"/>
        <v>0</v>
      </c>
      <c r="GQ201" s="2"/>
      <c r="GR201" s="2">
        <v>0</v>
      </c>
      <c r="GS201" s="2">
        <v>2</v>
      </c>
      <c r="GT201" s="2">
        <v>0</v>
      </c>
      <c r="GU201" s="2" t="s">
        <v>6</v>
      </c>
      <c r="GV201" s="2">
        <f t="shared" si="223"/>
        <v>0</v>
      </c>
      <c r="GW201" s="2">
        <v>1</v>
      </c>
      <c r="GX201" s="2">
        <f t="shared" si="224"/>
        <v>0</v>
      </c>
      <c r="GY201" s="2"/>
      <c r="GZ201" s="2"/>
      <c r="HA201" s="2">
        <v>0</v>
      </c>
      <c r="HB201" s="2">
        <v>0</v>
      </c>
      <c r="HC201" s="2">
        <f t="shared" si="225"/>
        <v>0</v>
      </c>
      <c r="HD201" s="2"/>
      <c r="HE201" s="2" t="s">
        <v>6</v>
      </c>
      <c r="HF201" s="2" t="s">
        <v>6</v>
      </c>
      <c r="HG201" s="2"/>
      <c r="HH201" s="2"/>
      <c r="HI201" s="2"/>
      <c r="HJ201" s="2"/>
      <c r="HK201" s="2"/>
      <c r="HL201" s="2"/>
      <c r="HM201" s="2" t="s">
        <v>6</v>
      </c>
      <c r="HN201" s="2" t="s">
        <v>6</v>
      </c>
      <c r="HO201" s="2" t="s">
        <v>6</v>
      </c>
      <c r="HP201" s="2" t="s">
        <v>6</v>
      </c>
      <c r="HQ201" s="2" t="s">
        <v>6</v>
      </c>
      <c r="HR201" s="2"/>
      <c r="HS201" s="2"/>
      <c r="HT201" s="2"/>
      <c r="HU201" s="2"/>
      <c r="HV201" s="2"/>
      <c r="HW201" s="2"/>
      <c r="HX201" s="2"/>
      <c r="HY201" s="2"/>
      <c r="HZ201" s="2"/>
      <c r="IA201" s="2"/>
      <c r="IB201" s="2"/>
      <c r="IC201" s="2"/>
      <c r="ID201" s="2"/>
      <c r="IE201" s="2"/>
      <c r="IF201" s="2">
        <v>-1</v>
      </c>
      <c r="IG201" s="2"/>
      <c r="IH201" s="2"/>
      <c r="II201" s="2"/>
      <c r="IJ201" s="2"/>
      <c r="IK201" s="2">
        <v>0</v>
      </c>
      <c r="IL201" s="2"/>
      <c r="IM201" s="2"/>
      <c r="IN201" s="2"/>
      <c r="IO201" s="2"/>
      <c r="IP201" s="2"/>
      <c r="IQ201" s="2"/>
      <c r="IR201" s="2"/>
      <c r="IS201" s="2"/>
      <c r="IT201" s="2"/>
      <c r="IU201" s="2"/>
    </row>
    <row r="202" spans="1:255" x14ac:dyDescent="0.2">
      <c r="A202">
        <v>18</v>
      </c>
      <c r="B202">
        <v>1</v>
      </c>
      <c r="C202">
        <v>229</v>
      </c>
      <c r="E202" t="s">
        <v>279</v>
      </c>
      <c r="F202" t="e">
        <f>'2.Лок.смета.и.Акт'!#REF!</f>
        <v>#REF!</v>
      </c>
      <c r="G202" t="s">
        <v>118</v>
      </c>
      <c r="H202" t="s">
        <v>33</v>
      </c>
      <c r="I202">
        <f>I184*J202</f>
        <v>5.9207499999999998E-3</v>
      </c>
      <c r="J202">
        <v>9.5100991848371687E-4</v>
      </c>
      <c r="K202">
        <v>9.5100000000000002E-4</v>
      </c>
      <c r="O202">
        <f t="shared" si="194"/>
        <v>499</v>
      </c>
      <c r="P202">
        <f t="shared" si="195"/>
        <v>499</v>
      </c>
      <c r="Q202">
        <f t="shared" si="196"/>
        <v>0</v>
      </c>
      <c r="R202">
        <f t="shared" si="197"/>
        <v>0</v>
      </c>
      <c r="S202">
        <f t="shared" si="198"/>
        <v>0</v>
      </c>
      <c r="T202">
        <f t="shared" si="199"/>
        <v>0</v>
      </c>
      <c r="U202">
        <f t="shared" si="200"/>
        <v>0</v>
      </c>
      <c r="V202">
        <f t="shared" si="201"/>
        <v>0</v>
      </c>
      <c r="W202">
        <f t="shared" si="202"/>
        <v>0</v>
      </c>
      <c r="X202">
        <f t="shared" si="203"/>
        <v>0</v>
      </c>
      <c r="Y202">
        <f t="shared" si="204"/>
        <v>0</v>
      </c>
      <c r="AA202">
        <v>86326988</v>
      </c>
      <c r="AB202">
        <f t="shared" si="205"/>
        <v>11142.15</v>
      </c>
      <c r="AC202">
        <f t="shared" si="226"/>
        <v>11142.15</v>
      </c>
      <c r="AD202">
        <f>ROUND((((ET202)-(EU202))+AE202),2)</f>
        <v>0</v>
      </c>
      <c r="AE202">
        <f t="shared" si="227"/>
        <v>0</v>
      </c>
      <c r="AF202">
        <f t="shared" si="228"/>
        <v>0</v>
      </c>
      <c r="AG202">
        <f t="shared" si="206"/>
        <v>0</v>
      </c>
      <c r="AH202">
        <f t="shared" si="229"/>
        <v>0</v>
      </c>
      <c r="AI202">
        <f t="shared" si="230"/>
        <v>0</v>
      </c>
      <c r="AJ202">
        <f t="shared" si="207"/>
        <v>0</v>
      </c>
      <c r="AK202">
        <v>11142.150000000001</v>
      </c>
      <c r="AL202">
        <v>11142.150000000001</v>
      </c>
      <c r="AM202">
        <v>0</v>
      </c>
      <c r="AN202">
        <v>0</v>
      </c>
      <c r="AO202">
        <v>0</v>
      </c>
      <c r="AP202">
        <v>0</v>
      </c>
      <c r="AQ202">
        <v>0</v>
      </c>
      <c r="AR202">
        <v>0</v>
      </c>
      <c r="AS202">
        <v>0</v>
      </c>
      <c r="AT202">
        <v>0</v>
      </c>
      <c r="AU202">
        <v>0</v>
      </c>
      <c r="AV202">
        <v>1</v>
      </c>
      <c r="AW202">
        <v>1</v>
      </c>
      <c r="AZ202">
        <v>1</v>
      </c>
      <c r="BA202">
        <v>1</v>
      </c>
      <c r="BB202">
        <v>1</v>
      </c>
      <c r="BC202">
        <v>7.56</v>
      </c>
      <c r="BD202" t="s">
        <v>6</v>
      </c>
      <c r="BE202" t="s">
        <v>6</v>
      </c>
      <c r="BF202" t="s">
        <v>6</v>
      </c>
      <c r="BG202" t="s">
        <v>6</v>
      </c>
      <c r="BH202">
        <v>3</v>
      </c>
      <c r="BI202">
        <v>1</v>
      </c>
      <c r="BJ202" t="s">
        <v>119</v>
      </c>
      <c r="BM202">
        <v>500003</v>
      </c>
      <c r="BN202">
        <v>0</v>
      </c>
      <c r="BO202" t="s">
        <v>6</v>
      </c>
      <c r="BP202">
        <v>0</v>
      </c>
      <c r="BQ202">
        <v>22</v>
      </c>
      <c r="BR202">
        <v>0</v>
      </c>
      <c r="BS202">
        <v>1</v>
      </c>
      <c r="BT202">
        <v>1</v>
      </c>
      <c r="BU202">
        <v>1</v>
      </c>
      <c r="BV202">
        <v>1</v>
      </c>
      <c r="BW202">
        <v>1</v>
      </c>
      <c r="BX202">
        <v>1</v>
      </c>
      <c r="BY202" t="s">
        <v>6</v>
      </c>
      <c r="BZ202">
        <v>0</v>
      </c>
      <c r="CA202">
        <v>0</v>
      </c>
      <c r="CB202" t="s">
        <v>6</v>
      </c>
      <c r="CE202">
        <v>0</v>
      </c>
      <c r="CF202">
        <v>0</v>
      </c>
      <c r="CG202">
        <v>0</v>
      </c>
      <c r="CM202">
        <v>0</v>
      </c>
      <c r="CN202" t="s">
        <v>6</v>
      </c>
      <c r="CO202">
        <v>0</v>
      </c>
      <c r="CP202">
        <f t="shared" si="208"/>
        <v>499</v>
      </c>
      <c r="CQ202">
        <f t="shared" si="209"/>
        <v>84234.653999999995</v>
      </c>
      <c r="CR202">
        <f t="shared" si="210"/>
        <v>0</v>
      </c>
      <c r="CS202">
        <f t="shared" si="211"/>
        <v>0</v>
      </c>
      <c r="CT202">
        <f t="shared" si="212"/>
        <v>0</v>
      </c>
      <c r="CU202">
        <f t="shared" si="213"/>
        <v>0</v>
      </c>
      <c r="CV202">
        <f t="shared" si="214"/>
        <v>0</v>
      </c>
      <c r="CW202">
        <f t="shared" si="215"/>
        <v>0</v>
      </c>
      <c r="CX202">
        <f t="shared" si="216"/>
        <v>0</v>
      </c>
      <c r="CY202">
        <f>(S202+R202)*(BZ202/100)</f>
        <v>0</v>
      </c>
      <c r="CZ202">
        <f>(S202+R202)*(CA202/100)</f>
        <v>0</v>
      </c>
      <c r="DC202" t="s">
        <v>6</v>
      </c>
      <c r="DD202" t="s">
        <v>6</v>
      </c>
      <c r="DE202" t="s">
        <v>6</v>
      </c>
      <c r="DF202" t="s">
        <v>6</v>
      </c>
      <c r="DG202" t="s">
        <v>6</v>
      </c>
      <c r="DH202" t="s">
        <v>6</v>
      </c>
      <c r="DI202" t="s">
        <v>6</v>
      </c>
      <c r="DJ202" t="s">
        <v>6</v>
      </c>
      <c r="DK202" t="s">
        <v>6</v>
      </c>
      <c r="DL202" t="s">
        <v>6</v>
      </c>
      <c r="DM202" t="s">
        <v>6</v>
      </c>
      <c r="DN202">
        <v>0</v>
      </c>
      <c r="DO202">
        <v>0</v>
      </c>
      <c r="DP202">
        <v>1</v>
      </c>
      <c r="DQ202">
        <v>1</v>
      </c>
      <c r="DU202">
        <v>1009</v>
      </c>
      <c r="DV202" t="s">
        <v>33</v>
      </c>
      <c r="DW202" t="e">
        <f>'2.Лок.смета.и.Акт'!#REF!</f>
        <v>#REF!</v>
      </c>
      <c r="DX202">
        <v>1000</v>
      </c>
      <c r="DZ202" t="s">
        <v>6</v>
      </c>
      <c r="EA202" t="s">
        <v>6</v>
      </c>
      <c r="EB202" t="s">
        <v>6</v>
      </c>
      <c r="EC202" t="s">
        <v>6</v>
      </c>
      <c r="EE202">
        <v>54938783</v>
      </c>
      <c r="EF202">
        <v>22</v>
      </c>
      <c r="EG202" t="s">
        <v>57</v>
      </c>
      <c r="EH202">
        <v>0</v>
      </c>
      <c r="EI202" t="s">
        <v>6</v>
      </c>
      <c r="EJ202">
        <v>1</v>
      </c>
      <c r="EK202">
        <v>500003</v>
      </c>
      <c r="EL202" t="s">
        <v>58</v>
      </c>
      <c r="EM202" t="s">
        <v>59</v>
      </c>
      <c r="EO202" t="s">
        <v>6</v>
      </c>
      <c r="EQ202">
        <v>0</v>
      </c>
      <c r="ER202">
        <v>80392</v>
      </c>
      <c r="ES202">
        <v>11142.150000000001</v>
      </c>
      <c r="ET202">
        <v>0</v>
      </c>
      <c r="EU202">
        <v>0</v>
      </c>
      <c r="EV202">
        <v>0</v>
      </c>
      <c r="EW202">
        <v>0</v>
      </c>
      <c r="EX202">
        <v>0</v>
      </c>
      <c r="EZ202">
        <v>5</v>
      </c>
      <c r="FC202">
        <v>0</v>
      </c>
      <c r="FD202">
        <v>18</v>
      </c>
      <c r="FF202">
        <v>80392</v>
      </c>
      <c r="FQ202">
        <v>0</v>
      </c>
      <c r="FR202">
        <f t="shared" si="217"/>
        <v>0</v>
      </c>
      <c r="FS202">
        <v>0</v>
      </c>
      <c r="FX202">
        <v>0</v>
      </c>
      <c r="FY202">
        <v>0</v>
      </c>
      <c r="GA202" t="s">
        <v>120</v>
      </c>
      <c r="GD202">
        <v>1</v>
      </c>
      <c r="GF202">
        <v>772407484</v>
      </c>
      <c r="GG202">
        <v>2</v>
      </c>
      <c r="GH202">
        <v>3</v>
      </c>
      <c r="GI202">
        <v>5</v>
      </c>
      <c r="GJ202">
        <v>0</v>
      </c>
      <c r="GK202">
        <v>0</v>
      </c>
      <c r="GL202">
        <f t="shared" si="218"/>
        <v>0</v>
      </c>
      <c r="GM202">
        <f t="shared" si="219"/>
        <v>499</v>
      </c>
      <c r="GN202">
        <f t="shared" si="220"/>
        <v>499</v>
      </c>
      <c r="GO202">
        <f t="shared" si="221"/>
        <v>0</v>
      </c>
      <c r="GP202">
        <f t="shared" si="222"/>
        <v>0</v>
      </c>
      <c r="GR202">
        <v>1</v>
      </c>
      <c r="GS202">
        <v>1</v>
      </c>
      <c r="GT202">
        <v>0</v>
      </c>
      <c r="GU202" t="s">
        <v>6</v>
      </c>
      <c r="GV202">
        <f t="shared" si="223"/>
        <v>0</v>
      </c>
      <c r="GW202">
        <v>1</v>
      </c>
      <c r="GX202">
        <f t="shared" si="224"/>
        <v>0</v>
      </c>
      <c r="HA202">
        <v>0</v>
      </c>
      <c r="HB202">
        <v>0</v>
      </c>
      <c r="HC202">
        <f t="shared" si="225"/>
        <v>0</v>
      </c>
      <c r="HE202" t="s">
        <v>39</v>
      </c>
      <c r="HF202" t="s">
        <v>61</v>
      </c>
      <c r="HM202" t="s">
        <v>6</v>
      </c>
      <c r="HN202" t="s">
        <v>6</v>
      </c>
      <c r="HO202" t="s">
        <v>6</v>
      </c>
      <c r="HP202" t="s">
        <v>6</v>
      </c>
      <c r="HQ202" t="s">
        <v>6</v>
      </c>
      <c r="IF202">
        <v>-1</v>
      </c>
      <c r="IK202">
        <v>0</v>
      </c>
    </row>
    <row r="203" spans="1:255" x14ac:dyDescent="0.2">
      <c r="A203" s="2">
        <v>17</v>
      </c>
      <c r="B203" s="2">
        <v>1</v>
      </c>
      <c r="C203" s="2">
        <f>ROW(SmtRes!A243)</f>
        <v>243</v>
      </c>
      <c r="D203" s="2">
        <f>ROW(EtalonRes!A181)</f>
        <v>181</v>
      </c>
      <c r="E203" s="2" t="s">
        <v>280</v>
      </c>
      <c r="F203" s="2" t="s">
        <v>281</v>
      </c>
      <c r="G203" s="2" t="s">
        <v>282</v>
      </c>
      <c r="H203" s="2" t="s">
        <v>21</v>
      </c>
      <c r="I203" s="2">
        <f>'2.Лок.смета.и.Акт'!E39</f>
        <v>29.320499999999999</v>
      </c>
      <c r="J203" s="2">
        <v>0</v>
      </c>
      <c r="K203" s="2">
        <v>117.282</v>
      </c>
      <c r="L203" s="2"/>
      <c r="M203" s="2"/>
      <c r="N203" s="2"/>
      <c r="O203" s="2">
        <f t="shared" si="194"/>
        <v>6191</v>
      </c>
      <c r="P203" s="2">
        <f t="shared" si="195"/>
        <v>0</v>
      </c>
      <c r="Q203" s="2">
        <f t="shared" si="196"/>
        <v>5062</v>
      </c>
      <c r="R203" s="2">
        <f t="shared" si="197"/>
        <v>738</v>
      </c>
      <c r="S203" s="2">
        <f t="shared" si="198"/>
        <v>1129</v>
      </c>
      <c r="T203" s="2">
        <f t="shared" si="199"/>
        <v>0</v>
      </c>
      <c r="U203" s="2">
        <f t="shared" si="200"/>
        <v>129.61127025000002</v>
      </c>
      <c r="V203" s="2">
        <f t="shared" si="201"/>
        <v>54.184283999999998</v>
      </c>
      <c r="W203" s="2">
        <f t="shared" si="202"/>
        <v>0</v>
      </c>
      <c r="X203" s="2">
        <f t="shared" si="203"/>
        <v>2240</v>
      </c>
      <c r="Y203" s="2">
        <f t="shared" si="204"/>
        <v>1438</v>
      </c>
      <c r="Z203" s="2"/>
      <c r="AA203" s="2">
        <v>86326987</v>
      </c>
      <c r="AB203" s="2">
        <f t="shared" si="205"/>
        <v>211.13</v>
      </c>
      <c r="AC203" s="2">
        <f>ROUND((ES203+(SUM(SmtRes!BC231:'SmtRes'!BC243)+SUM(EtalonRes!AL175:'EtalonRes'!AL181))),2)</f>
        <v>0</v>
      </c>
      <c r="AD203" s="2">
        <f>ROUND(((((ET203*1.12))-((EU203*1.12)))+AE203),2)</f>
        <v>172.63</v>
      </c>
      <c r="AE203" s="2">
        <f>ROUND(((EU203*1.12)),2)</f>
        <v>25.16</v>
      </c>
      <c r="AF203" s="2">
        <f>ROUND(((EV203*1.05)),2)</f>
        <v>38.5</v>
      </c>
      <c r="AG203" s="2">
        <f t="shared" si="206"/>
        <v>0</v>
      </c>
      <c r="AH203" s="2">
        <f>((EW203*1.05))</f>
        <v>4.4205000000000005</v>
      </c>
      <c r="AI203" s="2">
        <f>((EX203*1.12))</f>
        <v>1.8480000000000001</v>
      </c>
      <c r="AJ203" s="2">
        <f t="shared" si="207"/>
        <v>0</v>
      </c>
      <c r="AK203" s="2">
        <v>197.92</v>
      </c>
      <c r="AL203" s="2">
        <v>7.12</v>
      </c>
      <c r="AM203" s="2">
        <v>154.13</v>
      </c>
      <c r="AN203" s="2">
        <v>22.46</v>
      </c>
      <c r="AO203" s="2">
        <v>36.67</v>
      </c>
      <c r="AP203" s="2">
        <v>0</v>
      </c>
      <c r="AQ203" s="2">
        <v>4.21</v>
      </c>
      <c r="AR203" s="2">
        <v>1.65</v>
      </c>
      <c r="AS203" s="2">
        <v>0</v>
      </c>
      <c r="AT203" s="2">
        <v>120</v>
      </c>
      <c r="AU203" s="2">
        <v>77</v>
      </c>
      <c r="AV203" s="2">
        <v>1</v>
      </c>
      <c r="AW203" s="2">
        <v>1</v>
      </c>
      <c r="AX203" s="2"/>
      <c r="AY203" s="2"/>
      <c r="AZ203" s="2">
        <v>1</v>
      </c>
      <c r="BA203" s="2">
        <v>1</v>
      </c>
      <c r="BB203" s="2">
        <v>1</v>
      </c>
      <c r="BC203" s="2">
        <v>1</v>
      </c>
      <c r="BD203" s="2" t="s">
        <v>6</v>
      </c>
      <c r="BE203" s="2" t="s">
        <v>6</v>
      </c>
      <c r="BF203" s="2" t="s">
        <v>6</v>
      </c>
      <c r="BG203" s="2" t="s">
        <v>6</v>
      </c>
      <c r="BH203" s="2">
        <v>0</v>
      </c>
      <c r="BI203" s="2">
        <v>1</v>
      </c>
      <c r="BJ203" s="2" t="s">
        <v>283</v>
      </c>
      <c r="BK203" s="2"/>
      <c r="BL203" s="2"/>
      <c r="BM203" s="2">
        <v>6002</v>
      </c>
      <c r="BN203" s="2">
        <v>0</v>
      </c>
      <c r="BO203" s="2" t="s">
        <v>6</v>
      </c>
      <c r="BP203" s="2">
        <v>0</v>
      </c>
      <c r="BQ203" s="2">
        <v>1</v>
      </c>
      <c r="BR203" s="2">
        <v>0</v>
      </c>
      <c r="BS203" s="2">
        <v>1</v>
      </c>
      <c r="BT203" s="2">
        <v>1</v>
      </c>
      <c r="BU203" s="2">
        <v>1</v>
      </c>
      <c r="BV203" s="2">
        <v>1</v>
      </c>
      <c r="BW203" s="2">
        <v>1</v>
      </c>
      <c r="BX203" s="2">
        <v>1</v>
      </c>
      <c r="BY203" s="2" t="s">
        <v>6</v>
      </c>
      <c r="BZ203" s="2">
        <v>120</v>
      </c>
      <c r="CA203" s="2">
        <v>77</v>
      </c>
      <c r="CB203" s="2" t="s">
        <v>6</v>
      </c>
      <c r="CC203" s="2"/>
      <c r="CD203" s="2"/>
      <c r="CE203" s="2">
        <v>0</v>
      </c>
      <c r="CF203" s="2">
        <v>0</v>
      </c>
      <c r="CG203" s="2">
        <v>0</v>
      </c>
      <c r="CH203" s="2"/>
      <c r="CI203" s="2"/>
      <c r="CJ203" s="2"/>
      <c r="CK203" s="2"/>
      <c r="CL203" s="2"/>
      <c r="CM203" s="2">
        <v>0</v>
      </c>
      <c r="CN203" s="2" t="s">
        <v>23</v>
      </c>
      <c r="CO203" s="2">
        <v>0</v>
      </c>
      <c r="CP203" s="2">
        <f t="shared" si="208"/>
        <v>6191</v>
      </c>
      <c r="CQ203" s="2">
        <f t="shared" si="209"/>
        <v>0</v>
      </c>
      <c r="CR203" s="2">
        <f t="shared" si="210"/>
        <v>172.63</v>
      </c>
      <c r="CS203" s="2">
        <f t="shared" si="211"/>
        <v>25.16</v>
      </c>
      <c r="CT203" s="2">
        <f t="shared" si="212"/>
        <v>38.5</v>
      </c>
      <c r="CU203" s="2">
        <f t="shared" si="213"/>
        <v>0</v>
      </c>
      <c r="CV203" s="2">
        <f t="shared" si="214"/>
        <v>4.4205000000000005</v>
      </c>
      <c r="CW203" s="2">
        <f t="shared" si="215"/>
        <v>1.8480000000000001</v>
      </c>
      <c r="CX203" s="2">
        <f t="shared" si="216"/>
        <v>0</v>
      </c>
      <c r="CY203" s="2">
        <f>(((S203+(R203*IF(0,0,1)))*AT203)/100)</f>
        <v>2240.4</v>
      </c>
      <c r="CZ203" s="2">
        <f>(((S203+(R203*IF(0,0,1)))*AU203)/100)</f>
        <v>1437.59</v>
      </c>
      <c r="DA203" s="2"/>
      <c r="DB203" s="2"/>
      <c r="DC203" s="2" t="s">
        <v>6</v>
      </c>
      <c r="DD203" s="2" t="s">
        <v>6</v>
      </c>
      <c r="DE203" s="2" t="s">
        <v>24</v>
      </c>
      <c r="DF203" s="2" t="s">
        <v>24</v>
      </c>
      <c r="DG203" s="2" t="s">
        <v>25</v>
      </c>
      <c r="DH203" s="2" t="s">
        <v>6</v>
      </c>
      <c r="DI203" s="2" t="s">
        <v>25</v>
      </c>
      <c r="DJ203" s="2" t="s">
        <v>24</v>
      </c>
      <c r="DK203" s="2" t="s">
        <v>6</v>
      </c>
      <c r="DL203" s="2" t="s">
        <v>6</v>
      </c>
      <c r="DM203" s="2" t="s">
        <v>6</v>
      </c>
      <c r="DN203" s="2">
        <v>0</v>
      </c>
      <c r="DO203" s="2">
        <v>0</v>
      </c>
      <c r="DP203" s="2">
        <v>1</v>
      </c>
      <c r="DQ203" s="2">
        <v>1</v>
      </c>
      <c r="DR203" s="2"/>
      <c r="DS203" s="2"/>
      <c r="DT203" s="2"/>
      <c r="DU203" s="2">
        <v>1013</v>
      </c>
      <c r="DV203" s="2" t="s">
        <v>21</v>
      </c>
      <c r="DW203" s="2" t="s">
        <v>21</v>
      </c>
      <c r="DX203" s="2">
        <v>1</v>
      </c>
      <c r="DY203" s="2"/>
      <c r="DZ203" s="2" t="s">
        <v>6</v>
      </c>
      <c r="EA203" s="2" t="s">
        <v>6</v>
      </c>
      <c r="EB203" s="2" t="s">
        <v>6</v>
      </c>
      <c r="EC203" s="2" t="s">
        <v>6</v>
      </c>
      <c r="ED203" s="2"/>
      <c r="EE203" s="2">
        <v>54938592</v>
      </c>
      <c r="EF203" s="2">
        <v>1</v>
      </c>
      <c r="EG203" s="2" t="s">
        <v>26</v>
      </c>
      <c r="EH203" s="2">
        <v>0</v>
      </c>
      <c r="EI203" s="2" t="s">
        <v>6</v>
      </c>
      <c r="EJ203" s="2">
        <v>1</v>
      </c>
      <c r="EK203" s="2">
        <v>6002</v>
      </c>
      <c r="EL203" s="2" t="s">
        <v>27</v>
      </c>
      <c r="EM203" s="2" t="s">
        <v>28</v>
      </c>
      <c r="EN203" s="2"/>
      <c r="EO203" s="2" t="s">
        <v>29</v>
      </c>
      <c r="EP203" s="2"/>
      <c r="EQ203" s="2">
        <v>2097152</v>
      </c>
      <c r="ER203" s="2">
        <v>197.92</v>
      </c>
      <c r="ES203" s="2">
        <v>7.12</v>
      </c>
      <c r="ET203" s="2">
        <v>154.13</v>
      </c>
      <c r="EU203" s="2">
        <v>22.46</v>
      </c>
      <c r="EV203" s="2">
        <v>36.67</v>
      </c>
      <c r="EW203" s="2">
        <v>4.21</v>
      </c>
      <c r="EX203" s="2">
        <v>1.65</v>
      </c>
      <c r="EY203" s="2">
        <v>1</v>
      </c>
      <c r="EZ203" s="2"/>
      <c r="FA203" s="2"/>
      <c r="FB203" s="2"/>
      <c r="FC203" s="2"/>
      <c r="FD203" s="2"/>
      <c r="FE203" s="2"/>
      <c r="FF203" s="2"/>
      <c r="FG203" s="2"/>
      <c r="FH203" s="2"/>
      <c r="FI203" s="2"/>
      <c r="FJ203" s="2"/>
      <c r="FK203" s="2"/>
      <c r="FL203" s="2"/>
      <c r="FM203" s="2"/>
      <c r="FN203" s="2"/>
      <c r="FO203" s="2"/>
      <c r="FP203" s="2"/>
      <c r="FQ203" s="2">
        <v>0</v>
      </c>
      <c r="FR203" s="2">
        <f t="shared" si="217"/>
        <v>0</v>
      </c>
      <c r="FS203" s="2">
        <v>0</v>
      </c>
      <c r="FT203" s="2"/>
      <c r="FU203" s="2"/>
      <c r="FV203" s="2"/>
      <c r="FW203" s="2"/>
      <c r="FX203" s="2">
        <v>120</v>
      </c>
      <c r="FY203" s="2">
        <v>77</v>
      </c>
      <c r="FZ203" s="2"/>
      <c r="GA203" s="2" t="s">
        <v>6</v>
      </c>
      <c r="GB203" s="2"/>
      <c r="GC203" s="2"/>
      <c r="GD203" s="2">
        <v>1</v>
      </c>
      <c r="GE203" s="2"/>
      <c r="GF203" s="2">
        <v>-181610835</v>
      </c>
      <c r="GG203" s="2">
        <v>2</v>
      </c>
      <c r="GH203" s="2">
        <v>1</v>
      </c>
      <c r="GI203" s="2">
        <v>-2</v>
      </c>
      <c r="GJ203" s="2">
        <v>0</v>
      </c>
      <c r="GK203" s="2">
        <v>0</v>
      </c>
      <c r="GL203" s="2">
        <f t="shared" si="218"/>
        <v>0</v>
      </c>
      <c r="GM203" s="2">
        <f t="shared" si="219"/>
        <v>9869</v>
      </c>
      <c r="GN203" s="2">
        <f t="shared" si="220"/>
        <v>9869</v>
      </c>
      <c r="GO203" s="2">
        <f t="shared" si="221"/>
        <v>0</v>
      </c>
      <c r="GP203" s="2">
        <f t="shared" si="222"/>
        <v>0</v>
      </c>
      <c r="GQ203" s="2"/>
      <c r="GR203" s="2">
        <v>0</v>
      </c>
      <c r="GS203" s="2">
        <v>3</v>
      </c>
      <c r="GT203" s="2">
        <v>0</v>
      </c>
      <c r="GU203" s="2" t="s">
        <v>6</v>
      </c>
      <c r="GV203" s="2">
        <f t="shared" si="223"/>
        <v>0</v>
      </c>
      <c r="GW203" s="2">
        <v>1</v>
      </c>
      <c r="GX203" s="2">
        <f t="shared" si="224"/>
        <v>0</v>
      </c>
      <c r="GY203" s="2"/>
      <c r="GZ203" s="2"/>
      <c r="HA203" s="2">
        <v>0</v>
      </c>
      <c r="HB203" s="2">
        <v>0</v>
      </c>
      <c r="HC203" s="2">
        <f t="shared" si="225"/>
        <v>0</v>
      </c>
      <c r="HD203" s="2"/>
      <c r="HE203" s="2" t="s">
        <v>6</v>
      </c>
      <c r="HF203" s="2" t="s">
        <v>6</v>
      </c>
      <c r="HG203" s="2"/>
      <c r="HH203" s="2"/>
      <c r="HI203" s="2"/>
      <c r="HJ203" s="2"/>
      <c r="HK203" s="2"/>
      <c r="HL203" s="2"/>
      <c r="HM203" s="2" t="s">
        <v>6</v>
      </c>
      <c r="HN203" s="2" t="s">
        <v>6</v>
      </c>
      <c r="HO203" s="2" t="s">
        <v>6</v>
      </c>
      <c r="HP203" s="2" t="s">
        <v>6</v>
      </c>
      <c r="HQ203" s="2" t="s">
        <v>6</v>
      </c>
      <c r="HR203" s="2"/>
      <c r="HS203" s="2"/>
      <c r="HT203" s="2"/>
      <c r="HU203" s="2"/>
      <c r="HV203" s="2"/>
      <c r="HW203" s="2"/>
      <c r="HX203" s="2"/>
      <c r="HY203" s="2"/>
      <c r="HZ203" s="2"/>
      <c r="IA203" s="2"/>
      <c r="IB203" s="2"/>
      <c r="IC203" s="2"/>
      <c r="ID203" s="2"/>
      <c r="IE203" s="2"/>
      <c r="IF203" s="2">
        <v>-1</v>
      </c>
      <c r="IG203" s="2"/>
      <c r="IH203" s="2"/>
      <c r="II203" s="2"/>
      <c r="IJ203" s="2"/>
      <c r="IK203" s="2">
        <v>0</v>
      </c>
      <c r="IL203" s="2"/>
      <c r="IM203" s="2"/>
      <c r="IN203" s="2"/>
      <c r="IO203" s="2"/>
      <c r="IP203" s="2"/>
      <c r="IQ203" s="2"/>
      <c r="IR203" s="2"/>
      <c r="IS203" s="2"/>
      <c r="IT203" s="2"/>
      <c r="IU203" s="2"/>
    </row>
    <row r="204" spans="1:255" x14ac:dyDescent="0.2">
      <c r="A204">
        <v>17</v>
      </c>
      <c r="B204">
        <v>1</v>
      </c>
      <c r="C204">
        <f>ROW(SmtRes!A256)</f>
        <v>256</v>
      </c>
      <c r="D204">
        <f>ROW(EtalonRes!A188)</f>
        <v>188</v>
      </c>
      <c r="E204" t="s">
        <v>280</v>
      </c>
      <c r="F204" t="s">
        <v>281</v>
      </c>
      <c r="G204" t="s">
        <v>282</v>
      </c>
      <c r="H204" t="s">
        <v>21</v>
      </c>
      <c r="I204">
        <f>'2.Лок.смета.и.Акт'!E39</f>
        <v>29.320499999999999</v>
      </c>
      <c r="J204">
        <v>0</v>
      </c>
      <c r="K204">
        <v>117.282</v>
      </c>
      <c r="O204">
        <f t="shared" si="194"/>
        <v>87790</v>
      </c>
      <c r="P204">
        <f t="shared" si="195"/>
        <v>0</v>
      </c>
      <c r="Q204">
        <f t="shared" si="196"/>
        <v>47073</v>
      </c>
      <c r="R204">
        <f t="shared" si="197"/>
        <v>14607</v>
      </c>
      <c r="S204">
        <f t="shared" si="198"/>
        <v>40717</v>
      </c>
      <c r="T204">
        <f t="shared" si="199"/>
        <v>0</v>
      </c>
      <c r="U204" t="e">
        <f t="shared" si="200"/>
        <v>#REF!</v>
      </c>
      <c r="V204">
        <f t="shared" si="201"/>
        <v>54.184283999999998</v>
      </c>
      <c r="W204">
        <f t="shared" si="202"/>
        <v>0</v>
      </c>
      <c r="X204" t="e">
        <f t="shared" si="203"/>
        <v>#REF!</v>
      </c>
      <c r="Y204" t="e">
        <f t="shared" si="204"/>
        <v>#REF!</v>
      </c>
      <c r="AA204">
        <v>86326988</v>
      </c>
      <c r="AB204">
        <f t="shared" si="205"/>
        <v>211.13</v>
      </c>
      <c r="AC204">
        <f>ROUND((ES204+(SUM(SmtRes!BC244:'SmtRes'!BC256)+SUM(EtalonRes!AL182:'EtalonRes'!AL188))),2)</f>
        <v>0</v>
      </c>
      <c r="AD204">
        <f>ROUND(((((ET204*1.12))-((EU204*1.12)))+AE204),2)</f>
        <v>172.63</v>
      </c>
      <c r="AE204">
        <f>ROUND(((EU204*1.12)),2)</f>
        <v>25.16</v>
      </c>
      <c r="AF204">
        <f>ROUND(((EV204*1.05)),2)</f>
        <v>38.5</v>
      </c>
      <c r="AG204">
        <f t="shared" si="206"/>
        <v>0</v>
      </c>
      <c r="AH204" t="e">
        <f>((EW204*1.05))</f>
        <v>#REF!</v>
      </c>
      <c r="AI204">
        <f>((EX204*1.12))</f>
        <v>1.8480000000000001</v>
      </c>
      <c r="AJ204">
        <f t="shared" si="207"/>
        <v>0</v>
      </c>
      <c r="AK204">
        <f>AL204+AM204+AO204</f>
        <v>197.92000000000002</v>
      </c>
      <c r="AL204">
        <v>7.12</v>
      </c>
      <c r="AM204" s="75">
        <f>'1.Лок.смета.и.Акт'!F358</f>
        <v>154.13</v>
      </c>
      <c r="AN204" s="75">
        <f>'1.Лок.смета.и.Акт'!F359</f>
        <v>22.46</v>
      </c>
      <c r="AO204" s="75">
        <f>'1.Лок.смета.и.Акт'!F357</f>
        <v>36.67</v>
      </c>
      <c r="AP204">
        <v>0</v>
      </c>
      <c r="AQ204" t="e">
        <f>'2.Лок.смета.и.Акт'!#REF!</f>
        <v>#REF!</v>
      </c>
      <c r="AR204">
        <v>1.65</v>
      </c>
      <c r="AS204">
        <v>0</v>
      </c>
      <c r="AT204">
        <v>114</v>
      </c>
      <c r="AU204">
        <v>65</v>
      </c>
      <c r="AV204">
        <v>1</v>
      </c>
      <c r="AW204">
        <v>1</v>
      </c>
      <c r="AZ204">
        <v>1</v>
      </c>
      <c r="BA204">
        <f>'1.Лок.смета.и.Акт'!J357</f>
        <v>36.07</v>
      </c>
      <c r="BB204">
        <f>'1.Лок.смета.и.Акт'!J358</f>
        <v>9.3000000000000007</v>
      </c>
      <c r="BC204">
        <v>7.56</v>
      </c>
      <c r="BD204" t="s">
        <v>6</v>
      </c>
      <c r="BE204" t="s">
        <v>6</v>
      </c>
      <c r="BF204" t="s">
        <v>6</v>
      </c>
      <c r="BG204" t="s">
        <v>6</v>
      </c>
      <c r="BH204">
        <v>0</v>
      </c>
      <c r="BI204">
        <v>1</v>
      </c>
      <c r="BJ204" t="s">
        <v>283</v>
      </c>
      <c r="BM204">
        <v>6002</v>
      </c>
      <c r="BN204">
        <v>0</v>
      </c>
      <c r="BO204" t="s">
        <v>281</v>
      </c>
      <c r="BP204">
        <v>1</v>
      </c>
      <c r="BQ204">
        <v>1</v>
      </c>
      <c r="BR204">
        <v>0</v>
      </c>
      <c r="BS204">
        <f>'1.Лок.смета.и.Акт'!J359</f>
        <v>19.8</v>
      </c>
      <c r="BT204">
        <v>1</v>
      </c>
      <c r="BU204">
        <v>1</v>
      </c>
      <c r="BV204">
        <v>1</v>
      </c>
      <c r="BW204">
        <v>1</v>
      </c>
      <c r="BX204">
        <v>1</v>
      </c>
      <c r="BY204" t="s">
        <v>6</v>
      </c>
      <c r="BZ204" t="e">
        <f>'2.Лок.смета.и.Акт'!#REF!</f>
        <v>#REF!</v>
      </c>
      <c r="CA204" t="e">
        <f>'2.Лок.смета.и.Акт'!#REF!</f>
        <v>#REF!</v>
      </c>
      <c r="CB204" t="s">
        <v>6</v>
      </c>
      <c r="CE204">
        <v>0</v>
      </c>
      <c r="CF204">
        <v>0</v>
      </c>
      <c r="CG204">
        <v>0</v>
      </c>
      <c r="CM204">
        <v>0</v>
      </c>
      <c r="CN204" t="s">
        <v>23</v>
      </c>
      <c r="CO204">
        <v>0</v>
      </c>
      <c r="CP204">
        <f t="shared" si="208"/>
        <v>87790</v>
      </c>
      <c r="CQ204">
        <f t="shared" si="209"/>
        <v>0</v>
      </c>
      <c r="CR204">
        <f t="shared" si="210"/>
        <v>1605.4590000000001</v>
      </c>
      <c r="CS204">
        <f t="shared" si="211"/>
        <v>498.16800000000001</v>
      </c>
      <c r="CT204">
        <f t="shared" si="212"/>
        <v>1388.6949999999999</v>
      </c>
      <c r="CU204">
        <f t="shared" si="213"/>
        <v>0</v>
      </c>
      <c r="CV204" t="e">
        <f t="shared" si="214"/>
        <v>#REF!</v>
      </c>
      <c r="CW204">
        <f t="shared" si="215"/>
        <v>1.8480000000000001</v>
      </c>
      <c r="CX204">
        <f t="shared" si="216"/>
        <v>0</v>
      </c>
      <c r="CY204" t="e">
        <f>(S204+R204)*(BZ204/100)</f>
        <v>#REF!</v>
      </c>
      <c r="CZ204" t="e">
        <f>(S204+R204)*(CA204/100)</f>
        <v>#REF!</v>
      </c>
      <c r="DC204" t="s">
        <v>6</v>
      </c>
      <c r="DD204" t="s">
        <v>6</v>
      </c>
      <c r="DE204" t="s">
        <v>24</v>
      </c>
      <c r="DF204" t="s">
        <v>24</v>
      </c>
      <c r="DG204" t="s">
        <v>25</v>
      </c>
      <c r="DH204" t="s">
        <v>6</v>
      </c>
      <c r="DI204" t="s">
        <v>25</v>
      </c>
      <c r="DJ204" t="s">
        <v>24</v>
      </c>
      <c r="DK204" t="s">
        <v>6</v>
      </c>
      <c r="DL204" t="s">
        <v>6</v>
      </c>
      <c r="DM204" t="s">
        <v>6</v>
      </c>
      <c r="DN204">
        <f>'1.Лок.смета.и.Акт'!E360</f>
        <v>120</v>
      </c>
      <c r="DO204">
        <f>'1.Лок.смета.и.Акт'!E361</f>
        <v>77</v>
      </c>
      <c r="DP204">
        <v>1</v>
      </c>
      <c r="DQ204">
        <v>1</v>
      </c>
      <c r="DU204">
        <v>1013</v>
      </c>
      <c r="DV204" t="s">
        <v>21</v>
      </c>
      <c r="DW204" t="str">
        <f>'2.Лок.смета.и.Акт'!D39</f>
        <v>10 м2 конструкций</v>
      </c>
      <c r="DX204">
        <v>1</v>
      </c>
      <c r="DZ204" t="s">
        <v>6</v>
      </c>
      <c r="EA204" t="s">
        <v>6</v>
      </c>
      <c r="EB204" t="s">
        <v>6</v>
      </c>
      <c r="EC204" t="s">
        <v>6</v>
      </c>
      <c r="EE204">
        <v>54938592</v>
      </c>
      <c r="EF204">
        <v>1</v>
      </c>
      <c r="EG204" t="s">
        <v>26</v>
      </c>
      <c r="EH204">
        <v>0</v>
      </c>
      <c r="EI204" t="s">
        <v>6</v>
      </c>
      <c r="EJ204">
        <v>1</v>
      </c>
      <c r="EK204">
        <v>6002</v>
      </c>
      <c r="EL204" t="s">
        <v>27</v>
      </c>
      <c r="EM204" t="s">
        <v>28</v>
      </c>
      <c r="EO204" t="s">
        <v>29</v>
      </c>
      <c r="EQ204">
        <v>2097152</v>
      </c>
      <c r="ER204">
        <f>ES204+ET204+EV204</f>
        <v>197.92000000000002</v>
      </c>
      <c r="ES204">
        <v>7.12</v>
      </c>
      <c r="ET204" s="75">
        <f>'1.Лок.смета.и.Акт'!F358</f>
        <v>154.13</v>
      </c>
      <c r="EU204" s="75">
        <f>'1.Лок.смета.и.Акт'!F359</f>
        <v>22.46</v>
      </c>
      <c r="EV204" s="75">
        <f>'1.Лок.смета.и.Акт'!F357</f>
        <v>36.67</v>
      </c>
      <c r="EW204" t="e">
        <f>'2.Лок.смета.и.Акт'!#REF!</f>
        <v>#REF!</v>
      </c>
      <c r="EX204">
        <v>1.65</v>
      </c>
      <c r="EY204">
        <v>1</v>
      </c>
      <c r="FQ204">
        <v>0</v>
      </c>
      <c r="FR204">
        <f t="shared" si="217"/>
        <v>0</v>
      </c>
      <c r="FS204">
        <v>0</v>
      </c>
      <c r="FX204">
        <v>120</v>
      </c>
      <c r="FY204">
        <v>77</v>
      </c>
      <c r="GA204" t="s">
        <v>6</v>
      </c>
      <c r="GD204">
        <v>1</v>
      </c>
      <c r="GF204">
        <v>-181610835</v>
      </c>
      <c r="GG204">
        <v>2</v>
      </c>
      <c r="GH204">
        <v>1</v>
      </c>
      <c r="GI204">
        <v>2</v>
      </c>
      <c r="GJ204">
        <v>0</v>
      </c>
      <c r="GK204">
        <v>0</v>
      </c>
      <c r="GL204">
        <f t="shared" si="218"/>
        <v>0</v>
      </c>
      <c r="GM204" t="e">
        <f t="shared" si="219"/>
        <v>#REF!</v>
      </c>
      <c r="GN204" t="e">
        <f t="shared" si="220"/>
        <v>#REF!</v>
      </c>
      <c r="GO204">
        <f t="shared" si="221"/>
        <v>0</v>
      </c>
      <c r="GP204">
        <f t="shared" si="222"/>
        <v>0</v>
      </c>
      <c r="GR204">
        <v>0</v>
      </c>
      <c r="GS204">
        <v>3</v>
      </c>
      <c r="GT204">
        <v>0</v>
      </c>
      <c r="GU204" t="s">
        <v>6</v>
      </c>
      <c r="GV204">
        <f t="shared" si="223"/>
        <v>0</v>
      </c>
      <c r="GW204">
        <v>1003.4</v>
      </c>
      <c r="GX204">
        <f t="shared" si="224"/>
        <v>0</v>
      </c>
      <c r="HA204">
        <v>0</v>
      </c>
      <c r="HB204">
        <v>0</v>
      </c>
      <c r="HC204">
        <f t="shared" si="225"/>
        <v>0</v>
      </c>
      <c r="HE204" t="s">
        <v>6</v>
      </c>
      <c r="HF204" t="s">
        <v>6</v>
      </c>
      <c r="HM204" t="s">
        <v>6</v>
      </c>
      <c r="HN204" t="s">
        <v>6</v>
      </c>
      <c r="HO204" t="s">
        <v>6</v>
      </c>
      <c r="HP204" t="s">
        <v>6</v>
      </c>
      <c r="HQ204" t="s">
        <v>6</v>
      </c>
      <c r="IF204">
        <v>-1</v>
      </c>
      <c r="IK204">
        <v>0</v>
      </c>
    </row>
    <row r="205" spans="1:255" x14ac:dyDescent="0.2">
      <c r="A205" s="2">
        <v>18</v>
      </c>
      <c r="B205" s="2">
        <v>1</v>
      </c>
      <c r="C205" s="2">
        <v>235</v>
      </c>
      <c r="D205" s="2"/>
      <c r="E205" s="2" t="s">
        <v>284</v>
      </c>
      <c r="F205" s="2" t="s">
        <v>71</v>
      </c>
      <c r="G205" s="2" t="s">
        <v>72</v>
      </c>
      <c r="H205" s="2" t="s">
        <v>33</v>
      </c>
      <c r="I205" s="2">
        <f>I203*J205</f>
        <v>0.12317550000000001</v>
      </c>
      <c r="J205" s="226">
        <f>'5.Ведомость_списания'!F97</f>
        <v>4.2010027114135163E-3</v>
      </c>
      <c r="K205" s="2">
        <v>4.2009999999999999E-3</v>
      </c>
      <c r="L205" s="2"/>
      <c r="M205" s="2"/>
      <c r="N205" s="2"/>
      <c r="O205" s="2">
        <f t="shared" si="194"/>
        <v>209</v>
      </c>
      <c r="P205" s="2">
        <f t="shared" si="195"/>
        <v>209</v>
      </c>
      <c r="Q205" s="2">
        <f t="shared" si="196"/>
        <v>0</v>
      </c>
      <c r="R205" s="2">
        <f t="shared" si="197"/>
        <v>0</v>
      </c>
      <c r="S205" s="2">
        <f t="shared" si="198"/>
        <v>0</v>
      </c>
      <c r="T205" s="2">
        <f t="shared" si="199"/>
        <v>0</v>
      </c>
      <c r="U205" s="2">
        <f t="shared" si="200"/>
        <v>0</v>
      </c>
      <c r="V205" s="2">
        <f t="shared" si="201"/>
        <v>0</v>
      </c>
      <c r="W205" s="2">
        <f t="shared" si="202"/>
        <v>5</v>
      </c>
      <c r="X205" s="2">
        <f t="shared" si="203"/>
        <v>0</v>
      </c>
      <c r="Y205" s="2">
        <f t="shared" si="204"/>
        <v>0</v>
      </c>
      <c r="Z205" s="2"/>
      <c r="AA205" s="2">
        <v>86326987</v>
      </c>
      <c r="AB205" s="2">
        <f t="shared" si="205"/>
        <v>1696.01</v>
      </c>
      <c r="AC205" s="2">
        <f t="shared" ref="AC205:AC222" si="232">ROUND((ES205),2)</f>
        <v>1696.01</v>
      </c>
      <c r="AD205" s="2">
        <f>ROUND((((ET205)-(EU205))+AE205),2)</f>
        <v>0</v>
      </c>
      <c r="AE205" s="2">
        <f t="shared" ref="AE205:AE250" si="233">ROUND((EU205),2)</f>
        <v>0</v>
      </c>
      <c r="AF205" s="2">
        <f t="shared" ref="AF205:AF250" si="234">ROUND((EV205),2)</f>
        <v>0</v>
      </c>
      <c r="AG205" s="2">
        <f t="shared" si="206"/>
        <v>0</v>
      </c>
      <c r="AH205" s="2">
        <f t="shared" ref="AH205:AH250" si="235">(EW205)</f>
        <v>0</v>
      </c>
      <c r="AI205" s="2">
        <f t="shared" ref="AI205:AI250" si="236">(EX205)</f>
        <v>0</v>
      </c>
      <c r="AJ205" s="2">
        <f t="shared" si="207"/>
        <v>44.58</v>
      </c>
      <c r="AK205" s="2">
        <v>1696.01</v>
      </c>
      <c r="AL205" s="110">
        <f>'1.Лок.смета.и.Акт'!F363</f>
        <v>1696.01</v>
      </c>
      <c r="AM205" s="2">
        <v>0</v>
      </c>
      <c r="AN205" s="2">
        <v>0</v>
      </c>
      <c r="AO205" s="2">
        <v>0</v>
      </c>
      <c r="AP205" s="2">
        <v>0</v>
      </c>
      <c r="AQ205" s="2">
        <v>0</v>
      </c>
      <c r="AR205" s="2">
        <v>0</v>
      </c>
      <c r="AS205" s="2">
        <v>44.58</v>
      </c>
      <c r="AT205" s="2">
        <v>0</v>
      </c>
      <c r="AU205" s="2">
        <v>0</v>
      </c>
      <c r="AV205" s="2">
        <v>1</v>
      </c>
      <c r="AW205" s="2">
        <v>1</v>
      </c>
      <c r="AX205" s="2"/>
      <c r="AY205" s="2"/>
      <c r="AZ205" s="2">
        <v>1</v>
      </c>
      <c r="BA205" s="2">
        <v>1</v>
      </c>
      <c r="BB205" s="2">
        <v>1</v>
      </c>
      <c r="BC205" s="2">
        <v>1</v>
      </c>
      <c r="BD205" s="2" t="s">
        <v>6</v>
      </c>
      <c r="BE205" s="2" t="s">
        <v>6</v>
      </c>
      <c r="BF205" s="2" t="s">
        <v>6</v>
      </c>
      <c r="BG205" s="2" t="s">
        <v>6</v>
      </c>
      <c r="BH205" s="2">
        <v>3</v>
      </c>
      <c r="BI205" s="2">
        <v>1</v>
      </c>
      <c r="BJ205" s="2" t="s">
        <v>73</v>
      </c>
      <c r="BK205" s="2"/>
      <c r="BL205" s="2"/>
      <c r="BM205" s="2">
        <v>500001</v>
      </c>
      <c r="BN205" s="2">
        <v>0</v>
      </c>
      <c r="BO205" s="2" t="s">
        <v>6</v>
      </c>
      <c r="BP205" s="2">
        <v>0</v>
      </c>
      <c r="BQ205" s="2">
        <v>20</v>
      </c>
      <c r="BR205" s="2">
        <v>0</v>
      </c>
      <c r="BS205" s="2">
        <v>1</v>
      </c>
      <c r="BT205" s="2">
        <v>1</v>
      </c>
      <c r="BU205" s="2">
        <v>1</v>
      </c>
      <c r="BV205" s="2">
        <v>1</v>
      </c>
      <c r="BW205" s="2">
        <v>1</v>
      </c>
      <c r="BX205" s="2">
        <v>1</v>
      </c>
      <c r="BY205" s="2" t="s">
        <v>6</v>
      </c>
      <c r="BZ205" s="2">
        <v>0</v>
      </c>
      <c r="CA205" s="2">
        <v>0</v>
      </c>
      <c r="CB205" s="2" t="s">
        <v>6</v>
      </c>
      <c r="CC205" s="2"/>
      <c r="CD205" s="2"/>
      <c r="CE205" s="2">
        <v>0</v>
      </c>
      <c r="CF205" s="2">
        <v>0</v>
      </c>
      <c r="CG205" s="2">
        <v>0</v>
      </c>
      <c r="CH205" s="2"/>
      <c r="CI205" s="2"/>
      <c r="CJ205" s="2"/>
      <c r="CK205" s="2"/>
      <c r="CL205" s="2"/>
      <c r="CM205" s="2">
        <v>0</v>
      </c>
      <c r="CN205" s="2" t="s">
        <v>6</v>
      </c>
      <c r="CO205" s="2">
        <v>0</v>
      </c>
      <c r="CP205" s="2">
        <f t="shared" si="208"/>
        <v>209</v>
      </c>
      <c r="CQ205" s="2">
        <f t="shared" si="209"/>
        <v>1696.01</v>
      </c>
      <c r="CR205" s="2">
        <f t="shared" si="210"/>
        <v>0</v>
      </c>
      <c r="CS205" s="2">
        <f t="shared" si="211"/>
        <v>0</v>
      </c>
      <c r="CT205" s="2">
        <f t="shared" si="212"/>
        <v>0</v>
      </c>
      <c r="CU205" s="2">
        <f t="shared" si="213"/>
        <v>0</v>
      </c>
      <c r="CV205" s="2">
        <f t="shared" si="214"/>
        <v>0</v>
      </c>
      <c r="CW205" s="2">
        <f t="shared" si="215"/>
        <v>0</v>
      </c>
      <c r="CX205" s="2">
        <f t="shared" si="216"/>
        <v>44.58</v>
      </c>
      <c r="CY205" s="2">
        <f>(((S205+(R205*IF(0,0,1)))*AT205)/100)</f>
        <v>0</v>
      </c>
      <c r="CZ205" s="2">
        <f>(((S205+(R205*IF(0,0,1)))*AU205)/100)</f>
        <v>0</v>
      </c>
      <c r="DA205" s="2"/>
      <c r="DB205" s="2"/>
      <c r="DC205" s="2" t="s">
        <v>6</v>
      </c>
      <c r="DD205" s="2" t="s">
        <v>6</v>
      </c>
      <c r="DE205" s="2" t="s">
        <v>6</v>
      </c>
      <c r="DF205" s="2" t="s">
        <v>6</v>
      </c>
      <c r="DG205" s="2" t="s">
        <v>6</v>
      </c>
      <c r="DH205" s="2" t="s">
        <v>6</v>
      </c>
      <c r="DI205" s="2" t="s">
        <v>6</v>
      </c>
      <c r="DJ205" s="2" t="s">
        <v>6</v>
      </c>
      <c r="DK205" s="2" t="s">
        <v>6</v>
      </c>
      <c r="DL205" s="2" t="s">
        <v>6</v>
      </c>
      <c r="DM205" s="2" t="s">
        <v>6</v>
      </c>
      <c r="DN205" s="2">
        <v>0</v>
      </c>
      <c r="DO205" s="2">
        <v>0</v>
      </c>
      <c r="DP205" s="2">
        <v>1</v>
      </c>
      <c r="DQ205" s="2">
        <v>1</v>
      </c>
      <c r="DR205" s="2"/>
      <c r="DS205" s="2"/>
      <c r="DT205" s="2"/>
      <c r="DU205" s="2">
        <v>1009</v>
      </c>
      <c r="DV205" s="2" t="s">
        <v>33</v>
      </c>
      <c r="DW205" s="2" t="s">
        <v>33</v>
      </c>
      <c r="DX205" s="2">
        <v>1000</v>
      </c>
      <c r="DY205" s="2"/>
      <c r="DZ205" s="2" t="s">
        <v>6</v>
      </c>
      <c r="EA205" s="2" t="s">
        <v>6</v>
      </c>
      <c r="EB205" s="2" t="s">
        <v>6</v>
      </c>
      <c r="EC205" s="2" t="s">
        <v>6</v>
      </c>
      <c r="ED205" s="2"/>
      <c r="EE205" s="2">
        <v>54938781</v>
      </c>
      <c r="EF205" s="2">
        <v>20</v>
      </c>
      <c r="EG205" s="2" t="s">
        <v>35</v>
      </c>
      <c r="EH205" s="2">
        <v>0</v>
      </c>
      <c r="EI205" s="2" t="s">
        <v>6</v>
      </c>
      <c r="EJ205" s="2">
        <v>1</v>
      </c>
      <c r="EK205" s="2">
        <v>500001</v>
      </c>
      <c r="EL205" s="2" t="s">
        <v>36</v>
      </c>
      <c r="EM205" s="2" t="s">
        <v>37</v>
      </c>
      <c r="EN205" s="2"/>
      <c r="EO205" s="2" t="s">
        <v>6</v>
      </c>
      <c r="EP205" s="2"/>
      <c r="EQ205" s="2">
        <v>0</v>
      </c>
      <c r="ER205" s="2">
        <v>1696.01</v>
      </c>
      <c r="ES205" s="110">
        <f>'1.Лок.смета.и.Акт'!F363</f>
        <v>1696.01</v>
      </c>
      <c r="ET205" s="2">
        <v>0</v>
      </c>
      <c r="EU205" s="2">
        <v>0</v>
      </c>
      <c r="EV205" s="2">
        <v>0</v>
      </c>
      <c r="EW205" s="2">
        <v>0</v>
      </c>
      <c r="EX205" s="2">
        <v>0</v>
      </c>
      <c r="EY205" s="2"/>
      <c r="EZ205" s="2"/>
      <c r="FA205" s="2"/>
      <c r="FB205" s="2"/>
      <c r="FC205" s="2"/>
      <c r="FD205" s="2"/>
      <c r="FE205" s="2"/>
      <c r="FF205" s="2"/>
      <c r="FG205" s="2"/>
      <c r="FH205" s="2"/>
      <c r="FI205" s="2"/>
      <c r="FJ205" s="2"/>
      <c r="FK205" s="2"/>
      <c r="FL205" s="2"/>
      <c r="FM205" s="2"/>
      <c r="FN205" s="2"/>
      <c r="FO205" s="2"/>
      <c r="FP205" s="2"/>
      <c r="FQ205" s="2">
        <v>0</v>
      </c>
      <c r="FR205" s="2">
        <f t="shared" si="217"/>
        <v>0</v>
      </c>
      <c r="FS205" s="2">
        <v>0</v>
      </c>
      <c r="FT205" s="2"/>
      <c r="FU205" s="2"/>
      <c r="FV205" s="2"/>
      <c r="FW205" s="2"/>
      <c r="FX205" s="2">
        <v>0</v>
      </c>
      <c r="FY205" s="2">
        <v>0</v>
      </c>
      <c r="FZ205" s="2"/>
      <c r="GA205" s="2" t="s">
        <v>6</v>
      </c>
      <c r="GB205" s="2"/>
      <c r="GC205" s="2"/>
      <c r="GD205" s="2">
        <v>1</v>
      </c>
      <c r="GE205" s="2"/>
      <c r="GF205" s="2">
        <v>-81122142</v>
      </c>
      <c r="GG205" s="2">
        <v>2</v>
      </c>
      <c r="GH205" s="2">
        <v>0</v>
      </c>
      <c r="GI205" s="2">
        <v>-2</v>
      </c>
      <c r="GJ205" s="2">
        <v>0</v>
      </c>
      <c r="GK205" s="2">
        <v>0</v>
      </c>
      <c r="GL205" s="2">
        <f t="shared" si="218"/>
        <v>0</v>
      </c>
      <c r="GM205" s="2">
        <f t="shared" si="219"/>
        <v>209</v>
      </c>
      <c r="GN205" s="2">
        <f t="shared" si="220"/>
        <v>209</v>
      </c>
      <c r="GO205" s="2">
        <f t="shared" si="221"/>
        <v>0</v>
      </c>
      <c r="GP205" s="2">
        <f t="shared" si="222"/>
        <v>0</v>
      </c>
      <c r="GQ205" s="2"/>
      <c r="GR205" s="2">
        <v>0</v>
      </c>
      <c r="GS205" s="2">
        <v>3</v>
      </c>
      <c r="GT205" s="2">
        <v>0</v>
      </c>
      <c r="GU205" s="2" t="s">
        <v>6</v>
      </c>
      <c r="GV205" s="2">
        <f t="shared" si="223"/>
        <v>0</v>
      </c>
      <c r="GW205" s="2">
        <v>1</v>
      </c>
      <c r="GX205" s="2">
        <f t="shared" si="224"/>
        <v>0</v>
      </c>
      <c r="GY205" s="2"/>
      <c r="GZ205" s="2"/>
      <c r="HA205" s="2">
        <v>0</v>
      </c>
      <c r="HB205" s="2">
        <v>0</v>
      </c>
      <c r="HC205" s="2">
        <f t="shared" si="225"/>
        <v>0</v>
      </c>
      <c r="HD205" s="2"/>
      <c r="HE205" s="2" t="s">
        <v>6</v>
      </c>
      <c r="HF205" s="2" t="s">
        <v>6</v>
      </c>
      <c r="HG205" s="2"/>
      <c r="HH205" s="2"/>
      <c r="HI205" s="2"/>
      <c r="HJ205" s="2"/>
      <c r="HK205" s="2"/>
      <c r="HL205" s="2"/>
      <c r="HM205" s="2" t="s">
        <v>6</v>
      </c>
      <c r="HN205" s="2" t="s">
        <v>6</v>
      </c>
      <c r="HO205" s="2" t="s">
        <v>6</v>
      </c>
      <c r="HP205" s="2" t="s">
        <v>6</v>
      </c>
      <c r="HQ205" s="2" t="s">
        <v>6</v>
      </c>
      <c r="HR205" s="2"/>
      <c r="HS205" s="2"/>
      <c r="HT205" s="2"/>
      <c r="HU205" s="2"/>
      <c r="HV205" s="2"/>
      <c r="HW205" s="2"/>
      <c r="HX205" s="2"/>
      <c r="HY205" s="2"/>
      <c r="HZ205" s="2"/>
      <c r="IA205" s="2"/>
      <c r="IB205" s="2"/>
      <c r="IC205" s="2"/>
      <c r="ID205" s="2"/>
      <c r="IE205" s="2"/>
      <c r="IF205" s="2">
        <v>-1</v>
      </c>
      <c r="IG205" s="2"/>
      <c r="IH205" s="2"/>
      <c r="II205" s="2"/>
      <c r="IJ205" s="2"/>
      <c r="IK205" s="2">
        <v>0</v>
      </c>
      <c r="IL205" s="2"/>
      <c r="IM205" s="2"/>
      <c r="IN205" s="2"/>
      <c r="IO205" s="2"/>
      <c r="IP205" s="2"/>
      <c r="IQ205" s="2"/>
      <c r="IR205" s="2"/>
      <c r="IS205" s="2"/>
      <c r="IT205" s="2"/>
      <c r="IU205" s="2"/>
    </row>
    <row r="206" spans="1:255" x14ac:dyDescent="0.2">
      <c r="A206">
        <v>18</v>
      </c>
      <c r="B206">
        <v>1</v>
      </c>
      <c r="C206">
        <v>248</v>
      </c>
      <c r="E206" t="s">
        <v>284</v>
      </c>
      <c r="F206" t="e">
        <f>'2.Лок.смета.и.Акт'!#REF!</f>
        <v>#REF!</v>
      </c>
      <c r="G206" t="s">
        <v>72</v>
      </c>
      <c r="H206" t="s">
        <v>33</v>
      </c>
      <c r="I206">
        <f>I204*J206</f>
        <v>0.12317550000000001</v>
      </c>
      <c r="J206">
        <v>4.2010027114135163E-3</v>
      </c>
      <c r="K206">
        <v>4.2009999999999999E-3</v>
      </c>
      <c r="O206">
        <f t="shared" si="194"/>
        <v>10780</v>
      </c>
      <c r="P206">
        <f t="shared" si="195"/>
        <v>10780</v>
      </c>
      <c r="Q206">
        <f t="shared" si="196"/>
        <v>0</v>
      </c>
      <c r="R206">
        <f t="shared" si="197"/>
        <v>0</v>
      </c>
      <c r="S206">
        <f t="shared" si="198"/>
        <v>0</v>
      </c>
      <c r="T206">
        <f t="shared" si="199"/>
        <v>0</v>
      </c>
      <c r="U206">
        <f t="shared" si="200"/>
        <v>0</v>
      </c>
      <c r="V206">
        <f t="shared" si="201"/>
        <v>0</v>
      </c>
      <c r="W206">
        <f t="shared" si="202"/>
        <v>5</v>
      </c>
      <c r="X206">
        <f t="shared" si="203"/>
        <v>0</v>
      </c>
      <c r="Y206">
        <f t="shared" si="204"/>
        <v>0</v>
      </c>
      <c r="AA206">
        <v>86326988</v>
      </c>
      <c r="AB206">
        <f t="shared" si="205"/>
        <v>11576.19</v>
      </c>
      <c r="AC206">
        <f t="shared" si="232"/>
        <v>11576.19</v>
      </c>
      <c r="AD206">
        <f>ROUND((((ET206)-(EU206))+AE206),2)</f>
        <v>0</v>
      </c>
      <c r="AE206">
        <f t="shared" si="233"/>
        <v>0</v>
      </c>
      <c r="AF206">
        <f t="shared" si="234"/>
        <v>0</v>
      </c>
      <c r="AG206">
        <f t="shared" si="206"/>
        <v>0</v>
      </c>
      <c r="AH206">
        <f t="shared" si="235"/>
        <v>0</v>
      </c>
      <c r="AI206">
        <f t="shared" si="236"/>
        <v>0</v>
      </c>
      <c r="AJ206">
        <f t="shared" si="207"/>
        <v>44.58</v>
      </c>
      <c r="AK206">
        <v>11576.19</v>
      </c>
      <c r="AL206">
        <v>11576.19</v>
      </c>
      <c r="AM206">
        <v>0</v>
      </c>
      <c r="AN206">
        <v>0</v>
      </c>
      <c r="AO206">
        <v>0</v>
      </c>
      <c r="AP206">
        <v>0</v>
      </c>
      <c r="AQ206">
        <v>0</v>
      </c>
      <c r="AR206">
        <v>0</v>
      </c>
      <c r="AS206">
        <v>44.58</v>
      </c>
      <c r="AT206">
        <v>0</v>
      </c>
      <c r="AU206">
        <v>0</v>
      </c>
      <c r="AV206">
        <v>1</v>
      </c>
      <c r="AW206">
        <v>1</v>
      </c>
      <c r="AZ206">
        <v>1</v>
      </c>
      <c r="BA206">
        <v>1</v>
      </c>
      <c r="BB206">
        <v>1</v>
      </c>
      <c r="BC206">
        <v>7.56</v>
      </c>
      <c r="BD206" t="s">
        <v>6</v>
      </c>
      <c r="BE206" t="s">
        <v>6</v>
      </c>
      <c r="BF206" t="s">
        <v>6</v>
      </c>
      <c r="BG206" t="s">
        <v>6</v>
      </c>
      <c r="BH206">
        <v>3</v>
      </c>
      <c r="BI206">
        <v>1</v>
      </c>
      <c r="BJ206" t="s">
        <v>73</v>
      </c>
      <c r="BM206">
        <v>500001</v>
      </c>
      <c r="BN206">
        <v>0</v>
      </c>
      <c r="BO206" t="s">
        <v>6</v>
      </c>
      <c r="BP206">
        <v>0</v>
      </c>
      <c r="BQ206">
        <v>20</v>
      </c>
      <c r="BR206">
        <v>0</v>
      </c>
      <c r="BS206">
        <v>1</v>
      </c>
      <c r="BT206">
        <v>1</v>
      </c>
      <c r="BU206">
        <v>1</v>
      </c>
      <c r="BV206">
        <v>1</v>
      </c>
      <c r="BW206">
        <v>1</v>
      </c>
      <c r="BX206">
        <v>1</v>
      </c>
      <c r="BY206" t="s">
        <v>6</v>
      </c>
      <c r="BZ206">
        <v>0</v>
      </c>
      <c r="CA206">
        <v>0</v>
      </c>
      <c r="CB206" t="s">
        <v>6</v>
      </c>
      <c r="CE206">
        <v>0</v>
      </c>
      <c r="CF206">
        <v>0</v>
      </c>
      <c r="CG206">
        <v>0</v>
      </c>
      <c r="CM206">
        <v>0</v>
      </c>
      <c r="CN206" t="s">
        <v>6</v>
      </c>
      <c r="CO206">
        <v>0</v>
      </c>
      <c r="CP206">
        <f t="shared" si="208"/>
        <v>10780</v>
      </c>
      <c r="CQ206">
        <f t="shared" si="209"/>
        <v>87515.996400000004</v>
      </c>
      <c r="CR206">
        <f t="shared" si="210"/>
        <v>0</v>
      </c>
      <c r="CS206">
        <f t="shared" si="211"/>
        <v>0</v>
      </c>
      <c r="CT206">
        <f t="shared" si="212"/>
        <v>0</v>
      </c>
      <c r="CU206">
        <f t="shared" si="213"/>
        <v>0</v>
      </c>
      <c r="CV206">
        <f t="shared" si="214"/>
        <v>0</v>
      </c>
      <c r="CW206">
        <f t="shared" si="215"/>
        <v>0</v>
      </c>
      <c r="CX206">
        <f t="shared" si="216"/>
        <v>44.58</v>
      </c>
      <c r="CY206">
        <f>(S206+R206)*(BZ206/100)</f>
        <v>0</v>
      </c>
      <c r="CZ206">
        <f>(S206+R206)*(CA206/100)</f>
        <v>0</v>
      </c>
      <c r="DC206" t="s">
        <v>6</v>
      </c>
      <c r="DD206" t="s">
        <v>6</v>
      </c>
      <c r="DE206" t="s">
        <v>6</v>
      </c>
      <c r="DF206" t="s">
        <v>6</v>
      </c>
      <c r="DG206" t="s">
        <v>6</v>
      </c>
      <c r="DH206" t="s">
        <v>6</v>
      </c>
      <c r="DI206" t="s">
        <v>6</v>
      </c>
      <c r="DJ206" t="s">
        <v>6</v>
      </c>
      <c r="DK206" t="s">
        <v>6</v>
      </c>
      <c r="DL206" t="s">
        <v>6</v>
      </c>
      <c r="DM206" t="s">
        <v>6</v>
      </c>
      <c r="DN206">
        <v>0</v>
      </c>
      <c r="DO206">
        <v>0</v>
      </c>
      <c r="DP206">
        <v>1</v>
      </c>
      <c r="DQ206">
        <v>1</v>
      </c>
      <c r="DU206">
        <v>1009</v>
      </c>
      <c r="DV206" t="s">
        <v>33</v>
      </c>
      <c r="DW206" t="e">
        <f>'2.Лок.смета.и.Акт'!#REF!</f>
        <v>#REF!</v>
      </c>
      <c r="DX206">
        <v>1000</v>
      </c>
      <c r="DZ206" t="s">
        <v>6</v>
      </c>
      <c r="EA206" t="s">
        <v>6</v>
      </c>
      <c r="EB206" t="s">
        <v>6</v>
      </c>
      <c r="EC206" t="s">
        <v>6</v>
      </c>
      <c r="EE206">
        <v>54938781</v>
      </c>
      <c r="EF206">
        <v>20</v>
      </c>
      <c r="EG206" t="s">
        <v>35</v>
      </c>
      <c r="EH206">
        <v>0</v>
      </c>
      <c r="EI206" t="s">
        <v>6</v>
      </c>
      <c r="EJ206">
        <v>1</v>
      </c>
      <c r="EK206">
        <v>500001</v>
      </c>
      <c r="EL206" t="s">
        <v>36</v>
      </c>
      <c r="EM206" t="s">
        <v>37</v>
      </c>
      <c r="EO206" t="s">
        <v>6</v>
      </c>
      <c r="EQ206">
        <v>0</v>
      </c>
      <c r="ER206">
        <v>82500</v>
      </c>
      <c r="ES206">
        <v>11576.19</v>
      </c>
      <c r="ET206">
        <v>0</v>
      </c>
      <c r="EU206">
        <v>0</v>
      </c>
      <c r="EV206">
        <v>0</v>
      </c>
      <c r="EW206">
        <v>0</v>
      </c>
      <c r="EX206">
        <v>0</v>
      </c>
      <c r="EZ206">
        <v>5</v>
      </c>
      <c r="FC206">
        <v>0</v>
      </c>
      <c r="FD206">
        <v>18</v>
      </c>
      <c r="FF206">
        <v>82500</v>
      </c>
      <c r="FQ206">
        <v>0</v>
      </c>
      <c r="FR206">
        <f t="shared" si="217"/>
        <v>0</v>
      </c>
      <c r="FS206">
        <v>0</v>
      </c>
      <c r="FX206">
        <v>0</v>
      </c>
      <c r="FY206">
        <v>0</v>
      </c>
      <c r="GA206" t="s">
        <v>74</v>
      </c>
      <c r="GD206">
        <v>1</v>
      </c>
      <c r="GF206">
        <v>-81122142</v>
      </c>
      <c r="GG206">
        <v>2</v>
      </c>
      <c r="GH206">
        <v>3</v>
      </c>
      <c r="GI206">
        <v>5</v>
      </c>
      <c r="GJ206">
        <v>0</v>
      </c>
      <c r="GK206">
        <v>0</v>
      </c>
      <c r="GL206">
        <f t="shared" si="218"/>
        <v>0</v>
      </c>
      <c r="GM206">
        <f t="shared" si="219"/>
        <v>10780</v>
      </c>
      <c r="GN206">
        <f t="shared" si="220"/>
        <v>10780</v>
      </c>
      <c r="GO206">
        <f t="shared" si="221"/>
        <v>0</v>
      </c>
      <c r="GP206">
        <f t="shared" si="222"/>
        <v>0</v>
      </c>
      <c r="GR206">
        <v>1</v>
      </c>
      <c r="GS206">
        <v>1</v>
      </c>
      <c r="GT206">
        <v>0</v>
      </c>
      <c r="GU206" t="s">
        <v>6</v>
      </c>
      <c r="GV206">
        <f t="shared" si="223"/>
        <v>0</v>
      </c>
      <c r="GW206">
        <v>1</v>
      </c>
      <c r="GX206">
        <f t="shared" si="224"/>
        <v>0</v>
      </c>
      <c r="HA206">
        <v>0</v>
      </c>
      <c r="HB206">
        <v>0</v>
      </c>
      <c r="HC206">
        <f t="shared" si="225"/>
        <v>0</v>
      </c>
      <c r="HE206" t="s">
        <v>39</v>
      </c>
      <c r="HF206" t="s">
        <v>40</v>
      </c>
      <c r="HM206" t="s">
        <v>6</v>
      </c>
      <c r="HN206" t="s">
        <v>6</v>
      </c>
      <c r="HO206" t="s">
        <v>6</v>
      </c>
      <c r="HP206" t="s">
        <v>6</v>
      </c>
      <c r="HQ206" t="s">
        <v>6</v>
      </c>
      <c r="IF206">
        <v>-1</v>
      </c>
      <c r="IK206">
        <v>0</v>
      </c>
    </row>
    <row r="207" spans="1:255" x14ac:dyDescent="0.2">
      <c r="A207" s="2">
        <v>18</v>
      </c>
      <c r="B207" s="2">
        <v>1</v>
      </c>
      <c r="C207" s="2">
        <v>239</v>
      </c>
      <c r="D207" s="2"/>
      <c r="E207" s="2" t="s">
        <v>285</v>
      </c>
      <c r="F207" s="2" t="s">
        <v>76</v>
      </c>
      <c r="G207" s="2" t="s">
        <v>286</v>
      </c>
      <c r="H207" s="2" t="s">
        <v>78</v>
      </c>
      <c r="I207" s="2">
        <f>I203*J207</f>
        <v>50.55</v>
      </c>
      <c r="J207" s="226">
        <f>'5.Ведомость_списания'!F98</f>
        <v>1.7240497263007111</v>
      </c>
      <c r="K207" s="2">
        <v>1.7240497299999999</v>
      </c>
      <c r="L207" s="2"/>
      <c r="M207" s="2"/>
      <c r="N207" s="2"/>
      <c r="O207" s="2">
        <f t="shared" si="194"/>
        <v>4427</v>
      </c>
      <c r="P207" s="2">
        <f t="shared" si="195"/>
        <v>4427</v>
      </c>
      <c r="Q207" s="2">
        <f t="shared" si="196"/>
        <v>0</v>
      </c>
      <c r="R207" s="2">
        <f t="shared" si="197"/>
        <v>0</v>
      </c>
      <c r="S207" s="2">
        <f t="shared" si="198"/>
        <v>0</v>
      </c>
      <c r="T207" s="2">
        <f t="shared" si="199"/>
        <v>0</v>
      </c>
      <c r="U207" s="2">
        <f t="shared" si="200"/>
        <v>0</v>
      </c>
      <c r="V207" s="2">
        <f t="shared" si="201"/>
        <v>0</v>
      </c>
      <c r="W207" s="2">
        <f t="shared" si="202"/>
        <v>0</v>
      </c>
      <c r="X207" s="2">
        <f t="shared" si="203"/>
        <v>0</v>
      </c>
      <c r="Y207" s="2">
        <f t="shared" si="204"/>
        <v>0</v>
      </c>
      <c r="Z207" s="2"/>
      <c r="AA207" s="2">
        <v>86326987</v>
      </c>
      <c r="AB207" s="2">
        <f t="shared" si="205"/>
        <v>87.58</v>
      </c>
      <c r="AC207" s="2">
        <f t="shared" si="232"/>
        <v>87.58</v>
      </c>
      <c r="AD207" s="2">
        <f>ROUND((ET207),2)</f>
        <v>0</v>
      </c>
      <c r="AE207" s="2">
        <f t="shared" si="233"/>
        <v>0</v>
      </c>
      <c r="AF207" s="2">
        <f t="shared" si="234"/>
        <v>0</v>
      </c>
      <c r="AG207" s="2">
        <f t="shared" si="206"/>
        <v>0</v>
      </c>
      <c r="AH207" s="2">
        <f t="shared" si="235"/>
        <v>0</v>
      </c>
      <c r="AI207" s="2">
        <f t="shared" si="236"/>
        <v>0</v>
      </c>
      <c r="AJ207" s="2">
        <f t="shared" si="207"/>
        <v>0</v>
      </c>
      <c r="AK207" s="2">
        <v>87.58</v>
      </c>
      <c r="AL207" s="110">
        <f>'1.Лок.смета.и.Акт'!F365</f>
        <v>87.58</v>
      </c>
      <c r="AM207" s="2">
        <v>0</v>
      </c>
      <c r="AN207" s="2">
        <v>0</v>
      </c>
      <c r="AO207" s="2">
        <v>0</v>
      </c>
      <c r="AP207" s="2">
        <v>0</v>
      </c>
      <c r="AQ207" s="2">
        <v>0</v>
      </c>
      <c r="AR207" s="2">
        <v>0</v>
      </c>
      <c r="AS207" s="2">
        <v>0</v>
      </c>
      <c r="AT207" s="2">
        <v>0</v>
      </c>
      <c r="AU207" s="2">
        <v>0</v>
      </c>
      <c r="AV207" s="2">
        <v>1</v>
      </c>
      <c r="AW207" s="2">
        <v>1</v>
      </c>
      <c r="AX207" s="2"/>
      <c r="AY207" s="2"/>
      <c r="AZ207" s="2">
        <v>1</v>
      </c>
      <c r="BA207" s="2">
        <v>1</v>
      </c>
      <c r="BB207" s="2">
        <v>1</v>
      </c>
      <c r="BC207" s="2">
        <v>1</v>
      </c>
      <c r="BD207" s="2" t="s">
        <v>6</v>
      </c>
      <c r="BE207" s="2" t="s">
        <v>6</v>
      </c>
      <c r="BF207" s="2" t="s">
        <v>6</v>
      </c>
      <c r="BG207" s="2" t="s">
        <v>6</v>
      </c>
      <c r="BH207" s="2">
        <v>3</v>
      </c>
      <c r="BI207" s="2">
        <v>1</v>
      </c>
      <c r="BJ207" s="2" t="s">
        <v>79</v>
      </c>
      <c r="BK207" s="2"/>
      <c r="BL207" s="2"/>
      <c r="BM207" s="2">
        <v>3101</v>
      </c>
      <c r="BN207" s="2">
        <v>0</v>
      </c>
      <c r="BO207" s="2" t="s">
        <v>6</v>
      </c>
      <c r="BP207" s="2">
        <v>0</v>
      </c>
      <c r="BQ207" s="2">
        <v>0</v>
      </c>
      <c r="BR207" s="2">
        <v>0</v>
      </c>
      <c r="BS207" s="2">
        <v>1</v>
      </c>
      <c r="BT207" s="2">
        <v>1</v>
      </c>
      <c r="BU207" s="2">
        <v>1</v>
      </c>
      <c r="BV207" s="2">
        <v>1</v>
      </c>
      <c r="BW207" s="2">
        <v>1</v>
      </c>
      <c r="BX207" s="2">
        <v>1</v>
      </c>
      <c r="BY207" s="2" t="s">
        <v>6</v>
      </c>
      <c r="BZ207" s="2">
        <v>0</v>
      </c>
      <c r="CA207" s="2">
        <v>0</v>
      </c>
      <c r="CB207" s="2" t="s">
        <v>6</v>
      </c>
      <c r="CC207" s="2"/>
      <c r="CD207" s="2"/>
      <c r="CE207" s="2">
        <v>0</v>
      </c>
      <c r="CF207" s="2">
        <v>0</v>
      </c>
      <c r="CG207" s="2">
        <v>0</v>
      </c>
      <c r="CH207" s="2"/>
      <c r="CI207" s="2"/>
      <c r="CJ207" s="2"/>
      <c r="CK207" s="2"/>
      <c r="CL207" s="2"/>
      <c r="CM207" s="2">
        <v>0</v>
      </c>
      <c r="CN207" s="2" t="s">
        <v>6</v>
      </c>
      <c r="CO207" s="2">
        <v>0</v>
      </c>
      <c r="CP207" s="2">
        <f t="shared" si="208"/>
        <v>4427</v>
      </c>
      <c r="CQ207" s="2">
        <f t="shared" si="209"/>
        <v>87.58</v>
      </c>
      <c r="CR207" s="2">
        <f t="shared" si="210"/>
        <v>0</v>
      </c>
      <c r="CS207" s="2">
        <f t="shared" si="211"/>
        <v>0</v>
      </c>
      <c r="CT207" s="2">
        <f t="shared" si="212"/>
        <v>0</v>
      </c>
      <c r="CU207" s="2">
        <f t="shared" si="213"/>
        <v>0</v>
      </c>
      <c r="CV207" s="2">
        <f t="shared" si="214"/>
        <v>0</v>
      </c>
      <c r="CW207" s="2">
        <f t="shared" si="215"/>
        <v>0</v>
      </c>
      <c r="CX207" s="2">
        <f t="shared" si="216"/>
        <v>0</v>
      </c>
      <c r="CY207" s="2">
        <f>0</f>
        <v>0</v>
      </c>
      <c r="CZ207" s="2">
        <f>0</f>
        <v>0</v>
      </c>
      <c r="DA207" s="2"/>
      <c r="DB207" s="2"/>
      <c r="DC207" s="2" t="s">
        <v>6</v>
      </c>
      <c r="DD207" s="2" t="s">
        <v>6</v>
      </c>
      <c r="DE207" s="2" t="s">
        <v>6</v>
      </c>
      <c r="DF207" s="2" t="s">
        <v>6</v>
      </c>
      <c r="DG207" s="2" t="s">
        <v>6</v>
      </c>
      <c r="DH207" s="2" t="s">
        <v>6</v>
      </c>
      <c r="DI207" s="2" t="s">
        <v>6</v>
      </c>
      <c r="DJ207" s="2" t="s">
        <v>6</v>
      </c>
      <c r="DK207" s="2" t="s">
        <v>6</v>
      </c>
      <c r="DL207" s="2" t="s">
        <v>6</v>
      </c>
      <c r="DM207" s="2" t="s">
        <v>6</v>
      </c>
      <c r="DN207" s="2">
        <v>0</v>
      </c>
      <c r="DO207" s="2">
        <v>0</v>
      </c>
      <c r="DP207" s="2">
        <v>1</v>
      </c>
      <c r="DQ207" s="2">
        <v>1</v>
      </c>
      <c r="DR207" s="2"/>
      <c r="DS207" s="2"/>
      <c r="DT207" s="2"/>
      <c r="DU207" s="2">
        <v>1013</v>
      </c>
      <c r="DV207" s="2" t="s">
        <v>78</v>
      </c>
      <c r="DW207" s="2" t="s">
        <v>78</v>
      </c>
      <c r="DX207" s="2">
        <v>1</v>
      </c>
      <c r="DY207" s="2"/>
      <c r="DZ207" s="2" t="s">
        <v>6</v>
      </c>
      <c r="EA207" s="2" t="s">
        <v>6</v>
      </c>
      <c r="EB207" s="2" t="s">
        <v>6</v>
      </c>
      <c r="EC207" s="2" t="s">
        <v>6</v>
      </c>
      <c r="ED207" s="2"/>
      <c r="EE207" s="2">
        <v>0</v>
      </c>
      <c r="EF207" s="2">
        <v>0</v>
      </c>
      <c r="EG207" s="2" t="s">
        <v>6</v>
      </c>
      <c r="EH207" s="2">
        <v>0</v>
      </c>
      <c r="EI207" s="2" t="s">
        <v>6</v>
      </c>
      <c r="EJ207" s="2">
        <v>0</v>
      </c>
      <c r="EK207" s="2">
        <v>3101</v>
      </c>
      <c r="EL207" s="2" t="s">
        <v>6</v>
      </c>
      <c r="EM207" s="2" t="s">
        <v>6</v>
      </c>
      <c r="EN207" s="2"/>
      <c r="EO207" s="2" t="s">
        <v>6</v>
      </c>
      <c r="EP207" s="2"/>
      <c r="EQ207" s="2">
        <v>0</v>
      </c>
      <c r="ER207" s="2">
        <v>87.58</v>
      </c>
      <c r="ES207" s="110">
        <f>'1.Лок.смета.и.Акт'!F365</f>
        <v>87.58</v>
      </c>
      <c r="ET207" s="2">
        <v>0</v>
      </c>
      <c r="EU207" s="2">
        <v>0</v>
      </c>
      <c r="EV207" s="2">
        <v>0</v>
      </c>
      <c r="EW207" s="2">
        <v>0</v>
      </c>
      <c r="EX207" s="2">
        <v>0</v>
      </c>
      <c r="EY207" s="2"/>
      <c r="EZ207" s="2"/>
      <c r="FA207" s="2"/>
      <c r="FB207" s="2"/>
      <c r="FC207" s="2"/>
      <c r="FD207" s="2"/>
      <c r="FE207" s="2"/>
      <c r="FF207" s="2"/>
      <c r="FG207" s="2"/>
      <c r="FH207" s="2"/>
      <c r="FI207" s="2"/>
      <c r="FJ207" s="2"/>
      <c r="FK207" s="2"/>
      <c r="FL207" s="2"/>
      <c r="FM207" s="2"/>
      <c r="FN207" s="2"/>
      <c r="FO207" s="2"/>
      <c r="FP207" s="2"/>
      <c r="FQ207" s="2">
        <v>0</v>
      </c>
      <c r="FR207" s="2">
        <f t="shared" si="217"/>
        <v>0</v>
      </c>
      <c r="FS207" s="2">
        <v>0</v>
      </c>
      <c r="FT207" s="2"/>
      <c r="FU207" s="2"/>
      <c r="FV207" s="2"/>
      <c r="FW207" s="2"/>
      <c r="FX207" s="2">
        <v>0</v>
      </c>
      <c r="FY207" s="2">
        <v>0</v>
      </c>
      <c r="FZ207" s="2"/>
      <c r="GA207" s="2" t="s">
        <v>6</v>
      </c>
      <c r="GB207" s="2"/>
      <c r="GC207" s="2"/>
      <c r="GD207" s="2">
        <v>1</v>
      </c>
      <c r="GE207" s="2"/>
      <c r="GF207" s="2">
        <v>1821058467</v>
      </c>
      <c r="GG207" s="2">
        <v>2</v>
      </c>
      <c r="GH207" s="2">
        <v>1</v>
      </c>
      <c r="GI207" s="2">
        <v>-2</v>
      </c>
      <c r="GJ207" s="2">
        <v>0</v>
      </c>
      <c r="GK207" s="2">
        <v>0</v>
      </c>
      <c r="GL207" s="2">
        <f t="shared" si="218"/>
        <v>0</v>
      </c>
      <c r="GM207" s="2">
        <f t="shared" si="219"/>
        <v>4427</v>
      </c>
      <c r="GN207" s="2">
        <f t="shared" si="220"/>
        <v>4427</v>
      </c>
      <c r="GO207" s="2">
        <f t="shared" si="221"/>
        <v>0</v>
      </c>
      <c r="GP207" s="2">
        <f t="shared" si="222"/>
        <v>0</v>
      </c>
      <c r="GQ207" s="2"/>
      <c r="GR207" s="2">
        <v>0</v>
      </c>
      <c r="GS207" s="2">
        <v>3</v>
      </c>
      <c r="GT207" s="2">
        <v>0</v>
      </c>
      <c r="GU207" s="2" t="s">
        <v>6</v>
      </c>
      <c r="GV207" s="2">
        <f t="shared" si="223"/>
        <v>0</v>
      </c>
      <c r="GW207" s="2">
        <v>1</v>
      </c>
      <c r="GX207" s="2">
        <f t="shared" si="224"/>
        <v>0</v>
      </c>
      <c r="GY207" s="2"/>
      <c r="GZ207" s="2"/>
      <c r="HA207" s="2">
        <v>0</v>
      </c>
      <c r="HB207" s="2">
        <v>0</v>
      </c>
      <c r="HC207" s="2">
        <f t="shared" si="225"/>
        <v>0</v>
      </c>
      <c r="HD207" s="2"/>
      <c r="HE207" s="2" t="s">
        <v>6</v>
      </c>
      <c r="HF207" s="2" t="s">
        <v>6</v>
      </c>
      <c r="HG207" s="2"/>
      <c r="HH207" s="2"/>
      <c r="HI207" s="2"/>
      <c r="HJ207" s="2"/>
      <c r="HK207" s="2"/>
      <c r="HL207" s="2"/>
      <c r="HM207" s="2" t="s">
        <v>6</v>
      </c>
      <c r="HN207" s="2" t="s">
        <v>6</v>
      </c>
      <c r="HO207" s="2" t="s">
        <v>6</v>
      </c>
      <c r="HP207" s="2" t="s">
        <v>6</v>
      </c>
      <c r="HQ207" s="2" t="s">
        <v>6</v>
      </c>
      <c r="HR207" s="2"/>
      <c r="HS207" s="2"/>
      <c r="HT207" s="2"/>
      <c r="HU207" s="2"/>
      <c r="HV207" s="2"/>
      <c r="HW207" s="2"/>
      <c r="HX207" s="2"/>
      <c r="HY207" s="2"/>
      <c r="HZ207" s="2"/>
      <c r="IA207" s="2"/>
      <c r="IB207" s="2"/>
      <c r="IC207" s="2"/>
      <c r="ID207" s="2"/>
      <c r="IE207" s="2"/>
      <c r="IF207" s="2">
        <v>-1</v>
      </c>
      <c r="IG207" s="2"/>
      <c r="IH207" s="2"/>
      <c r="II207" s="2"/>
      <c r="IJ207" s="2"/>
      <c r="IK207" s="2">
        <v>0</v>
      </c>
      <c r="IL207" s="2"/>
      <c r="IM207" s="2"/>
      <c r="IN207" s="2"/>
      <c r="IO207" s="2"/>
      <c r="IP207" s="2"/>
      <c r="IQ207" s="2"/>
      <c r="IR207" s="2"/>
      <c r="IS207" s="2"/>
      <c r="IT207" s="2"/>
      <c r="IU207" s="2"/>
    </row>
    <row r="208" spans="1:255" x14ac:dyDescent="0.2">
      <c r="A208">
        <v>18</v>
      </c>
      <c r="B208">
        <v>1</v>
      </c>
      <c r="C208">
        <v>252</v>
      </c>
      <c r="E208" t="s">
        <v>285</v>
      </c>
      <c r="F208" t="e">
        <f>'2.Лок.смета.и.Акт'!#REF!</f>
        <v>#REF!</v>
      </c>
      <c r="G208" t="s">
        <v>286</v>
      </c>
      <c r="H208" t="s">
        <v>78</v>
      </c>
      <c r="I208">
        <f>I204*J208</f>
        <v>50.55</v>
      </c>
      <c r="J208">
        <v>1.7240497263007111</v>
      </c>
      <c r="K208">
        <v>1.7240497299999999</v>
      </c>
      <c r="O208">
        <f t="shared" si="194"/>
        <v>17660</v>
      </c>
      <c r="P208">
        <f t="shared" si="195"/>
        <v>17660</v>
      </c>
      <c r="Q208">
        <f t="shared" si="196"/>
        <v>0</v>
      </c>
      <c r="R208">
        <f t="shared" si="197"/>
        <v>0</v>
      </c>
      <c r="S208">
        <f t="shared" si="198"/>
        <v>0</v>
      </c>
      <c r="T208">
        <f t="shared" si="199"/>
        <v>0</v>
      </c>
      <c r="U208">
        <f t="shared" si="200"/>
        <v>0</v>
      </c>
      <c r="V208">
        <f t="shared" si="201"/>
        <v>0</v>
      </c>
      <c r="W208">
        <f t="shared" si="202"/>
        <v>0</v>
      </c>
      <c r="X208">
        <f t="shared" si="203"/>
        <v>0</v>
      </c>
      <c r="Y208">
        <f t="shared" si="204"/>
        <v>0</v>
      </c>
      <c r="AA208">
        <v>86326988</v>
      </c>
      <c r="AB208">
        <f t="shared" si="205"/>
        <v>46.21</v>
      </c>
      <c r="AC208">
        <f t="shared" si="232"/>
        <v>46.21</v>
      </c>
      <c r="AD208">
        <f>ROUND((ET208),2)</f>
        <v>0</v>
      </c>
      <c r="AE208">
        <f t="shared" si="233"/>
        <v>0</v>
      </c>
      <c r="AF208">
        <f t="shared" si="234"/>
        <v>0</v>
      </c>
      <c r="AG208">
        <f t="shared" si="206"/>
        <v>0</v>
      </c>
      <c r="AH208">
        <f t="shared" si="235"/>
        <v>0</v>
      </c>
      <c r="AI208">
        <f t="shared" si="236"/>
        <v>0</v>
      </c>
      <c r="AJ208">
        <f t="shared" si="207"/>
        <v>0</v>
      </c>
      <c r="AK208">
        <v>46.21</v>
      </c>
      <c r="AL208">
        <v>46.21</v>
      </c>
      <c r="AM208">
        <v>0</v>
      </c>
      <c r="AN208">
        <v>0</v>
      </c>
      <c r="AO208">
        <v>0</v>
      </c>
      <c r="AP208">
        <v>0</v>
      </c>
      <c r="AQ208">
        <v>0</v>
      </c>
      <c r="AR208">
        <v>0</v>
      </c>
      <c r="AS208">
        <v>0</v>
      </c>
      <c r="AT208">
        <v>0</v>
      </c>
      <c r="AU208">
        <v>0</v>
      </c>
      <c r="AV208">
        <v>1</v>
      </c>
      <c r="AW208">
        <v>1</v>
      </c>
      <c r="AZ208">
        <v>1</v>
      </c>
      <c r="BA208">
        <v>1</v>
      </c>
      <c r="BB208">
        <v>1</v>
      </c>
      <c r="BC208">
        <v>7.56</v>
      </c>
      <c r="BD208" t="s">
        <v>6</v>
      </c>
      <c r="BE208" t="s">
        <v>6</v>
      </c>
      <c r="BF208" t="s">
        <v>6</v>
      </c>
      <c r="BG208" t="s">
        <v>6</v>
      </c>
      <c r="BH208">
        <v>3</v>
      </c>
      <c r="BI208">
        <v>1</v>
      </c>
      <c r="BJ208" t="s">
        <v>79</v>
      </c>
      <c r="BM208">
        <v>3101</v>
      </c>
      <c r="BN208">
        <v>0</v>
      </c>
      <c r="BO208" t="s">
        <v>6</v>
      </c>
      <c r="BP208">
        <v>0</v>
      </c>
      <c r="BQ208">
        <v>0</v>
      </c>
      <c r="BR208">
        <v>0</v>
      </c>
      <c r="BS208">
        <v>1</v>
      </c>
      <c r="BT208">
        <v>1</v>
      </c>
      <c r="BU208">
        <v>1</v>
      </c>
      <c r="BV208">
        <v>1</v>
      </c>
      <c r="BW208">
        <v>1</v>
      </c>
      <c r="BX208">
        <v>1</v>
      </c>
      <c r="BY208" t="s">
        <v>6</v>
      </c>
      <c r="BZ208">
        <v>0</v>
      </c>
      <c r="CA208">
        <v>0</v>
      </c>
      <c r="CB208" t="s">
        <v>6</v>
      </c>
      <c r="CE208">
        <v>0</v>
      </c>
      <c r="CF208">
        <v>0</v>
      </c>
      <c r="CG208">
        <v>0</v>
      </c>
      <c r="CM208">
        <v>0</v>
      </c>
      <c r="CN208" t="s">
        <v>6</v>
      </c>
      <c r="CO208">
        <v>0</v>
      </c>
      <c r="CP208">
        <f t="shared" si="208"/>
        <v>17660</v>
      </c>
      <c r="CQ208">
        <f t="shared" si="209"/>
        <v>349.3476</v>
      </c>
      <c r="CR208">
        <f t="shared" si="210"/>
        <v>0</v>
      </c>
      <c r="CS208">
        <f t="shared" si="211"/>
        <v>0</v>
      </c>
      <c r="CT208">
        <f t="shared" si="212"/>
        <v>0</v>
      </c>
      <c r="CU208">
        <f t="shared" si="213"/>
        <v>0</v>
      </c>
      <c r="CV208">
        <f t="shared" si="214"/>
        <v>0</v>
      </c>
      <c r="CW208">
        <f t="shared" si="215"/>
        <v>0</v>
      </c>
      <c r="CX208">
        <f t="shared" si="216"/>
        <v>0</v>
      </c>
      <c r="CY208">
        <f>(S208+R208)*(BZ208/100)</f>
        <v>0</v>
      </c>
      <c r="CZ208">
        <f>(S208+R208)*(CA208/100)</f>
        <v>0</v>
      </c>
      <c r="DC208" t="s">
        <v>6</v>
      </c>
      <c r="DD208" t="s">
        <v>6</v>
      </c>
      <c r="DE208" t="s">
        <v>6</v>
      </c>
      <c r="DF208" t="s">
        <v>6</v>
      </c>
      <c r="DG208" t="s">
        <v>6</v>
      </c>
      <c r="DH208" t="s">
        <v>6</v>
      </c>
      <c r="DI208" t="s">
        <v>6</v>
      </c>
      <c r="DJ208" t="s">
        <v>6</v>
      </c>
      <c r="DK208" t="s">
        <v>6</v>
      </c>
      <c r="DL208" t="s">
        <v>6</v>
      </c>
      <c r="DM208" t="s">
        <v>6</v>
      </c>
      <c r="DN208">
        <v>0</v>
      </c>
      <c r="DO208">
        <v>0</v>
      </c>
      <c r="DP208">
        <v>1</v>
      </c>
      <c r="DQ208">
        <v>1</v>
      </c>
      <c r="DU208">
        <v>1013</v>
      </c>
      <c r="DV208" t="s">
        <v>78</v>
      </c>
      <c r="DW208" t="e">
        <f>'2.Лок.смета.и.Акт'!#REF!</f>
        <v>#REF!</v>
      </c>
      <c r="DX208">
        <v>1</v>
      </c>
      <c r="DZ208" t="s">
        <v>6</v>
      </c>
      <c r="EA208" t="s">
        <v>6</v>
      </c>
      <c r="EB208" t="s">
        <v>6</v>
      </c>
      <c r="EC208" t="s">
        <v>6</v>
      </c>
      <c r="EE208">
        <v>0</v>
      </c>
      <c r="EF208">
        <v>0</v>
      </c>
      <c r="EG208" t="s">
        <v>6</v>
      </c>
      <c r="EH208">
        <v>0</v>
      </c>
      <c r="EI208" t="s">
        <v>6</v>
      </c>
      <c r="EJ208">
        <v>0</v>
      </c>
      <c r="EK208">
        <v>3101</v>
      </c>
      <c r="EL208" t="s">
        <v>6</v>
      </c>
      <c r="EM208" t="s">
        <v>6</v>
      </c>
      <c r="EO208" t="s">
        <v>6</v>
      </c>
      <c r="EQ208">
        <v>0</v>
      </c>
      <c r="ER208">
        <v>333.45</v>
      </c>
      <c r="ES208">
        <v>46.21</v>
      </c>
      <c r="ET208">
        <v>0</v>
      </c>
      <c r="EU208">
        <v>0</v>
      </c>
      <c r="EV208">
        <v>0</v>
      </c>
      <c r="EW208">
        <v>0</v>
      </c>
      <c r="EX208">
        <v>0</v>
      </c>
      <c r="EZ208">
        <v>5</v>
      </c>
      <c r="FC208">
        <v>0</v>
      </c>
      <c r="FD208">
        <v>18</v>
      </c>
      <c r="FF208">
        <v>333.45</v>
      </c>
      <c r="FQ208">
        <v>0</v>
      </c>
      <c r="FR208">
        <f t="shared" si="217"/>
        <v>0</v>
      </c>
      <c r="FS208">
        <v>0</v>
      </c>
      <c r="FX208">
        <v>0</v>
      </c>
      <c r="FY208">
        <v>0</v>
      </c>
      <c r="GA208" t="s">
        <v>80</v>
      </c>
      <c r="GD208">
        <v>1</v>
      </c>
      <c r="GF208">
        <v>1821058467</v>
      </c>
      <c r="GG208">
        <v>2</v>
      </c>
      <c r="GH208">
        <v>3</v>
      </c>
      <c r="GI208">
        <v>5</v>
      </c>
      <c r="GJ208">
        <v>0</v>
      </c>
      <c r="GK208">
        <v>0</v>
      </c>
      <c r="GL208">
        <f t="shared" si="218"/>
        <v>0</v>
      </c>
      <c r="GM208">
        <f t="shared" si="219"/>
        <v>17660</v>
      </c>
      <c r="GN208">
        <f t="shared" si="220"/>
        <v>17660</v>
      </c>
      <c r="GO208">
        <f t="shared" si="221"/>
        <v>0</v>
      </c>
      <c r="GP208">
        <f t="shared" si="222"/>
        <v>0</v>
      </c>
      <c r="GR208">
        <v>1</v>
      </c>
      <c r="GS208">
        <v>1</v>
      </c>
      <c r="GT208">
        <v>0</v>
      </c>
      <c r="GU208" t="s">
        <v>6</v>
      </c>
      <c r="GV208">
        <f t="shared" si="223"/>
        <v>0</v>
      </c>
      <c r="GW208">
        <v>1</v>
      </c>
      <c r="GX208">
        <f t="shared" si="224"/>
        <v>0</v>
      </c>
      <c r="HA208">
        <v>0</v>
      </c>
      <c r="HB208">
        <v>0</v>
      </c>
      <c r="HC208">
        <f t="shared" si="225"/>
        <v>0</v>
      </c>
      <c r="HE208" t="s">
        <v>39</v>
      </c>
      <c r="HF208" t="s">
        <v>61</v>
      </c>
      <c r="HM208" t="s">
        <v>6</v>
      </c>
      <c r="HN208" t="s">
        <v>6</v>
      </c>
      <c r="HO208" t="s">
        <v>6</v>
      </c>
      <c r="HP208" t="s">
        <v>6</v>
      </c>
      <c r="HQ208" t="s">
        <v>6</v>
      </c>
      <c r="IF208">
        <v>-1</v>
      </c>
      <c r="IK208">
        <v>0</v>
      </c>
    </row>
    <row r="209" spans="1:255" x14ac:dyDescent="0.2">
      <c r="A209" s="2">
        <v>18</v>
      </c>
      <c r="B209" s="2">
        <v>1</v>
      </c>
      <c r="C209" s="2">
        <v>240</v>
      </c>
      <c r="D209" s="2"/>
      <c r="E209" s="2" t="s">
        <v>287</v>
      </c>
      <c r="F209" s="2" t="s">
        <v>82</v>
      </c>
      <c r="G209" s="2" t="s">
        <v>288</v>
      </c>
      <c r="H209" s="2" t="s">
        <v>78</v>
      </c>
      <c r="I209" s="2">
        <f>I203*J209</f>
        <v>50.55</v>
      </c>
      <c r="J209" s="226">
        <f>'5.Ведомость_списания'!F99</f>
        <v>1.7240497263007111</v>
      </c>
      <c r="K209" s="2">
        <v>1.7240497299999999</v>
      </c>
      <c r="L209" s="2"/>
      <c r="M209" s="2"/>
      <c r="N209" s="2"/>
      <c r="O209" s="2">
        <f t="shared" si="194"/>
        <v>2860</v>
      </c>
      <c r="P209" s="2">
        <f t="shared" si="195"/>
        <v>2860</v>
      </c>
      <c r="Q209" s="2">
        <f t="shared" si="196"/>
        <v>0</v>
      </c>
      <c r="R209" s="2">
        <f t="shared" si="197"/>
        <v>0</v>
      </c>
      <c r="S209" s="2">
        <f t="shared" si="198"/>
        <v>0</v>
      </c>
      <c r="T209" s="2">
        <f t="shared" si="199"/>
        <v>0</v>
      </c>
      <c r="U209" s="2">
        <f t="shared" si="200"/>
        <v>0</v>
      </c>
      <c r="V209" s="2">
        <f t="shared" si="201"/>
        <v>0</v>
      </c>
      <c r="W209" s="2">
        <f t="shared" si="202"/>
        <v>0</v>
      </c>
      <c r="X209" s="2">
        <f t="shared" si="203"/>
        <v>0</v>
      </c>
      <c r="Y209" s="2">
        <f t="shared" si="204"/>
        <v>0</v>
      </c>
      <c r="Z209" s="2"/>
      <c r="AA209" s="2">
        <v>86326987</v>
      </c>
      <c r="AB209" s="2">
        <f t="shared" si="205"/>
        <v>56.57</v>
      </c>
      <c r="AC209" s="2">
        <f t="shared" si="232"/>
        <v>56.57</v>
      </c>
      <c r="AD209" s="2">
        <f>ROUND((ET209),2)</f>
        <v>0</v>
      </c>
      <c r="AE209" s="2">
        <f t="shared" si="233"/>
        <v>0</v>
      </c>
      <c r="AF209" s="2">
        <f t="shared" si="234"/>
        <v>0</v>
      </c>
      <c r="AG209" s="2">
        <f t="shared" si="206"/>
        <v>0</v>
      </c>
      <c r="AH209" s="2">
        <f t="shared" si="235"/>
        <v>0</v>
      </c>
      <c r="AI209" s="2">
        <f t="shared" si="236"/>
        <v>0</v>
      </c>
      <c r="AJ209" s="2">
        <f t="shared" si="207"/>
        <v>0</v>
      </c>
      <c r="AK209" s="2">
        <v>56.57</v>
      </c>
      <c r="AL209" s="110">
        <f>'1.Лок.смета.и.Акт'!F367</f>
        <v>56.57</v>
      </c>
      <c r="AM209" s="2">
        <v>0</v>
      </c>
      <c r="AN209" s="2">
        <v>0</v>
      </c>
      <c r="AO209" s="2">
        <v>0</v>
      </c>
      <c r="AP209" s="2">
        <v>0</v>
      </c>
      <c r="AQ209" s="2">
        <v>0</v>
      </c>
      <c r="AR209" s="2">
        <v>0</v>
      </c>
      <c r="AS209" s="2">
        <v>0</v>
      </c>
      <c r="AT209" s="2">
        <v>0</v>
      </c>
      <c r="AU209" s="2">
        <v>0</v>
      </c>
      <c r="AV209" s="2">
        <v>1</v>
      </c>
      <c r="AW209" s="2">
        <v>1</v>
      </c>
      <c r="AX209" s="2"/>
      <c r="AY209" s="2"/>
      <c r="AZ209" s="2">
        <v>1</v>
      </c>
      <c r="BA209" s="2">
        <v>1</v>
      </c>
      <c r="BB209" s="2">
        <v>1</v>
      </c>
      <c r="BC209" s="2">
        <v>1</v>
      </c>
      <c r="BD209" s="2" t="s">
        <v>6</v>
      </c>
      <c r="BE209" s="2" t="s">
        <v>6</v>
      </c>
      <c r="BF209" s="2" t="s">
        <v>6</v>
      </c>
      <c r="BG209" s="2" t="s">
        <v>6</v>
      </c>
      <c r="BH209" s="2">
        <v>3</v>
      </c>
      <c r="BI209" s="2">
        <v>1</v>
      </c>
      <c r="BJ209" s="2" t="s">
        <v>84</v>
      </c>
      <c r="BK209" s="2"/>
      <c r="BL209" s="2"/>
      <c r="BM209" s="2">
        <v>3101</v>
      </c>
      <c r="BN209" s="2">
        <v>0</v>
      </c>
      <c r="BO209" s="2" t="s">
        <v>6</v>
      </c>
      <c r="BP209" s="2">
        <v>0</v>
      </c>
      <c r="BQ209" s="2">
        <v>0</v>
      </c>
      <c r="BR209" s="2">
        <v>0</v>
      </c>
      <c r="BS209" s="2">
        <v>1</v>
      </c>
      <c r="BT209" s="2">
        <v>1</v>
      </c>
      <c r="BU209" s="2">
        <v>1</v>
      </c>
      <c r="BV209" s="2">
        <v>1</v>
      </c>
      <c r="BW209" s="2">
        <v>1</v>
      </c>
      <c r="BX209" s="2">
        <v>1</v>
      </c>
      <c r="BY209" s="2" t="s">
        <v>6</v>
      </c>
      <c r="BZ209" s="2">
        <v>0</v>
      </c>
      <c r="CA209" s="2">
        <v>0</v>
      </c>
      <c r="CB209" s="2" t="s">
        <v>6</v>
      </c>
      <c r="CC209" s="2"/>
      <c r="CD209" s="2"/>
      <c r="CE209" s="2">
        <v>0</v>
      </c>
      <c r="CF209" s="2">
        <v>0</v>
      </c>
      <c r="CG209" s="2">
        <v>0</v>
      </c>
      <c r="CH209" s="2"/>
      <c r="CI209" s="2"/>
      <c r="CJ209" s="2"/>
      <c r="CK209" s="2"/>
      <c r="CL209" s="2"/>
      <c r="CM209" s="2">
        <v>0</v>
      </c>
      <c r="CN209" s="2" t="s">
        <v>6</v>
      </c>
      <c r="CO209" s="2">
        <v>0</v>
      </c>
      <c r="CP209" s="2">
        <f t="shared" si="208"/>
        <v>2860</v>
      </c>
      <c r="CQ209" s="2">
        <f t="shared" si="209"/>
        <v>56.57</v>
      </c>
      <c r="CR209" s="2">
        <f t="shared" si="210"/>
        <v>0</v>
      </c>
      <c r="CS209" s="2">
        <f t="shared" si="211"/>
        <v>0</v>
      </c>
      <c r="CT209" s="2">
        <f t="shared" si="212"/>
        <v>0</v>
      </c>
      <c r="CU209" s="2">
        <f t="shared" si="213"/>
        <v>0</v>
      </c>
      <c r="CV209" s="2">
        <f t="shared" si="214"/>
        <v>0</v>
      </c>
      <c r="CW209" s="2">
        <f t="shared" si="215"/>
        <v>0</v>
      </c>
      <c r="CX209" s="2">
        <f t="shared" si="216"/>
        <v>0</v>
      </c>
      <c r="CY209" s="2">
        <f>0</f>
        <v>0</v>
      </c>
      <c r="CZ209" s="2">
        <f>0</f>
        <v>0</v>
      </c>
      <c r="DA209" s="2"/>
      <c r="DB209" s="2"/>
      <c r="DC209" s="2" t="s">
        <v>6</v>
      </c>
      <c r="DD209" s="2" t="s">
        <v>6</v>
      </c>
      <c r="DE209" s="2" t="s">
        <v>6</v>
      </c>
      <c r="DF209" s="2" t="s">
        <v>6</v>
      </c>
      <c r="DG209" s="2" t="s">
        <v>6</v>
      </c>
      <c r="DH209" s="2" t="s">
        <v>6</v>
      </c>
      <c r="DI209" s="2" t="s">
        <v>6</v>
      </c>
      <c r="DJ209" s="2" t="s">
        <v>6</v>
      </c>
      <c r="DK209" s="2" t="s">
        <v>6</v>
      </c>
      <c r="DL209" s="2" t="s">
        <v>6</v>
      </c>
      <c r="DM209" s="2" t="s">
        <v>6</v>
      </c>
      <c r="DN209" s="2">
        <v>0</v>
      </c>
      <c r="DO209" s="2">
        <v>0</v>
      </c>
      <c r="DP209" s="2">
        <v>1</v>
      </c>
      <c r="DQ209" s="2">
        <v>1</v>
      </c>
      <c r="DR209" s="2"/>
      <c r="DS209" s="2"/>
      <c r="DT209" s="2"/>
      <c r="DU209" s="2">
        <v>1013</v>
      </c>
      <c r="DV209" s="2" t="s">
        <v>78</v>
      </c>
      <c r="DW209" s="2" t="s">
        <v>78</v>
      </c>
      <c r="DX209" s="2">
        <v>1</v>
      </c>
      <c r="DY209" s="2"/>
      <c r="DZ209" s="2" t="s">
        <v>6</v>
      </c>
      <c r="EA209" s="2" t="s">
        <v>6</v>
      </c>
      <c r="EB209" s="2" t="s">
        <v>6</v>
      </c>
      <c r="EC209" s="2" t="s">
        <v>6</v>
      </c>
      <c r="ED209" s="2"/>
      <c r="EE209" s="2">
        <v>0</v>
      </c>
      <c r="EF209" s="2">
        <v>0</v>
      </c>
      <c r="EG209" s="2" t="s">
        <v>6</v>
      </c>
      <c r="EH209" s="2">
        <v>0</v>
      </c>
      <c r="EI209" s="2" t="s">
        <v>6</v>
      </c>
      <c r="EJ209" s="2">
        <v>0</v>
      </c>
      <c r="EK209" s="2">
        <v>3101</v>
      </c>
      <c r="EL209" s="2" t="s">
        <v>6</v>
      </c>
      <c r="EM209" s="2" t="s">
        <v>6</v>
      </c>
      <c r="EN209" s="2"/>
      <c r="EO209" s="2" t="s">
        <v>6</v>
      </c>
      <c r="EP209" s="2"/>
      <c r="EQ209" s="2">
        <v>0</v>
      </c>
      <c r="ER209" s="2">
        <v>56.57</v>
      </c>
      <c r="ES209" s="110">
        <f>'1.Лок.смета.и.Акт'!F367</f>
        <v>56.57</v>
      </c>
      <c r="ET209" s="2">
        <v>0</v>
      </c>
      <c r="EU209" s="2">
        <v>0</v>
      </c>
      <c r="EV209" s="2">
        <v>0</v>
      </c>
      <c r="EW209" s="2">
        <v>0</v>
      </c>
      <c r="EX209" s="2">
        <v>0</v>
      </c>
      <c r="EY209" s="2"/>
      <c r="EZ209" s="2"/>
      <c r="FA209" s="2"/>
      <c r="FB209" s="2"/>
      <c r="FC209" s="2"/>
      <c r="FD209" s="2"/>
      <c r="FE209" s="2"/>
      <c r="FF209" s="2"/>
      <c r="FG209" s="2"/>
      <c r="FH209" s="2"/>
      <c r="FI209" s="2"/>
      <c r="FJ209" s="2"/>
      <c r="FK209" s="2"/>
      <c r="FL209" s="2"/>
      <c r="FM209" s="2"/>
      <c r="FN209" s="2"/>
      <c r="FO209" s="2"/>
      <c r="FP209" s="2"/>
      <c r="FQ209" s="2">
        <v>0</v>
      </c>
      <c r="FR209" s="2">
        <f t="shared" si="217"/>
        <v>0</v>
      </c>
      <c r="FS209" s="2">
        <v>0</v>
      </c>
      <c r="FT209" s="2"/>
      <c r="FU209" s="2"/>
      <c r="FV209" s="2"/>
      <c r="FW209" s="2"/>
      <c r="FX209" s="2">
        <v>0</v>
      </c>
      <c r="FY209" s="2">
        <v>0</v>
      </c>
      <c r="FZ209" s="2"/>
      <c r="GA209" s="2" t="s">
        <v>6</v>
      </c>
      <c r="GB209" s="2"/>
      <c r="GC209" s="2"/>
      <c r="GD209" s="2">
        <v>1</v>
      </c>
      <c r="GE209" s="2"/>
      <c r="GF209" s="2">
        <v>1390445220</v>
      </c>
      <c r="GG209" s="2">
        <v>2</v>
      </c>
      <c r="GH209" s="2">
        <v>1</v>
      </c>
      <c r="GI209" s="2">
        <v>-2</v>
      </c>
      <c r="GJ209" s="2">
        <v>0</v>
      </c>
      <c r="GK209" s="2">
        <v>0</v>
      </c>
      <c r="GL209" s="2">
        <f t="shared" si="218"/>
        <v>0</v>
      </c>
      <c r="GM209" s="2">
        <f t="shared" si="219"/>
        <v>2860</v>
      </c>
      <c r="GN209" s="2">
        <f t="shared" si="220"/>
        <v>2860</v>
      </c>
      <c r="GO209" s="2">
        <f t="shared" si="221"/>
        <v>0</v>
      </c>
      <c r="GP209" s="2">
        <f t="shared" si="222"/>
        <v>0</v>
      </c>
      <c r="GQ209" s="2"/>
      <c r="GR209" s="2">
        <v>0</v>
      </c>
      <c r="GS209" s="2">
        <v>3</v>
      </c>
      <c r="GT209" s="2">
        <v>0</v>
      </c>
      <c r="GU209" s="2" t="s">
        <v>6</v>
      </c>
      <c r="GV209" s="2">
        <f t="shared" si="223"/>
        <v>0</v>
      </c>
      <c r="GW209" s="2">
        <v>1</v>
      </c>
      <c r="GX209" s="2">
        <f t="shared" si="224"/>
        <v>0</v>
      </c>
      <c r="GY209" s="2"/>
      <c r="GZ209" s="2"/>
      <c r="HA209" s="2">
        <v>0</v>
      </c>
      <c r="HB209" s="2">
        <v>0</v>
      </c>
      <c r="HC209" s="2">
        <f t="shared" si="225"/>
        <v>0</v>
      </c>
      <c r="HD209" s="2"/>
      <c r="HE209" s="2" t="s">
        <v>6</v>
      </c>
      <c r="HF209" s="2" t="s">
        <v>6</v>
      </c>
      <c r="HG209" s="2"/>
      <c r="HH209" s="2"/>
      <c r="HI209" s="2"/>
      <c r="HJ209" s="2"/>
      <c r="HK209" s="2"/>
      <c r="HL209" s="2"/>
      <c r="HM209" s="2" t="s">
        <v>6</v>
      </c>
      <c r="HN209" s="2" t="s">
        <v>6</v>
      </c>
      <c r="HO209" s="2" t="s">
        <v>6</v>
      </c>
      <c r="HP209" s="2" t="s">
        <v>6</v>
      </c>
      <c r="HQ209" s="2" t="s">
        <v>6</v>
      </c>
      <c r="HR209" s="2"/>
      <c r="HS209" s="2"/>
      <c r="HT209" s="2"/>
      <c r="HU209" s="2"/>
      <c r="HV209" s="2"/>
      <c r="HW209" s="2"/>
      <c r="HX209" s="2"/>
      <c r="HY209" s="2"/>
      <c r="HZ209" s="2"/>
      <c r="IA209" s="2"/>
      <c r="IB209" s="2"/>
      <c r="IC209" s="2"/>
      <c r="ID209" s="2"/>
      <c r="IE209" s="2"/>
      <c r="IF209" s="2">
        <v>-1</v>
      </c>
      <c r="IG209" s="2"/>
      <c r="IH209" s="2"/>
      <c r="II209" s="2"/>
      <c r="IJ209" s="2"/>
      <c r="IK209" s="2">
        <v>0</v>
      </c>
      <c r="IL209" s="2"/>
      <c r="IM209" s="2"/>
      <c r="IN209" s="2"/>
      <c r="IO209" s="2"/>
      <c r="IP209" s="2"/>
      <c r="IQ209" s="2"/>
      <c r="IR209" s="2"/>
      <c r="IS209" s="2"/>
      <c r="IT209" s="2"/>
      <c r="IU209" s="2"/>
    </row>
    <row r="210" spans="1:255" x14ac:dyDescent="0.2">
      <c r="A210">
        <v>18</v>
      </c>
      <c r="B210">
        <v>1</v>
      </c>
      <c r="C210">
        <v>253</v>
      </c>
      <c r="E210" t="s">
        <v>287</v>
      </c>
      <c r="F210" t="e">
        <f>'2.Лок.смета.и.Акт'!#REF!</f>
        <v>#REF!</v>
      </c>
      <c r="G210" t="s">
        <v>288</v>
      </c>
      <c r="H210" t="s">
        <v>78</v>
      </c>
      <c r="I210">
        <f>I204*J210</f>
        <v>50.55</v>
      </c>
      <c r="J210">
        <v>1.7240497263007111</v>
      </c>
      <c r="K210">
        <v>1.7240497299999999</v>
      </c>
      <c r="O210">
        <f t="shared" si="194"/>
        <v>11549</v>
      </c>
      <c r="P210">
        <f t="shared" si="195"/>
        <v>11549</v>
      </c>
      <c r="Q210">
        <f t="shared" si="196"/>
        <v>0</v>
      </c>
      <c r="R210">
        <f t="shared" si="197"/>
        <v>0</v>
      </c>
      <c r="S210">
        <f t="shared" si="198"/>
        <v>0</v>
      </c>
      <c r="T210">
        <f t="shared" si="199"/>
        <v>0</v>
      </c>
      <c r="U210">
        <f t="shared" si="200"/>
        <v>0</v>
      </c>
      <c r="V210">
        <f t="shared" si="201"/>
        <v>0</v>
      </c>
      <c r="W210">
        <f t="shared" si="202"/>
        <v>0</v>
      </c>
      <c r="X210">
        <f t="shared" si="203"/>
        <v>0</v>
      </c>
      <c r="Y210">
        <f t="shared" si="204"/>
        <v>0</v>
      </c>
      <c r="AA210">
        <v>86326988</v>
      </c>
      <c r="AB210">
        <f t="shared" si="205"/>
        <v>30.22</v>
      </c>
      <c r="AC210">
        <f t="shared" si="232"/>
        <v>30.22</v>
      </c>
      <c r="AD210">
        <f>ROUND((ET210),2)</f>
        <v>0</v>
      </c>
      <c r="AE210">
        <f t="shared" si="233"/>
        <v>0</v>
      </c>
      <c r="AF210">
        <f t="shared" si="234"/>
        <v>0</v>
      </c>
      <c r="AG210">
        <f t="shared" si="206"/>
        <v>0</v>
      </c>
      <c r="AH210">
        <f t="shared" si="235"/>
        <v>0</v>
      </c>
      <c r="AI210">
        <f t="shared" si="236"/>
        <v>0</v>
      </c>
      <c r="AJ210">
        <f t="shared" si="207"/>
        <v>0</v>
      </c>
      <c r="AK210">
        <v>30.22</v>
      </c>
      <c r="AL210">
        <v>30.22</v>
      </c>
      <c r="AM210">
        <v>0</v>
      </c>
      <c r="AN210">
        <v>0</v>
      </c>
      <c r="AO210">
        <v>0</v>
      </c>
      <c r="AP210">
        <v>0</v>
      </c>
      <c r="AQ210">
        <v>0</v>
      </c>
      <c r="AR210">
        <v>0</v>
      </c>
      <c r="AS210">
        <v>0</v>
      </c>
      <c r="AT210">
        <v>0</v>
      </c>
      <c r="AU210">
        <v>0</v>
      </c>
      <c r="AV210">
        <v>1</v>
      </c>
      <c r="AW210">
        <v>1</v>
      </c>
      <c r="AZ210">
        <v>1</v>
      </c>
      <c r="BA210">
        <v>1</v>
      </c>
      <c r="BB210">
        <v>1</v>
      </c>
      <c r="BC210">
        <v>7.56</v>
      </c>
      <c r="BD210" t="s">
        <v>6</v>
      </c>
      <c r="BE210" t="s">
        <v>6</v>
      </c>
      <c r="BF210" t="s">
        <v>6</v>
      </c>
      <c r="BG210" t="s">
        <v>6</v>
      </c>
      <c r="BH210">
        <v>3</v>
      </c>
      <c r="BI210">
        <v>1</v>
      </c>
      <c r="BJ210" t="s">
        <v>84</v>
      </c>
      <c r="BM210">
        <v>3101</v>
      </c>
      <c r="BN210">
        <v>0</v>
      </c>
      <c r="BO210" t="s">
        <v>6</v>
      </c>
      <c r="BP210">
        <v>0</v>
      </c>
      <c r="BQ210">
        <v>0</v>
      </c>
      <c r="BR210">
        <v>0</v>
      </c>
      <c r="BS210">
        <v>1</v>
      </c>
      <c r="BT210">
        <v>1</v>
      </c>
      <c r="BU210">
        <v>1</v>
      </c>
      <c r="BV210">
        <v>1</v>
      </c>
      <c r="BW210">
        <v>1</v>
      </c>
      <c r="BX210">
        <v>1</v>
      </c>
      <c r="BY210" t="s">
        <v>6</v>
      </c>
      <c r="BZ210">
        <v>0</v>
      </c>
      <c r="CA210">
        <v>0</v>
      </c>
      <c r="CB210" t="s">
        <v>6</v>
      </c>
      <c r="CE210">
        <v>0</v>
      </c>
      <c r="CF210">
        <v>0</v>
      </c>
      <c r="CG210">
        <v>0</v>
      </c>
      <c r="CM210">
        <v>0</v>
      </c>
      <c r="CN210" t="s">
        <v>6</v>
      </c>
      <c r="CO210">
        <v>0</v>
      </c>
      <c r="CP210">
        <f t="shared" si="208"/>
        <v>11549</v>
      </c>
      <c r="CQ210">
        <f t="shared" si="209"/>
        <v>228.46319999999997</v>
      </c>
      <c r="CR210">
        <f t="shared" si="210"/>
        <v>0</v>
      </c>
      <c r="CS210">
        <f t="shared" si="211"/>
        <v>0</v>
      </c>
      <c r="CT210">
        <f t="shared" si="212"/>
        <v>0</v>
      </c>
      <c r="CU210">
        <f t="shared" si="213"/>
        <v>0</v>
      </c>
      <c r="CV210">
        <f t="shared" si="214"/>
        <v>0</v>
      </c>
      <c r="CW210">
        <f t="shared" si="215"/>
        <v>0</v>
      </c>
      <c r="CX210">
        <f t="shared" si="216"/>
        <v>0</v>
      </c>
      <c r="CY210">
        <f>(S210+R210)*(BZ210/100)</f>
        <v>0</v>
      </c>
      <c r="CZ210">
        <f>(S210+R210)*(CA210/100)</f>
        <v>0</v>
      </c>
      <c r="DC210" t="s">
        <v>6</v>
      </c>
      <c r="DD210" t="s">
        <v>6</v>
      </c>
      <c r="DE210" t="s">
        <v>6</v>
      </c>
      <c r="DF210" t="s">
        <v>6</v>
      </c>
      <c r="DG210" t="s">
        <v>6</v>
      </c>
      <c r="DH210" t="s">
        <v>6</v>
      </c>
      <c r="DI210" t="s">
        <v>6</v>
      </c>
      <c r="DJ210" t="s">
        <v>6</v>
      </c>
      <c r="DK210" t="s">
        <v>6</v>
      </c>
      <c r="DL210" t="s">
        <v>6</v>
      </c>
      <c r="DM210" t="s">
        <v>6</v>
      </c>
      <c r="DN210">
        <v>0</v>
      </c>
      <c r="DO210">
        <v>0</v>
      </c>
      <c r="DP210">
        <v>1</v>
      </c>
      <c r="DQ210">
        <v>1</v>
      </c>
      <c r="DU210">
        <v>1013</v>
      </c>
      <c r="DV210" t="s">
        <v>78</v>
      </c>
      <c r="DW210" t="e">
        <f>'2.Лок.смета.и.Акт'!#REF!</f>
        <v>#REF!</v>
      </c>
      <c r="DX210">
        <v>1</v>
      </c>
      <c r="DZ210" t="s">
        <v>6</v>
      </c>
      <c r="EA210" t="s">
        <v>6</v>
      </c>
      <c r="EB210" t="s">
        <v>6</v>
      </c>
      <c r="EC210" t="s">
        <v>6</v>
      </c>
      <c r="EE210">
        <v>0</v>
      </c>
      <c r="EF210">
        <v>0</v>
      </c>
      <c r="EG210" t="s">
        <v>6</v>
      </c>
      <c r="EH210">
        <v>0</v>
      </c>
      <c r="EI210" t="s">
        <v>6</v>
      </c>
      <c r="EJ210">
        <v>0</v>
      </c>
      <c r="EK210">
        <v>3101</v>
      </c>
      <c r="EL210" t="s">
        <v>6</v>
      </c>
      <c r="EM210" t="s">
        <v>6</v>
      </c>
      <c r="EO210" t="s">
        <v>6</v>
      </c>
      <c r="EQ210">
        <v>0</v>
      </c>
      <c r="ER210">
        <v>215.4</v>
      </c>
      <c r="ES210">
        <v>30.22</v>
      </c>
      <c r="ET210">
        <v>0</v>
      </c>
      <c r="EU210">
        <v>0</v>
      </c>
      <c r="EV210">
        <v>0</v>
      </c>
      <c r="EW210">
        <v>0</v>
      </c>
      <c r="EX210">
        <v>0</v>
      </c>
      <c r="EZ210">
        <v>5</v>
      </c>
      <c r="FC210">
        <v>0</v>
      </c>
      <c r="FD210">
        <v>18</v>
      </c>
      <c r="FF210">
        <v>215.4</v>
      </c>
      <c r="FQ210">
        <v>0</v>
      </c>
      <c r="FR210">
        <f t="shared" si="217"/>
        <v>0</v>
      </c>
      <c r="FS210">
        <v>0</v>
      </c>
      <c r="FX210">
        <v>0</v>
      </c>
      <c r="FY210">
        <v>0</v>
      </c>
      <c r="GA210" t="s">
        <v>85</v>
      </c>
      <c r="GD210">
        <v>1</v>
      </c>
      <c r="GF210">
        <v>1390445220</v>
      </c>
      <c r="GG210">
        <v>2</v>
      </c>
      <c r="GH210">
        <v>3</v>
      </c>
      <c r="GI210">
        <v>5</v>
      </c>
      <c r="GJ210">
        <v>0</v>
      </c>
      <c r="GK210">
        <v>0</v>
      </c>
      <c r="GL210">
        <f t="shared" si="218"/>
        <v>0</v>
      </c>
      <c r="GM210">
        <f t="shared" si="219"/>
        <v>11549</v>
      </c>
      <c r="GN210">
        <f t="shared" si="220"/>
        <v>11549</v>
      </c>
      <c r="GO210">
        <f t="shared" si="221"/>
        <v>0</v>
      </c>
      <c r="GP210">
        <f t="shared" si="222"/>
        <v>0</v>
      </c>
      <c r="GR210">
        <v>1</v>
      </c>
      <c r="GS210">
        <v>1</v>
      </c>
      <c r="GT210">
        <v>0</v>
      </c>
      <c r="GU210" t="s">
        <v>6</v>
      </c>
      <c r="GV210">
        <f t="shared" si="223"/>
        <v>0</v>
      </c>
      <c r="GW210">
        <v>1</v>
      </c>
      <c r="GX210">
        <f t="shared" si="224"/>
        <v>0</v>
      </c>
      <c r="HA210">
        <v>0</v>
      </c>
      <c r="HB210">
        <v>0</v>
      </c>
      <c r="HC210">
        <f t="shared" si="225"/>
        <v>0</v>
      </c>
      <c r="HE210" t="s">
        <v>39</v>
      </c>
      <c r="HF210" t="s">
        <v>40</v>
      </c>
      <c r="HM210" t="s">
        <v>6</v>
      </c>
      <c r="HN210" t="s">
        <v>6</v>
      </c>
      <c r="HO210" t="s">
        <v>6</v>
      </c>
      <c r="HP210" t="s">
        <v>6</v>
      </c>
      <c r="HQ210" t="s">
        <v>6</v>
      </c>
      <c r="IF210">
        <v>-1</v>
      </c>
      <c r="IK210">
        <v>0</v>
      </c>
    </row>
    <row r="211" spans="1:255" x14ac:dyDescent="0.2">
      <c r="A211" s="2">
        <v>18</v>
      </c>
      <c r="B211" s="2">
        <v>1</v>
      </c>
      <c r="C211" s="2">
        <v>243</v>
      </c>
      <c r="D211" s="2"/>
      <c r="E211" s="2" t="s">
        <v>289</v>
      </c>
      <c r="F211" s="2" t="s">
        <v>87</v>
      </c>
      <c r="G211" s="2" t="s">
        <v>88</v>
      </c>
      <c r="H211" s="2" t="s">
        <v>44</v>
      </c>
      <c r="I211" s="2">
        <f>I203*J211</f>
        <v>56.58625</v>
      </c>
      <c r="J211" s="226">
        <f>'5.Ведомость_списания'!F100</f>
        <v>1.9299210450026432</v>
      </c>
      <c r="K211" s="2">
        <v>1.9299210449999999</v>
      </c>
      <c r="L211" s="2"/>
      <c r="M211" s="2"/>
      <c r="N211" s="2"/>
      <c r="O211" s="2">
        <f t="shared" si="194"/>
        <v>49727</v>
      </c>
      <c r="P211" s="2">
        <f t="shared" si="195"/>
        <v>49727</v>
      </c>
      <c r="Q211" s="2">
        <f t="shared" si="196"/>
        <v>0</v>
      </c>
      <c r="R211" s="2">
        <f t="shared" si="197"/>
        <v>0</v>
      </c>
      <c r="S211" s="2">
        <f t="shared" si="198"/>
        <v>0</v>
      </c>
      <c r="T211" s="2">
        <f t="shared" si="199"/>
        <v>0</v>
      </c>
      <c r="U211" s="2">
        <f t="shared" si="200"/>
        <v>0</v>
      </c>
      <c r="V211" s="2">
        <f t="shared" si="201"/>
        <v>0</v>
      </c>
      <c r="W211" s="2">
        <f t="shared" si="202"/>
        <v>0</v>
      </c>
      <c r="X211" s="2">
        <f t="shared" si="203"/>
        <v>0</v>
      </c>
      <c r="Y211" s="2">
        <f t="shared" si="204"/>
        <v>0</v>
      </c>
      <c r="Z211" s="2"/>
      <c r="AA211" s="2">
        <v>86326987</v>
      </c>
      <c r="AB211" s="2">
        <f t="shared" si="205"/>
        <v>878.79</v>
      </c>
      <c r="AC211" s="2">
        <f t="shared" si="232"/>
        <v>878.79</v>
      </c>
      <c r="AD211" s="2">
        <f>ROUND((((ET211)-(EU211))+AE211),2)</f>
        <v>0</v>
      </c>
      <c r="AE211" s="2">
        <f t="shared" si="233"/>
        <v>0</v>
      </c>
      <c r="AF211" s="2">
        <f t="shared" si="234"/>
        <v>0</v>
      </c>
      <c r="AG211" s="2">
        <f t="shared" si="206"/>
        <v>0</v>
      </c>
      <c r="AH211" s="2">
        <f t="shared" si="235"/>
        <v>0</v>
      </c>
      <c r="AI211" s="2">
        <f t="shared" si="236"/>
        <v>0</v>
      </c>
      <c r="AJ211" s="2">
        <f t="shared" si="207"/>
        <v>0</v>
      </c>
      <c r="AK211" s="2">
        <v>878.79</v>
      </c>
      <c r="AL211" s="110">
        <f>'1.Лок.смета.и.Акт'!F369</f>
        <v>878.79</v>
      </c>
      <c r="AM211" s="2">
        <v>0</v>
      </c>
      <c r="AN211" s="2">
        <v>0</v>
      </c>
      <c r="AO211" s="2">
        <v>0</v>
      </c>
      <c r="AP211" s="2">
        <v>0</v>
      </c>
      <c r="AQ211" s="2">
        <v>0</v>
      </c>
      <c r="AR211" s="2">
        <v>0</v>
      </c>
      <c r="AS211" s="2">
        <v>0</v>
      </c>
      <c r="AT211" s="2">
        <v>0</v>
      </c>
      <c r="AU211" s="2">
        <v>0</v>
      </c>
      <c r="AV211" s="2">
        <v>1</v>
      </c>
      <c r="AW211" s="2">
        <v>1</v>
      </c>
      <c r="AX211" s="2"/>
      <c r="AY211" s="2"/>
      <c r="AZ211" s="2">
        <v>1</v>
      </c>
      <c r="BA211" s="2">
        <v>1</v>
      </c>
      <c r="BB211" s="2">
        <v>1</v>
      </c>
      <c r="BC211" s="2">
        <v>1</v>
      </c>
      <c r="BD211" s="2" t="s">
        <v>6</v>
      </c>
      <c r="BE211" s="2" t="s">
        <v>6</v>
      </c>
      <c r="BF211" s="2" t="s">
        <v>6</v>
      </c>
      <c r="BG211" s="2" t="s">
        <v>6</v>
      </c>
      <c r="BH211" s="2">
        <v>3</v>
      </c>
      <c r="BI211" s="2">
        <v>1</v>
      </c>
      <c r="BJ211" s="2" t="s">
        <v>89</v>
      </c>
      <c r="BK211" s="2"/>
      <c r="BL211" s="2"/>
      <c r="BM211" s="2">
        <v>500003</v>
      </c>
      <c r="BN211" s="2">
        <v>0</v>
      </c>
      <c r="BO211" s="2" t="s">
        <v>6</v>
      </c>
      <c r="BP211" s="2">
        <v>0</v>
      </c>
      <c r="BQ211" s="2">
        <v>22</v>
      </c>
      <c r="BR211" s="2">
        <v>0</v>
      </c>
      <c r="BS211" s="2">
        <v>1</v>
      </c>
      <c r="BT211" s="2">
        <v>1</v>
      </c>
      <c r="BU211" s="2">
        <v>1</v>
      </c>
      <c r="BV211" s="2">
        <v>1</v>
      </c>
      <c r="BW211" s="2">
        <v>1</v>
      </c>
      <c r="BX211" s="2">
        <v>1</v>
      </c>
      <c r="BY211" s="2" t="s">
        <v>6</v>
      </c>
      <c r="BZ211" s="2">
        <v>0</v>
      </c>
      <c r="CA211" s="2">
        <v>0</v>
      </c>
      <c r="CB211" s="2" t="s">
        <v>6</v>
      </c>
      <c r="CC211" s="2"/>
      <c r="CD211" s="2"/>
      <c r="CE211" s="2">
        <v>0</v>
      </c>
      <c r="CF211" s="2">
        <v>0</v>
      </c>
      <c r="CG211" s="2">
        <v>0</v>
      </c>
      <c r="CH211" s="2"/>
      <c r="CI211" s="2"/>
      <c r="CJ211" s="2"/>
      <c r="CK211" s="2"/>
      <c r="CL211" s="2"/>
      <c r="CM211" s="2">
        <v>0</v>
      </c>
      <c r="CN211" s="2" t="s">
        <v>6</v>
      </c>
      <c r="CO211" s="2">
        <v>0</v>
      </c>
      <c r="CP211" s="2">
        <f t="shared" si="208"/>
        <v>49727</v>
      </c>
      <c r="CQ211" s="2">
        <f t="shared" si="209"/>
        <v>878.79</v>
      </c>
      <c r="CR211" s="2">
        <f t="shared" si="210"/>
        <v>0</v>
      </c>
      <c r="CS211" s="2">
        <f t="shared" si="211"/>
        <v>0</v>
      </c>
      <c r="CT211" s="2">
        <f t="shared" si="212"/>
        <v>0</v>
      </c>
      <c r="CU211" s="2">
        <f t="shared" si="213"/>
        <v>0</v>
      </c>
      <c r="CV211" s="2">
        <f t="shared" si="214"/>
        <v>0</v>
      </c>
      <c r="CW211" s="2">
        <f t="shared" si="215"/>
        <v>0</v>
      </c>
      <c r="CX211" s="2">
        <f t="shared" si="216"/>
        <v>0</v>
      </c>
      <c r="CY211" s="2">
        <f>(((S211+(R211*IF(0,0,1)))*AT211)/100)</f>
        <v>0</v>
      </c>
      <c r="CZ211" s="2">
        <f>(((S211+(R211*IF(0,0,1)))*AU211)/100)</f>
        <v>0</v>
      </c>
      <c r="DA211" s="2"/>
      <c r="DB211" s="2"/>
      <c r="DC211" s="2" t="s">
        <v>6</v>
      </c>
      <c r="DD211" s="2" t="s">
        <v>6</v>
      </c>
      <c r="DE211" s="2" t="s">
        <v>6</v>
      </c>
      <c r="DF211" s="2" t="s">
        <v>6</v>
      </c>
      <c r="DG211" s="2" t="s">
        <v>6</v>
      </c>
      <c r="DH211" s="2" t="s">
        <v>6</v>
      </c>
      <c r="DI211" s="2" t="s">
        <v>6</v>
      </c>
      <c r="DJ211" s="2" t="s">
        <v>6</v>
      </c>
      <c r="DK211" s="2" t="s">
        <v>6</v>
      </c>
      <c r="DL211" s="2" t="s">
        <v>6</v>
      </c>
      <c r="DM211" s="2" t="s">
        <v>6</v>
      </c>
      <c r="DN211" s="2">
        <v>0</v>
      </c>
      <c r="DO211" s="2">
        <v>0</v>
      </c>
      <c r="DP211" s="2">
        <v>1</v>
      </c>
      <c r="DQ211" s="2">
        <v>1</v>
      </c>
      <c r="DR211" s="2"/>
      <c r="DS211" s="2"/>
      <c r="DT211" s="2"/>
      <c r="DU211" s="2">
        <v>1007</v>
      </c>
      <c r="DV211" s="2" t="s">
        <v>44</v>
      </c>
      <c r="DW211" s="2" t="s">
        <v>44</v>
      </c>
      <c r="DX211" s="2">
        <v>1</v>
      </c>
      <c r="DY211" s="2"/>
      <c r="DZ211" s="2" t="s">
        <v>6</v>
      </c>
      <c r="EA211" s="2" t="s">
        <v>6</v>
      </c>
      <c r="EB211" s="2" t="s">
        <v>6</v>
      </c>
      <c r="EC211" s="2" t="s">
        <v>6</v>
      </c>
      <c r="ED211" s="2"/>
      <c r="EE211" s="2">
        <v>54938783</v>
      </c>
      <c r="EF211" s="2">
        <v>22</v>
      </c>
      <c r="EG211" s="2" t="s">
        <v>57</v>
      </c>
      <c r="EH211" s="2">
        <v>0</v>
      </c>
      <c r="EI211" s="2" t="s">
        <v>6</v>
      </c>
      <c r="EJ211" s="2">
        <v>1</v>
      </c>
      <c r="EK211" s="2">
        <v>500003</v>
      </c>
      <c r="EL211" s="2" t="s">
        <v>58</v>
      </c>
      <c r="EM211" s="2" t="s">
        <v>59</v>
      </c>
      <c r="EN211" s="2"/>
      <c r="EO211" s="2" t="s">
        <v>6</v>
      </c>
      <c r="EP211" s="2"/>
      <c r="EQ211" s="2">
        <v>0</v>
      </c>
      <c r="ER211" s="2">
        <v>878.79</v>
      </c>
      <c r="ES211" s="110">
        <f>'1.Лок.смета.и.Акт'!F369</f>
        <v>878.79</v>
      </c>
      <c r="ET211" s="2">
        <v>0</v>
      </c>
      <c r="EU211" s="2">
        <v>0</v>
      </c>
      <c r="EV211" s="2">
        <v>0</v>
      </c>
      <c r="EW211" s="2">
        <v>0</v>
      </c>
      <c r="EX211" s="2">
        <v>0</v>
      </c>
      <c r="EY211" s="2"/>
      <c r="EZ211" s="2"/>
      <c r="FA211" s="2"/>
      <c r="FB211" s="2"/>
      <c r="FC211" s="2"/>
      <c r="FD211" s="2"/>
      <c r="FE211" s="2"/>
      <c r="FF211" s="2"/>
      <c r="FG211" s="2"/>
      <c r="FH211" s="2"/>
      <c r="FI211" s="2"/>
      <c r="FJ211" s="2"/>
      <c r="FK211" s="2"/>
      <c r="FL211" s="2"/>
      <c r="FM211" s="2"/>
      <c r="FN211" s="2"/>
      <c r="FO211" s="2"/>
      <c r="FP211" s="2"/>
      <c r="FQ211" s="2">
        <v>0</v>
      </c>
      <c r="FR211" s="2">
        <f t="shared" si="217"/>
        <v>0</v>
      </c>
      <c r="FS211" s="2">
        <v>0</v>
      </c>
      <c r="FT211" s="2"/>
      <c r="FU211" s="2"/>
      <c r="FV211" s="2"/>
      <c r="FW211" s="2"/>
      <c r="FX211" s="2">
        <v>0</v>
      </c>
      <c r="FY211" s="2">
        <v>0</v>
      </c>
      <c r="FZ211" s="2"/>
      <c r="GA211" s="2" t="s">
        <v>6</v>
      </c>
      <c r="GB211" s="2"/>
      <c r="GC211" s="2"/>
      <c r="GD211" s="2">
        <v>1</v>
      </c>
      <c r="GE211" s="2"/>
      <c r="GF211" s="2">
        <v>-183216560</v>
      </c>
      <c r="GG211" s="2">
        <v>2</v>
      </c>
      <c r="GH211" s="2">
        <v>2</v>
      </c>
      <c r="GI211" s="2">
        <v>-2</v>
      </c>
      <c r="GJ211" s="2">
        <v>0</v>
      </c>
      <c r="GK211" s="2">
        <v>0</v>
      </c>
      <c r="GL211" s="2">
        <f t="shared" si="218"/>
        <v>0</v>
      </c>
      <c r="GM211" s="2">
        <f t="shared" si="219"/>
        <v>49727</v>
      </c>
      <c r="GN211" s="2">
        <f t="shared" si="220"/>
        <v>49727</v>
      </c>
      <c r="GO211" s="2">
        <f t="shared" si="221"/>
        <v>0</v>
      </c>
      <c r="GP211" s="2">
        <f t="shared" si="222"/>
        <v>0</v>
      </c>
      <c r="GQ211" s="2"/>
      <c r="GR211" s="2">
        <v>0</v>
      </c>
      <c r="GS211" s="2">
        <v>2</v>
      </c>
      <c r="GT211" s="2">
        <v>0</v>
      </c>
      <c r="GU211" s="2" t="s">
        <v>6</v>
      </c>
      <c r="GV211" s="2">
        <f t="shared" si="223"/>
        <v>0</v>
      </c>
      <c r="GW211" s="2">
        <v>1</v>
      </c>
      <c r="GX211" s="2">
        <f t="shared" si="224"/>
        <v>0</v>
      </c>
      <c r="GY211" s="2"/>
      <c r="GZ211" s="2"/>
      <c r="HA211" s="2">
        <v>0</v>
      </c>
      <c r="HB211" s="2">
        <v>0</v>
      </c>
      <c r="HC211" s="2">
        <f t="shared" si="225"/>
        <v>0</v>
      </c>
      <c r="HD211" s="2"/>
      <c r="HE211" s="2" t="s">
        <v>6</v>
      </c>
      <c r="HF211" s="2" t="s">
        <v>6</v>
      </c>
      <c r="HG211" s="2"/>
      <c r="HH211" s="2"/>
      <c r="HI211" s="2"/>
      <c r="HJ211" s="2"/>
      <c r="HK211" s="2"/>
      <c r="HL211" s="2"/>
      <c r="HM211" s="2" t="s">
        <v>6</v>
      </c>
      <c r="HN211" s="2" t="s">
        <v>6</v>
      </c>
      <c r="HO211" s="2" t="s">
        <v>6</v>
      </c>
      <c r="HP211" s="2" t="s">
        <v>6</v>
      </c>
      <c r="HQ211" s="2" t="s">
        <v>6</v>
      </c>
      <c r="HR211" s="2"/>
      <c r="HS211" s="2"/>
      <c r="HT211" s="2"/>
      <c r="HU211" s="2"/>
      <c r="HV211" s="2"/>
      <c r="HW211" s="2"/>
      <c r="HX211" s="2"/>
      <c r="HY211" s="2"/>
      <c r="HZ211" s="2"/>
      <c r="IA211" s="2"/>
      <c r="IB211" s="2"/>
      <c r="IC211" s="2"/>
      <c r="ID211" s="2"/>
      <c r="IE211" s="2"/>
      <c r="IF211" s="2">
        <v>-1</v>
      </c>
      <c r="IG211" s="2"/>
      <c r="IH211" s="2"/>
      <c r="II211" s="2"/>
      <c r="IJ211" s="2"/>
      <c r="IK211" s="2">
        <v>0</v>
      </c>
      <c r="IL211" s="2"/>
      <c r="IM211" s="2"/>
      <c r="IN211" s="2"/>
      <c r="IO211" s="2"/>
      <c r="IP211" s="2"/>
      <c r="IQ211" s="2"/>
      <c r="IR211" s="2"/>
      <c r="IS211" s="2"/>
      <c r="IT211" s="2"/>
      <c r="IU211" s="2"/>
    </row>
    <row r="212" spans="1:255" x14ac:dyDescent="0.2">
      <c r="A212">
        <v>18</v>
      </c>
      <c r="B212">
        <v>1</v>
      </c>
      <c r="C212">
        <v>256</v>
      </c>
      <c r="E212" t="s">
        <v>289</v>
      </c>
      <c r="F212" t="e">
        <f>'2.Лок.смета.и.Акт'!#REF!</f>
        <v>#REF!</v>
      </c>
      <c r="G212" t="s">
        <v>88</v>
      </c>
      <c r="H212" t="s">
        <v>44</v>
      </c>
      <c r="I212">
        <f>I204*J212</f>
        <v>56.58625</v>
      </c>
      <c r="J212">
        <v>1.9299210450026432</v>
      </c>
      <c r="K212">
        <v>1.9299210449999999</v>
      </c>
      <c r="O212">
        <f t="shared" si="194"/>
        <v>417097</v>
      </c>
      <c r="P212">
        <f t="shared" si="195"/>
        <v>417097</v>
      </c>
      <c r="Q212">
        <f t="shared" si="196"/>
        <v>0</v>
      </c>
      <c r="R212">
        <f t="shared" si="197"/>
        <v>0</v>
      </c>
      <c r="S212">
        <f t="shared" si="198"/>
        <v>0</v>
      </c>
      <c r="T212">
        <f t="shared" si="199"/>
        <v>0</v>
      </c>
      <c r="U212">
        <f t="shared" si="200"/>
        <v>0</v>
      </c>
      <c r="V212">
        <f t="shared" si="201"/>
        <v>0</v>
      </c>
      <c r="W212">
        <f t="shared" si="202"/>
        <v>0</v>
      </c>
      <c r="X212">
        <f t="shared" si="203"/>
        <v>0</v>
      </c>
      <c r="Y212">
        <f t="shared" si="204"/>
        <v>0</v>
      </c>
      <c r="AA212">
        <v>86326988</v>
      </c>
      <c r="AB212">
        <f t="shared" si="205"/>
        <v>975</v>
      </c>
      <c r="AC212">
        <f t="shared" si="232"/>
        <v>975</v>
      </c>
      <c r="AD212">
        <f>ROUND((((ET212)-(EU212))+AE212),2)</f>
        <v>0</v>
      </c>
      <c r="AE212">
        <f t="shared" si="233"/>
        <v>0</v>
      </c>
      <c r="AF212">
        <f t="shared" si="234"/>
        <v>0</v>
      </c>
      <c r="AG212">
        <f t="shared" si="206"/>
        <v>0</v>
      </c>
      <c r="AH212">
        <f t="shared" si="235"/>
        <v>0</v>
      </c>
      <c r="AI212">
        <f t="shared" si="236"/>
        <v>0</v>
      </c>
      <c r="AJ212">
        <f t="shared" si="207"/>
        <v>0</v>
      </c>
      <c r="AK212">
        <v>975</v>
      </c>
      <c r="AL212">
        <v>975</v>
      </c>
      <c r="AM212">
        <v>0</v>
      </c>
      <c r="AN212">
        <v>0</v>
      </c>
      <c r="AO212">
        <v>0</v>
      </c>
      <c r="AP212">
        <v>0</v>
      </c>
      <c r="AQ212">
        <v>0</v>
      </c>
      <c r="AR212">
        <v>0</v>
      </c>
      <c r="AS212">
        <v>0</v>
      </c>
      <c r="AT212">
        <v>0</v>
      </c>
      <c r="AU212">
        <v>0</v>
      </c>
      <c r="AV212">
        <v>1</v>
      </c>
      <c r="AW212">
        <v>1</v>
      </c>
      <c r="AZ212">
        <v>1</v>
      </c>
      <c r="BA212">
        <v>1</v>
      </c>
      <c r="BB212">
        <v>1</v>
      </c>
      <c r="BC212">
        <v>7.56</v>
      </c>
      <c r="BD212" t="s">
        <v>6</v>
      </c>
      <c r="BE212" t="s">
        <v>6</v>
      </c>
      <c r="BF212" t="s">
        <v>6</v>
      </c>
      <c r="BG212" t="s">
        <v>6</v>
      </c>
      <c r="BH212">
        <v>3</v>
      </c>
      <c r="BI212">
        <v>1</v>
      </c>
      <c r="BJ212" t="s">
        <v>89</v>
      </c>
      <c r="BM212">
        <v>500003</v>
      </c>
      <c r="BN212">
        <v>0</v>
      </c>
      <c r="BO212" t="s">
        <v>6</v>
      </c>
      <c r="BP212">
        <v>0</v>
      </c>
      <c r="BQ212">
        <v>22</v>
      </c>
      <c r="BR212">
        <v>0</v>
      </c>
      <c r="BS212">
        <v>1</v>
      </c>
      <c r="BT212">
        <v>1</v>
      </c>
      <c r="BU212">
        <v>1</v>
      </c>
      <c r="BV212">
        <v>1</v>
      </c>
      <c r="BW212">
        <v>1</v>
      </c>
      <c r="BX212">
        <v>1</v>
      </c>
      <c r="BY212" t="s">
        <v>6</v>
      </c>
      <c r="BZ212">
        <v>0</v>
      </c>
      <c r="CA212">
        <v>0</v>
      </c>
      <c r="CB212" t="s">
        <v>6</v>
      </c>
      <c r="CE212">
        <v>0</v>
      </c>
      <c r="CF212">
        <v>0</v>
      </c>
      <c r="CG212">
        <v>0</v>
      </c>
      <c r="CM212">
        <v>0</v>
      </c>
      <c r="CN212" t="s">
        <v>6</v>
      </c>
      <c r="CO212">
        <v>0</v>
      </c>
      <c r="CP212">
        <f t="shared" si="208"/>
        <v>417097</v>
      </c>
      <c r="CQ212">
        <f t="shared" si="209"/>
        <v>7371</v>
      </c>
      <c r="CR212">
        <f t="shared" si="210"/>
        <v>0</v>
      </c>
      <c r="CS212">
        <f t="shared" si="211"/>
        <v>0</v>
      </c>
      <c r="CT212">
        <f t="shared" si="212"/>
        <v>0</v>
      </c>
      <c r="CU212">
        <f t="shared" si="213"/>
        <v>0</v>
      </c>
      <c r="CV212">
        <f t="shared" si="214"/>
        <v>0</v>
      </c>
      <c r="CW212">
        <f t="shared" si="215"/>
        <v>0</v>
      </c>
      <c r="CX212">
        <f t="shared" si="216"/>
        <v>0</v>
      </c>
      <c r="CY212">
        <f>(S212+R212)*(BZ212/100)</f>
        <v>0</v>
      </c>
      <c r="CZ212">
        <f>(S212+R212)*(CA212/100)</f>
        <v>0</v>
      </c>
      <c r="DC212" t="s">
        <v>6</v>
      </c>
      <c r="DD212" t="s">
        <v>6</v>
      </c>
      <c r="DE212" t="s">
        <v>6</v>
      </c>
      <c r="DF212" t="s">
        <v>6</v>
      </c>
      <c r="DG212" t="s">
        <v>6</v>
      </c>
      <c r="DH212" t="s">
        <v>6</v>
      </c>
      <c r="DI212" t="s">
        <v>6</v>
      </c>
      <c r="DJ212" t="s">
        <v>6</v>
      </c>
      <c r="DK212" t="s">
        <v>6</v>
      </c>
      <c r="DL212" t="s">
        <v>6</v>
      </c>
      <c r="DM212" t="s">
        <v>6</v>
      </c>
      <c r="DN212">
        <v>0</v>
      </c>
      <c r="DO212">
        <v>0</v>
      </c>
      <c r="DP212">
        <v>1</v>
      </c>
      <c r="DQ212">
        <v>1</v>
      </c>
      <c r="DU212">
        <v>1007</v>
      </c>
      <c r="DV212" t="s">
        <v>44</v>
      </c>
      <c r="DW212" t="e">
        <f>'2.Лок.смета.и.Акт'!#REF!</f>
        <v>#REF!</v>
      </c>
      <c r="DX212">
        <v>1</v>
      </c>
      <c r="DZ212" t="s">
        <v>6</v>
      </c>
      <c r="EA212" t="s">
        <v>6</v>
      </c>
      <c r="EB212" t="s">
        <v>6</v>
      </c>
      <c r="EC212" t="s">
        <v>6</v>
      </c>
      <c r="EE212">
        <v>54938783</v>
      </c>
      <c r="EF212">
        <v>22</v>
      </c>
      <c r="EG212" t="s">
        <v>57</v>
      </c>
      <c r="EH212">
        <v>0</v>
      </c>
      <c r="EI212" t="s">
        <v>6</v>
      </c>
      <c r="EJ212">
        <v>1</v>
      </c>
      <c r="EK212">
        <v>500003</v>
      </c>
      <c r="EL212" t="s">
        <v>58</v>
      </c>
      <c r="EM212" t="s">
        <v>59</v>
      </c>
      <c r="EO212" t="s">
        <v>6</v>
      </c>
      <c r="EQ212">
        <v>0</v>
      </c>
      <c r="ER212">
        <v>6948.56</v>
      </c>
      <c r="ES212">
        <v>975</v>
      </c>
      <c r="ET212">
        <v>0</v>
      </c>
      <c r="EU212">
        <v>0</v>
      </c>
      <c r="EV212">
        <v>0</v>
      </c>
      <c r="EW212">
        <v>0</v>
      </c>
      <c r="EX212">
        <v>0</v>
      </c>
      <c r="EZ212">
        <v>5</v>
      </c>
      <c r="FC212">
        <v>0</v>
      </c>
      <c r="FD212">
        <v>18</v>
      </c>
      <c r="FF212">
        <v>6948.56</v>
      </c>
      <c r="FQ212">
        <v>0</v>
      </c>
      <c r="FR212">
        <f t="shared" si="217"/>
        <v>0</v>
      </c>
      <c r="FS212">
        <v>0</v>
      </c>
      <c r="FX212">
        <v>0</v>
      </c>
      <c r="FY212">
        <v>0</v>
      </c>
      <c r="GA212" t="s">
        <v>90</v>
      </c>
      <c r="GD212">
        <v>1</v>
      </c>
      <c r="GF212">
        <v>-183216560</v>
      </c>
      <c r="GG212">
        <v>2</v>
      </c>
      <c r="GH212">
        <v>3</v>
      </c>
      <c r="GI212">
        <v>5</v>
      </c>
      <c r="GJ212">
        <v>0</v>
      </c>
      <c r="GK212">
        <v>0</v>
      </c>
      <c r="GL212">
        <f t="shared" si="218"/>
        <v>0</v>
      </c>
      <c r="GM212">
        <f t="shared" si="219"/>
        <v>417097</v>
      </c>
      <c r="GN212">
        <f t="shared" si="220"/>
        <v>417097</v>
      </c>
      <c r="GO212">
        <f t="shared" si="221"/>
        <v>0</v>
      </c>
      <c r="GP212">
        <f t="shared" si="222"/>
        <v>0</v>
      </c>
      <c r="GR212">
        <v>1</v>
      </c>
      <c r="GS212">
        <v>1</v>
      </c>
      <c r="GT212">
        <v>0</v>
      </c>
      <c r="GU212" t="s">
        <v>6</v>
      </c>
      <c r="GV212">
        <f t="shared" si="223"/>
        <v>0</v>
      </c>
      <c r="GW212">
        <v>1</v>
      </c>
      <c r="GX212">
        <f t="shared" si="224"/>
        <v>0</v>
      </c>
      <c r="HA212">
        <v>0</v>
      </c>
      <c r="HB212">
        <v>0</v>
      </c>
      <c r="HC212">
        <f t="shared" si="225"/>
        <v>0</v>
      </c>
      <c r="HE212" t="s">
        <v>39</v>
      </c>
      <c r="HF212" t="s">
        <v>40</v>
      </c>
      <c r="HM212" t="s">
        <v>6</v>
      </c>
      <c r="HN212" t="s">
        <v>6</v>
      </c>
      <c r="HO212" t="s">
        <v>6</v>
      </c>
      <c r="HP212" t="s">
        <v>6</v>
      </c>
      <c r="HQ212" t="s">
        <v>6</v>
      </c>
      <c r="IF212">
        <v>-1</v>
      </c>
      <c r="IK212">
        <v>0</v>
      </c>
    </row>
    <row r="213" spans="1:255" x14ac:dyDescent="0.2">
      <c r="A213" s="2">
        <v>18</v>
      </c>
      <c r="B213" s="2">
        <v>1</v>
      </c>
      <c r="C213" s="2">
        <v>241</v>
      </c>
      <c r="D213" s="2"/>
      <c r="E213" s="2" t="s">
        <v>290</v>
      </c>
      <c r="F213" s="2" t="s">
        <v>92</v>
      </c>
      <c r="G213" s="2" t="s">
        <v>93</v>
      </c>
      <c r="H213" s="2" t="s">
        <v>94</v>
      </c>
      <c r="I213" s="2">
        <f>I203*J213</f>
        <v>157.97885400000001</v>
      </c>
      <c r="J213" s="226">
        <f>'5.Ведомость_списания'!F101</f>
        <v>5.3880000000000008</v>
      </c>
      <c r="K213" s="2">
        <v>5.3879999999999999</v>
      </c>
      <c r="L213" s="2"/>
      <c r="M213" s="2"/>
      <c r="N213" s="2"/>
      <c r="O213" s="2">
        <f t="shared" si="194"/>
        <v>741</v>
      </c>
      <c r="P213" s="2">
        <f t="shared" si="195"/>
        <v>741</v>
      </c>
      <c r="Q213" s="2">
        <f t="shared" si="196"/>
        <v>0</v>
      </c>
      <c r="R213" s="2">
        <f t="shared" si="197"/>
        <v>0</v>
      </c>
      <c r="S213" s="2">
        <f t="shared" si="198"/>
        <v>0</v>
      </c>
      <c r="T213" s="2">
        <f t="shared" si="199"/>
        <v>0</v>
      </c>
      <c r="U213" s="2">
        <f t="shared" si="200"/>
        <v>0</v>
      </c>
      <c r="V213" s="2">
        <f t="shared" si="201"/>
        <v>0</v>
      </c>
      <c r="W213" s="2">
        <f t="shared" si="202"/>
        <v>2</v>
      </c>
      <c r="X213" s="2">
        <f t="shared" si="203"/>
        <v>0</v>
      </c>
      <c r="Y213" s="2">
        <f t="shared" si="204"/>
        <v>0</v>
      </c>
      <c r="Z213" s="2"/>
      <c r="AA213" s="2">
        <v>86326987</v>
      </c>
      <c r="AB213" s="2">
        <f t="shared" si="205"/>
        <v>4.6900000000000004</v>
      </c>
      <c r="AC213" s="2">
        <f t="shared" si="232"/>
        <v>4.6900000000000004</v>
      </c>
      <c r="AD213" s="2">
        <f>ROUND((((ET213)-(EU213))+AE213),2)</f>
        <v>0</v>
      </c>
      <c r="AE213" s="2">
        <f t="shared" si="233"/>
        <v>0</v>
      </c>
      <c r="AF213" s="2">
        <f t="shared" si="234"/>
        <v>0</v>
      </c>
      <c r="AG213" s="2">
        <f t="shared" si="206"/>
        <v>0</v>
      </c>
      <c r="AH213" s="2">
        <f t="shared" si="235"/>
        <v>0</v>
      </c>
      <c r="AI213" s="2">
        <f t="shared" si="236"/>
        <v>0</v>
      </c>
      <c r="AJ213" s="2">
        <f t="shared" si="207"/>
        <v>0.01</v>
      </c>
      <c r="AK213" s="2">
        <v>4.6900000000000004</v>
      </c>
      <c r="AL213" s="110">
        <f>'1.Лок.смета.и.Акт'!F371</f>
        <v>4.6900000000000004</v>
      </c>
      <c r="AM213" s="2">
        <v>0</v>
      </c>
      <c r="AN213" s="2">
        <v>0</v>
      </c>
      <c r="AO213" s="2">
        <v>0</v>
      </c>
      <c r="AP213" s="2">
        <v>0</v>
      </c>
      <c r="AQ213" s="2">
        <v>0</v>
      </c>
      <c r="AR213" s="2">
        <v>0</v>
      </c>
      <c r="AS213" s="2">
        <v>0.01</v>
      </c>
      <c r="AT213" s="2">
        <v>0</v>
      </c>
      <c r="AU213" s="2">
        <v>0</v>
      </c>
      <c r="AV213" s="2">
        <v>1</v>
      </c>
      <c r="AW213" s="2">
        <v>1</v>
      </c>
      <c r="AX213" s="2"/>
      <c r="AY213" s="2"/>
      <c r="AZ213" s="2">
        <v>1</v>
      </c>
      <c r="BA213" s="2">
        <v>1</v>
      </c>
      <c r="BB213" s="2">
        <v>1</v>
      </c>
      <c r="BC213" s="2">
        <v>1</v>
      </c>
      <c r="BD213" s="2" t="s">
        <v>6</v>
      </c>
      <c r="BE213" s="2" t="s">
        <v>6</v>
      </c>
      <c r="BF213" s="2" t="s">
        <v>6</v>
      </c>
      <c r="BG213" s="2" t="s">
        <v>6</v>
      </c>
      <c r="BH213" s="2">
        <v>3</v>
      </c>
      <c r="BI213" s="2">
        <v>2</v>
      </c>
      <c r="BJ213" s="2" t="s">
        <v>95</v>
      </c>
      <c r="BK213" s="2"/>
      <c r="BL213" s="2"/>
      <c r="BM213" s="2">
        <v>500002</v>
      </c>
      <c r="BN213" s="2">
        <v>0</v>
      </c>
      <c r="BO213" s="2" t="s">
        <v>6</v>
      </c>
      <c r="BP213" s="2">
        <v>0</v>
      </c>
      <c r="BQ213" s="2">
        <v>21</v>
      </c>
      <c r="BR213" s="2">
        <v>0</v>
      </c>
      <c r="BS213" s="2">
        <v>1</v>
      </c>
      <c r="BT213" s="2">
        <v>1</v>
      </c>
      <c r="BU213" s="2">
        <v>1</v>
      </c>
      <c r="BV213" s="2">
        <v>1</v>
      </c>
      <c r="BW213" s="2">
        <v>1</v>
      </c>
      <c r="BX213" s="2">
        <v>1</v>
      </c>
      <c r="BY213" s="2" t="s">
        <v>6</v>
      </c>
      <c r="BZ213" s="2">
        <v>0</v>
      </c>
      <c r="CA213" s="2">
        <v>0</v>
      </c>
      <c r="CB213" s="2" t="s">
        <v>6</v>
      </c>
      <c r="CC213" s="2"/>
      <c r="CD213" s="2"/>
      <c r="CE213" s="2">
        <v>0</v>
      </c>
      <c r="CF213" s="2">
        <v>0</v>
      </c>
      <c r="CG213" s="2">
        <v>0</v>
      </c>
      <c r="CH213" s="2"/>
      <c r="CI213" s="2"/>
      <c r="CJ213" s="2"/>
      <c r="CK213" s="2"/>
      <c r="CL213" s="2"/>
      <c r="CM213" s="2">
        <v>0</v>
      </c>
      <c r="CN213" s="2" t="s">
        <v>6</v>
      </c>
      <c r="CO213" s="2">
        <v>0</v>
      </c>
      <c r="CP213" s="2">
        <f t="shared" si="208"/>
        <v>741</v>
      </c>
      <c r="CQ213" s="2">
        <f t="shared" si="209"/>
        <v>4.6900000000000004</v>
      </c>
      <c r="CR213" s="2">
        <f t="shared" si="210"/>
        <v>0</v>
      </c>
      <c r="CS213" s="2">
        <f t="shared" si="211"/>
        <v>0</v>
      </c>
      <c r="CT213" s="2">
        <f t="shared" si="212"/>
        <v>0</v>
      </c>
      <c r="CU213" s="2">
        <f t="shared" si="213"/>
        <v>0</v>
      </c>
      <c r="CV213" s="2">
        <f t="shared" si="214"/>
        <v>0</v>
      </c>
      <c r="CW213" s="2">
        <f t="shared" si="215"/>
        <v>0</v>
      </c>
      <c r="CX213" s="2">
        <f t="shared" si="216"/>
        <v>0.01</v>
      </c>
      <c r="CY213" s="2">
        <f>(((S213+(R213*IF(0,0,1)))*AT213)/100)</f>
        <v>0</v>
      </c>
      <c r="CZ213" s="2">
        <f>(((S213+(R213*IF(0,0,1)))*AU213)/100)</f>
        <v>0</v>
      </c>
      <c r="DA213" s="2"/>
      <c r="DB213" s="2"/>
      <c r="DC213" s="2" t="s">
        <v>6</v>
      </c>
      <c r="DD213" s="2" t="s">
        <v>6</v>
      </c>
      <c r="DE213" s="2" t="s">
        <v>6</v>
      </c>
      <c r="DF213" s="2" t="s">
        <v>6</v>
      </c>
      <c r="DG213" s="2" t="s">
        <v>6</v>
      </c>
      <c r="DH213" s="2" t="s">
        <v>6</v>
      </c>
      <c r="DI213" s="2" t="s">
        <v>6</v>
      </c>
      <c r="DJ213" s="2" t="s">
        <v>6</v>
      </c>
      <c r="DK213" s="2" t="s">
        <v>6</v>
      </c>
      <c r="DL213" s="2" t="s">
        <v>6</v>
      </c>
      <c r="DM213" s="2" t="s">
        <v>6</v>
      </c>
      <c r="DN213" s="2">
        <v>0</v>
      </c>
      <c r="DO213" s="2">
        <v>0</v>
      </c>
      <c r="DP213" s="2">
        <v>1</v>
      </c>
      <c r="DQ213" s="2">
        <v>1</v>
      </c>
      <c r="DR213" s="2"/>
      <c r="DS213" s="2"/>
      <c r="DT213" s="2"/>
      <c r="DU213" s="2">
        <v>1003</v>
      </c>
      <c r="DV213" s="2" t="s">
        <v>94</v>
      </c>
      <c r="DW213" s="2" t="s">
        <v>94</v>
      </c>
      <c r="DX213" s="2">
        <v>1</v>
      </c>
      <c r="DY213" s="2"/>
      <c r="DZ213" s="2" t="s">
        <v>6</v>
      </c>
      <c r="EA213" s="2" t="s">
        <v>6</v>
      </c>
      <c r="EB213" s="2" t="s">
        <v>6</v>
      </c>
      <c r="EC213" s="2" t="s">
        <v>6</v>
      </c>
      <c r="ED213" s="2"/>
      <c r="EE213" s="2">
        <v>54938782</v>
      </c>
      <c r="EF213" s="2">
        <v>21</v>
      </c>
      <c r="EG213" s="2" t="s">
        <v>96</v>
      </c>
      <c r="EH213" s="2">
        <v>0</v>
      </c>
      <c r="EI213" s="2" t="s">
        <v>6</v>
      </c>
      <c r="EJ213" s="2">
        <v>2</v>
      </c>
      <c r="EK213" s="2">
        <v>500002</v>
      </c>
      <c r="EL213" s="2" t="s">
        <v>97</v>
      </c>
      <c r="EM213" s="2" t="s">
        <v>98</v>
      </c>
      <c r="EN213" s="2"/>
      <c r="EO213" s="2" t="s">
        <v>6</v>
      </c>
      <c r="EP213" s="2"/>
      <c r="EQ213" s="2">
        <v>0</v>
      </c>
      <c r="ER213" s="2">
        <v>4.6900000000000004</v>
      </c>
      <c r="ES213" s="110">
        <f>'1.Лок.смета.и.Акт'!F371</f>
        <v>4.6900000000000004</v>
      </c>
      <c r="ET213" s="2">
        <v>0</v>
      </c>
      <c r="EU213" s="2">
        <v>0</v>
      </c>
      <c r="EV213" s="2">
        <v>0</v>
      </c>
      <c r="EW213" s="2">
        <v>0</v>
      </c>
      <c r="EX213" s="2">
        <v>0</v>
      </c>
      <c r="EY213" s="2"/>
      <c r="EZ213" s="2"/>
      <c r="FA213" s="2"/>
      <c r="FB213" s="2"/>
      <c r="FC213" s="2"/>
      <c r="FD213" s="2"/>
      <c r="FE213" s="2"/>
      <c r="FF213" s="2"/>
      <c r="FG213" s="2"/>
      <c r="FH213" s="2"/>
      <c r="FI213" s="2"/>
      <c r="FJ213" s="2"/>
      <c r="FK213" s="2"/>
      <c r="FL213" s="2"/>
      <c r="FM213" s="2"/>
      <c r="FN213" s="2"/>
      <c r="FO213" s="2"/>
      <c r="FP213" s="2"/>
      <c r="FQ213" s="2">
        <v>0</v>
      </c>
      <c r="FR213" s="2">
        <f t="shared" si="217"/>
        <v>0</v>
      </c>
      <c r="FS213" s="2">
        <v>0</v>
      </c>
      <c r="FT213" s="2"/>
      <c r="FU213" s="2"/>
      <c r="FV213" s="2"/>
      <c r="FW213" s="2"/>
      <c r="FX213" s="2">
        <v>0</v>
      </c>
      <c r="FY213" s="2">
        <v>0</v>
      </c>
      <c r="FZ213" s="2"/>
      <c r="GA213" s="2" t="s">
        <v>6</v>
      </c>
      <c r="GB213" s="2"/>
      <c r="GC213" s="2"/>
      <c r="GD213" s="2">
        <v>1</v>
      </c>
      <c r="GE213" s="2"/>
      <c r="GF213" s="2">
        <v>-1608277363</v>
      </c>
      <c r="GG213" s="2">
        <v>2</v>
      </c>
      <c r="GH213" s="2">
        <v>0</v>
      </c>
      <c r="GI213" s="2">
        <v>-2</v>
      </c>
      <c r="GJ213" s="2">
        <v>0</v>
      </c>
      <c r="GK213" s="2">
        <v>0</v>
      </c>
      <c r="GL213" s="2">
        <f t="shared" si="218"/>
        <v>0</v>
      </c>
      <c r="GM213" s="2">
        <f t="shared" si="219"/>
        <v>741</v>
      </c>
      <c r="GN213" s="2">
        <f t="shared" si="220"/>
        <v>0</v>
      </c>
      <c r="GO213" s="2">
        <f t="shared" si="221"/>
        <v>741</v>
      </c>
      <c r="GP213" s="2">
        <f t="shared" si="222"/>
        <v>0</v>
      </c>
      <c r="GQ213" s="2"/>
      <c r="GR213" s="2">
        <v>0</v>
      </c>
      <c r="GS213" s="2">
        <v>3</v>
      </c>
      <c r="GT213" s="2">
        <v>0</v>
      </c>
      <c r="GU213" s="2" t="s">
        <v>6</v>
      </c>
      <c r="GV213" s="2">
        <f t="shared" si="223"/>
        <v>0</v>
      </c>
      <c r="GW213" s="2">
        <v>1</v>
      </c>
      <c r="GX213" s="2">
        <f t="shared" si="224"/>
        <v>0</v>
      </c>
      <c r="GY213" s="2"/>
      <c r="GZ213" s="2"/>
      <c r="HA213" s="2">
        <v>0</v>
      </c>
      <c r="HB213" s="2">
        <v>0</v>
      </c>
      <c r="HC213" s="2">
        <f t="shared" si="225"/>
        <v>0</v>
      </c>
      <c r="HD213" s="2"/>
      <c r="HE213" s="2" t="s">
        <v>6</v>
      </c>
      <c r="HF213" s="2" t="s">
        <v>6</v>
      </c>
      <c r="HG213" s="2"/>
      <c r="HH213" s="2"/>
      <c r="HI213" s="2"/>
      <c r="HJ213" s="2"/>
      <c r="HK213" s="2"/>
      <c r="HL213" s="2"/>
      <c r="HM213" s="2" t="s">
        <v>6</v>
      </c>
      <c r="HN213" s="2" t="s">
        <v>6</v>
      </c>
      <c r="HO213" s="2" t="s">
        <v>6</v>
      </c>
      <c r="HP213" s="2" t="s">
        <v>6</v>
      </c>
      <c r="HQ213" s="2" t="s">
        <v>6</v>
      </c>
      <c r="HR213" s="2"/>
      <c r="HS213" s="2"/>
      <c r="HT213" s="2"/>
      <c r="HU213" s="2"/>
      <c r="HV213" s="2"/>
      <c r="HW213" s="2"/>
      <c r="HX213" s="2"/>
      <c r="HY213" s="2"/>
      <c r="HZ213" s="2"/>
      <c r="IA213" s="2"/>
      <c r="IB213" s="2"/>
      <c r="IC213" s="2"/>
      <c r="ID213" s="2"/>
      <c r="IE213" s="2"/>
      <c r="IF213" s="2">
        <v>-1</v>
      </c>
      <c r="IG213" s="2"/>
      <c r="IH213" s="2"/>
      <c r="II213" s="2"/>
      <c r="IJ213" s="2"/>
      <c r="IK213" s="2">
        <v>0</v>
      </c>
      <c r="IL213" s="2"/>
      <c r="IM213" s="2"/>
      <c r="IN213" s="2"/>
      <c r="IO213" s="2"/>
      <c r="IP213" s="2"/>
      <c r="IQ213" s="2"/>
      <c r="IR213" s="2"/>
      <c r="IS213" s="2"/>
      <c r="IT213" s="2"/>
      <c r="IU213" s="2"/>
    </row>
    <row r="214" spans="1:255" x14ac:dyDescent="0.2">
      <c r="A214">
        <v>18</v>
      </c>
      <c r="B214">
        <v>1</v>
      </c>
      <c r="C214">
        <v>254</v>
      </c>
      <c r="E214" t="s">
        <v>290</v>
      </c>
      <c r="F214" t="e">
        <f>'2.Лок.смета.и.Акт'!#REF!</f>
        <v>#REF!</v>
      </c>
      <c r="G214" t="s">
        <v>93</v>
      </c>
      <c r="H214" t="s">
        <v>94</v>
      </c>
      <c r="I214">
        <f>I204*J214</f>
        <v>157.97885400000001</v>
      </c>
      <c r="J214">
        <v>5.3880000000000008</v>
      </c>
      <c r="K214">
        <v>5.3879999999999999</v>
      </c>
      <c r="O214">
        <f t="shared" si="194"/>
        <v>5112</v>
      </c>
      <c r="P214">
        <f t="shared" si="195"/>
        <v>5112</v>
      </c>
      <c r="Q214">
        <f t="shared" si="196"/>
        <v>0</v>
      </c>
      <c r="R214">
        <f t="shared" si="197"/>
        <v>0</v>
      </c>
      <c r="S214">
        <f t="shared" si="198"/>
        <v>0</v>
      </c>
      <c r="T214">
        <f t="shared" si="199"/>
        <v>0</v>
      </c>
      <c r="U214">
        <f t="shared" si="200"/>
        <v>0</v>
      </c>
      <c r="V214">
        <f t="shared" si="201"/>
        <v>0</v>
      </c>
      <c r="W214">
        <f t="shared" si="202"/>
        <v>2</v>
      </c>
      <c r="X214">
        <f t="shared" si="203"/>
        <v>0</v>
      </c>
      <c r="Y214">
        <f t="shared" si="204"/>
        <v>0</v>
      </c>
      <c r="AA214">
        <v>86326988</v>
      </c>
      <c r="AB214">
        <f t="shared" si="205"/>
        <v>4.28</v>
      </c>
      <c r="AC214">
        <f t="shared" si="232"/>
        <v>4.28</v>
      </c>
      <c r="AD214">
        <f>ROUND((((ET214)-(EU214))+AE214),2)</f>
        <v>0</v>
      </c>
      <c r="AE214">
        <f t="shared" si="233"/>
        <v>0</v>
      </c>
      <c r="AF214">
        <f t="shared" si="234"/>
        <v>0</v>
      </c>
      <c r="AG214">
        <f t="shared" si="206"/>
        <v>0</v>
      </c>
      <c r="AH214">
        <f t="shared" si="235"/>
        <v>0</v>
      </c>
      <c r="AI214">
        <f t="shared" si="236"/>
        <v>0</v>
      </c>
      <c r="AJ214">
        <f t="shared" si="207"/>
        <v>0.01</v>
      </c>
      <c r="AK214">
        <v>4.28</v>
      </c>
      <c r="AL214">
        <v>4.28</v>
      </c>
      <c r="AM214">
        <v>0</v>
      </c>
      <c r="AN214">
        <v>0</v>
      </c>
      <c r="AO214">
        <v>0</v>
      </c>
      <c r="AP214">
        <v>0</v>
      </c>
      <c r="AQ214">
        <v>0</v>
      </c>
      <c r="AR214">
        <v>0</v>
      </c>
      <c r="AS214">
        <v>0.01</v>
      </c>
      <c r="AT214">
        <v>0</v>
      </c>
      <c r="AU214">
        <v>0</v>
      </c>
      <c r="AV214">
        <v>1</v>
      </c>
      <c r="AW214">
        <v>1</v>
      </c>
      <c r="AZ214">
        <v>1</v>
      </c>
      <c r="BA214">
        <v>1</v>
      </c>
      <c r="BB214">
        <v>1</v>
      </c>
      <c r="BC214">
        <v>7.56</v>
      </c>
      <c r="BD214" t="s">
        <v>6</v>
      </c>
      <c r="BE214" t="s">
        <v>6</v>
      </c>
      <c r="BF214" t="s">
        <v>6</v>
      </c>
      <c r="BG214" t="s">
        <v>6</v>
      </c>
      <c r="BH214">
        <v>3</v>
      </c>
      <c r="BI214">
        <v>2</v>
      </c>
      <c r="BJ214" t="s">
        <v>95</v>
      </c>
      <c r="BM214">
        <v>500002</v>
      </c>
      <c r="BN214">
        <v>0</v>
      </c>
      <c r="BO214" t="s">
        <v>6</v>
      </c>
      <c r="BP214">
        <v>0</v>
      </c>
      <c r="BQ214">
        <v>21</v>
      </c>
      <c r="BR214">
        <v>0</v>
      </c>
      <c r="BS214">
        <v>1</v>
      </c>
      <c r="BT214">
        <v>1</v>
      </c>
      <c r="BU214">
        <v>1</v>
      </c>
      <c r="BV214">
        <v>1</v>
      </c>
      <c r="BW214">
        <v>1</v>
      </c>
      <c r="BX214">
        <v>1</v>
      </c>
      <c r="BY214" t="s">
        <v>6</v>
      </c>
      <c r="BZ214">
        <v>0</v>
      </c>
      <c r="CA214">
        <v>0</v>
      </c>
      <c r="CB214" t="s">
        <v>6</v>
      </c>
      <c r="CE214">
        <v>0</v>
      </c>
      <c r="CF214">
        <v>0</v>
      </c>
      <c r="CG214">
        <v>0</v>
      </c>
      <c r="CM214">
        <v>0</v>
      </c>
      <c r="CN214" t="s">
        <v>6</v>
      </c>
      <c r="CO214">
        <v>0</v>
      </c>
      <c r="CP214">
        <f t="shared" si="208"/>
        <v>5112</v>
      </c>
      <c r="CQ214">
        <f t="shared" si="209"/>
        <v>32.3568</v>
      </c>
      <c r="CR214">
        <f t="shared" si="210"/>
        <v>0</v>
      </c>
      <c r="CS214">
        <f t="shared" si="211"/>
        <v>0</v>
      </c>
      <c r="CT214">
        <f t="shared" si="212"/>
        <v>0</v>
      </c>
      <c r="CU214">
        <f t="shared" si="213"/>
        <v>0</v>
      </c>
      <c r="CV214">
        <f t="shared" si="214"/>
        <v>0</v>
      </c>
      <c r="CW214">
        <f t="shared" si="215"/>
        <v>0</v>
      </c>
      <c r="CX214">
        <f t="shared" si="216"/>
        <v>0.01</v>
      </c>
      <c r="CY214">
        <f>(S214+R214)*(BZ214/100)</f>
        <v>0</v>
      </c>
      <c r="CZ214">
        <f>(S214+R214)*(CA214/100)</f>
        <v>0</v>
      </c>
      <c r="DC214" t="s">
        <v>6</v>
      </c>
      <c r="DD214" t="s">
        <v>6</v>
      </c>
      <c r="DE214" t="s">
        <v>6</v>
      </c>
      <c r="DF214" t="s">
        <v>6</v>
      </c>
      <c r="DG214" t="s">
        <v>6</v>
      </c>
      <c r="DH214" t="s">
        <v>6</v>
      </c>
      <c r="DI214" t="s">
        <v>6</v>
      </c>
      <c r="DJ214" t="s">
        <v>6</v>
      </c>
      <c r="DK214" t="s">
        <v>6</v>
      </c>
      <c r="DL214" t="s">
        <v>6</v>
      </c>
      <c r="DM214" t="s">
        <v>6</v>
      </c>
      <c r="DN214">
        <v>0</v>
      </c>
      <c r="DO214">
        <v>0</v>
      </c>
      <c r="DP214">
        <v>1</v>
      </c>
      <c r="DQ214">
        <v>1</v>
      </c>
      <c r="DU214">
        <v>1003</v>
      </c>
      <c r="DV214" t="s">
        <v>94</v>
      </c>
      <c r="DW214" t="e">
        <f>'2.Лок.смета.и.Акт'!#REF!</f>
        <v>#REF!</v>
      </c>
      <c r="DX214">
        <v>1</v>
      </c>
      <c r="DZ214" t="s">
        <v>6</v>
      </c>
      <c r="EA214" t="s">
        <v>6</v>
      </c>
      <c r="EB214" t="s">
        <v>6</v>
      </c>
      <c r="EC214" t="s">
        <v>6</v>
      </c>
      <c r="EE214">
        <v>54938782</v>
      </c>
      <c r="EF214">
        <v>21</v>
      </c>
      <c r="EG214" t="s">
        <v>96</v>
      </c>
      <c r="EH214">
        <v>0</v>
      </c>
      <c r="EI214" t="s">
        <v>6</v>
      </c>
      <c r="EJ214">
        <v>2</v>
      </c>
      <c r="EK214">
        <v>500002</v>
      </c>
      <c r="EL214" t="s">
        <v>97</v>
      </c>
      <c r="EM214" t="s">
        <v>98</v>
      </c>
      <c r="EO214" t="s">
        <v>6</v>
      </c>
      <c r="EQ214">
        <v>0</v>
      </c>
      <c r="ER214">
        <v>30.51</v>
      </c>
      <c r="ES214">
        <v>4.28</v>
      </c>
      <c r="ET214">
        <v>0</v>
      </c>
      <c r="EU214">
        <v>0</v>
      </c>
      <c r="EV214">
        <v>0</v>
      </c>
      <c r="EW214">
        <v>0</v>
      </c>
      <c r="EX214">
        <v>0</v>
      </c>
      <c r="EZ214">
        <v>5</v>
      </c>
      <c r="FC214">
        <v>0</v>
      </c>
      <c r="FD214">
        <v>18</v>
      </c>
      <c r="FF214">
        <v>30.51</v>
      </c>
      <c r="FQ214">
        <v>0</v>
      </c>
      <c r="FR214">
        <f t="shared" si="217"/>
        <v>0</v>
      </c>
      <c r="FS214">
        <v>0</v>
      </c>
      <c r="FX214">
        <v>0</v>
      </c>
      <c r="FY214">
        <v>0</v>
      </c>
      <c r="GA214" t="s">
        <v>99</v>
      </c>
      <c r="GD214">
        <v>1</v>
      </c>
      <c r="GF214">
        <v>-1608277363</v>
      </c>
      <c r="GG214">
        <v>2</v>
      </c>
      <c r="GH214">
        <v>3</v>
      </c>
      <c r="GI214">
        <v>5</v>
      </c>
      <c r="GJ214">
        <v>0</v>
      </c>
      <c r="GK214">
        <v>0</v>
      </c>
      <c r="GL214">
        <f t="shared" si="218"/>
        <v>0</v>
      </c>
      <c r="GM214">
        <f t="shared" si="219"/>
        <v>5112</v>
      </c>
      <c r="GN214">
        <f t="shared" si="220"/>
        <v>0</v>
      </c>
      <c r="GO214">
        <f t="shared" si="221"/>
        <v>5112</v>
      </c>
      <c r="GP214">
        <f t="shared" si="222"/>
        <v>0</v>
      </c>
      <c r="GR214">
        <v>1</v>
      </c>
      <c r="GS214">
        <v>1</v>
      </c>
      <c r="GT214">
        <v>0</v>
      </c>
      <c r="GU214" t="s">
        <v>6</v>
      </c>
      <c r="GV214">
        <f t="shared" si="223"/>
        <v>0</v>
      </c>
      <c r="GW214">
        <v>1</v>
      </c>
      <c r="GX214">
        <f t="shared" si="224"/>
        <v>0</v>
      </c>
      <c r="HA214">
        <v>0</v>
      </c>
      <c r="HB214">
        <v>0</v>
      </c>
      <c r="HC214">
        <f t="shared" si="225"/>
        <v>0</v>
      </c>
      <c r="HE214" t="s">
        <v>39</v>
      </c>
      <c r="HF214" t="s">
        <v>40</v>
      </c>
      <c r="HM214" t="s">
        <v>6</v>
      </c>
      <c r="HN214" t="s">
        <v>6</v>
      </c>
      <c r="HO214" t="s">
        <v>6</v>
      </c>
      <c r="HP214" t="s">
        <v>6</v>
      </c>
      <c r="HQ214" t="s">
        <v>6</v>
      </c>
      <c r="IF214">
        <v>-1</v>
      </c>
      <c r="IK214">
        <v>0</v>
      </c>
    </row>
    <row r="215" spans="1:255" x14ac:dyDescent="0.2">
      <c r="A215" s="2">
        <v>18</v>
      </c>
      <c r="B215" s="2">
        <v>1</v>
      </c>
      <c r="C215" s="2">
        <v>238</v>
      </c>
      <c r="D215" s="2"/>
      <c r="E215" s="2" t="s">
        <v>291</v>
      </c>
      <c r="F215" s="2" t="s">
        <v>101</v>
      </c>
      <c r="G215" s="2" t="s">
        <v>102</v>
      </c>
      <c r="H215" s="2" t="s">
        <v>103</v>
      </c>
      <c r="I215" s="2">
        <f>I203*J215</f>
        <v>674.37149999999997</v>
      </c>
      <c r="J215" s="226">
        <f>'5.Ведомость_списания'!F102</f>
        <v>23</v>
      </c>
      <c r="K215" s="2">
        <v>23</v>
      </c>
      <c r="L215" s="2"/>
      <c r="M215" s="2"/>
      <c r="N215" s="2"/>
      <c r="O215" s="2">
        <f t="shared" ref="O215:O246" si="237">ROUND(CP215,0)</f>
        <v>162</v>
      </c>
      <c r="P215" s="2">
        <f t="shared" ref="P215:P246" si="238">ROUND(CQ215*I215,0)</f>
        <v>162</v>
      </c>
      <c r="Q215" s="2">
        <f t="shared" ref="Q215:Q246" si="239">ROUND(CR215*I215,0)</f>
        <v>0</v>
      </c>
      <c r="R215" s="2">
        <f t="shared" ref="R215:R246" si="240">ROUND(CS215*I215,0)</f>
        <v>0</v>
      </c>
      <c r="S215" s="2">
        <f t="shared" ref="S215:S246" si="241">ROUND(CT215*I215,0)</f>
        <v>0</v>
      </c>
      <c r="T215" s="2">
        <f t="shared" ref="T215:T246" si="242">ROUND(CU215*I215,0)</f>
        <v>0</v>
      </c>
      <c r="U215" s="2">
        <f t="shared" ref="U215:U246" si="243">CV215*I215</f>
        <v>0</v>
      </c>
      <c r="V215" s="2">
        <f t="shared" ref="V215:V246" si="244">CW215*I215</f>
        <v>0</v>
      </c>
      <c r="W215" s="2">
        <f t="shared" ref="W215:W246" si="245">ROUND(CX215*I215,0)</f>
        <v>0</v>
      </c>
      <c r="X215" s="2">
        <f t="shared" ref="X215:X246" si="246">ROUND(CY215,0)</f>
        <v>0</v>
      </c>
      <c r="Y215" s="2">
        <f t="shared" ref="Y215:Y246" si="247">ROUND(CZ215,0)</f>
        <v>0</v>
      </c>
      <c r="Z215" s="2"/>
      <c r="AA215" s="2">
        <v>86326987</v>
      </c>
      <c r="AB215" s="2">
        <f t="shared" ref="AB215:AB246" si="248">ROUND((AC215+AD215+AF215),2)</f>
        <v>0.24</v>
      </c>
      <c r="AC215" s="2">
        <f t="shared" si="232"/>
        <v>0.24</v>
      </c>
      <c r="AD215" s="2">
        <f t="shared" ref="AD215:AD220" si="249">ROUND((ET215),2)</f>
        <v>0</v>
      </c>
      <c r="AE215" s="2">
        <f t="shared" si="233"/>
        <v>0</v>
      </c>
      <c r="AF215" s="2">
        <f t="shared" si="234"/>
        <v>0</v>
      </c>
      <c r="AG215" s="2">
        <f t="shared" ref="AG215:AG246" si="250">ROUND((AP215),2)</f>
        <v>0</v>
      </c>
      <c r="AH215" s="2">
        <f t="shared" si="235"/>
        <v>0</v>
      </c>
      <c r="AI215" s="2">
        <f t="shared" si="236"/>
        <v>0</v>
      </c>
      <c r="AJ215" s="2">
        <f t="shared" ref="AJ215:AJ246" si="251">(AS215)</f>
        <v>0</v>
      </c>
      <c r="AK215" s="2">
        <v>0.24</v>
      </c>
      <c r="AL215" s="110">
        <f>'1.Лок.смета.и.Акт'!F373</f>
        <v>0.24</v>
      </c>
      <c r="AM215" s="2">
        <v>0</v>
      </c>
      <c r="AN215" s="2">
        <v>0</v>
      </c>
      <c r="AO215" s="2">
        <v>0</v>
      </c>
      <c r="AP215" s="2">
        <v>0</v>
      </c>
      <c r="AQ215" s="2">
        <v>0</v>
      </c>
      <c r="AR215" s="2">
        <v>0</v>
      </c>
      <c r="AS215" s="2">
        <v>0</v>
      </c>
      <c r="AT215" s="2">
        <v>0</v>
      </c>
      <c r="AU215" s="2">
        <v>0</v>
      </c>
      <c r="AV215" s="2">
        <v>1</v>
      </c>
      <c r="AW215" s="2">
        <v>1</v>
      </c>
      <c r="AX215" s="2"/>
      <c r="AY215" s="2"/>
      <c r="AZ215" s="2">
        <v>1</v>
      </c>
      <c r="BA215" s="2">
        <v>1</v>
      </c>
      <c r="BB215" s="2">
        <v>1</v>
      </c>
      <c r="BC215" s="2">
        <v>1</v>
      </c>
      <c r="BD215" s="2" t="s">
        <v>6</v>
      </c>
      <c r="BE215" s="2" t="s">
        <v>6</v>
      </c>
      <c r="BF215" s="2" t="s">
        <v>6</v>
      </c>
      <c r="BG215" s="2" t="s">
        <v>6</v>
      </c>
      <c r="BH215" s="2">
        <v>3</v>
      </c>
      <c r="BI215" s="2">
        <v>1</v>
      </c>
      <c r="BJ215" s="2" t="s">
        <v>104</v>
      </c>
      <c r="BK215" s="2"/>
      <c r="BL215" s="2"/>
      <c r="BM215" s="2">
        <v>3101</v>
      </c>
      <c r="BN215" s="2">
        <v>0</v>
      </c>
      <c r="BO215" s="2" t="s">
        <v>6</v>
      </c>
      <c r="BP215" s="2">
        <v>0</v>
      </c>
      <c r="BQ215" s="2">
        <v>0</v>
      </c>
      <c r="BR215" s="2">
        <v>0</v>
      </c>
      <c r="BS215" s="2">
        <v>1</v>
      </c>
      <c r="BT215" s="2">
        <v>1</v>
      </c>
      <c r="BU215" s="2">
        <v>1</v>
      </c>
      <c r="BV215" s="2">
        <v>1</v>
      </c>
      <c r="BW215" s="2">
        <v>1</v>
      </c>
      <c r="BX215" s="2">
        <v>1</v>
      </c>
      <c r="BY215" s="2" t="s">
        <v>6</v>
      </c>
      <c r="BZ215" s="2">
        <v>0</v>
      </c>
      <c r="CA215" s="2">
        <v>0</v>
      </c>
      <c r="CB215" s="2" t="s">
        <v>6</v>
      </c>
      <c r="CC215" s="2"/>
      <c r="CD215" s="2"/>
      <c r="CE215" s="2">
        <v>0</v>
      </c>
      <c r="CF215" s="2">
        <v>0</v>
      </c>
      <c r="CG215" s="2">
        <v>0</v>
      </c>
      <c r="CH215" s="2"/>
      <c r="CI215" s="2"/>
      <c r="CJ215" s="2"/>
      <c r="CK215" s="2"/>
      <c r="CL215" s="2"/>
      <c r="CM215" s="2">
        <v>0</v>
      </c>
      <c r="CN215" s="2" t="s">
        <v>6</v>
      </c>
      <c r="CO215" s="2">
        <v>0</v>
      </c>
      <c r="CP215" s="2">
        <f t="shared" ref="CP215:CP246" si="252">(P215+Q215+S215)</f>
        <v>162</v>
      </c>
      <c r="CQ215" s="2">
        <f t="shared" ref="CQ215:CQ246" si="253">AC215*BC215</f>
        <v>0.24</v>
      </c>
      <c r="CR215" s="2">
        <f t="shared" ref="CR215:CR246" si="254">AD215*BB215</f>
        <v>0</v>
      </c>
      <c r="CS215" s="2">
        <f t="shared" ref="CS215:CS246" si="255">AE215*BS215</f>
        <v>0</v>
      </c>
      <c r="CT215" s="2">
        <f t="shared" ref="CT215:CT246" si="256">AF215*BA215</f>
        <v>0</v>
      </c>
      <c r="CU215" s="2">
        <f t="shared" ref="CU215:CU246" si="257">AG215</f>
        <v>0</v>
      </c>
      <c r="CV215" s="2">
        <f t="shared" ref="CV215:CV246" si="258">AH215</f>
        <v>0</v>
      </c>
      <c r="CW215" s="2">
        <f t="shared" ref="CW215:CW246" si="259">AI215</f>
        <v>0</v>
      </c>
      <c r="CX215" s="2">
        <f t="shared" ref="CX215:CX246" si="260">AJ215</f>
        <v>0</v>
      </c>
      <c r="CY215" s="2">
        <f>0</f>
        <v>0</v>
      </c>
      <c r="CZ215" s="2">
        <f>0</f>
        <v>0</v>
      </c>
      <c r="DA215" s="2"/>
      <c r="DB215" s="2"/>
      <c r="DC215" s="2" t="s">
        <v>6</v>
      </c>
      <c r="DD215" s="2" t="s">
        <v>6</v>
      </c>
      <c r="DE215" s="2" t="s">
        <v>6</v>
      </c>
      <c r="DF215" s="2" t="s">
        <v>6</v>
      </c>
      <c r="DG215" s="2" t="s">
        <v>6</v>
      </c>
      <c r="DH215" s="2" t="s">
        <v>6</v>
      </c>
      <c r="DI215" s="2" t="s">
        <v>6</v>
      </c>
      <c r="DJ215" s="2" t="s">
        <v>6</v>
      </c>
      <c r="DK215" s="2" t="s">
        <v>6</v>
      </c>
      <c r="DL215" s="2" t="s">
        <v>6</v>
      </c>
      <c r="DM215" s="2" t="s">
        <v>6</v>
      </c>
      <c r="DN215" s="2">
        <v>0</v>
      </c>
      <c r="DO215" s="2">
        <v>0</v>
      </c>
      <c r="DP215" s="2">
        <v>1</v>
      </c>
      <c r="DQ215" s="2">
        <v>1</v>
      </c>
      <c r="DR215" s="2"/>
      <c r="DS215" s="2"/>
      <c r="DT215" s="2"/>
      <c r="DU215" s="2">
        <v>1013</v>
      </c>
      <c r="DV215" s="2" t="s">
        <v>103</v>
      </c>
      <c r="DW215" s="2" t="s">
        <v>103</v>
      </c>
      <c r="DX215" s="2">
        <v>1</v>
      </c>
      <c r="DY215" s="2"/>
      <c r="DZ215" s="2" t="s">
        <v>6</v>
      </c>
      <c r="EA215" s="2" t="s">
        <v>6</v>
      </c>
      <c r="EB215" s="2" t="s">
        <v>6</v>
      </c>
      <c r="EC215" s="2" t="s">
        <v>6</v>
      </c>
      <c r="ED215" s="2"/>
      <c r="EE215" s="2">
        <v>0</v>
      </c>
      <c r="EF215" s="2">
        <v>0</v>
      </c>
      <c r="EG215" s="2" t="s">
        <v>6</v>
      </c>
      <c r="EH215" s="2">
        <v>0</v>
      </c>
      <c r="EI215" s="2" t="s">
        <v>6</v>
      </c>
      <c r="EJ215" s="2">
        <v>0</v>
      </c>
      <c r="EK215" s="2">
        <v>3101</v>
      </c>
      <c r="EL215" s="2" t="s">
        <v>6</v>
      </c>
      <c r="EM215" s="2" t="s">
        <v>6</v>
      </c>
      <c r="EN215" s="2"/>
      <c r="EO215" s="2" t="s">
        <v>6</v>
      </c>
      <c r="EP215" s="2"/>
      <c r="EQ215" s="2">
        <v>0</v>
      </c>
      <c r="ER215" s="2">
        <v>0.24</v>
      </c>
      <c r="ES215" s="110">
        <f>'1.Лок.смета.и.Акт'!F373</f>
        <v>0.24</v>
      </c>
      <c r="ET215" s="2">
        <v>0</v>
      </c>
      <c r="EU215" s="2">
        <v>0</v>
      </c>
      <c r="EV215" s="2">
        <v>0</v>
      </c>
      <c r="EW215" s="2">
        <v>0</v>
      </c>
      <c r="EX215" s="2">
        <v>0</v>
      </c>
      <c r="EY215" s="2"/>
      <c r="EZ215" s="2"/>
      <c r="FA215" s="2"/>
      <c r="FB215" s="2"/>
      <c r="FC215" s="2"/>
      <c r="FD215" s="2"/>
      <c r="FE215" s="2"/>
      <c r="FF215" s="2"/>
      <c r="FG215" s="2"/>
      <c r="FH215" s="2"/>
      <c r="FI215" s="2"/>
      <c r="FJ215" s="2"/>
      <c r="FK215" s="2"/>
      <c r="FL215" s="2"/>
      <c r="FM215" s="2"/>
      <c r="FN215" s="2"/>
      <c r="FO215" s="2"/>
      <c r="FP215" s="2"/>
      <c r="FQ215" s="2">
        <v>0</v>
      </c>
      <c r="FR215" s="2">
        <f t="shared" ref="FR215:FR246" si="261">ROUND(IF(BI215=3,GM215,0),0)</f>
        <v>0</v>
      </c>
      <c r="FS215" s="2">
        <v>0</v>
      </c>
      <c r="FT215" s="2"/>
      <c r="FU215" s="2"/>
      <c r="FV215" s="2"/>
      <c r="FW215" s="2"/>
      <c r="FX215" s="2">
        <v>0</v>
      </c>
      <c r="FY215" s="2">
        <v>0</v>
      </c>
      <c r="FZ215" s="2"/>
      <c r="GA215" s="2" t="s">
        <v>6</v>
      </c>
      <c r="GB215" s="2"/>
      <c r="GC215" s="2"/>
      <c r="GD215" s="2">
        <v>1</v>
      </c>
      <c r="GE215" s="2"/>
      <c r="GF215" s="2">
        <v>-504018761</v>
      </c>
      <c r="GG215" s="2">
        <v>2</v>
      </c>
      <c r="GH215" s="2">
        <v>0</v>
      </c>
      <c r="GI215" s="2">
        <v>-2</v>
      </c>
      <c r="GJ215" s="2">
        <v>0</v>
      </c>
      <c r="GK215" s="2">
        <v>0</v>
      </c>
      <c r="GL215" s="2">
        <f t="shared" ref="GL215:GL246" si="262">ROUND(IF(AND(BH215=3,BI215=3,FS215&lt;&gt;0),P215,0),0)</f>
        <v>0</v>
      </c>
      <c r="GM215" s="2">
        <f t="shared" ref="GM215:GM246" si="263">ROUND(O215+X215+Y215,0)+GX215</f>
        <v>162</v>
      </c>
      <c r="GN215" s="2">
        <f t="shared" ref="GN215:GN246" si="264">IF(OR(BI215=0,BI215=1),GM215-GX215,0)</f>
        <v>162</v>
      </c>
      <c r="GO215" s="2">
        <f t="shared" ref="GO215:GO246" si="265">IF(BI215=2,GM215-GX215,0)</f>
        <v>0</v>
      </c>
      <c r="GP215" s="2">
        <f t="shared" ref="GP215:GP246" si="266">IF(BI215=4,GM215-GX215,0)</f>
        <v>0</v>
      </c>
      <c r="GQ215" s="2"/>
      <c r="GR215" s="2">
        <v>0</v>
      </c>
      <c r="GS215" s="2">
        <v>3</v>
      </c>
      <c r="GT215" s="2">
        <v>0</v>
      </c>
      <c r="GU215" s="2" t="s">
        <v>6</v>
      </c>
      <c r="GV215" s="2">
        <f t="shared" ref="GV215:GV246" si="267">ROUND((GT215),2)</f>
        <v>0</v>
      </c>
      <c r="GW215" s="2">
        <v>1</v>
      </c>
      <c r="GX215" s="2">
        <f t="shared" ref="GX215:GX246" si="268">ROUND(HC215*I215,0)</f>
        <v>0</v>
      </c>
      <c r="GY215" s="2"/>
      <c r="GZ215" s="2"/>
      <c r="HA215" s="2">
        <v>0</v>
      </c>
      <c r="HB215" s="2">
        <v>0</v>
      </c>
      <c r="HC215" s="2">
        <f t="shared" ref="HC215:HC246" si="269">GV215*GW215</f>
        <v>0</v>
      </c>
      <c r="HD215" s="2"/>
      <c r="HE215" s="2" t="s">
        <v>6</v>
      </c>
      <c r="HF215" s="2" t="s">
        <v>6</v>
      </c>
      <c r="HG215" s="2"/>
      <c r="HH215" s="2"/>
      <c r="HI215" s="2"/>
      <c r="HJ215" s="2"/>
      <c r="HK215" s="2"/>
      <c r="HL215" s="2"/>
      <c r="HM215" s="2" t="s">
        <v>6</v>
      </c>
      <c r="HN215" s="2" t="s">
        <v>6</v>
      </c>
      <c r="HO215" s="2" t="s">
        <v>6</v>
      </c>
      <c r="HP215" s="2" t="s">
        <v>6</v>
      </c>
      <c r="HQ215" s="2" t="s">
        <v>6</v>
      </c>
      <c r="HR215" s="2"/>
      <c r="HS215" s="2"/>
      <c r="HT215" s="2"/>
      <c r="HU215" s="2"/>
      <c r="HV215" s="2"/>
      <c r="HW215" s="2"/>
      <c r="HX215" s="2"/>
      <c r="HY215" s="2"/>
      <c r="HZ215" s="2"/>
      <c r="IA215" s="2"/>
      <c r="IB215" s="2"/>
      <c r="IC215" s="2"/>
      <c r="ID215" s="2"/>
      <c r="IE215" s="2"/>
      <c r="IF215" s="2">
        <v>-1</v>
      </c>
      <c r="IG215" s="2"/>
      <c r="IH215" s="2"/>
      <c r="II215" s="2"/>
      <c r="IJ215" s="2"/>
      <c r="IK215" s="2">
        <v>0</v>
      </c>
      <c r="IL215" s="2"/>
      <c r="IM215" s="2"/>
      <c r="IN215" s="2"/>
      <c r="IO215" s="2"/>
      <c r="IP215" s="2"/>
      <c r="IQ215" s="2"/>
      <c r="IR215" s="2"/>
      <c r="IS215" s="2"/>
      <c r="IT215" s="2"/>
      <c r="IU215" s="2"/>
    </row>
    <row r="216" spans="1:255" x14ac:dyDescent="0.2">
      <c r="A216">
        <v>18</v>
      </c>
      <c r="B216">
        <v>1</v>
      </c>
      <c r="C216">
        <v>251</v>
      </c>
      <c r="E216" t="s">
        <v>291</v>
      </c>
      <c r="F216" t="e">
        <f>'2.Лок.смета.и.Акт'!#REF!</f>
        <v>#REF!</v>
      </c>
      <c r="G216" t="s">
        <v>102</v>
      </c>
      <c r="H216" t="s">
        <v>103</v>
      </c>
      <c r="I216">
        <f>I204*J216</f>
        <v>674.37149999999997</v>
      </c>
      <c r="J216">
        <v>23</v>
      </c>
      <c r="K216">
        <v>23</v>
      </c>
      <c r="O216">
        <f t="shared" si="237"/>
        <v>816</v>
      </c>
      <c r="P216">
        <f t="shared" si="238"/>
        <v>816</v>
      </c>
      <c r="Q216">
        <f t="shared" si="239"/>
        <v>0</v>
      </c>
      <c r="R216">
        <f t="shared" si="240"/>
        <v>0</v>
      </c>
      <c r="S216">
        <f t="shared" si="241"/>
        <v>0</v>
      </c>
      <c r="T216">
        <f t="shared" si="242"/>
        <v>0</v>
      </c>
      <c r="U216">
        <f t="shared" si="243"/>
        <v>0</v>
      </c>
      <c r="V216">
        <f t="shared" si="244"/>
        <v>0</v>
      </c>
      <c r="W216">
        <f t="shared" si="245"/>
        <v>0</v>
      </c>
      <c r="X216">
        <f t="shared" si="246"/>
        <v>0</v>
      </c>
      <c r="Y216">
        <f t="shared" si="247"/>
        <v>0</v>
      </c>
      <c r="AA216">
        <v>86326988</v>
      </c>
      <c r="AB216">
        <f t="shared" si="248"/>
        <v>0.16</v>
      </c>
      <c r="AC216">
        <f t="shared" si="232"/>
        <v>0.16</v>
      </c>
      <c r="AD216">
        <f t="shared" si="249"/>
        <v>0</v>
      </c>
      <c r="AE216">
        <f t="shared" si="233"/>
        <v>0</v>
      </c>
      <c r="AF216">
        <f t="shared" si="234"/>
        <v>0</v>
      </c>
      <c r="AG216">
        <f t="shared" si="250"/>
        <v>0</v>
      </c>
      <c r="AH216">
        <f t="shared" si="235"/>
        <v>0</v>
      </c>
      <c r="AI216">
        <f t="shared" si="236"/>
        <v>0</v>
      </c>
      <c r="AJ216">
        <f t="shared" si="251"/>
        <v>0</v>
      </c>
      <c r="AK216">
        <v>0.16</v>
      </c>
      <c r="AL216">
        <v>0.16</v>
      </c>
      <c r="AM216">
        <v>0</v>
      </c>
      <c r="AN216">
        <v>0</v>
      </c>
      <c r="AO216">
        <v>0</v>
      </c>
      <c r="AP216">
        <v>0</v>
      </c>
      <c r="AQ216">
        <v>0</v>
      </c>
      <c r="AR216">
        <v>0</v>
      </c>
      <c r="AS216">
        <v>0</v>
      </c>
      <c r="AT216">
        <v>0</v>
      </c>
      <c r="AU216">
        <v>0</v>
      </c>
      <c r="AV216">
        <v>1</v>
      </c>
      <c r="AW216">
        <v>1</v>
      </c>
      <c r="AZ216">
        <v>1</v>
      </c>
      <c r="BA216">
        <v>1</v>
      </c>
      <c r="BB216">
        <v>1</v>
      </c>
      <c r="BC216">
        <v>7.56</v>
      </c>
      <c r="BD216" t="s">
        <v>6</v>
      </c>
      <c r="BE216" t="s">
        <v>6</v>
      </c>
      <c r="BF216" t="s">
        <v>6</v>
      </c>
      <c r="BG216" t="s">
        <v>6</v>
      </c>
      <c r="BH216">
        <v>3</v>
      </c>
      <c r="BI216">
        <v>1</v>
      </c>
      <c r="BJ216" t="s">
        <v>104</v>
      </c>
      <c r="BM216">
        <v>3101</v>
      </c>
      <c r="BN216">
        <v>0</v>
      </c>
      <c r="BO216" t="s">
        <v>6</v>
      </c>
      <c r="BP216">
        <v>0</v>
      </c>
      <c r="BQ216">
        <v>0</v>
      </c>
      <c r="BR216">
        <v>0</v>
      </c>
      <c r="BS216">
        <v>1</v>
      </c>
      <c r="BT216">
        <v>1</v>
      </c>
      <c r="BU216">
        <v>1</v>
      </c>
      <c r="BV216">
        <v>1</v>
      </c>
      <c r="BW216">
        <v>1</v>
      </c>
      <c r="BX216">
        <v>1</v>
      </c>
      <c r="BY216" t="s">
        <v>6</v>
      </c>
      <c r="BZ216">
        <v>0</v>
      </c>
      <c r="CA216">
        <v>0</v>
      </c>
      <c r="CB216" t="s">
        <v>6</v>
      </c>
      <c r="CE216">
        <v>0</v>
      </c>
      <c r="CF216">
        <v>0</v>
      </c>
      <c r="CG216">
        <v>0</v>
      </c>
      <c r="CM216">
        <v>0</v>
      </c>
      <c r="CN216" t="s">
        <v>6</v>
      </c>
      <c r="CO216">
        <v>0</v>
      </c>
      <c r="CP216">
        <f t="shared" si="252"/>
        <v>816</v>
      </c>
      <c r="CQ216">
        <f t="shared" si="253"/>
        <v>1.2096</v>
      </c>
      <c r="CR216">
        <f t="shared" si="254"/>
        <v>0</v>
      </c>
      <c r="CS216">
        <f t="shared" si="255"/>
        <v>0</v>
      </c>
      <c r="CT216">
        <f t="shared" si="256"/>
        <v>0</v>
      </c>
      <c r="CU216">
        <f t="shared" si="257"/>
        <v>0</v>
      </c>
      <c r="CV216">
        <f t="shared" si="258"/>
        <v>0</v>
      </c>
      <c r="CW216">
        <f t="shared" si="259"/>
        <v>0</v>
      </c>
      <c r="CX216">
        <f t="shared" si="260"/>
        <v>0</v>
      </c>
      <c r="CY216">
        <f>(S216+R216)*(BZ216/100)</f>
        <v>0</v>
      </c>
      <c r="CZ216">
        <f>(S216+R216)*(CA216/100)</f>
        <v>0</v>
      </c>
      <c r="DC216" t="s">
        <v>6</v>
      </c>
      <c r="DD216" t="s">
        <v>6</v>
      </c>
      <c r="DE216" t="s">
        <v>6</v>
      </c>
      <c r="DF216" t="s">
        <v>6</v>
      </c>
      <c r="DG216" t="s">
        <v>6</v>
      </c>
      <c r="DH216" t="s">
        <v>6</v>
      </c>
      <c r="DI216" t="s">
        <v>6</v>
      </c>
      <c r="DJ216" t="s">
        <v>6</v>
      </c>
      <c r="DK216" t="s">
        <v>6</v>
      </c>
      <c r="DL216" t="s">
        <v>6</v>
      </c>
      <c r="DM216" t="s">
        <v>6</v>
      </c>
      <c r="DN216">
        <v>0</v>
      </c>
      <c r="DO216">
        <v>0</v>
      </c>
      <c r="DP216">
        <v>1</v>
      </c>
      <c r="DQ216">
        <v>1</v>
      </c>
      <c r="DU216">
        <v>1013</v>
      </c>
      <c r="DV216" t="s">
        <v>103</v>
      </c>
      <c r="DW216" t="e">
        <f>'2.Лок.смета.и.Акт'!#REF!</f>
        <v>#REF!</v>
      </c>
      <c r="DX216">
        <v>1</v>
      </c>
      <c r="DZ216" t="s">
        <v>6</v>
      </c>
      <c r="EA216" t="s">
        <v>6</v>
      </c>
      <c r="EB216" t="s">
        <v>6</v>
      </c>
      <c r="EC216" t="s">
        <v>6</v>
      </c>
      <c r="EE216">
        <v>0</v>
      </c>
      <c r="EF216">
        <v>0</v>
      </c>
      <c r="EG216" t="s">
        <v>6</v>
      </c>
      <c r="EH216">
        <v>0</v>
      </c>
      <c r="EI216" t="s">
        <v>6</v>
      </c>
      <c r="EJ216">
        <v>0</v>
      </c>
      <c r="EK216">
        <v>3101</v>
      </c>
      <c r="EL216" t="s">
        <v>6</v>
      </c>
      <c r="EM216" t="s">
        <v>6</v>
      </c>
      <c r="EO216" t="s">
        <v>6</v>
      </c>
      <c r="EQ216">
        <v>0</v>
      </c>
      <c r="ER216">
        <v>1.1299999999999999</v>
      </c>
      <c r="ES216">
        <v>0.16</v>
      </c>
      <c r="ET216">
        <v>0</v>
      </c>
      <c r="EU216">
        <v>0</v>
      </c>
      <c r="EV216">
        <v>0</v>
      </c>
      <c r="EW216">
        <v>0</v>
      </c>
      <c r="EX216">
        <v>0</v>
      </c>
      <c r="EZ216">
        <v>5</v>
      </c>
      <c r="FC216">
        <v>0</v>
      </c>
      <c r="FD216">
        <v>18</v>
      </c>
      <c r="FF216">
        <v>1.1299999999999999</v>
      </c>
      <c r="FQ216">
        <v>0</v>
      </c>
      <c r="FR216">
        <f t="shared" si="261"/>
        <v>0</v>
      </c>
      <c r="FS216">
        <v>0</v>
      </c>
      <c r="FX216">
        <v>0</v>
      </c>
      <c r="FY216">
        <v>0</v>
      </c>
      <c r="GA216" t="s">
        <v>105</v>
      </c>
      <c r="GD216">
        <v>1</v>
      </c>
      <c r="GF216">
        <v>-504018761</v>
      </c>
      <c r="GG216">
        <v>2</v>
      </c>
      <c r="GH216">
        <v>3</v>
      </c>
      <c r="GI216">
        <v>5</v>
      </c>
      <c r="GJ216">
        <v>0</v>
      </c>
      <c r="GK216">
        <v>0</v>
      </c>
      <c r="GL216">
        <f t="shared" si="262"/>
        <v>0</v>
      </c>
      <c r="GM216">
        <f t="shared" si="263"/>
        <v>816</v>
      </c>
      <c r="GN216">
        <f t="shared" si="264"/>
        <v>816</v>
      </c>
      <c r="GO216">
        <f t="shared" si="265"/>
        <v>0</v>
      </c>
      <c r="GP216">
        <f t="shared" si="266"/>
        <v>0</v>
      </c>
      <c r="GR216">
        <v>1</v>
      </c>
      <c r="GS216">
        <v>1</v>
      </c>
      <c r="GT216">
        <v>0</v>
      </c>
      <c r="GU216" t="s">
        <v>6</v>
      </c>
      <c r="GV216">
        <f t="shared" si="267"/>
        <v>0</v>
      </c>
      <c r="GW216">
        <v>1</v>
      </c>
      <c r="GX216">
        <f t="shared" si="268"/>
        <v>0</v>
      </c>
      <c r="HA216">
        <v>0</v>
      </c>
      <c r="HB216">
        <v>0</v>
      </c>
      <c r="HC216">
        <f t="shared" si="269"/>
        <v>0</v>
      </c>
      <c r="HE216" t="s">
        <v>39</v>
      </c>
      <c r="HF216" t="s">
        <v>40</v>
      </c>
      <c r="HM216" t="s">
        <v>6</v>
      </c>
      <c r="HN216" t="s">
        <v>6</v>
      </c>
      <c r="HO216" t="s">
        <v>6</v>
      </c>
      <c r="HP216" t="s">
        <v>6</v>
      </c>
      <c r="HQ216" t="s">
        <v>6</v>
      </c>
      <c r="IF216">
        <v>-1</v>
      </c>
      <c r="IK216">
        <v>0</v>
      </c>
    </row>
    <row r="217" spans="1:255" x14ac:dyDescent="0.2">
      <c r="A217" s="2">
        <v>18</v>
      </c>
      <c r="B217" s="2">
        <v>1</v>
      </c>
      <c r="C217" s="2">
        <v>236</v>
      </c>
      <c r="D217" s="2"/>
      <c r="E217" s="2" t="s">
        <v>292</v>
      </c>
      <c r="F217" s="2" t="s">
        <v>107</v>
      </c>
      <c r="G217" s="2" t="s">
        <v>108</v>
      </c>
      <c r="H217" s="2" t="s">
        <v>103</v>
      </c>
      <c r="I217" s="2">
        <f>I203*J217</f>
        <v>351.846</v>
      </c>
      <c r="J217" s="226">
        <f>'5.Ведомость_списания'!F103</f>
        <v>12</v>
      </c>
      <c r="K217" s="2">
        <v>12</v>
      </c>
      <c r="L217" s="2"/>
      <c r="M217" s="2"/>
      <c r="N217" s="2"/>
      <c r="O217" s="2">
        <f t="shared" si="237"/>
        <v>84</v>
      </c>
      <c r="P217" s="2">
        <f t="shared" si="238"/>
        <v>84</v>
      </c>
      <c r="Q217" s="2">
        <f t="shared" si="239"/>
        <v>0</v>
      </c>
      <c r="R217" s="2">
        <f t="shared" si="240"/>
        <v>0</v>
      </c>
      <c r="S217" s="2">
        <f t="shared" si="241"/>
        <v>0</v>
      </c>
      <c r="T217" s="2">
        <f t="shared" si="242"/>
        <v>0</v>
      </c>
      <c r="U217" s="2">
        <f t="shared" si="243"/>
        <v>0</v>
      </c>
      <c r="V217" s="2">
        <f t="shared" si="244"/>
        <v>0</v>
      </c>
      <c r="W217" s="2">
        <f t="shared" si="245"/>
        <v>0</v>
      </c>
      <c r="X217" s="2">
        <f t="shared" si="246"/>
        <v>0</v>
      </c>
      <c r="Y217" s="2">
        <f t="shared" si="247"/>
        <v>0</v>
      </c>
      <c r="Z217" s="2"/>
      <c r="AA217" s="2">
        <v>86326987</v>
      </c>
      <c r="AB217" s="2">
        <f t="shared" si="248"/>
        <v>0.24</v>
      </c>
      <c r="AC217" s="2">
        <f t="shared" si="232"/>
        <v>0.24</v>
      </c>
      <c r="AD217" s="2">
        <f t="shared" si="249"/>
        <v>0</v>
      </c>
      <c r="AE217" s="2">
        <f t="shared" si="233"/>
        <v>0</v>
      </c>
      <c r="AF217" s="2">
        <f t="shared" si="234"/>
        <v>0</v>
      </c>
      <c r="AG217" s="2">
        <f t="shared" si="250"/>
        <v>0</v>
      </c>
      <c r="AH217" s="2">
        <f t="shared" si="235"/>
        <v>0</v>
      </c>
      <c r="AI217" s="2">
        <f t="shared" si="236"/>
        <v>0</v>
      </c>
      <c r="AJ217" s="2">
        <f t="shared" si="251"/>
        <v>0</v>
      </c>
      <c r="AK217" s="2">
        <v>0.24</v>
      </c>
      <c r="AL217" s="110">
        <f>'1.Лок.смета.и.Акт'!F375</f>
        <v>0.24</v>
      </c>
      <c r="AM217" s="2">
        <v>0</v>
      </c>
      <c r="AN217" s="2">
        <v>0</v>
      </c>
      <c r="AO217" s="2">
        <v>0</v>
      </c>
      <c r="AP217" s="2">
        <v>0</v>
      </c>
      <c r="AQ217" s="2">
        <v>0</v>
      </c>
      <c r="AR217" s="2">
        <v>0</v>
      </c>
      <c r="AS217" s="2">
        <v>0</v>
      </c>
      <c r="AT217" s="2">
        <v>0</v>
      </c>
      <c r="AU217" s="2">
        <v>0</v>
      </c>
      <c r="AV217" s="2">
        <v>1</v>
      </c>
      <c r="AW217" s="2">
        <v>1</v>
      </c>
      <c r="AX217" s="2"/>
      <c r="AY217" s="2"/>
      <c r="AZ217" s="2">
        <v>1</v>
      </c>
      <c r="BA217" s="2">
        <v>1</v>
      </c>
      <c r="BB217" s="2">
        <v>1</v>
      </c>
      <c r="BC217" s="2">
        <v>1</v>
      </c>
      <c r="BD217" s="2" t="s">
        <v>6</v>
      </c>
      <c r="BE217" s="2" t="s">
        <v>6</v>
      </c>
      <c r="BF217" s="2" t="s">
        <v>6</v>
      </c>
      <c r="BG217" s="2" t="s">
        <v>6</v>
      </c>
      <c r="BH217" s="2">
        <v>3</v>
      </c>
      <c r="BI217" s="2">
        <v>1</v>
      </c>
      <c r="BJ217" s="2" t="s">
        <v>109</v>
      </c>
      <c r="BK217" s="2"/>
      <c r="BL217" s="2"/>
      <c r="BM217" s="2">
        <v>3101</v>
      </c>
      <c r="BN217" s="2">
        <v>0</v>
      </c>
      <c r="BO217" s="2" t="s">
        <v>6</v>
      </c>
      <c r="BP217" s="2">
        <v>0</v>
      </c>
      <c r="BQ217" s="2">
        <v>0</v>
      </c>
      <c r="BR217" s="2">
        <v>0</v>
      </c>
      <c r="BS217" s="2">
        <v>1</v>
      </c>
      <c r="BT217" s="2">
        <v>1</v>
      </c>
      <c r="BU217" s="2">
        <v>1</v>
      </c>
      <c r="BV217" s="2">
        <v>1</v>
      </c>
      <c r="BW217" s="2">
        <v>1</v>
      </c>
      <c r="BX217" s="2">
        <v>1</v>
      </c>
      <c r="BY217" s="2" t="s">
        <v>6</v>
      </c>
      <c r="BZ217" s="2">
        <v>0</v>
      </c>
      <c r="CA217" s="2">
        <v>0</v>
      </c>
      <c r="CB217" s="2" t="s">
        <v>6</v>
      </c>
      <c r="CC217" s="2"/>
      <c r="CD217" s="2"/>
      <c r="CE217" s="2">
        <v>0</v>
      </c>
      <c r="CF217" s="2">
        <v>0</v>
      </c>
      <c r="CG217" s="2">
        <v>0</v>
      </c>
      <c r="CH217" s="2"/>
      <c r="CI217" s="2"/>
      <c r="CJ217" s="2"/>
      <c r="CK217" s="2"/>
      <c r="CL217" s="2"/>
      <c r="CM217" s="2">
        <v>0</v>
      </c>
      <c r="CN217" s="2" t="s">
        <v>6</v>
      </c>
      <c r="CO217" s="2">
        <v>0</v>
      </c>
      <c r="CP217" s="2">
        <f t="shared" si="252"/>
        <v>84</v>
      </c>
      <c r="CQ217" s="2">
        <f t="shared" si="253"/>
        <v>0.24</v>
      </c>
      <c r="CR217" s="2">
        <f t="shared" si="254"/>
        <v>0</v>
      </c>
      <c r="CS217" s="2">
        <f t="shared" si="255"/>
        <v>0</v>
      </c>
      <c r="CT217" s="2">
        <f t="shared" si="256"/>
        <v>0</v>
      </c>
      <c r="CU217" s="2">
        <f t="shared" si="257"/>
        <v>0</v>
      </c>
      <c r="CV217" s="2">
        <f t="shared" si="258"/>
        <v>0</v>
      </c>
      <c r="CW217" s="2">
        <f t="shared" si="259"/>
        <v>0</v>
      </c>
      <c r="CX217" s="2">
        <f t="shared" si="260"/>
        <v>0</v>
      </c>
      <c r="CY217" s="2">
        <f>0</f>
        <v>0</v>
      </c>
      <c r="CZ217" s="2">
        <f>0</f>
        <v>0</v>
      </c>
      <c r="DA217" s="2"/>
      <c r="DB217" s="2"/>
      <c r="DC217" s="2" t="s">
        <v>6</v>
      </c>
      <c r="DD217" s="2" t="s">
        <v>6</v>
      </c>
      <c r="DE217" s="2" t="s">
        <v>6</v>
      </c>
      <c r="DF217" s="2" t="s">
        <v>6</v>
      </c>
      <c r="DG217" s="2" t="s">
        <v>6</v>
      </c>
      <c r="DH217" s="2" t="s">
        <v>6</v>
      </c>
      <c r="DI217" s="2" t="s">
        <v>6</v>
      </c>
      <c r="DJ217" s="2" t="s">
        <v>6</v>
      </c>
      <c r="DK217" s="2" t="s">
        <v>6</v>
      </c>
      <c r="DL217" s="2" t="s">
        <v>6</v>
      </c>
      <c r="DM217" s="2" t="s">
        <v>6</v>
      </c>
      <c r="DN217" s="2">
        <v>0</v>
      </c>
      <c r="DO217" s="2">
        <v>0</v>
      </c>
      <c r="DP217" s="2">
        <v>1</v>
      </c>
      <c r="DQ217" s="2">
        <v>1</v>
      </c>
      <c r="DR217" s="2"/>
      <c r="DS217" s="2"/>
      <c r="DT217" s="2"/>
      <c r="DU217" s="2">
        <v>1013</v>
      </c>
      <c r="DV217" s="2" t="s">
        <v>103</v>
      </c>
      <c r="DW217" s="2" t="s">
        <v>103</v>
      </c>
      <c r="DX217" s="2">
        <v>1</v>
      </c>
      <c r="DY217" s="2"/>
      <c r="DZ217" s="2" t="s">
        <v>6</v>
      </c>
      <c r="EA217" s="2" t="s">
        <v>6</v>
      </c>
      <c r="EB217" s="2" t="s">
        <v>6</v>
      </c>
      <c r="EC217" s="2" t="s">
        <v>6</v>
      </c>
      <c r="ED217" s="2"/>
      <c r="EE217" s="2">
        <v>0</v>
      </c>
      <c r="EF217" s="2">
        <v>0</v>
      </c>
      <c r="EG217" s="2" t="s">
        <v>6</v>
      </c>
      <c r="EH217" s="2">
        <v>0</v>
      </c>
      <c r="EI217" s="2" t="s">
        <v>6</v>
      </c>
      <c r="EJ217" s="2">
        <v>0</v>
      </c>
      <c r="EK217" s="2">
        <v>3101</v>
      </c>
      <c r="EL217" s="2" t="s">
        <v>6</v>
      </c>
      <c r="EM217" s="2" t="s">
        <v>6</v>
      </c>
      <c r="EN217" s="2"/>
      <c r="EO217" s="2" t="s">
        <v>6</v>
      </c>
      <c r="EP217" s="2"/>
      <c r="EQ217" s="2">
        <v>0</v>
      </c>
      <c r="ER217" s="2">
        <v>0.24</v>
      </c>
      <c r="ES217" s="110">
        <f>'1.Лок.смета.и.Акт'!F375</f>
        <v>0.24</v>
      </c>
      <c r="ET217" s="2">
        <v>0</v>
      </c>
      <c r="EU217" s="2">
        <v>0</v>
      </c>
      <c r="EV217" s="2">
        <v>0</v>
      </c>
      <c r="EW217" s="2">
        <v>0</v>
      </c>
      <c r="EX217" s="2">
        <v>0</v>
      </c>
      <c r="EY217" s="2"/>
      <c r="EZ217" s="2"/>
      <c r="FA217" s="2"/>
      <c r="FB217" s="2"/>
      <c r="FC217" s="2"/>
      <c r="FD217" s="2"/>
      <c r="FE217" s="2"/>
      <c r="FF217" s="2"/>
      <c r="FG217" s="2"/>
      <c r="FH217" s="2"/>
      <c r="FI217" s="2"/>
      <c r="FJ217" s="2"/>
      <c r="FK217" s="2"/>
      <c r="FL217" s="2"/>
      <c r="FM217" s="2"/>
      <c r="FN217" s="2"/>
      <c r="FO217" s="2"/>
      <c r="FP217" s="2"/>
      <c r="FQ217" s="2">
        <v>0</v>
      </c>
      <c r="FR217" s="2">
        <f t="shared" si="261"/>
        <v>0</v>
      </c>
      <c r="FS217" s="2">
        <v>0</v>
      </c>
      <c r="FT217" s="2"/>
      <c r="FU217" s="2"/>
      <c r="FV217" s="2"/>
      <c r="FW217" s="2"/>
      <c r="FX217" s="2">
        <v>0</v>
      </c>
      <c r="FY217" s="2">
        <v>0</v>
      </c>
      <c r="FZ217" s="2"/>
      <c r="GA217" s="2" t="s">
        <v>6</v>
      </c>
      <c r="GB217" s="2"/>
      <c r="GC217" s="2"/>
      <c r="GD217" s="2">
        <v>1</v>
      </c>
      <c r="GE217" s="2"/>
      <c r="GF217" s="2">
        <v>-1648273723</v>
      </c>
      <c r="GG217" s="2">
        <v>2</v>
      </c>
      <c r="GH217" s="2">
        <v>1</v>
      </c>
      <c r="GI217" s="2">
        <v>-2</v>
      </c>
      <c r="GJ217" s="2">
        <v>0</v>
      </c>
      <c r="GK217" s="2">
        <v>0</v>
      </c>
      <c r="GL217" s="2">
        <f t="shared" si="262"/>
        <v>0</v>
      </c>
      <c r="GM217" s="2">
        <f t="shared" si="263"/>
        <v>84</v>
      </c>
      <c r="GN217" s="2">
        <f t="shared" si="264"/>
        <v>84</v>
      </c>
      <c r="GO217" s="2">
        <f t="shared" si="265"/>
        <v>0</v>
      </c>
      <c r="GP217" s="2">
        <f t="shared" si="266"/>
        <v>0</v>
      </c>
      <c r="GQ217" s="2"/>
      <c r="GR217" s="2">
        <v>0</v>
      </c>
      <c r="GS217" s="2">
        <v>3</v>
      </c>
      <c r="GT217" s="2">
        <v>0</v>
      </c>
      <c r="GU217" s="2" t="s">
        <v>6</v>
      </c>
      <c r="GV217" s="2">
        <f t="shared" si="267"/>
        <v>0</v>
      </c>
      <c r="GW217" s="2">
        <v>1</v>
      </c>
      <c r="GX217" s="2">
        <f t="shared" si="268"/>
        <v>0</v>
      </c>
      <c r="GY217" s="2"/>
      <c r="GZ217" s="2"/>
      <c r="HA217" s="2">
        <v>0</v>
      </c>
      <c r="HB217" s="2">
        <v>0</v>
      </c>
      <c r="HC217" s="2">
        <f t="shared" si="269"/>
        <v>0</v>
      </c>
      <c r="HD217" s="2"/>
      <c r="HE217" s="2" t="s">
        <v>6</v>
      </c>
      <c r="HF217" s="2" t="s">
        <v>6</v>
      </c>
      <c r="HG217" s="2"/>
      <c r="HH217" s="2"/>
      <c r="HI217" s="2"/>
      <c r="HJ217" s="2"/>
      <c r="HK217" s="2"/>
      <c r="HL217" s="2"/>
      <c r="HM217" s="2" t="s">
        <v>6</v>
      </c>
      <c r="HN217" s="2" t="s">
        <v>6</v>
      </c>
      <c r="HO217" s="2" t="s">
        <v>6</v>
      </c>
      <c r="HP217" s="2" t="s">
        <v>6</v>
      </c>
      <c r="HQ217" s="2" t="s">
        <v>6</v>
      </c>
      <c r="HR217" s="2"/>
      <c r="HS217" s="2"/>
      <c r="HT217" s="2"/>
      <c r="HU217" s="2"/>
      <c r="HV217" s="2"/>
      <c r="HW217" s="2"/>
      <c r="HX217" s="2"/>
      <c r="HY217" s="2"/>
      <c r="HZ217" s="2"/>
      <c r="IA217" s="2"/>
      <c r="IB217" s="2"/>
      <c r="IC217" s="2"/>
      <c r="ID217" s="2"/>
      <c r="IE217" s="2"/>
      <c r="IF217" s="2">
        <v>-1</v>
      </c>
      <c r="IG217" s="2"/>
      <c r="IH217" s="2"/>
      <c r="II217" s="2"/>
      <c r="IJ217" s="2"/>
      <c r="IK217" s="2">
        <v>0</v>
      </c>
      <c r="IL217" s="2"/>
      <c r="IM217" s="2"/>
      <c r="IN217" s="2"/>
      <c r="IO217" s="2"/>
      <c r="IP217" s="2"/>
      <c r="IQ217" s="2"/>
      <c r="IR217" s="2"/>
      <c r="IS217" s="2"/>
      <c r="IT217" s="2"/>
      <c r="IU217" s="2"/>
    </row>
    <row r="218" spans="1:255" x14ac:dyDescent="0.2">
      <c r="A218">
        <v>18</v>
      </c>
      <c r="B218">
        <v>1</v>
      </c>
      <c r="C218">
        <v>249</v>
      </c>
      <c r="E218" t="s">
        <v>292</v>
      </c>
      <c r="F218" t="e">
        <f>'2.Лок.смета.и.Акт'!#REF!</f>
        <v>#REF!</v>
      </c>
      <c r="G218" t="s">
        <v>108</v>
      </c>
      <c r="H218" t="s">
        <v>103</v>
      </c>
      <c r="I218">
        <f>I204*J218</f>
        <v>351.846</v>
      </c>
      <c r="J218">
        <v>12</v>
      </c>
      <c r="K218">
        <v>12</v>
      </c>
      <c r="O218">
        <f t="shared" si="237"/>
        <v>213</v>
      </c>
      <c r="P218">
        <f t="shared" si="238"/>
        <v>213</v>
      </c>
      <c r="Q218">
        <f t="shared" si="239"/>
        <v>0</v>
      </c>
      <c r="R218">
        <f t="shared" si="240"/>
        <v>0</v>
      </c>
      <c r="S218">
        <f t="shared" si="241"/>
        <v>0</v>
      </c>
      <c r="T218">
        <f t="shared" si="242"/>
        <v>0</v>
      </c>
      <c r="U218">
        <f t="shared" si="243"/>
        <v>0</v>
      </c>
      <c r="V218">
        <f t="shared" si="244"/>
        <v>0</v>
      </c>
      <c r="W218">
        <f t="shared" si="245"/>
        <v>0</v>
      </c>
      <c r="X218">
        <f t="shared" si="246"/>
        <v>0</v>
      </c>
      <c r="Y218">
        <f t="shared" si="247"/>
        <v>0</v>
      </c>
      <c r="AA218">
        <v>86326988</v>
      </c>
      <c r="AB218">
        <f t="shared" si="248"/>
        <v>0.08</v>
      </c>
      <c r="AC218">
        <f t="shared" si="232"/>
        <v>0.08</v>
      </c>
      <c r="AD218">
        <f t="shared" si="249"/>
        <v>0</v>
      </c>
      <c r="AE218">
        <f t="shared" si="233"/>
        <v>0</v>
      </c>
      <c r="AF218">
        <f t="shared" si="234"/>
        <v>0</v>
      </c>
      <c r="AG218">
        <f t="shared" si="250"/>
        <v>0</v>
      </c>
      <c r="AH218">
        <f t="shared" si="235"/>
        <v>0</v>
      </c>
      <c r="AI218">
        <f t="shared" si="236"/>
        <v>0</v>
      </c>
      <c r="AJ218">
        <f t="shared" si="251"/>
        <v>0</v>
      </c>
      <c r="AK218">
        <v>0.08</v>
      </c>
      <c r="AL218">
        <v>0.08</v>
      </c>
      <c r="AM218">
        <v>0</v>
      </c>
      <c r="AN218">
        <v>0</v>
      </c>
      <c r="AO218">
        <v>0</v>
      </c>
      <c r="AP218">
        <v>0</v>
      </c>
      <c r="AQ218">
        <v>0</v>
      </c>
      <c r="AR218">
        <v>0</v>
      </c>
      <c r="AS218">
        <v>0</v>
      </c>
      <c r="AT218">
        <v>0</v>
      </c>
      <c r="AU218">
        <v>0</v>
      </c>
      <c r="AV218">
        <v>1</v>
      </c>
      <c r="AW218">
        <v>1</v>
      </c>
      <c r="AZ218">
        <v>1</v>
      </c>
      <c r="BA218">
        <v>1</v>
      </c>
      <c r="BB218">
        <v>1</v>
      </c>
      <c r="BC218">
        <v>7.56</v>
      </c>
      <c r="BD218" t="s">
        <v>6</v>
      </c>
      <c r="BE218" t="s">
        <v>6</v>
      </c>
      <c r="BF218" t="s">
        <v>6</v>
      </c>
      <c r="BG218" t="s">
        <v>6</v>
      </c>
      <c r="BH218">
        <v>3</v>
      </c>
      <c r="BI218">
        <v>1</v>
      </c>
      <c r="BJ218" t="s">
        <v>109</v>
      </c>
      <c r="BM218">
        <v>3101</v>
      </c>
      <c r="BN218">
        <v>0</v>
      </c>
      <c r="BO218" t="s">
        <v>6</v>
      </c>
      <c r="BP218">
        <v>0</v>
      </c>
      <c r="BQ218">
        <v>0</v>
      </c>
      <c r="BR218">
        <v>0</v>
      </c>
      <c r="BS218">
        <v>1</v>
      </c>
      <c r="BT218">
        <v>1</v>
      </c>
      <c r="BU218">
        <v>1</v>
      </c>
      <c r="BV218">
        <v>1</v>
      </c>
      <c r="BW218">
        <v>1</v>
      </c>
      <c r="BX218">
        <v>1</v>
      </c>
      <c r="BY218" t="s">
        <v>6</v>
      </c>
      <c r="BZ218">
        <v>0</v>
      </c>
      <c r="CA218">
        <v>0</v>
      </c>
      <c r="CB218" t="s">
        <v>6</v>
      </c>
      <c r="CE218">
        <v>0</v>
      </c>
      <c r="CF218">
        <v>0</v>
      </c>
      <c r="CG218">
        <v>0</v>
      </c>
      <c r="CM218">
        <v>0</v>
      </c>
      <c r="CN218" t="s">
        <v>6</v>
      </c>
      <c r="CO218">
        <v>0</v>
      </c>
      <c r="CP218">
        <f t="shared" si="252"/>
        <v>213</v>
      </c>
      <c r="CQ218">
        <f t="shared" si="253"/>
        <v>0.6048</v>
      </c>
      <c r="CR218">
        <f t="shared" si="254"/>
        <v>0</v>
      </c>
      <c r="CS218">
        <f t="shared" si="255"/>
        <v>0</v>
      </c>
      <c r="CT218">
        <f t="shared" si="256"/>
        <v>0</v>
      </c>
      <c r="CU218">
        <f t="shared" si="257"/>
        <v>0</v>
      </c>
      <c r="CV218">
        <f t="shared" si="258"/>
        <v>0</v>
      </c>
      <c r="CW218">
        <f t="shared" si="259"/>
        <v>0</v>
      </c>
      <c r="CX218">
        <f t="shared" si="260"/>
        <v>0</v>
      </c>
      <c r="CY218">
        <f>(S218+R218)*(BZ218/100)</f>
        <v>0</v>
      </c>
      <c r="CZ218">
        <f>(S218+R218)*(CA218/100)</f>
        <v>0</v>
      </c>
      <c r="DC218" t="s">
        <v>6</v>
      </c>
      <c r="DD218" t="s">
        <v>6</v>
      </c>
      <c r="DE218" t="s">
        <v>6</v>
      </c>
      <c r="DF218" t="s">
        <v>6</v>
      </c>
      <c r="DG218" t="s">
        <v>6</v>
      </c>
      <c r="DH218" t="s">
        <v>6</v>
      </c>
      <c r="DI218" t="s">
        <v>6</v>
      </c>
      <c r="DJ218" t="s">
        <v>6</v>
      </c>
      <c r="DK218" t="s">
        <v>6</v>
      </c>
      <c r="DL218" t="s">
        <v>6</v>
      </c>
      <c r="DM218" t="s">
        <v>6</v>
      </c>
      <c r="DN218">
        <v>0</v>
      </c>
      <c r="DO218">
        <v>0</v>
      </c>
      <c r="DP218">
        <v>1</v>
      </c>
      <c r="DQ218">
        <v>1</v>
      </c>
      <c r="DU218">
        <v>1013</v>
      </c>
      <c r="DV218" t="s">
        <v>103</v>
      </c>
      <c r="DW218" t="e">
        <f>'2.Лок.смета.и.Акт'!#REF!</f>
        <v>#REF!</v>
      </c>
      <c r="DX218">
        <v>1</v>
      </c>
      <c r="DZ218" t="s">
        <v>6</v>
      </c>
      <c r="EA218" t="s">
        <v>6</v>
      </c>
      <c r="EB218" t="s">
        <v>6</v>
      </c>
      <c r="EC218" t="s">
        <v>6</v>
      </c>
      <c r="EE218">
        <v>0</v>
      </c>
      <c r="EF218">
        <v>0</v>
      </c>
      <c r="EG218" t="s">
        <v>6</v>
      </c>
      <c r="EH218">
        <v>0</v>
      </c>
      <c r="EI218" t="s">
        <v>6</v>
      </c>
      <c r="EJ218">
        <v>0</v>
      </c>
      <c r="EK218">
        <v>3101</v>
      </c>
      <c r="EL218" t="s">
        <v>6</v>
      </c>
      <c r="EM218" t="s">
        <v>6</v>
      </c>
      <c r="EO218" t="s">
        <v>6</v>
      </c>
      <c r="EQ218">
        <v>0</v>
      </c>
      <c r="ER218">
        <v>0.62</v>
      </c>
      <c r="ES218">
        <v>0.08</v>
      </c>
      <c r="ET218">
        <v>0</v>
      </c>
      <c r="EU218">
        <v>0</v>
      </c>
      <c r="EV218">
        <v>0</v>
      </c>
      <c r="EW218">
        <v>0</v>
      </c>
      <c r="EX218">
        <v>0</v>
      </c>
      <c r="EZ218">
        <v>5</v>
      </c>
      <c r="FC218">
        <v>0</v>
      </c>
      <c r="FD218">
        <v>18</v>
      </c>
      <c r="FF218">
        <v>0.62</v>
      </c>
      <c r="FQ218">
        <v>0</v>
      </c>
      <c r="FR218">
        <f t="shared" si="261"/>
        <v>0</v>
      </c>
      <c r="FS218">
        <v>0</v>
      </c>
      <c r="FX218">
        <v>0</v>
      </c>
      <c r="FY218">
        <v>0</v>
      </c>
      <c r="GA218" t="s">
        <v>110</v>
      </c>
      <c r="GD218">
        <v>1</v>
      </c>
      <c r="GF218">
        <v>-1648273723</v>
      </c>
      <c r="GG218">
        <v>2</v>
      </c>
      <c r="GH218">
        <v>3</v>
      </c>
      <c r="GI218">
        <v>5</v>
      </c>
      <c r="GJ218">
        <v>0</v>
      </c>
      <c r="GK218">
        <v>0</v>
      </c>
      <c r="GL218">
        <f t="shared" si="262"/>
        <v>0</v>
      </c>
      <c r="GM218">
        <f t="shared" si="263"/>
        <v>213</v>
      </c>
      <c r="GN218">
        <f t="shared" si="264"/>
        <v>213</v>
      </c>
      <c r="GO218">
        <f t="shared" si="265"/>
        <v>0</v>
      </c>
      <c r="GP218">
        <f t="shared" si="266"/>
        <v>0</v>
      </c>
      <c r="GR218">
        <v>1</v>
      </c>
      <c r="GS218">
        <v>1</v>
      </c>
      <c r="GT218">
        <v>0</v>
      </c>
      <c r="GU218" t="s">
        <v>6</v>
      </c>
      <c r="GV218">
        <f t="shared" si="267"/>
        <v>0</v>
      </c>
      <c r="GW218">
        <v>1</v>
      </c>
      <c r="GX218">
        <f t="shared" si="268"/>
        <v>0</v>
      </c>
      <c r="HA218">
        <v>0</v>
      </c>
      <c r="HB218">
        <v>0</v>
      </c>
      <c r="HC218">
        <f t="shared" si="269"/>
        <v>0</v>
      </c>
      <c r="HE218" t="s">
        <v>39</v>
      </c>
      <c r="HF218" t="s">
        <v>40</v>
      </c>
      <c r="HM218" t="s">
        <v>6</v>
      </c>
      <c r="HN218" t="s">
        <v>6</v>
      </c>
      <c r="HO218" t="s">
        <v>6</v>
      </c>
      <c r="HP218" t="s">
        <v>6</v>
      </c>
      <c r="HQ218" t="s">
        <v>6</v>
      </c>
      <c r="IF218">
        <v>-1</v>
      </c>
      <c r="IK218">
        <v>0</v>
      </c>
    </row>
    <row r="219" spans="1:255" x14ac:dyDescent="0.2">
      <c r="A219" s="2">
        <v>18</v>
      </c>
      <c r="B219" s="2">
        <v>1</v>
      </c>
      <c r="C219" s="2">
        <v>237</v>
      </c>
      <c r="D219" s="2"/>
      <c r="E219" s="2" t="s">
        <v>293</v>
      </c>
      <c r="F219" s="2" t="s">
        <v>112</v>
      </c>
      <c r="G219" s="2" t="s">
        <v>113</v>
      </c>
      <c r="H219" s="2" t="s">
        <v>103</v>
      </c>
      <c r="I219" s="2">
        <f>I203*J219</f>
        <v>351.846</v>
      </c>
      <c r="J219" s="226">
        <f>'5.Ведомость_списания'!F104</f>
        <v>12</v>
      </c>
      <c r="K219" s="2">
        <v>12</v>
      </c>
      <c r="L219" s="2"/>
      <c r="M219" s="2"/>
      <c r="N219" s="2"/>
      <c r="O219" s="2">
        <f t="shared" si="237"/>
        <v>106</v>
      </c>
      <c r="P219" s="2">
        <f t="shared" si="238"/>
        <v>106</v>
      </c>
      <c r="Q219" s="2">
        <f t="shared" si="239"/>
        <v>0</v>
      </c>
      <c r="R219" s="2">
        <f t="shared" si="240"/>
        <v>0</v>
      </c>
      <c r="S219" s="2">
        <f t="shared" si="241"/>
        <v>0</v>
      </c>
      <c r="T219" s="2">
        <f t="shared" si="242"/>
        <v>0</v>
      </c>
      <c r="U219" s="2">
        <f t="shared" si="243"/>
        <v>0</v>
      </c>
      <c r="V219" s="2">
        <f t="shared" si="244"/>
        <v>0</v>
      </c>
      <c r="W219" s="2">
        <f t="shared" si="245"/>
        <v>0</v>
      </c>
      <c r="X219" s="2">
        <f t="shared" si="246"/>
        <v>0</v>
      </c>
      <c r="Y219" s="2">
        <f t="shared" si="247"/>
        <v>0</v>
      </c>
      <c r="Z219" s="2"/>
      <c r="AA219" s="2">
        <v>86326987</v>
      </c>
      <c r="AB219" s="2">
        <f t="shared" si="248"/>
        <v>0.3</v>
      </c>
      <c r="AC219" s="2">
        <f t="shared" si="232"/>
        <v>0.3</v>
      </c>
      <c r="AD219" s="2">
        <f t="shared" si="249"/>
        <v>0</v>
      </c>
      <c r="AE219" s="2">
        <f t="shared" si="233"/>
        <v>0</v>
      </c>
      <c r="AF219" s="2">
        <f t="shared" si="234"/>
        <v>0</v>
      </c>
      <c r="AG219" s="2">
        <f t="shared" si="250"/>
        <v>0</v>
      </c>
      <c r="AH219" s="2">
        <f t="shared" si="235"/>
        <v>0</v>
      </c>
      <c r="AI219" s="2">
        <f t="shared" si="236"/>
        <v>0</v>
      </c>
      <c r="AJ219" s="2">
        <f t="shared" si="251"/>
        <v>0</v>
      </c>
      <c r="AK219" s="2">
        <v>0.3</v>
      </c>
      <c r="AL219" s="110">
        <f>'1.Лок.смета.и.Акт'!F377</f>
        <v>0.3</v>
      </c>
      <c r="AM219" s="2">
        <v>0</v>
      </c>
      <c r="AN219" s="2">
        <v>0</v>
      </c>
      <c r="AO219" s="2">
        <v>0</v>
      </c>
      <c r="AP219" s="2">
        <v>0</v>
      </c>
      <c r="AQ219" s="2">
        <v>0</v>
      </c>
      <c r="AR219" s="2">
        <v>0</v>
      </c>
      <c r="AS219" s="2">
        <v>0</v>
      </c>
      <c r="AT219" s="2">
        <v>0</v>
      </c>
      <c r="AU219" s="2">
        <v>0</v>
      </c>
      <c r="AV219" s="2">
        <v>1</v>
      </c>
      <c r="AW219" s="2">
        <v>1</v>
      </c>
      <c r="AX219" s="2"/>
      <c r="AY219" s="2"/>
      <c r="AZ219" s="2">
        <v>1</v>
      </c>
      <c r="BA219" s="2">
        <v>1</v>
      </c>
      <c r="BB219" s="2">
        <v>1</v>
      </c>
      <c r="BC219" s="2">
        <v>1</v>
      </c>
      <c r="BD219" s="2" t="s">
        <v>6</v>
      </c>
      <c r="BE219" s="2" t="s">
        <v>6</v>
      </c>
      <c r="BF219" s="2" t="s">
        <v>6</v>
      </c>
      <c r="BG219" s="2" t="s">
        <v>6</v>
      </c>
      <c r="BH219" s="2">
        <v>3</v>
      </c>
      <c r="BI219" s="2">
        <v>1</v>
      </c>
      <c r="BJ219" s="2" t="s">
        <v>114</v>
      </c>
      <c r="BK219" s="2"/>
      <c r="BL219" s="2"/>
      <c r="BM219" s="2">
        <v>3101</v>
      </c>
      <c r="BN219" s="2">
        <v>0</v>
      </c>
      <c r="BO219" s="2" t="s">
        <v>6</v>
      </c>
      <c r="BP219" s="2">
        <v>0</v>
      </c>
      <c r="BQ219" s="2">
        <v>0</v>
      </c>
      <c r="BR219" s="2">
        <v>0</v>
      </c>
      <c r="BS219" s="2">
        <v>1</v>
      </c>
      <c r="BT219" s="2">
        <v>1</v>
      </c>
      <c r="BU219" s="2">
        <v>1</v>
      </c>
      <c r="BV219" s="2">
        <v>1</v>
      </c>
      <c r="BW219" s="2">
        <v>1</v>
      </c>
      <c r="BX219" s="2">
        <v>1</v>
      </c>
      <c r="BY219" s="2" t="s">
        <v>6</v>
      </c>
      <c r="BZ219" s="2">
        <v>0</v>
      </c>
      <c r="CA219" s="2">
        <v>0</v>
      </c>
      <c r="CB219" s="2" t="s">
        <v>6</v>
      </c>
      <c r="CC219" s="2"/>
      <c r="CD219" s="2"/>
      <c r="CE219" s="2">
        <v>0</v>
      </c>
      <c r="CF219" s="2">
        <v>0</v>
      </c>
      <c r="CG219" s="2">
        <v>0</v>
      </c>
      <c r="CH219" s="2"/>
      <c r="CI219" s="2"/>
      <c r="CJ219" s="2"/>
      <c r="CK219" s="2"/>
      <c r="CL219" s="2"/>
      <c r="CM219" s="2">
        <v>0</v>
      </c>
      <c r="CN219" s="2" t="s">
        <v>6</v>
      </c>
      <c r="CO219" s="2">
        <v>0</v>
      </c>
      <c r="CP219" s="2">
        <f t="shared" si="252"/>
        <v>106</v>
      </c>
      <c r="CQ219" s="2">
        <f t="shared" si="253"/>
        <v>0.3</v>
      </c>
      <c r="CR219" s="2">
        <f t="shared" si="254"/>
        <v>0</v>
      </c>
      <c r="CS219" s="2">
        <f t="shared" si="255"/>
        <v>0</v>
      </c>
      <c r="CT219" s="2">
        <f t="shared" si="256"/>
        <v>0</v>
      </c>
      <c r="CU219" s="2">
        <f t="shared" si="257"/>
        <v>0</v>
      </c>
      <c r="CV219" s="2">
        <f t="shared" si="258"/>
        <v>0</v>
      </c>
      <c r="CW219" s="2">
        <f t="shared" si="259"/>
        <v>0</v>
      </c>
      <c r="CX219" s="2">
        <f t="shared" si="260"/>
        <v>0</v>
      </c>
      <c r="CY219" s="2">
        <f>0</f>
        <v>0</v>
      </c>
      <c r="CZ219" s="2">
        <f>0</f>
        <v>0</v>
      </c>
      <c r="DA219" s="2"/>
      <c r="DB219" s="2"/>
      <c r="DC219" s="2" t="s">
        <v>6</v>
      </c>
      <c r="DD219" s="2" t="s">
        <v>6</v>
      </c>
      <c r="DE219" s="2" t="s">
        <v>6</v>
      </c>
      <c r="DF219" s="2" t="s">
        <v>6</v>
      </c>
      <c r="DG219" s="2" t="s">
        <v>6</v>
      </c>
      <c r="DH219" s="2" t="s">
        <v>6</v>
      </c>
      <c r="DI219" s="2" t="s">
        <v>6</v>
      </c>
      <c r="DJ219" s="2" t="s">
        <v>6</v>
      </c>
      <c r="DK219" s="2" t="s">
        <v>6</v>
      </c>
      <c r="DL219" s="2" t="s">
        <v>6</v>
      </c>
      <c r="DM219" s="2" t="s">
        <v>6</v>
      </c>
      <c r="DN219" s="2">
        <v>0</v>
      </c>
      <c r="DO219" s="2">
        <v>0</v>
      </c>
      <c r="DP219" s="2">
        <v>1</v>
      </c>
      <c r="DQ219" s="2">
        <v>1</v>
      </c>
      <c r="DR219" s="2"/>
      <c r="DS219" s="2"/>
      <c r="DT219" s="2"/>
      <c r="DU219" s="2">
        <v>1013</v>
      </c>
      <c r="DV219" s="2" t="s">
        <v>103</v>
      </c>
      <c r="DW219" s="2" t="s">
        <v>103</v>
      </c>
      <c r="DX219" s="2">
        <v>1</v>
      </c>
      <c r="DY219" s="2"/>
      <c r="DZ219" s="2" t="s">
        <v>6</v>
      </c>
      <c r="EA219" s="2" t="s">
        <v>6</v>
      </c>
      <c r="EB219" s="2" t="s">
        <v>6</v>
      </c>
      <c r="EC219" s="2" t="s">
        <v>6</v>
      </c>
      <c r="ED219" s="2"/>
      <c r="EE219" s="2">
        <v>0</v>
      </c>
      <c r="EF219" s="2">
        <v>0</v>
      </c>
      <c r="EG219" s="2" t="s">
        <v>6</v>
      </c>
      <c r="EH219" s="2">
        <v>0</v>
      </c>
      <c r="EI219" s="2" t="s">
        <v>6</v>
      </c>
      <c r="EJ219" s="2">
        <v>0</v>
      </c>
      <c r="EK219" s="2">
        <v>3101</v>
      </c>
      <c r="EL219" s="2" t="s">
        <v>6</v>
      </c>
      <c r="EM219" s="2" t="s">
        <v>6</v>
      </c>
      <c r="EN219" s="2"/>
      <c r="EO219" s="2" t="s">
        <v>6</v>
      </c>
      <c r="EP219" s="2"/>
      <c r="EQ219" s="2">
        <v>0</v>
      </c>
      <c r="ER219" s="2">
        <v>0.3</v>
      </c>
      <c r="ES219" s="110">
        <f>'1.Лок.смета.и.Акт'!F377</f>
        <v>0.3</v>
      </c>
      <c r="ET219" s="2">
        <v>0</v>
      </c>
      <c r="EU219" s="2">
        <v>0</v>
      </c>
      <c r="EV219" s="2">
        <v>0</v>
      </c>
      <c r="EW219" s="2">
        <v>0</v>
      </c>
      <c r="EX219" s="2">
        <v>0</v>
      </c>
      <c r="EY219" s="2"/>
      <c r="EZ219" s="2"/>
      <c r="FA219" s="2"/>
      <c r="FB219" s="2"/>
      <c r="FC219" s="2"/>
      <c r="FD219" s="2"/>
      <c r="FE219" s="2"/>
      <c r="FF219" s="2"/>
      <c r="FG219" s="2"/>
      <c r="FH219" s="2"/>
      <c r="FI219" s="2"/>
      <c r="FJ219" s="2"/>
      <c r="FK219" s="2"/>
      <c r="FL219" s="2"/>
      <c r="FM219" s="2"/>
      <c r="FN219" s="2"/>
      <c r="FO219" s="2"/>
      <c r="FP219" s="2"/>
      <c r="FQ219" s="2">
        <v>0</v>
      </c>
      <c r="FR219" s="2">
        <f t="shared" si="261"/>
        <v>0</v>
      </c>
      <c r="FS219" s="2">
        <v>0</v>
      </c>
      <c r="FT219" s="2"/>
      <c r="FU219" s="2"/>
      <c r="FV219" s="2"/>
      <c r="FW219" s="2"/>
      <c r="FX219" s="2">
        <v>0</v>
      </c>
      <c r="FY219" s="2">
        <v>0</v>
      </c>
      <c r="FZ219" s="2"/>
      <c r="GA219" s="2" t="s">
        <v>6</v>
      </c>
      <c r="GB219" s="2"/>
      <c r="GC219" s="2"/>
      <c r="GD219" s="2">
        <v>1</v>
      </c>
      <c r="GE219" s="2"/>
      <c r="GF219" s="2">
        <v>1900494391</v>
      </c>
      <c r="GG219" s="2">
        <v>2</v>
      </c>
      <c r="GH219" s="2">
        <v>0</v>
      </c>
      <c r="GI219" s="2">
        <v>-2</v>
      </c>
      <c r="GJ219" s="2">
        <v>0</v>
      </c>
      <c r="GK219" s="2">
        <v>0</v>
      </c>
      <c r="GL219" s="2">
        <f t="shared" si="262"/>
        <v>0</v>
      </c>
      <c r="GM219" s="2">
        <f t="shared" si="263"/>
        <v>106</v>
      </c>
      <c r="GN219" s="2">
        <f t="shared" si="264"/>
        <v>106</v>
      </c>
      <c r="GO219" s="2">
        <f t="shared" si="265"/>
        <v>0</v>
      </c>
      <c r="GP219" s="2">
        <f t="shared" si="266"/>
        <v>0</v>
      </c>
      <c r="GQ219" s="2"/>
      <c r="GR219" s="2">
        <v>0</v>
      </c>
      <c r="GS219" s="2">
        <v>3</v>
      </c>
      <c r="GT219" s="2">
        <v>0</v>
      </c>
      <c r="GU219" s="2" t="s">
        <v>6</v>
      </c>
      <c r="GV219" s="2">
        <f t="shared" si="267"/>
        <v>0</v>
      </c>
      <c r="GW219" s="2">
        <v>1</v>
      </c>
      <c r="GX219" s="2">
        <f t="shared" si="268"/>
        <v>0</v>
      </c>
      <c r="GY219" s="2"/>
      <c r="GZ219" s="2"/>
      <c r="HA219" s="2">
        <v>0</v>
      </c>
      <c r="HB219" s="2">
        <v>0</v>
      </c>
      <c r="HC219" s="2">
        <f t="shared" si="269"/>
        <v>0</v>
      </c>
      <c r="HD219" s="2"/>
      <c r="HE219" s="2" t="s">
        <v>6</v>
      </c>
      <c r="HF219" s="2" t="s">
        <v>6</v>
      </c>
      <c r="HG219" s="2"/>
      <c r="HH219" s="2"/>
      <c r="HI219" s="2"/>
      <c r="HJ219" s="2"/>
      <c r="HK219" s="2"/>
      <c r="HL219" s="2"/>
      <c r="HM219" s="2" t="s">
        <v>6</v>
      </c>
      <c r="HN219" s="2" t="s">
        <v>6</v>
      </c>
      <c r="HO219" s="2" t="s">
        <v>6</v>
      </c>
      <c r="HP219" s="2" t="s">
        <v>6</v>
      </c>
      <c r="HQ219" s="2" t="s">
        <v>6</v>
      </c>
      <c r="HR219" s="2"/>
      <c r="HS219" s="2"/>
      <c r="HT219" s="2"/>
      <c r="HU219" s="2"/>
      <c r="HV219" s="2"/>
      <c r="HW219" s="2"/>
      <c r="HX219" s="2"/>
      <c r="HY219" s="2"/>
      <c r="HZ219" s="2"/>
      <c r="IA219" s="2"/>
      <c r="IB219" s="2"/>
      <c r="IC219" s="2"/>
      <c r="ID219" s="2"/>
      <c r="IE219" s="2"/>
      <c r="IF219" s="2">
        <v>-1</v>
      </c>
      <c r="IG219" s="2"/>
      <c r="IH219" s="2"/>
      <c r="II219" s="2"/>
      <c r="IJ219" s="2"/>
      <c r="IK219" s="2">
        <v>0</v>
      </c>
      <c r="IL219" s="2"/>
      <c r="IM219" s="2"/>
      <c r="IN219" s="2"/>
      <c r="IO219" s="2"/>
      <c r="IP219" s="2"/>
      <c r="IQ219" s="2"/>
      <c r="IR219" s="2"/>
      <c r="IS219" s="2"/>
      <c r="IT219" s="2"/>
      <c r="IU219" s="2"/>
    </row>
    <row r="220" spans="1:255" x14ac:dyDescent="0.2">
      <c r="A220">
        <v>18</v>
      </c>
      <c r="B220">
        <v>1</v>
      </c>
      <c r="C220">
        <v>250</v>
      </c>
      <c r="E220" t="s">
        <v>293</v>
      </c>
      <c r="F220" t="e">
        <f>'2.Лок.смета.и.Акт'!#REF!</f>
        <v>#REF!</v>
      </c>
      <c r="G220" t="s">
        <v>113</v>
      </c>
      <c r="H220" t="s">
        <v>103</v>
      </c>
      <c r="I220">
        <f>I204*J220</f>
        <v>351.846</v>
      </c>
      <c r="J220">
        <v>12</v>
      </c>
      <c r="K220">
        <v>12</v>
      </c>
      <c r="O220">
        <f t="shared" si="237"/>
        <v>372</v>
      </c>
      <c r="P220">
        <f t="shared" si="238"/>
        <v>372</v>
      </c>
      <c r="Q220">
        <f t="shared" si="239"/>
        <v>0</v>
      </c>
      <c r="R220">
        <f t="shared" si="240"/>
        <v>0</v>
      </c>
      <c r="S220">
        <f t="shared" si="241"/>
        <v>0</v>
      </c>
      <c r="T220">
        <f t="shared" si="242"/>
        <v>0</v>
      </c>
      <c r="U220">
        <f t="shared" si="243"/>
        <v>0</v>
      </c>
      <c r="V220">
        <f t="shared" si="244"/>
        <v>0</v>
      </c>
      <c r="W220">
        <f t="shared" si="245"/>
        <v>0</v>
      </c>
      <c r="X220">
        <f t="shared" si="246"/>
        <v>0</v>
      </c>
      <c r="Y220">
        <f t="shared" si="247"/>
        <v>0</v>
      </c>
      <c r="AA220">
        <v>86326988</v>
      </c>
      <c r="AB220">
        <f t="shared" si="248"/>
        <v>0.14000000000000001</v>
      </c>
      <c r="AC220">
        <f t="shared" si="232"/>
        <v>0.14000000000000001</v>
      </c>
      <c r="AD220">
        <f t="shared" si="249"/>
        <v>0</v>
      </c>
      <c r="AE220">
        <f t="shared" si="233"/>
        <v>0</v>
      </c>
      <c r="AF220">
        <f t="shared" si="234"/>
        <v>0</v>
      </c>
      <c r="AG220">
        <f t="shared" si="250"/>
        <v>0</v>
      </c>
      <c r="AH220">
        <f t="shared" si="235"/>
        <v>0</v>
      </c>
      <c r="AI220">
        <f t="shared" si="236"/>
        <v>0</v>
      </c>
      <c r="AJ220">
        <f t="shared" si="251"/>
        <v>0</v>
      </c>
      <c r="AK220">
        <v>0.14000000000000001</v>
      </c>
      <c r="AL220">
        <v>0.14000000000000001</v>
      </c>
      <c r="AM220">
        <v>0</v>
      </c>
      <c r="AN220">
        <v>0</v>
      </c>
      <c r="AO220">
        <v>0</v>
      </c>
      <c r="AP220">
        <v>0</v>
      </c>
      <c r="AQ220">
        <v>0</v>
      </c>
      <c r="AR220">
        <v>0</v>
      </c>
      <c r="AS220">
        <v>0</v>
      </c>
      <c r="AT220">
        <v>0</v>
      </c>
      <c r="AU220">
        <v>0</v>
      </c>
      <c r="AV220">
        <v>1</v>
      </c>
      <c r="AW220">
        <v>1</v>
      </c>
      <c r="AZ220">
        <v>1</v>
      </c>
      <c r="BA220">
        <v>1</v>
      </c>
      <c r="BB220">
        <v>1</v>
      </c>
      <c r="BC220">
        <v>7.56</v>
      </c>
      <c r="BD220" t="s">
        <v>6</v>
      </c>
      <c r="BE220" t="s">
        <v>6</v>
      </c>
      <c r="BF220" t="s">
        <v>6</v>
      </c>
      <c r="BG220" t="s">
        <v>6</v>
      </c>
      <c r="BH220">
        <v>3</v>
      </c>
      <c r="BI220">
        <v>1</v>
      </c>
      <c r="BJ220" t="s">
        <v>114</v>
      </c>
      <c r="BM220">
        <v>3101</v>
      </c>
      <c r="BN220">
        <v>0</v>
      </c>
      <c r="BO220" t="s">
        <v>6</v>
      </c>
      <c r="BP220">
        <v>0</v>
      </c>
      <c r="BQ220">
        <v>0</v>
      </c>
      <c r="BR220">
        <v>0</v>
      </c>
      <c r="BS220">
        <v>1</v>
      </c>
      <c r="BT220">
        <v>1</v>
      </c>
      <c r="BU220">
        <v>1</v>
      </c>
      <c r="BV220">
        <v>1</v>
      </c>
      <c r="BW220">
        <v>1</v>
      </c>
      <c r="BX220">
        <v>1</v>
      </c>
      <c r="BY220" t="s">
        <v>6</v>
      </c>
      <c r="BZ220">
        <v>0</v>
      </c>
      <c r="CA220">
        <v>0</v>
      </c>
      <c r="CB220" t="s">
        <v>6</v>
      </c>
      <c r="CE220">
        <v>0</v>
      </c>
      <c r="CF220">
        <v>0</v>
      </c>
      <c r="CG220">
        <v>0</v>
      </c>
      <c r="CM220">
        <v>0</v>
      </c>
      <c r="CN220" t="s">
        <v>6</v>
      </c>
      <c r="CO220">
        <v>0</v>
      </c>
      <c r="CP220">
        <f t="shared" si="252"/>
        <v>372</v>
      </c>
      <c r="CQ220">
        <f t="shared" si="253"/>
        <v>1.0584</v>
      </c>
      <c r="CR220">
        <f t="shared" si="254"/>
        <v>0</v>
      </c>
      <c r="CS220">
        <f t="shared" si="255"/>
        <v>0</v>
      </c>
      <c r="CT220">
        <f t="shared" si="256"/>
        <v>0</v>
      </c>
      <c r="CU220">
        <f t="shared" si="257"/>
        <v>0</v>
      </c>
      <c r="CV220">
        <f t="shared" si="258"/>
        <v>0</v>
      </c>
      <c r="CW220">
        <f t="shared" si="259"/>
        <v>0</v>
      </c>
      <c r="CX220">
        <f t="shared" si="260"/>
        <v>0</v>
      </c>
      <c r="CY220">
        <f>(S220+R220)*(BZ220/100)</f>
        <v>0</v>
      </c>
      <c r="CZ220">
        <f>(S220+R220)*(CA220/100)</f>
        <v>0</v>
      </c>
      <c r="DC220" t="s">
        <v>6</v>
      </c>
      <c r="DD220" t="s">
        <v>6</v>
      </c>
      <c r="DE220" t="s">
        <v>6</v>
      </c>
      <c r="DF220" t="s">
        <v>6</v>
      </c>
      <c r="DG220" t="s">
        <v>6</v>
      </c>
      <c r="DH220" t="s">
        <v>6</v>
      </c>
      <c r="DI220" t="s">
        <v>6</v>
      </c>
      <c r="DJ220" t="s">
        <v>6</v>
      </c>
      <c r="DK220" t="s">
        <v>6</v>
      </c>
      <c r="DL220" t="s">
        <v>6</v>
      </c>
      <c r="DM220" t="s">
        <v>6</v>
      </c>
      <c r="DN220">
        <v>0</v>
      </c>
      <c r="DO220">
        <v>0</v>
      </c>
      <c r="DP220">
        <v>1</v>
      </c>
      <c r="DQ220">
        <v>1</v>
      </c>
      <c r="DU220">
        <v>1013</v>
      </c>
      <c r="DV220" t="s">
        <v>103</v>
      </c>
      <c r="DW220" t="e">
        <f>'2.Лок.смета.и.Акт'!#REF!</f>
        <v>#REF!</v>
      </c>
      <c r="DX220">
        <v>1</v>
      </c>
      <c r="DZ220" t="s">
        <v>6</v>
      </c>
      <c r="EA220" t="s">
        <v>6</v>
      </c>
      <c r="EB220" t="s">
        <v>6</v>
      </c>
      <c r="EC220" t="s">
        <v>6</v>
      </c>
      <c r="EE220">
        <v>0</v>
      </c>
      <c r="EF220">
        <v>0</v>
      </c>
      <c r="EG220" t="s">
        <v>6</v>
      </c>
      <c r="EH220">
        <v>0</v>
      </c>
      <c r="EI220" t="s">
        <v>6</v>
      </c>
      <c r="EJ220">
        <v>0</v>
      </c>
      <c r="EK220">
        <v>3101</v>
      </c>
      <c r="EL220" t="s">
        <v>6</v>
      </c>
      <c r="EM220" t="s">
        <v>6</v>
      </c>
      <c r="EO220" t="s">
        <v>6</v>
      </c>
      <c r="EQ220">
        <v>0</v>
      </c>
      <c r="ER220">
        <v>1.02</v>
      </c>
      <c r="ES220">
        <v>0.14000000000000001</v>
      </c>
      <c r="ET220">
        <v>0</v>
      </c>
      <c r="EU220">
        <v>0</v>
      </c>
      <c r="EV220">
        <v>0</v>
      </c>
      <c r="EW220">
        <v>0</v>
      </c>
      <c r="EX220">
        <v>0</v>
      </c>
      <c r="EZ220">
        <v>5</v>
      </c>
      <c r="FC220">
        <v>0</v>
      </c>
      <c r="FD220">
        <v>18</v>
      </c>
      <c r="FF220">
        <v>1.02</v>
      </c>
      <c r="FQ220">
        <v>0</v>
      </c>
      <c r="FR220">
        <f t="shared" si="261"/>
        <v>0</v>
      </c>
      <c r="FS220">
        <v>0</v>
      </c>
      <c r="FX220">
        <v>0</v>
      </c>
      <c r="FY220">
        <v>0</v>
      </c>
      <c r="GA220" t="s">
        <v>115</v>
      </c>
      <c r="GD220">
        <v>1</v>
      </c>
      <c r="GF220">
        <v>1900494391</v>
      </c>
      <c r="GG220">
        <v>2</v>
      </c>
      <c r="GH220">
        <v>3</v>
      </c>
      <c r="GI220">
        <v>5</v>
      </c>
      <c r="GJ220">
        <v>0</v>
      </c>
      <c r="GK220">
        <v>0</v>
      </c>
      <c r="GL220">
        <f t="shared" si="262"/>
        <v>0</v>
      </c>
      <c r="GM220">
        <f t="shared" si="263"/>
        <v>372</v>
      </c>
      <c r="GN220">
        <f t="shared" si="264"/>
        <v>372</v>
      </c>
      <c r="GO220">
        <f t="shared" si="265"/>
        <v>0</v>
      </c>
      <c r="GP220">
        <f t="shared" si="266"/>
        <v>0</v>
      </c>
      <c r="GR220">
        <v>1</v>
      </c>
      <c r="GS220">
        <v>1</v>
      </c>
      <c r="GT220">
        <v>0</v>
      </c>
      <c r="GU220" t="s">
        <v>6</v>
      </c>
      <c r="GV220">
        <f t="shared" si="267"/>
        <v>0</v>
      </c>
      <c r="GW220">
        <v>1</v>
      </c>
      <c r="GX220">
        <f t="shared" si="268"/>
        <v>0</v>
      </c>
      <c r="HA220">
        <v>0</v>
      </c>
      <c r="HB220">
        <v>0</v>
      </c>
      <c r="HC220">
        <f t="shared" si="269"/>
        <v>0</v>
      </c>
      <c r="HE220" t="s">
        <v>39</v>
      </c>
      <c r="HF220" t="s">
        <v>40</v>
      </c>
      <c r="HM220" t="s">
        <v>6</v>
      </c>
      <c r="HN220" t="s">
        <v>6</v>
      </c>
      <c r="HO220" t="s">
        <v>6</v>
      </c>
      <c r="HP220" t="s">
        <v>6</v>
      </c>
      <c r="HQ220" t="s">
        <v>6</v>
      </c>
      <c r="IF220">
        <v>-1</v>
      </c>
      <c r="IK220">
        <v>0</v>
      </c>
    </row>
    <row r="221" spans="1:255" x14ac:dyDescent="0.2">
      <c r="A221" s="2">
        <v>18</v>
      </c>
      <c r="B221" s="2">
        <v>1</v>
      </c>
      <c r="C221" s="2">
        <v>242</v>
      </c>
      <c r="D221" s="2"/>
      <c r="E221" s="2" t="s">
        <v>294</v>
      </c>
      <c r="F221" s="2" t="s">
        <v>117</v>
      </c>
      <c r="G221" s="2" t="s">
        <v>118</v>
      </c>
      <c r="H221" s="2" t="s">
        <v>33</v>
      </c>
      <c r="I221" s="2">
        <f>I203*J221</f>
        <v>2.7883749999999999E-2</v>
      </c>
      <c r="J221" s="226">
        <f>'5.Ведомость_списания'!F105</f>
        <v>9.5099844818471719E-4</v>
      </c>
      <c r="K221" s="2">
        <v>9.5100000000000002E-4</v>
      </c>
      <c r="L221" s="2"/>
      <c r="M221" s="2"/>
      <c r="N221" s="2"/>
      <c r="O221" s="2">
        <f t="shared" si="237"/>
        <v>297</v>
      </c>
      <c r="P221" s="2">
        <f t="shared" si="238"/>
        <v>297</v>
      </c>
      <c r="Q221" s="2">
        <f t="shared" si="239"/>
        <v>0</v>
      </c>
      <c r="R221" s="2">
        <f t="shared" si="240"/>
        <v>0</v>
      </c>
      <c r="S221" s="2">
        <f t="shared" si="241"/>
        <v>0</v>
      </c>
      <c r="T221" s="2">
        <f t="shared" si="242"/>
        <v>0</v>
      </c>
      <c r="U221" s="2">
        <f t="shared" si="243"/>
        <v>0</v>
      </c>
      <c r="V221" s="2">
        <f t="shared" si="244"/>
        <v>0</v>
      </c>
      <c r="W221" s="2">
        <f t="shared" si="245"/>
        <v>0</v>
      </c>
      <c r="X221" s="2">
        <f t="shared" si="246"/>
        <v>0</v>
      </c>
      <c r="Y221" s="2">
        <f t="shared" si="247"/>
        <v>0</v>
      </c>
      <c r="Z221" s="2"/>
      <c r="AA221" s="2">
        <v>86326987</v>
      </c>
      <c r="AB221" s="2">
        <f t="shared" si="248"/>
        <v>10633.86</v>
      </c>
      <c r="AC221" s="2">
        <f t="shared" si="232"/>
        <v>10633.86</v>
      </c>
      <c r="AD221" s="2">
        <f t="shared" ref="AD221:AD250" si="270">ROUND((((ET221)-(EU221))+AE221),2)</f>
        <v>0</v>
      </c>
      <c r="AE221" s="2">
        <f t="shared" si="233"/>
        <v>0</v>
      </c>
      <c r="AF221" s="2">
        <f t="shared" si="234"/>
        <v>0</v>
      </c>
      <c r="AG221" s="2">
        <f t="shared" si="250"/>
        <v>0</v>
      </c>
      <c r="AH221" s="2">
        <f t="shared" si="235"/>
        <v>0</v>
      </c>
      <c r="AI221" s="2">
        <f t="shared" si="236"/>
        <v>0</v>
      </c>
      <c r="AJ221" s="2">
        <f t="shared" si="251"/>
        <v>0</v>
      </c>
      <c r="AK221" s="2">
        <v>10633.86</v>
      </c>
      <c r="AL221" s="110">
        <f>'1.Лок.смета.и.Акт'!F379</f>
        <v>10633.86</v>
      </c>
      <c r="AM221" s="2">
        <v>0</v>
      </c>
      <c r="AN221" s="2">
        <v>0</v>
      </c>
      <c r="AO221" s="2">
        <v>0</v>
      </c>
      <c r="AP221" s="2">
        <v>0</v>
      </c>
      <c r="AQ221" s="2">
        <v>0</v>
      </c>
      <c r="AR221" s="2">
        <v>0</v>
      </c>
      <c r="AS221" s="2">
        <v>0</v>
      </c>
      <c r="AT221" s="2">
        <v>0</v>
      </c>
      <c r="AU221" s="2">
        <v>0</v>
      </c>
      <c r="AV221" s="2">
        <v>1</v>
      </c>
      <c r="AW221" s="2">
        <v>1</v>
      </c>
      <c r="AX221" s="2"/>
      <c r="AY221" s="2"/>
      <c r="AZ221" s="2">
        <v>1</v>
      </c>
      <c r="BA221" s="2">
        <v>1</v>
      </c>
      <c r="BB221" s="2">
        <v>1</v>
      </c>
      <c r="BC221" s="2">
        <v>1</v>
      </c>
      <c r="BD221" s="2" t="s">
        <v>6</v>
      </c>
      <c r="BE221" s="2" t="s">
        <v>6</v>
      </c>
      <c r="BF221" s="2" t="s">
        <v>6</v>
      </c>
      <c r="BG221" s="2" t="s">
        <v>6</v>
      </c>
      <c r="BH221" s="2">
        <v>3</v>
      </c>
      <c r="BI221" s="2">
        <v>1</v>
      </c>
      <c r="BJ221" s="2" t="s">
        <v>119</v>
      </c>
      <c r="BK221" s="2"/>
      <c r="BL221" s="2"/>
      <c r="BM221" s="2">
        <v>500003</v>
      </c>
      <c r="BN221" s="2">
        <v>0</v>
      </c>
      <c r="BO221" s="2" t="s">
        <v>6</v>
      </c>
      <c r="BP221" s="2">
        <v>0</v>
      </c>
      <c r="BQ221" s="2">
        <v>22</v>
      </c>
      <c r="BR221" s="2">
        <v>0</v>
      </c>
      <c r="BS221" s="2">
        <v>1</v>
      </c>
      <c r="BT221" s="2">
        <v>1</v>
      </c>
      <c r="BU221" s="2">
        <v>1</v>
      </c>
      <c r="BV221" s="2">
        <v>1</v>
      </c>
      <c r="BW221" s="2">
        <v>1</v>
      </c>
      <c r="BX221" s="2">
        <v>1</v>
      </c>
      <c r="BY221" s="2" t="s">
        <v>6</v>
      </c>
      <c r="BZ221" s="2">
        <v>0</v>
      </c>
      <c r="CA221" s="2">
        <v>0</v>
      </c>
      <c r="CB221" s="2" t="s">
        <v>6</v>
      </c>
      <c r="CC221" s="2"/>
      <c r="CD221" s="2"/>
      <c r="CE221" s="2">
        <v>0</v>
      </c>
      <c r="CF221" s="2">
        <v>0</v>
      </c>
      <c r="CG221" s="2">
        <v>0</v>
      </c>
      <c r="CH221" s="2"/>
      <c r="CI221" s="2"/>
      <c r="CJ221" s="2"/>
      <c r="CK221" s="2"/>
      <c r="CL221" s="2"/>
      <c r="CM221" s="2">
        <v>0</v>
      </c>
      <c r="CN221" s="2" t="s">
        <v>6</v>
      </c>
      <c r="CO221" s="2">
        <v>0</v>
      </c>
      <c r="CP221" s="2">
        <f t="shared" si="252"/>
        <v>297</v>
      </c>
      <c r="CQ221" s="2">
        <f t="shared" si="253"/>
        <v>10633.86</v>
      </c>
      <c r="CR221" s="2">
        <f t="shared" si="254"/>
        <v>0</v>
      </c>
      <c r="CS221" s="2">
        <f t="shared" si="255"/>
        <v>0</v>
      </c>
      <c r="CT221" s="2">
        <f t="shared" si="256"/>
        <v>0</v>
      </c>
      <c r="CU221" s="2">
        <f t="shared" si="257"/>
        <v>0</v>
      </c>
      <c r="CV221" s="2">
        <f t="shared" si="258"/>
        <v>0</v>
      </c>
      <c r="CW221" s="2">
        <f t="shared" si="259"/>
        <v>0</v>
      </c>
      <c r="CX221" s="2">
        <f t="shared" si="260"/>
        <v>0</v>
      </c>
      <c r="CY221" s="2">
        <f>(((S221+(R221*IF(0,0,1)))*AT221)/100)</f>
        <v>0</v>
      </c>
      <c r="CZ221" s="2">
        <f>(((S221+(R221*IF(0,0,1)))*AU221)/100)</f>
        <v>0</v>
      </c>
      <c r="DA221" s="2"/>
      <c r="DB221" s="2"/>
      <c r="DC221" s="2" t="s">
        <v>6</v>
      </c>
      <c r="DD221" s="2" t="s">
        <v>6</v>
      </c>
      <c r="DE221" s="2" t="s">
        <v>6</v>
      </c>
      <c r="DF221" s="2" t="s">
        <v>6</v>
      </c>
      <c r="DG221" s="2" t="s">
        <v>6</v>
      </c>
      <c r="DH221" s="2" t="s">
        <v>6</v>
      </c>
      <c r="DI221" s="2" t="s">
        <v>6</v>
      </c>
      <c r="DJ221" s="2" t="s">
        <v>6</v>
      </c>
      <c r="DK221" s="2" t="s">
        <v>6</v>
      </c>
      <c r="DL221" s="2" t="s">
        <v>6</v>
      </c>
      <c r="DM221" s="2" t="s">
        <v>6</v>
      </c>
      <c r="DN221" s="2">
        <v>0</v>
      </c>
      <c r="DO221" s="2">
        <v>0</v>
      </c>
      <c r="DP221" s="2">
        <v>1</v>
      </c>
      <c r="DQ221" s="2">
        <v>1</v>
      </c>
      <c r="DR221" s="2"/>
      <c r="DS221" s="2"/>
      <c r="DT221" s="2"/>
      <c r="DU221" s="2">
        <v>1009</v>
      </c>
      <c r="DV221" s="2" t="s">
        <v>33</v>
      </c>
      <c r="DW221" s="2" t="s">
        <v>33</v>
      </c>
      <c r="DX221" s="2">
        <v>1000</v>
      </c>
      <c r="DY221" s="2"/>
      <c r="DZ221" s="2" t="s">
        <v>6</v>
      </c>
      <c r="EA221" s="2" t="s">
        <v>6</v>
      </c>
      <c r="EB221" s="2" t="s">
        <v>6</v>
      </c>
      <c r="EC221" s="2" t="s">
        <v>6</v>
      </c>
      <c r="ED221" s="2"/>
      <c r="EE221" s="2">
        <v>54938783</v>
      </c>
      <c r="EF221" s="2">
        <v>22</v>
      </c>
      <c r="EG221" s="2" t="s">
        <v>57</v>
      </c>
      <c r="EH221" s="2">
        <v>0</v>
      </c>
      <c r="EI221" s="2" t="s">
        <v>6</v>
      </c>
      <c r="EJ221" s="2">
        <v>1</v>
      </c>
      <c r="EK221" s="2">
        <v>500003</v>
      </c>
      <c r="EL221" s="2" t="s">
        <v>58</v>
      </c>
      <c r="EM221" s="2" t="s">
        <v>59</v>
      </c>
      <c r="EN221" s="2"/>
      <c r="EO221" s="2" t="s">
        <v>6</v>
      </c>
      <c r="EP221" s="2"/>
      <c r="EQ221" s="2">
        <v>0</v>
      </c>
      <c r="ER221" s="2">
        <v>10633.86</v>
      </c>
      <c r="ES221" s="110">
        <f>'1.Лок.смета.и.Акт'!F379</f>
        <v>10633.86</v>
      </c>
      <c r="ET221" s="2">
        <v>0</v>
      </c>
      <c r="EU221" s="2">
        <v>0</v>
      </c>
      <c r="EV221" s="2">
        <v>0</v>
      </c>
      <c r="EW221" s="2">
        <v>0</v>
      </c>
      <c r="EX221" s="2">
        <v>0</v>
      </c>
      <c r="EY221" s="2"/>
      <c r="EZ221" s="2"/>
      <c r="FA221" s="2"/>
      <c r="FB221" s="2"/>
      <c r="FC221" s="2"/>
      <c r="FD221" s="2"/>
      <c r="FE221" s="2"/>
      <c r="FF221" s="2"/>
      <c r="FG221" s="2"/>
      <c r="FH221" s="2"/>
      <c r="FI221" s="2"/>
      <c r="FJ221" s="2"/>
      <c r="FK221" s="2"/>
      <c r="FL221" s="2"/>
      <c r="FM221" s="2"/>
      <c r="FN221" s="2"/>
      <c r="FO221" s="2"/>
      <c r="FP221" s="2"/>
      <c r="FQ221" s="2">
        <v>0</v>
      </c>
      <c r="FR221" s="2">
        <f t="shared" si="261"/>
        <v>0</v>
      </c>
      <c r="FS221" s="2">
        <v>0</v>
      </c>
      <c r="FT221" s="2"/>
      <c r="FU221" s="2"/>
      <c r="FV221" s="2"/>
      <c r="FW221" s="2"/>
      <c r="FX221" s="2">
        <v>0</v>
      </c>
      <c r="FY221" s="2">
        <v>0</v>
      </c>
      <c r="FZ221" s="2"/>
      <c r="GA221" s="2" t="s">
        <v>6</v>
      </c>
      <c r="GB221" s="2"/>
      <c r="GC221" s="2"/>
      <c r="GD221" s="2">
        <v>1</v>
      </c>
      <c r="GE221" s="2"/>
      <c r="GF221" s="2">
        <v>772407484</v>
      </c>
      <c r="GG221" s="2">
        <v>2</v>
      </c>
      <c r="GH221" s="2">
        <v>2</v>
      </c>
      <c r="GI221" s="2">
        <v>-2</v>
      </c>
      <c r="GJ221" s="2">
        <v>0</v>
      </c>
      <c r="GK221" s="2">
        <v>0</v>
      </c>
      <c r="GL221" s="2">
        <f t="shared" si="262"/>
        <v>0</v>
      </c>
      <c r="GM221" s="2">
        <f t="shared" si="263"/>
        <v>297</v>
      </c>
      <c r="GN221" s="2">
        <f t="shared" si="264"/>
        <v>297</v>
      </c>
      <c r="GO221" s="2">
        <f t="shared" si="265"/>
        <v>0</v>
      </c>
      <c r="GP221" s="2">
        <f t="shared" si="266"/>
        <v>0</v>
      </c>
      <c r="GQ221" s="2"/>
      <c r="GR221" s="2">
        <v>0</v>
      </c>
      <c r="GS221" s="2">
        <v>2</v>
      </c>
      <c r="GT221" s="2">
        <v>0</v>
      </c>
      <c r="GU221" s="2" t="s">
        <v>6</v>
      </c>
      <c r="GV221" s="2">
        <f t="shared" si="267"/>
        <v>0</v>
      </c>
      <c r="GW221" s="2">
        <v>1</v>
      </c>
      <c r="GX221" s="2">
        <f t="shared" si="268"/>
        <v>0</v>
      </c>
      <c r="GY221" s="2"/>
      <c r="GZ221" s="2"/>
      <c r="HA221" s="2">
        <v>0</v>
      </c>
      <c r="HB221" s="2">
        <v>0</v>
      </c>
      <c r="HC221" s="2">
        <f t="shared" si="269"/>
        <v>0</v>
      </c>
      <c r="HD221" s="2"/>
      <c r="HE221" s="2" t="s">
        <v>6</v>
      </c>
      <c r="HF221" s="2" t="s">
        <v>6</v>
      </c>
      <c r="HG221" s="2"/>
      <c r="HH221" s="2"/>
      <c r="HI221" s="2"/>
      <c r="HJ221" s="2"/>
      <c r="HK221" s="2"/>
      <c r="HL221" s="2"/>
      <c r="HM221" s="2" t="s">
        <v>6</v>
      </c>
      <c r="HN221" s="2" t="s">
        <v>6</v>
      </c>
      <c r="HO221" s="2" t="s">
        <v>6</v>
      </c>
      <c r="HP221" s="2" t="s">
        <v>6</v>
      </c>
      <c r="HQ221" s="2" t="s">
        <v>6</v>
      </c>
      <c r="HR221" s="2"/>
      <c r="HS221" s="2"/>
      <c r="HT221" s="2"/>
      <c r="HU221" s="2"/>
      <c r="HV221" s="2"/>
      <c r="HW221" s="2"/>
      <c r="HX221" s="2"/>
      <c r="HY221" s="2"/>
      <c r="HZ221" s="2"/>
      <c r="IA221" s="2"/>
      <c r="IB221" s="2"/>
      <c r="IC221" s="2"/>
      <c r="ID221" s="2"/>
      <c r="IE221" s="2"/>
      <c r="IF221" s="2">
        <v>-1</v>
      </c>
      <c r="IG221" s="2"/>
      <c r="IH221" s="2"/>
      <c r="II221" s="2"/>
      <c r="IJ221" s="2"/>
      <c r="IK221" s="2">
        <v>0</v>
      </c>
      <c r="IL221" s="2"/>
      <c r="IM221" s="2"/>
      <c r="IN221" s="2"/>
      <c r="IO221" s="2"/>
      <c r="IP221" s="2"/>
      <c r="IQ221" s="2"/>
      <c r="IR221" s="2"/>
      <c r="IS221" s="2"/>
      <c r="IT221" s="2"/>
      <c r="IU221" s="2"/>
    </row>
    <row r="222" spans="1:255" x14ac:dyDescent="0.2">
      <c r="A222">
        <v>18</v>
      </c>
      <c r="B222">
        <v>1</v>
      </c>
      <c r="C222">
        <v>255</v>
      </c>
      <c r="E222" t="s">
        <v>294</v>
      </c>
      <c r="F222" t="e">
        <f>'2.Лок.смета.и.Акт'!#REF!</f>
        <v>#REF!</v>
      </c>
      <c r="G222" t="s">
        <v>118</v>
      </c>
      <c r="H222" t="s">
        <v>33</v>
      </c>
      <c r="I222">
        <f>I204*J222</f>
        <v>2.7883749999999999E-2</v>
      </c>
      <c r="J222">
        <v>9.5099844818471719E-4</v>
      </c>
      <c r="K222">
        <v>9.5100000000000002E-4</v>
      </c>
      <c r="O222">
        <f t="shared" si="237"/>
        <v>2349</v>
      </c>
      <c r="P222">
        <f t="shared" si="238"/>
        <v>2349</v>
      </c>
      <c r="Q222">
        <f t="shared" si="239"/>
        <v>0</v>
      </c>
      <c r="R222">
        <f t="shared" si="240"/>
        <v>0</v>
      </c>
      <c r="S222">
        <f t="shared" si="241"/>
        <v>0</v>
      </c>
      <c r="T222">
        <f t="shared" si="242"/>
        <v>0</v>
      </c>
      <c r="U222">
        <f t="shared" si="243"/>
        <v>0</v>
      </c>
      <c r="V222">
        <f t="shared" si="244"/>
        <v>0</v>
      </c>
      <c r="W222">
        <f t="shared" si="245"/>
        <v>0</v>
      </c>
      <c r="X222">
        <f t="shared" si="246"/>
        <v>0</v>
      </c>
      <c r="Y222">
        <f t="shared" si="247"/>
        <v>0</v>
      </c>
      <c r="AA222">
        <v>86326988</v>
      </c>
      <c r="AB222">
        <f t="shared" si="248"/>
        <v>11142.15</v>
      </c>
      <c r="AC222">
        <f t="shared" si="232"/>
        <v>11142.15</v>
      </c>
      <c r="AD222">
        <f t="shared" si="270"/>
        <v>0</v>
      </c>
      <c r="AE222">
        <f t="shared" si="233"/>
        <v>0</v>
      </c>
      <c r="AF222">
        <f t="shared" si="234"/>
        <v>0</v>
      </c>
      <c r="AG222">
        <f t="shared" si="250"/>
        <v>0</v>
      </c>
      <c r="AH222">
        <f t="shared" si="235"/>
        <v>0</v>
      </c>
      <c r="AI222">
        <f t="shared" si="236"/>
        <v>0</v>
      </c>
      <c r="AJ222">
        <f t="shared" si="251"/>
        <v>0</v>
      </c>
      <c r="AK222">
        <v>11142.150000000001</v>
      </c>
      <c r="AL222">
        <v>11142.150000000001</v>
      </c>
      <c r="AM222">
        <v>0</v>
      </c>
      <c r="AN222">
        <v>0</v>
      </c>
      <c r="AO222">
        <v>0</v>
      </c>
      <c r="AP222">
        <v>0</v>
      </c>
      <c r="AQ222">
        <v>0</v>
      </c>
      <c r="AR222">
        <v>0</v>
      </c>
      <c r="AS222">
        <v>0</v>
      </c>
      <c r="AT222">
        <v>0</v>
      </c>
      <c r="AU222">
        <v>0</v>
      </c>
      <c r="AV222">
        <v>1</v>
      </c>
      <c r="AW222">
        <v>1</v>
      </c>
      <c r="AZ222">
        <v>1</v>
      </c>
      <c r="BA222">
        <v>1</v>
      </c>
      <c r="BB222">
        <v>1</v>
      </c>
      <c r="BC222">
        <v>7.56</v>
      </c>
      <c r="BD222" t="s">
        <v>6</v>
      </c>
      <c r="BE222" t="s">
        <v>6</v>
      </c>
      <c r="BF222" t="s">
        <v>6</v>
      </c>
      <c r="BG222" t="s">
        <v>6</v>
      </c>
      <c r="BH222">
        <v>3</v>
      </c>
      <c r="BI222">
        <v>1</v>
      </c>
      <c r="BJ222" t="s">
        <v>119</v>
      </c>
      <c r="BM222">
        <v>500003</v>
      </c>
      <c r="BN222">
        <v>0</v>
      </c>
      <c r="BO222" t="s">
        <v>6</v>
      </c>
      <c r="BP222">
        <v>0</v>
      </c>
      <c r="BQ222">
        <v>22</v>
      </c>
      <c r="BR222">
        <v>0</v>
      </c>
      <c r="BS222">
        <v>1</v>
      </c>
      <c r="BT222">
        <v>1</v>
      </c>
      <c r="BU222">
        <v>1</v>
      </c>
      <c r="BV222">
        <v>1</v>
      </c>
      <c r="BW222">
        <v>1</v>
      </c>
      <c r="BX222">
        <v>1</v>
      </c>
      <c r="BY222" t="s">
        <v>6</v>
      </c>
      <c r="BZ222">
        <v>0</v>
      </c>
      <c r="CA222">
        <v>0</v>
      </c>
      <c r="CB222" t="s">
        <v>6</v>
      </c>
      <c r="CE222">
        <v>0</v>
      </c>
      <c r="CF222">
        <v>0</v>
      </c>
      <c r="CG222">
        <v>0</v>
      </c>
      <c r="CM222">
        <v>0</v>
      </c>
      <c r="CN222" t="s">
        <v>6</v>
      </c>
      <c r="CO222">
        <v>0</v>
      </c>
      <c r="CP222">
        <f t="shared" si="252"/>
        <v>2349</v>
      </c>
      <c r="CQ222">
        <f t="shared" si="253"/>
        <v>84234.653999999995</v>
      </c>
      <c r="CR222">
        <f t="shared" si="254"/>
        <v>0</v>
      </c>
      <c r="CS222">
        <f t="shared" si="255"/>
        <v>0</v>
      </c>
      <c r="CT222">
        <f t="shared" si="256"/>
        <v>0</v>
      </c>
      <c r="CU222">
        <f t="shared" si="257"/>
        <v>0</v>
      </c>
      <c r="CV222">
        <f t="shared" si="258"/>
        <v>0</v>
      </c>
      <c r="CW222">
        <f t="shared" si="259"/>
        <v>0</v>
      </c>
      <c r="CX222">
        <f t="shared" si="260"/>
        <v>0</v>
      </c>
      <c r="CY222">
        <f>(S222+R222)*(BZ222/100)</f>
        <v>0</v>
      </c>
      <c r="CZ222">
        <f>(S222+R222)*(CA222/100)</f>
        <v>0</v>
      </c>
      <c r="DC222" t="s">
        <v>6</v>
      </c>
      <c r="DD222" t="s">
        <v>6</v>
      </c>
      <c r="DE222" t="s">
        <v>6</v>
      </c>
      <c r="DF222" t="s">
        <v>6</v>
      </c>
      <c r="DG222" t="s">
        <v>6</v>
      </c>
      <c r="DH222" t="s">
        <v>6</v>
      </c>
      <c r="DI222" t="s">
        <v>6</v>
      </c>
      <c r="DJ222" t="s">
        <v>6</v>
      </c>
      <c r="DK222" t="s">
        <v>6</v>
      </c>
      <c r="DL222" t="s">
        <v>6</v>
      </c>
      <c r="DM222" t="s">
        <v>6</v>
      </c>
      <c r="DN222">
        <v>0</v>
      </c>
      <c r="DO222">
        <v>0</v>
      </c>
      <c r="DP222">
        <v>1</v>
      </c>
      <c r="DQ222">
        <v>1</v>
      </c>
      <c r="DU222">
        <v>1009</v>
      </c>
      <c r="DV222" t="s">
        <v>33</v>
      </c>
      <c r="DW222" t="e">
        <f>'2.Лок.смета.и.Акт'!#REF!</f>
        <v>#REF!</v>
      </c>
      <c r="DX222">
        <v>1000</v>
      </c>
      <c r="DZ222" t="s">
        <v>6</v>
      </c>
      <c r="EA222" t="s">
        <v>6</v>
      </c>
      <c r="EB222" t="s">
        <v>6</v>
      </c>
      <c r="EC222" t="s">
        <v>6</v>
      </c>
      <c r="EE222">
        <v>54938783</v>
      </c>
      <c r="EF222">
        <v>22</v>
      </c>
      <c r="EG222" t="s">
        <v>57</v>
      </c>
      <c r="EH222">
        <v>0</v>
      </c>
      <c r="EI222" t="s">
        <v>6</v>
      </c>
      <c r="EJ222">
        <v>1</v>
      </c>
      <c r="EK222">
        <v>500003</v>
      </c>
      <c r="EL222" t="s">
        <v>58</v>
      </c>
      <c r="EM222" t="s">
        <v>59</v>
      </c>
      <c r="EO222" t="s">
        <v>6</v>
      </c>
      <c r="EQ222">
        <v>0</v>
      </c>
      <c r="ER222">
        <v>80392</v>
      </c>
      <c r="ES222">
        <v>11142.150000000001</v>
      </c>
      <c r="ET222">
        <v>0</v>
      </c>
      <c r="EU222">
        <v>0</v>
      </c>
      <c r="EV222">
        <v>0</v>
      </c>
      <c r="EW222">
        <v>0</v>
      </c>
      <c r="EX222">
        <v>0</v>
      </c>
      <c r="EZ222">
        <v>5</v>
      </c>
      <c r="FC222">
        <v>0</v>
      </c>
      <c r="FD222">
        <v>18</v>
      </c>
      <c r="FF222">
        <v>80392</v>
      </c>
      <c r="FQ222">
        <v>0</v>
      </c>
      <c r="FR222">
        <f t="shared" si="261"/>
        <v>0</v>
      </c>
      <c r="FS222">
        <v>0</v>
      </c>
      <c r="FX222">
        <v>0</v>
      </c>
      <c r="FY222">
        <v>0</v>
      </c>
      <c r="GA222" t="s">
        <v>120</v>
      </c>
      <c r="GD222">
        <v>1</v>
      </c>
      <c r="GF222">
        <v>772407484</v>
      </c>
      <c r="GG222">
        <v>2</v>
      </c>
      <c r="GH222">
        <v>3</v>
      </c>
      <c r="GI222">
        <v>5</v>
      </c>
      <c r="GJ222">
        <v>0</v>
      </c>
      <c r="GK222">
        <v>0</v>
      </c>
      <c r="GL222">
        <f t="shared" si="262"/>
        <v>0</v>
      </c>
      <c r="GM222">
        <f t="shared" si="263"/>
        <v>2349</v>
      </c>
      <c r="GN222">
        <f t="shared" si="264"/>
        <v>2349</v>
      </c>
      <c r="GO222">
        <f t="shared" si="265"/>
        <v>0</v>
      </c>
      <c r="GP222">
        <f t="shared" si="266"/>
        <v>0</v>
      </c>
      <c r="GR222">
        <v>1</v>
      </c>
      <c r="GS222">
        <v>1</v>
      </c>
      <c r="GT222">
        <v>0</v>
      </c>
      <c r="GU222" t="s">
        <v>6</v>
      </c>
      <c r="GV222">
        <f t="shared" si="267"/>
        <v>0</v>
      </c>
      <c r="GW222">
        <v>1</v>
      </c>
      <c r="GX222">
        <f t="shared" si="268"/>
        <v>0</v>
      </c>
      <c r="HA222">
        <v>0</v>
      </c>
      <c r="HB222">
        <v>0</v>
      </c>
      <c r="HC222">
        <f t="shared" si="269"/>
        <v>0</v>
      </c>
      <c r="HE222" t="s">
        <v>39</v>
      </c>
      <c r="HF222" t="s">
        <v>61</v>
      </c>
      <c r="HM222" t="s">
        <v>6</v>
      </c>
      <c r="HN222" t="s">
        <v>6</v>
      </c>
      <c r="HO222" t="s">
        <v>6</v>
      </c>
      <c r="HP222" t="s">
        <v>6</v>
      </c>
      <c r="HQ222" t="s">
        <v>6</v>
      </c>
      <c r="IF222">
        <v>-1</v>
      </c>
      <c r="IK222">
        <v>0</v>
      </c>
    </row>
    <row r="223" spans="1:255" x14ac:dyDescent="0.2">
      <c r="A223" s="2">
        <v>17</v>
      </c>
      <c r="B223" s="2">
        <v>1</v>
      </c>
      <c r="C223" s="2">
        <f>ROW(SmtRes!A260)</f>
        <v>260</v>
      </c>
      <c r="D223" s="2">
        <f>ROW(EtalonRes!A192)</f>
        <v>192</v>
      </c>
      <c r="E223" s="2" t="s">
        <v>295</v>
      </c>
      <c r="F223" s="2" t="s">
        <v>296</v>
      </c>
      <c r="G223" s="2" t="s">
        <v>297</v>
      </c>
      <c r="H223" s="2" t="s">
        <v>298</v>
      </c>
      <c r="I223" s="2">
        <f>'2.Лок.смета.и.Акт'!E40</f>
        <v>0.12</v>
      </c>
      <c r="J223" s="2">
        <v>0</v>
      </c>
      <c r="K223" s="2">
        <v>0.48</v>
      </c>
      <c r="L223" s="2"/>
      <c r="M223" s="2"/>
      <c r="N223" s="2"/>
      <c r="O223" s="2">
        <f t="shared" si="237"/>
        <v>34</v>
      </c>
      <c r="P223" s="2">
        <f t="shared" si="238"/>
        <v>0</v>
      </c>
      <c r="Q223" s="2">
        <f t="shared" si="239"/>
        <v>23</v>
      </c>
      <c r="R223" s="2">
        <f t="shared" si="240"/>
        <v>0</v>
      </c>
      <c r="S223" s="2">
        <f t="shared" si="241"/>
        <v>11</v>
      </c>
      <c r="T223" s="2">
        <f t="shared" si="242"/>
        <v>0</v>
      </c>
      <c r="U223" s="2">
        <f t="shared" si="243"/>
        <v>1.1831999999999998</v>
      </c>
      <c r="V223" s="2">
        <f t="shared" si="244"/>
        <v>0</v>
      </c>
      <c r="W223" s="2">
        <f t="shared" si="245"/>
        <v>0</v>
      </c>
      <c r="X223" s="2">
        <f t="shared" si="246"/>
        <v>17</v>
      </c>
      <c r="Y223" s="2">
        <f t="shared" si="247"/>
        <v>11</v>
      </c>
      <c r="Z223" s="2"/>
      <c r="AA223" s="2">
        <v>86326987</v>
      </c>
      <c r="AB223" s="2">
        <f t="shared" si="248"/>
        <v>290.08999999999997</v>
      </c>
      <c r="AC223" s="2">
        <f>ROUND((ES223+(SUM(SmtRes!BC257:'SmtRes'!BC260)+SUM(EtalonRes!AL189:'EtalonRes'!AL192))),2)</f>
        <v>-7.0000000000000007E-2</v>
      </c>
      <c r="AD223" s="2">
        <f t="shared" si="270"/>
        <v>195.5</v>
      </c>
      <c r="AE223" s="2">
        <f t="shared" si="233"/>
        <v>0</v>
      </c>
      <c r="AF223" s="2">
        <f t="shared" si="234"/>
        <v>94.66</v>
      </c>
      <c r="AG223" s="2">
        <f t="shared" si="250"/>
        <v>0</v>
      </c>
      <c r="AH223" s="2">
        <f t="shared" si="235"/>
        <v>9.86</v>
      </c>
      <c r="AI223" s="2">
        <f t="shared" si="236"/>
        <v>0</v>
      </c>
      <c r="AJ223" s="2">
        <f t="shared" si="251"/>
        <v>0</v>
      </c>
      <c r="AK223" s="2">
        <v>821.46</v>
      </c>
      <c r="AL223" s="2">
        <v>531.29999999999995</v>
      </c>
      <c r="AM223" s="2">
        <v>195.5</v>
      </c>
      <c r="AN223" s="2">
        <v>0</v>
      </c>
      <c r="AO223" s="2">
        <v>94.66</v>
      </c>
      <c r="AP223" s="2">
        <v>0</v>
      </c>
      <c r="AQ223" s="2">
        <v>9.86</v>
      </c>
      <c r="AR223" s="2">
        <v>0</v>
      </c>
      <c r="AS223" s="2">
        <v>0</v>
      </c>
      <c r="AT223" s="2">
        <v>155</v>
      </c>
      <c r="AU223" s="2">
        <v>100</v>
      </c>
      <c r="AV223" s="2">
        <v>1</v>
      </c>
      <c r="AW223" s="2">
        <v>1</v>
      </c>
      <c r="AX223" s="2"/>
      <c r="AY223" s="2"/>
      <c r="AZ223" s="2">
        <v>1</v>
      </c>
      <c r="BA223" s="2">
        <v>1</v>
      </c>
      <c r="BB223" s="2">
        <v>1</v>
      </c>
      <c r="BC223" s="2">
        <v>1</v>
      </c>
      <c r="BD223" s="2" t="s">
        <v>6</v>
      </c>
      <c r="BE223" s="2" t="s">
        <v>6</v>
      </c>
      <c r="BF223" s="2" t="s">
        <v>6</v>
      </c>
      <c r="BG223" s="2" t="s">
        <v>6</v>
      </c>
      <c r="BH223" s="2">
        <v>0</v>
      </c>
      <c r="BI223" s="2">
        <v>1</v>
      </c>
      <c r="BJ223" s="2" t="s">
        <v>299</v>
      </c>
      <c r="BK223" s="2"/>
      <c r="BL223" s="2"/>
      <c r="BM223" s="2">
        <v>12</v>
      </c>
      <c r="BN223" s="2">
        <v>0</v>
      </c>
      <c r="BO223" s="2" t="s">
        <v>6</v>
      </c>
      <c r="BP223" s="2">
        <v>0</v>
      </c>
      <c r="BQ223" s="2">
        <v>1</v>
      </c>
      <c r="BR223" s="2">
        <v>0</v>
      </c>
      <c r="BS223" s="2">
        <v>1</v>
      </c>
      <c r="BT223" s="2">
        <v>1</v>
      </c>
      <c r="BU223" s="2">
        <v>1</v>
      </c>
      <c r="BV223" s="2">
        <v>1</v>
      </c>
      <c r="BW223" s="2">
        <v>1</v>
      </c>
      <c r="BX223" s="2">
        <v>1</v>
      </c>
      <c r="BY223" s="2" t="s">
        <v>6</v>
      </c>
      <c r="BZ223" s="2">
        <v>155</v>
      </c>
      <c r="CA223" s="2">
        <v>100</v>
      </c>
      <c r="CB223" s="2" t="s">
        <v>6</v>
      </c>
      <c r="CC223" s="2"/>
      <c r="CD223" s="2"/>
      <c r="CE223" s="2">
        <v>0</v>
      </c>
      <c r="CF223" s="2">
        <v>0</v>
      </c>
      <c r="CG223" s="2">
        <v>0</v>
      </c>
      <c r="CH223" s="2"/>
      <c r="CI223" s="2"/>
      <c r="CJ223" s="2"/>
      <c r="CK223" s="2"/>
      <c r="CL223" s="2"/>
      <c r="CM223" s="2">
        <v>0</v>
      </c>
      <c r="CN223" s="2" t="s">
        <v>6</v>
      </c>
      <c r="CO223" s="2">
        <v>0</v>
      </c>
      <c r="CP223" s="2">
        <f t="shared" si="252"/>
        <v>34</v>
      </c>
      <c r="CQ223" s="2">
        <f t="shared" si="253"/>
        <v>-7.0000000000000007E-2</v>
      </c>
      <c r="CR223" s="2">
        <f t="shared" si="254"/>
        <v>195.5</v>
      </c>
      <c r="CS223" s="2">
        <f t="shared" si="255"/>
        <v>0</v>
      </c>
      <c r="CT223" s="2">
        <f t="shared" si="256"/>
        <v>94.66</v>
      </c>
      <c r="CU223" s="2">
        <f t="shared" si="257"/>
        <v>0</v>
      </c>
      <c r="CV223" s="2">
        <f t="shared" si="258"/>
        <v>9.86</v>
      </c>
      <c r="CW223" s="2">
        <f t="shared" si="259"/>
        <v>0</v>
      </c>
      <c r="CX223" s="2">
        <f t="shared" si="260"/>
        <v>0</v>
      </c>
      <c r="CY223" s="2">
        <f>(((S223+(R223*IF(0,0,1)))*AT223)/100)</f>
        <v>17.05</v>
      </c>
      <c r="CZ223" s="2">
        <f>(((S223+(R223*IF(0,0,1)))*AU223)/100)</f>
        <v>11</v>
      </c>
      <c r="DA223" s="2"/>
      <c r="DB223" s="2"/>
      <c r="DC223" s="2" t="s">
        <v>6</v>
      </c>
      <c r="DD223" s="2" t="s">
        <v>6</v>
      </c>
      <c r="DE223" s="2" t="s">
        <v>6</v>
      </c>
      <c r="DF223" s="2" t="s">
        <v>6</v>
      </c>
      <c r="DG223" s="2" t="s">
        <v>6</v>
      </c>
      <c r="DH223" s="2" t="s">
        <v>6</v>
      </c>
      <c r="DI223" s="2" t="s">
        <v>6</v>
      </c>
      <c r="DJ223" s="2" t="s">
        <v>6</v>
      </c>
      <c r="DK223" s="2" t="s">
        <v>6</v>
      </c>
      <c r="DL223" s="2" t="s">
        <v>6</v>
      </c>
      <c r="DM223" s="2" t="s">
        <v>6</v>
      </c>
      <c r="DN223" s="2">
        <v>0</v>
      </c>
      <c r="DO223" s="2">
        <v>0</v>
      </c>
      <c r="DP223" s="2">
        <v>1</v>
      </c>
      <c r="DQ223" s="2">
        <v>1</v>
      </c>
      <c r="DR223" s="2"/>
      <c r="DS223" s="2"/>
      <c r="DT223" s="2"/>
      <c r="DU223" s="2">
        <v>1003</v>
      </c>
      <c r="DV223" s="2" t="s">
        <v>298</v>
      </c>
      <c r="DW223" s="2" t="s">
        <v>298</v>
      </c>
      <c r="DX223" s="2">
        <v>100</v>
      </c>
      <c r="DY223" s="2"/>
      <c r="DZ223" s="2" t="s">
        <v>6</v>
      </c>
      <c r="EA223" s="2" t="s">
        <v>6</v>
      </c>
      <c r="EB223" s="2" t="s">
        <v>6</v>
      </c>
      <c r="EC223" s="2" t="s">
        <v>6</v>
      </c>
      <c r="ED223" s="2"/>
      <c r="EE223" s="2">
        <v>54938449</v>
      </c>
      <c r="EF223" s="2">
        <v>1</v>
      </c>
      <c r="EG223" s="2" t="s">
        <v>26</v>
      </c>
      <c r="EH223" s="2">
        <v>0</v>
      </c>
      <c r="EI223" s="2" t="s">
        <v>6</v>
      </c>
      <c r="EJ223" s="2">
        <v>1</v>
      </c>
      <c r="EK223" s="2">
        <v>12</v>
      </c>
      <c r="EL223" s="2" t="s">
        <v>300</v>
      </c>
      <c r="EM223" s="2" t="s">
        <v>301</v>
      </c>
      <c r="EN223" s="2"/>
      <c r="EO223" s="2" t="s">
        <v>6</v>
      </c>
      <c r="EP223" s="2"/>
      <c r="EQ223" s="2">
        <v>2097152</v>
      </c>
      <c r="ER223" s="2">
        <v>821.46</v>
      </c>
      <c r="ES223" s="2">
        <v>531.29999999999995</v>
      </c>
      <c r="ET223" s="2">
        <v>195.5</v>
      </c>
      <c r="EU223" s="2">
        <v>0</v>
      </c>
      <c r="EV223" s="2">
        <v>94.66</v>
      </c>
      <c r="EW223" s="2">
        <v>9.86</v>
      </c>
      <c r="EX223" s="2">
        <v>0</v>
      </c>
      <c r="EY223" s="2">
        <v>1</v>
      </c>
      <c r="EZ223" s="2"/>
      <c r="FA223" s="2"/>
      <c r="FB223" s="2"/>
      <c r="FC223" s="2"/>
      <c r="FD223" s="2"/>
      <c r="FE223" s="2"/>
      <c r="FF223" s="2"/>
      <c r="FG223" s="2"/>
      <c r="FH223" s="2"/>
      <c r="FI223" s="2"/>
      <c r="FJ223" s="2"/>
      <c r="FK223" s="2"/>
      <c r="FL223" s="2"/>
      <c r="FM223" s="2"/>
      <c r="FN223" s="2"/>
      <c r="FO223" s="2"/>
      <c r="FP223" s="2"/>
      <c r="FQ223" s="2">
        <v>0</v>
      </c>
      <c r="FR223" s="2">
        <f t="shared" si="261"/>
        <v>0</v>
      </c>
      <c r="FS223" s="2">
        <v>0</v>
      </c>
      <c r="FT223" s="2"/>
      <c r="FU223" s="2"/>
      <c r="FV223" s="2"/>
      <c r="FW223" s="2"/>
      <c r="FX223" s="2">
        <v>155</v>
      </c>
      <c r="FY223" s="2">
        <v>100</v>
      </c>
      <c r="FZ223" s="2"/>
      <c r="GA223" s="2" t="s">
        <v>6</v>
      </c>
      <c r="GB223" s="2"/>
      <c r="GC223" s="2"/>
      <c r="GD223" s="2">
        <v>1</v>
      </c>
      <c r="GE223" s="2"/>
      <c r="GF223" s="2">
        <v>-1642993105</v>
      </c>
      <c r="GG223" s="2">
        <v>2</v>
      </c>
      <c r="GH223" s="2">
        <v>1</v>
      </c>
      <c r="GI223" s="2">
        <v>-2</v>
      </c>
      <c r="GJ223" s="2">
        <v>0</v>
      </c>
      <c r="GK223" s="2">
        <v>0</v>
      </c>
      <c r="GL223" s="2">
        <f t="shared" si="262"/>
        <v>0</v>
      </c>
      <c r="GM223" s="2">
        <f t="shared" si="263"/>
        <v>62</v>
      </c>
      <c r="GN223" s="2">
        <f t="shared" si="264"/>
        <v>62</v>
      </c>
      <c r="GO223" s="2">
        <f t="shared" si="265"/>
        <v>0</v>
      </c>
      <c r="GP223" s="2">
        <f t="shared" si="266"/>
        <v>0</v>
      </c>
      <c r="GQ223" s="2"/>
      <c r="GR223" s="2">
        <v>0</v>
      </c>
      <c r="GS223" s="2">
        <v>3</v>
      </c>
      <c r="GT223" s="2">
        <v>0</v>
      </c>
      <c r="GU223" s="2" t="s">
        <v>6</v>
      </c>
      <c r="GV223" s="2">
        <f t="shared" si="267"/>
        <v>0</v>
      </c>
      <c r="GW223" s="2">
        <v>1</v>
      </c>
      <c r="GX223" s="2">
        <f t="shared" si="268"/>
        <v>0</v>
      </c>
      <c r="GY223" s="2"/>
      <c r="GZ223" s="2"/>
      <c r="HA223" s="2">
        <v>0</v>
      </c>
      <c r="HB223" s="2">
        <v>0</v>
      </c>
      <c r="HC223" s="2">
        <f t="shared" si="269"/>
        <v>0</v>
      </c>
      <c r="HD223" s="2"/>
      <c r="HE223" s="2" t="s">
        <v>6</v>
      </c>
      <c r="HF223" s="2" t="s">
        <v>6</v>
      </c>
      <c r="HG223" s="2"/>
      <c r="HH223" s="2"/>
      <c r="HI223" s="2"/>
      <c r="HJ223" s="2"/>
      <c r="HK223" s="2"/>
      <c r="HL223" s="2"/>
      <c r="HM223" s="2" t="s">
        <v>6</v>
      </c>
      <c r="HN223" s="2" t="s">
        <v>6</v>
      </c>
      <c r="HO223" s="2" t="s">
        <v>6</v>
      </c>
      <c r="HP223" s="2" t="s">
        <v>6</v>
      </c>
      <c r="HQ223" s="2" t="s">
        <v>6</v>
      </c>
      <c r="HR223" s="2"/>
      <c r="HS223" s="2"/>
      <c r="HT223" s="2"/>
      <c r="HU223" s="2"/>
      <c r="HV223" s="2"/>
      <c r="HW223" s="2"/>
      <c r="HX223" s="2"/>
      <c r="HY223" s="2"/>
      <c r="HZ223" s="2"/>
      <c r="IA223" s="2"/>
      <c r="IB223" s="2"/>
      <c r="IC223" s="2"/>
      <c r="ID223" s="2"/>
      <c r="IE223" s="2"/>
      <c r="IF223" s="2">
        <v>-1</v>
      </c>
      <c r="IG223" s="2"/>
      <c r="IH223" s="2"/>
      <c r="II223" s="2"/>
      <c r="IJ223" s="2"/>
      <c r="IK223" s="2">
        <v>0</v>
      </c>
      <c r="IL223" s="2"/>
      <c r="IM223" s="2"/>
      <c r="IN223" s="2"/>
      <c r="IO223" s="2"/>
      <c r="IP223" s="2"/>
      <c r="IQ223" s="2"/>
      <c r="IR223" s="2"/>
      <c r="IS223" s="2"/>
      <c r="IT223" s="2"/>
      <c r="IU223" s="2"/>
    </row>
    <row r="224" spans="1:255" x14ac:dyDescent="0.2">
      <c r="A224">
        <v>17</v>
      </c>
      <c r="B224">
        <v>1</v>
      </c>
      <c r="C224">
        <f>ROW(SmtRes!A264)</f>
        <v>264</v>
      </c>
      <c r="D224">
        <f>ROW(EtalonRes!A196)</f>
        <v>196</v>
      </c>
      <c r="E224" t="s">
        <v>295</v>
      </c>
      <c r="F224" t="s">
        <v>296</v>
      </c>
      <c r="G224" t="s">
        <v>297</v>
      </c>
      <c r="H224" t="s">
        <v>298</v>
      </c>
      <c r="I224">
        <f>'2.Лок.смета.и.Акт'!E40</f>
        <v>0.12</v>
      </c>
      <c r="J224">
        <v>0</v>
      </c>
      <c r="K224">
        <v>0.48</v>
      </c>
      <c r="O224">
        <f t="shared" si="237"/>
        <v>509</v>
      </c>
      <c r="P224">
        <f t="shared" si="238"/>
        <v>0</v>
      </c>
      <c r="Q224">
        <f t="shared" si="239"/>
        <v>218</v>
      </c>
      <c r="R224">
        <f t="shared" si="240"/>
        <v>0</v>
      </c>
      <c r="S224">
        <f t="shared" si="241"/>
        <v>291</v>
      </c>
      <c r="T224">
        <f t="shared" si="242"/>
        <v>0</v>
      </c>
      <c r="U224" t="e">
        <f t="shared" si="243"/>
        <v>#REF!</v>
      </c>
      <c r="V224">
        <f t="shared" si="244"/>
        <v>0</v>
      </c>
      <c r="W224">
        <f t="shared" si="245"/>
        <v>0</v>
      </c>
      <c r="X224" t="e">
        <f t="shared" si="246"/>
        <v>#REF!</v>
      </c>
      <c r="Y224" t="e">
        <f t="shared" si="247"/>
        <v>#REF!</v>
      </c>
      <c r="AA224">
        <v>86326988</v>
      </c>
      <c r="AB224">
        <f t="shared" si="248"/>
        <v>290.08999999999997</v>
      </c>
      <c r="AC224">
        <f>ROUND((ES224+(SUM(SmtRes!BC261:'SmtRes'!BC264)+SUM(EtalonRes!AL193:'EtalonRes'!AL196))),2)</f>
        <v>-7.0000000000000007E-2</v>
      </c>
      <c r="AD224">
        <f t="shared" si="270"/>
        <v>195.5</v>
      </c>
      <c r="AE224">
        <f t="shared" si="233"/>
        <v>0</v>
      </c>
      <c r="AF224">
        <f t="shared" si="234"/>
        <v>94.66</v>
      </c>
      <c r="AG224">
        <f t="shared" si="250"/>
        <v>0</v>
      </c>
      <c r="AH224" t="e">
        <f t="shared" si="235"/>
        <v>#REF!</v>
      </c>
      <c r="AI224">
        <f t="shared" si="236"/>
        <v>0</v>
      </c>
      <c r="AJ224">
        <f t="shared" si="251"/>
        <v>0</v>
      </c>
      <c r="AK224">
        <f>AL224+AM224+AO224</f>
        <v>821.45999999999992</v>
      </c>
      <c r="AL224" s="75">
        <f>'1.Лок.смета.и.Акт'!F387</f>
        <v>531.29999999999995</v>
      </c>
      <c r="AM224" s="75">
        <f>'1.Лок.смета.и.Акт'!F386</f>
        <v>195.5</v>
      </c>
      <c r="AN224">
        <v>0</v>
      </c>
      <c r="AO224" s="75">
        <f>'1.Лок.смета.и.Акт'!F385</f>
        <v>94.66</v>
      </c>
      <c r="AP224">
        <v>0</v>
      </c>
      <c r="AQ224" t="e">
        <f>'2.Лок.смета.и.Акт'!#REF!</f>
        <v>#REF!</v>
      </c>
      <c r="AR224">
        <v>0</v>
      </c>
      <c r="AS224">
        <v>0</v>
      </c>
      <c r="AT224">
        <v>147</v>
      </c>
      <c r="AU224">
        <v>85</v>
      </c>
      <c r="AV224">
        <v>1</v>
      </c>
      <c r="AW224">
        <v>1</v>
      </c>
      <c r="AZ224">
        <v>1</v>
      </c>
      <c r="BA224">
        <f>'1.Лок.смета.и.Акт'!J385</f>
        <v>25.6</v>
      </c>
      <c r="BB224">
        <f>'1.Лок.смета.и.Акт'!J386</f>
        <v>9.3000000000000007</v>
      </c>
      <c r="BC224">
        <f>'1.Лок.смета.и.Акт'!J387</f>
        <v>7.56</v>
      </c>
      <c r="BD224" t="s">
        <v>6</v>
      </c>
      <c r="BE224" t="s">
        <v>6</v>
      </c>
      <c r="BF224" t="s">
        <v>6</v>
      </c>
      <c r="BG224" t="s">
        <v>6</v>
      </c>
      <c r="BH224">
        <v>0</v>
      </c>
      <c r="BI224">
        <v>1</v>
      </c>
      <c r="BJ224" t="s">
        <v>299</v>
      </c>
      <c r="BM224">
        <v>12</v>
      </c>
      <c r="BN224">
        <v>0</v>
      </c>
      <c r="BO224" t="s">
        <v>296</v>
      </c>
      <c r="BP224">
        <v>1</v>
      </c>
      <c r="BQ224">
        <v>1</v>
      </c>
      <c r="BR224">
        <v>0</v>
      </c>
      <c r="BS224">
        <v>19.8</v>
      </c>
      <c r="BT224">
        <v>1</v>
      </c>
      <c r="BU224">
        <v>1</v>
      </c>
      <c r="BV224">
        <v>1</v>
      </c>
      <c r="BW224">
        <v>1</v>
      </c>
      <c r="BX224">
        <v>1</v>
      </c>
      <c r="BY224" t="s">
        <v>6</v>
      </c>
      <c r="BZ224" t="e">
        <f>'2.Лок.смета.и.Акт'!#REF!</f>
        <v>#REF!</v>
      </c>
      <c r="CA224" t="e">
        <f>'2.Лок.смета.и.Акт'!#REF!</f>
        <v>#REF!</v>
      </c>
      <c r="CB224" t="s">
        <v>6</v>
      </c>
      <c r="CE224">
        <v>0</v>
      </c>
      <c r="CF224">
        <v>0</v>
      </c>
      <c r="CG224">
        <v>0</v>
      </c>
      <c r="CM224">
        <v>0</v>
      </c>
      <c r="CN224" t="s">
        <v>6</v>
      </c>
      <c r="CO224">
        <v>0</v>
      </c>
      <c r="CP224">
        <f t="shared" si="252"/>
        <v>509</v>
      </c>
      <c r="CQ224">
        <f t="shared" si="253"/>
        <v>-0.5292</v>
      </c>
      <c r="CR224">
        <f t="shared" si="254"/>
        <v>1818.15</v>
      </c>
      <c r="CS224">
        <f t="shared" si="255"/>
        <v>0</v>
      </c>
      <c r="CT224">
        <f t="shared" si="256"/>
        <v>2423.2959999999998</v>
      </c>
      <c r="CU224">
        <f t="shared" si="257"/>
        <v>0</v>
      </c>
      <c r="CV224" t="e">
        <f t="shared" si="258"/>
        <v>#REF!</v>
      </c>
      <c r="CW224">
        <f t="shared" si="259"/>
        <v>0</v>
      </c>
      <c r="CX224">
        <f t="shared" si="260"/>
        <v>0</v>
      </c>
      <c r="CY224" t="e">
        <f>(S224+R224)*(BZ224/100)</f>
        <v>#REF!</v>
      </c>
      <c r="CZ224" t="e">
        <f>(S224+R224)*(CA224/100)</f>
        <v>#REF!</v>
      </c>
      <c r="DC224" t="s">
        <v>6</v>
      </c>
      <c r="DD224" t="s">
        <v>6</v>
      </c>
      <c r="DE224" t="s">
        <v>6</v>
      </c>
      <c r="DF224" t="s">
        <v>6</v>
      </c>
      <c r="DG224" t="s">
        <v>6</v>
      </c>
      <c r="DH224" t="s">
        <v>6</v>
      </c>
      <c r="DI224" t="s">
        <v>6</v>
      </c>
      <c r="DJ224" t="s">
        <v>6</v>
      </c>
      <c r="DK224" t="s">
        <v>6</v>
      </c>
      <c r="DL224" t="s">
        <v>6</v>
      </c>
      <c r="DM224" t="s">
        <v>6</v>
      </c>
      <c r="DN224">
        <f>'1.Лок.смета.и.Акт'!E388</f>
        <v>155</v>
      </c>
      <c r="DO224">
        <f>'1.Лок.смета.и.Акт'!E389</f>
        <v>100</v>
      </c>
      <c r="DP224">
        <v>1</v>
      </c>
      <c r="DQ224">
        <v>1</v>
      </c>
      <c r="DU224">
        <v>1003</v>
      </c>
      <c r="DV224" t="s">
        <v>298</v>
      </c>
      <c r="DW224" t="str">
        <f>'2.Лок.смета.и.Акт'!D40</f>
        <v>100 м</v>
      </c>
      <c r="DX224">
        <v>100</v>
      </c>
      <c r="DZ224" t="s">
        <v>6</v>
      </c>
      <c r="EA224" t="s">
        <v>6</v>
      </c>
      <c r="EB224" t="s">
        <v>6</v>
      </c>
      <c r="EC224" t="s">
        <v>6</v>
      </c>
      <c r="EE224">
        <v>54938449</v>
      </c>
      <c r="EF224">
        <v>1</v>
      </c>
      <c r="EG224" t="s">
        <v>26</v>
      </c>
      <c r="EH224">
        <v>0</v>
      </c>
      <c r="EI224" t="s">
        <v>6</v>
      </c>
      <c r="EJ224">
        <v>1</v>
      </c>
      <c r="EK224">
        <v>12</v>
      </c>
      <c r="EL224" t="s">
        <v>300</v>
      </c>
      <c r="EM224" t="s">
        <v>301</v>
      </c>
      <c r="EO224" t="s">
        <v>6</v>
      </c>
      <c r="EQ224">
        <v>2097152</v>
      </c>
      <c r="ER224">
        <f>ES224+ET224+EV224</f>
        <v>821.45999999999992</v>
      </c>
      <c r="ES224" s="75">
        <f>'1.Лок.смета.и.Акт'!F387</f>
        <v>531.29999999999995</v>
      </c>
      <c r="ET224" s="75">
        <f>'1.Лок.смета.и.Акт'!F386</f>
        <v>195.5</v>
      </c>
      <c r="EU224">
        <v>0</v>
      </c>
      <c r="EV224" s="75">
        <f>'1.Лок.смета.и.Акт'!F385</f>
        <v>94.66</v>
      </c>
      <c r="EW224" t="e">
        <f>'2.Лок.смета.и.Акт'!#REF!</f>
        <v>#REF!</v>
      </c>
      <c r="EX224">
        <v>0</v>
      </c>
      <c r="EY224">
        <v>1</v>
      </c>
      <c r="FQ224">
        <v>0</v>
      </c>
      <c r="FR224">
        <f t="shared" si="261"/>
        <v>0</v>
      </c>
      <c r="FS224">
        <v>0</v>
      </c>
      <c r="FX224">
        <v>155</v>
      </c>
      <c r="FY224">
        <v>100</v>
      </c>
      <c r="GA224" t="s">
        <v>6</v>
      </c>
      <c r="GD224">
        <v>1</v>
      </c>
      <c r="GF224">
        <v>-1642993105</v>
      </c>
      <c r="GG224">
        <v>2</v>
      </c>
      <c r="GH224">
        <v>1</v>
      </c>
      <c r="GI224">
        <v>2</v>
      </c>
      <c r="GJ224">
        <v>0</v>
      </c>
      <c r="GK224">
        <v>0</v>
      </c>
      <c r="GL224">
        <f t="shared" si="262"/>
        <v>0</v>
      </c>
      <c r="GM224" t="e">
        <f t="shared" si="263"/>
        <v>#REF!</v>
      </c>
      <c r="GN224" t="e">
        <f t="shared" si="264"/>
        <v>#REF!</v>
      </c>
      <c r="GO224">
        <f t="shared" si="265"/>
        <v>0</v>
      </c>
      <c r="GP224">
        <f t="shared" si="266"/>
        <v>0</v>
      </c>
      <c r="GR224">
        <v>0</v>
      </c>
      <c r="GS224">
        <v>3</v>
      </c>
      <c r="GT224">
        <v>0</v>
      </c>
      <c r="GU224" t="s">
        <v>6</v>
      </c>
      <c r="GV224">
        <f t="shared" si="267"/>
        <v>0</v>
      </c>
      <c r="GW224">
        <v>1008.6</v>
      </c>
      <c r="GX224">
        <f t="shared" si="268"/>
        <v>0</v>
      </c>
      <c r="HA224">
        <v>0</v>
      </c>
      <c r="HB224">
        <v>0</v>
      </c>
      <c r="HC224">
        <f t="shared" si="269"/>
        <v>0</v>
      </c>
      <c r="HE224" t="s">
        <v>6</v>
      </c>
      <c r="HF224" t="s">
        <v>6</v>
      </c>
      <c r="HM224" t="s">
        <v>6</v>
      </c>
      <c r="HN224" t="s">
        <v>6</v>
      </c>
      <c r="HO224" t="s">
        <v>6</v>
      </c>
      <c r="HP224" t="s">
        <v>6</v>
      </c>
      <c r="HQ224" t="s">
        <v>6</v>
      </c>
      <c r="IF224">
        <v>-1</v>
      </c>
      <c r="IK224">
        <v>0</v>
      </c>
    </row>
    <row r="225" spans="1:255" x14ac:dyDescent="0.2">
      <c r="A225" s="2">
        <v>18</v>
      </c>
      <c r="B225" s="2">
        <v>1</v>
      </c>
      <c r="C225" s="2">
        <v>260</v>
      </c>
      <c r="D225" s="2"/>
      <c r="E225" s="2" t="s">
        <v>302</v>
      </c>
      <c r="F225" s="2" t="s">
        <v>303</v>
      </c>
      <c r="G225" s="2" t="s">
        <v>304</v>
      </c>
      <c r="H225" s="2" t="s">
        <v>305</v>
      </c>
      <c r="I225" s="2">
        <f>I223*J225</f>
        <v>3.4043999999999999</v>
      </c>
      <c r="J225" s="226">
        <f>'5.Ведомость_списания'!F107</f>
        <v>28.37</v>
      </c>
      <c r="K225" s="2">
        <v>28.37</v>
      </c>
      <c r="L225" s="2"/>
      <c r="M225" s="2"/>
      <c r="N225" s="2"/>
      <c r="O225" s="2">
        <f t="shared" si="237"/>
        <v>255</v>
      </c>
      <c r="P225" s="2">
        <f t="shared" si="238"/>
        <v>255</v>
      </c>
      <c r="Q225" s="2">
        <f t="shared" si="239"/>
        <v>0</v>
      </c>
      <c r="R225" s="2">
        <f t="shared" si="240"/>
        <v>0</v>
      </c>
      <c r="S225" s="2">
        <f t="shared" si="241"/>
        <v>0</v>
      </c>
      <c r="T225" s="2">
        <f t="shared" si="242"/>
        <v>0</v>
      </c>
      <c r="U225" s="2">
        <f t="shared" si="243"/>
        <v>0</v>
      </c>
      <c r="V225" s="2">
        <f t="shared" si="244"/>
        <v>0</v>
      </c>
      <c r="W225" s="2">
        <f t="shared" si="245"/>
        <v>0</v>
      </c>
      <c r="X225" s="2">
        <f t="shared" si="246"/>
        <v>0</v>
      </c>
      <c r="Y225" s="2">
        <f t="shared" si="247"/>
        <v>0</v>
      </c>
      <c r="Z225" s="2"/>
      <c r="AA225" s="2">
        <v>86326987</v>
      </c>
      <c r="AB225" s="2">
        <f t="shared" si="248"/>
        <v>75.03</v>
      </c>
      <c r="AC225" s="2">
        <f>ROUND((ES225),2)</f>
        <v>75.03</v>
      </c>
      <c r="AD225" s="2">
        <f t="shared" si="270"/>
        <v>0</v>
      </c>
      <c r="AE225" s="2">
        <f t="shared" si="233"/>
        <v>0</v>
      </c>
      <c r="AF225" s="2">
        <f t="shared" si="234"/>
        <v>0</v>
      </c>
      <c r="AG225" s="2">
        <f t="shared" si="250"/>
        <v>0</v>
      </c>
      <c r="AH225" s="2">
        <f t="shared" si="235"/>
        <v>0</v>
      </c>
      <c r="AI225" s="2">
        <f t="shared" si="236"/>
        <v>0</v>
      </c>
      <c r="AJ225" s="2">
        <f t="shared" si="251"/>
        <v>0.04</v>
      </c>
      <c r="AK225" s="2">
        <v>75.03</v>
      </c>
      <c r="AL225" s="110">
        <f>'1.Лок.смета.и.Акт'!F391</f>
        <v>75.03</v>
      </c>
      <c r="AM225" s="2">
        <v>0</v>
      </c>
      <c r="AN225" s="2">
        <v>0</v>
      </c>
      <c r="AO225" s="2">
        <v>0</v>
      </c>
      <c r="AP225" s="2">
        <v>0</v>
      </c>
      <c r="AQ225" s="2">
        <v>0</v>
      </c>
      <c r="AR225" s="2">
        <v>0</v>
      </c>
      <c r="AS225" s="2">
        <v>0.04</v>
      </c>
      <c r="AT225" s="2">
        <v>0</v>
      </c>
      <c r="AU225" s="2">
        <v>0</v>
      </c>
      <c r="AV225" s="2">
        <v>1</v>
      </c>
      <c r="AW225" s="2">
        <v>1</v>
      </c>
      <c r="AX225" s="2"/>
      <c r="AY225" s="2"/>
      <c r="AZ225" s="2">
        <v>1</v>
      </c>
      <c r="BA225" s="2">
        <v>1</v>
      </c>
      <c r="BB225" s="2">
        <v>1</v>
      </c>
      <c r="BC225" s="2">
        <v>1</v>
      </c>
      <c r="BD225" s="2" t="s">
        <v>6</v>
      </c>
      <c r="BE225" s="2" t="s">
        <v>6</v>
      </c>
      <c r="BF225" s="2" t="s">
        <v>6</v>
      </c>
      <c r="BG225" s="2" t="s">
        <v>6</v>
      </c>
      <c r="BH225" s="2">
        <v>3</v>
      </c>
      <c r="BI225" s="2">
        <v>1</v>
      </c>
      <c r="BJ225" s="2" t="s">
        <v>306</v>
      </c>
      <c r="BK225" s="2"/>
      <c r="BL225" s="2"/>
      <c r="BM225" s="2">
        <v>500001</v>
      </c>
      <c r="BN225" s="2">
        <v>0</v>
      </c>
      <c r="BO225" s="2" t="s">
        <v>6</v>
      </c>
      <c r="BP225" s="2">
        <v>0</v>
      </c>
      <c r="BQ225" s="2">
        <v>20</v>
      </c>
      <c r="BR225" s="2">
        <v>0</v>
      </c>
      <c r="BS225" s="2">
        <v>1</v>
      </c>
      <c r="BT225" s="2">
        <v>1</v>
      </c>
      <c r="BU225" s="2">
        <v>1</v>
      </c>
      <c r="BV225" s="2">
        <v>1</v>
      </c>
      <c r="BW225" s="2">
        <v>1</v>
      </c>
      <c r="BX225" s="2">
        <v>1</v>
      </c>
      <c r="BY225" s="2" t="s">
        <v>6</v>
      </c>
      <c r="BZ225" s="2">
        <v>0</v>
      </c>
      <c r="CA225" s="2">
        <v>0</v>
      </c>
      <c r="CB225" s="2" t="s">
        <v>6</v>
      </c>
      <c r="CC225" s="2"/>
      <c r="CD225" s="2"/>
      <c r="CE225" s="2">
        <v>0</v>
      </c>
      <c r="CF225" s="2">
        <v>0</v>
      </c>
      <c r="CG225" s="2">
        <v>0</v>
      </c>
      <c r="CH225" s="2"/>
      <c r="CI225" s="2"/>
      <c r="CJ225" s="2"/>
      <c r="CK225" s="2"/>
      <c r="CL225" s="2"/>
      <c r="CM225" s="2">
        <v>0</v>
      </c>
      <c r="CN225" s="2" t="s">
        <v>6</v>
      </c>
      <c r="CO225" s="2">
        <v>0</v>
      </c>
      <c r="CP225" s="2">
        <f t="shared" si="252"/>
        <v>255</v>
      </c>
      <c r="CQ225" s="2">
        <f t="shared" si="253"/>
        <v>75.03</v>
      </c>
      <c r="CR225" s="2">
        <f t="shared" si="254"/>
        <v>0</v>
      </c>
      <c r="CS225" s="2">
        <f t="shared" si="255"/>
        <v>0</v>
      </c>
      <c r="CT225" s="2">
        <f t="shared" si="256"/>
        <v>0</v>
      </c>
      <c r="CU225" s="2">
        <f t="shared" si="257"/>
        <v>0</v>
      </c>
      <c r="CV225" s="2">
        <f t="shared" si="258"/>
        <v>0</v>
      </c>
      <c r="CW225" s="2">
        <f t="shared" si="259"/>
        <v>0</v>
      </c>
      <c r="CX225" s="2">
        <f t="shared" si="260"/>
        <v>0.04</v>
      </c>
      <c r="CY225" s="2">
        <f>(((S225+(R225*IF(0,0,1)))*AT225)/100)</f>
        <v>0</v>
      </c>
      <c r="CZ225" s="2">
        <f>(((S225+(R225*IF(0,0,1)))*AU225)/100)</f>
        <v>0</v>
      </c>
      <c r="DA225" s="2"/>
      <c r="DB225" s="2"/>
      <c r="DC225" s="2" t="s">
        <v>6</v>
      </c>
      <c r="DD225" s="2" t="s">
        <v>6</v>
      </c>
      <c r="DE225" s="2" t="s">
        <v>6</v>
      </c>
      <c r="DF225" s="2" t="s">
        <v>6</v>
      </c>
      <c r="DG225" s="2" t="s">
        <v>6</v>
      </c>
      <c r="DH225" s="2" t="s">
        <v>6</v>
      </c>
      <c r="DI225" s="2" t="s">
        <v>6</v>
      </c>
      <c r="DJ225" s="2" t="s">
        <v>6</v>
      </c>
      <c r="DK225" s="2" t="s">
        <v>6</v>
      </c>
      <c r="DL225" s="2" t="s">
        <v>6</v>
      </c>
      <c r="DM225" s="2" t="s">
        <v>6</v>
      </c>
      <c r="DN225" s="2">
        <v>0</v>
      </c>
      <c r="DO225" s="2">
        <v>0</v>
      </c>
      <c r="DP225" s="2">
        <v>1</v>
      </c>
      <c r="DQ225" s="2">
        <v>1</v>
      </c>
      <c r="DR225" s="2"/>
      <c r="DS225" s="2"/>
      <c r="DT225" s="2"/>
      <c r="DU225" s="2">
        <v>1009</v>
      </c>
      <c r="DV225" s="2" t="s">
        <v>305</v>
      </c>
      <c r="DW225" s="2" t="s">
        <v>305</v>
      </c>
      <c r="DX225" s="2">
        <v>1</v>
      </c>
      <c r="DY225" s="2"/>
      <c r="DZ225" s="2" t="s">
        <v>6</v>
      </c>
      <c r="EA225" s="2" t="s">
        <v>6</v>
      </c>
      <c r="EB225" s="2" t="s">
        <v>6</v>
      </c>
      <c r="EC225" s="2" t="s">
        <v>6</v>
      </c>
      <c r="ED225" s="2"/>
      <c r="EE225" s="2">
        <v>54938781</v>
      </c>
      <c r="EF225" s="2">
        <v>20</v>
      </c>
      <c r="EG225" s="2" t="s">
        <v>35</v>
      </c>
      <c r="EH225" s="2">
        <v>0</v>
      </c>
      <c r="EI225" s="2" t="s">
        <v>6</v>
      </c>
      <c r="EJ225" s="2">
        <v>1</v>
      </c>
      <c r="EK225" s="2">
        <v>500001</v>
      </c>
      <c r="EL225" s="2" t="s">
        <v>36</v>
      </c>
      <c r="EM225" s="2" t="s">
        <v>37</v>
      </c>
      <c r="EN225" s="2"/>
      <c r="EO225" s="2" t="s">
        <v>6</v>
      </c>
      <c r="EP225" s="2"/>
      <c r="EQ225" s="2">
        <v>0</v>
      </c>
      <c r="ER225" s="2">
        <v>75.03</v>
      </c>
      <c r="ES225" s="110">
        <f>'1.Лок.смета.и.Акт'!F391</f>
        <v>75.03</v>
      </c>
      <c r="ET225" s="2">
        <v>0</v>
      </c>
      <c r="EU225" s="2">
        <v>0</v>
      </c>
      <c r="EV225" s="2">
        <v>0</v>
      </c>
      <c r="EW225" s="2">
        <v>0</v>
      </c>
      <c r="EX225" s="2">
        <v>0</v>
      </c>
      <c r="EY225" s="2"/>
      <c r="EZ225" s="2"/>
      <c r="FA225" s="2"/>
      <c r="FB225" s="2"/>
      <c r="FC225" s="2"/>
      <c r="FD225" s="2"/>
      <c r="FE225" s="2"/>
      <c r="FF225" s="2"/>
      <c r="FG225" s="2"/>
      <c r="FH225" s="2"/>
      <c r="FI225" s="2"/>
      <c r="FJ225" s="2"/>
      <c r="FK225" s="2"/>
      <c r="FL225" s="2"/>
      <c r="FM225" s="2"/>
      <c r="FN225" s="2"/>
      <c r="FO225" s="2"/>
      <c r="FP225" s="2"/>
      <c r="FQ225" s="2">
        <v>0</v>
      </c>
      <c r="FR225" s="2">
        <f t="shared" si="261"/>
        <v>0</v>
      </c>
      <c r="FS225" s="2">
        <v>0</v>
      </c>
      <c r="FT225" s="2"/>
      <c r="FU225" s="2"/>
      <c r="FV225" s="2"/>
      <c r="FW225" s="2"/>
      <c r="FX225" s="2">
        <v>0</v>
      </c>
      <c r="FY225" s="2">
        <v>0</v>
      </c>
      <c r="FZ225" s="2"/>
      <c r="GA225" s="2" t="s">
        <v>6</v>
      </c>
      <c r="GB225" s="2"/>
      <c r="GC225" s="2"/>
      <c r="GD225" s="2">
        <v>1</v>
      </c>
      <c r="GE225" s="2"/>
      <c r="GF225" s="2">
        <v>863799311</v>
      </c>
      <c r="GG225" s="2">
        <v>2</v>
      </c>
      <c r="GH225" s="2">
        <v>1</v>
      </c>
      <c r="GI225" s="2">
        <v>-2</v>
      </c>
      <c r="GJ225" s="2">
        <v>0</v>
      </c>
      <c r="GK225" s="2">
        <v>0</v>
      </c>
      <c r="GL225" s="2">
        <f t="shared" si="262"/>
        <v>0</v>
      </c>
      <c r="GM225" s="2">
        <f t="shared" si="263"/>
        <v>255</v>
      </c>
      <c r="GN225" s="2">
        <f t="shared" si="264"/>
        <v>255</v>
      </c>
      <c r="GO225" s="2">
        <f t="shared" si="265"/>
        <v>0</v>
      </c>
      <c r="GP225" s="2">
        <f t="shared" si="266"/>
        <v>0</v>
      </c>
      <c r="GQ225" s="2"/>
      <c r="GR225" s="2">
        <v>0</v>
      </c>
      <c r="GS225" s="2">
        <v>3</v>
      </c>
      <c r="GT225" s="2">
        <v>0</v>
      </c>
      <c r="GU225" s="2" t="s">
        <v>6</v>
      </c>
      <c r="GV225" s="2">
        <f t="shared" si="267"/>
        <v>0</v>
      </c>
      <c r="GW225" s="2">
        <v>1</v>
      </c>
      <c r="GX225" s="2">
        <f t="shared" si="268"/>
        <v>0</v>
      </c>
      <c r="GY225" s="2"/>
      <c r="GZ225" s="2"/>
      <c r="HA225" s="2">
        <v>0</v>
      </c>
      <c r="HB225" s="2">
        <v>0</v>
      </c>
      <c r="HC225" s="2">
        <f t="shared" si="269"/>
        <v>0</v>
      </c>
      <c r="HD225" s="2"/>
      <c r="HE225" s="2" t="s">
        <v>6</v>
      </c>
      <c r="HF225" s="2" t="s">
        <v>6</v>
      </c>
      <c r="HG225" s="2"/>
      <c r="HH225" s="2"/>
      <c r="HI225" s="2"/>
      <c r="HJ225" s="2"/>
      <c r="HK225" s="2"/>
      <c r="HL225" s="2"/>
      <c r="HM225" s="2" t="s">
        <v>6</v>
      </c>
      <c r="HN225" s="2" t="s">
        <v>6</v>
      </c>
      <c r="HO225" s="2" t="s">
        <v>6</v>
      </c>
      <c r="HP225" s="2" t="s">
        <v>6</v>
      </c>
      <c r="HQ225" s="2" t="s">
        <v>6</v>
      </c>
      <c r="HR225" s="2"/>
      <c r="HS225" s="2"/>
      <c r="HT225" s="2"/>
      <c r="HU225" s="2"/>
      <c r="HV225" s="2"/>
      <c r="HW225" s="2"/>
      <c r="HX225" s="2"/>
      <c r="HY225" s="2"/>
      <c r="HZ225" s="2"/>
      <c r="IA225" s="2"/>
      <c r="IB225" s="2"/>
      <c r="IC225" s="2"/>
      <c r="ID225" s="2"/>
      <c r="IE225" s="2"/>
      <c r="IF225" s="2">
        <v>-1</v>
      </c>
      <c r="IG225" s="2"/>
      <c r="IH225" s="2"/>
      <c r="II225" s="2"/>
      <c r="IJ225" s="2"/>
      <c r="IK225" s="2">
        <v>0</v>
      </c>
      <c r="IL225" s="2"/>
      <c r="IM225" s="2"/>
      <c r="IN225" s="2"/>
      <c r="IO225" s="2"/>
      <c r="IP225" s="2"/>
      <c r="IQ225" s="2"/>
      <c r="IR225" s="2"/>
      <c r="IS225" s="2"/>
      <c r="IT225" s="2"/>
      <c r="IU225" s="2"/>
    </row>
    <row r="226" spans="1:255" x14ac:dyDescent="0.2">
      <c r="A226">
        <v>18</v>
      </c>
      <c r="B226">
        <v>1</v>
      </c>
      <c r="C226">
        <v>264</v>
      </c>
      <c r="E226" t="s">
        <v>302</v>
      </c>
      <c r="F226" t="e">
        <f>'2.Лок.смета.и.Акт'!#REF!</f>
        <v>#REF!</v>
      </c>
      <c r="G226" t="s">
        <v>304</v>
      </c>
      <c r="H226" t="s">
        <v>305</v>
      </c>
      <c r="I226">
        <f>I224*J226</f>
        <v>3.4043999999999999</v>
      </c>
      <c r="J226">
        <v>28.37</v>
      </c>
      <c r="K226">
        <v>28.37</v>
      </c>
      <c r="O226">
        <f t="shared" si="237"/>
        <v>715</v>
      </c>
      <c r="P226">
        <f t="shared" si="238"/>
        <v>715</v>
      </c>
      <c r="Q226">
        <f t="shared" si="239"/>
        <v>0</v>
      </c>
      <c r="R226">
        <f t="shared" si="240"/>
        <v>0</v>
      </c>
      <c r="S226">
        <f t="shared" si="241"/>
        <v>0</v>
      </c>
      <c r="T226">
        <f t="shared" si="242"/>
        <v>0</v>
      </c>
      <c r="U226">
        <f t="shared" si="243"/>
        <v>0</v>
      </c>
      <c r="V226">
        <f t="shared" si="244"/>
        <v>0</v>
      </c>
      <c r="W226">
        <f t="shared" si="245"/>
        <v>0</v>
      </c>
      <c r="X226">
        <f t="shared" si="246"/>
        <v>0</v>
      </c>
      <c r="Y226">
        <f t="shared" si="247"/>
        <v>0</v>
      </c>
      <c r="AA226">
        <v>86326988</v>
      </c>
      <c r="AB226">
        <f t="shared" si="248"/>
        <v>27.8</v>
      </c>
      <c r="AC226">
        <f>ROUND((ES226),2)</f>
        <v>27.8</v>
      </c>
      <c r="AD226">
        <f t="shared" si="270"/>
        <v>0</v>
      </c>
      <c r="AE226">
        <f t="shared" si="233"/>
        <v>0</v>
      </c>
      <c r="AF226">
        <f t="shared" si="234"/>
        <v>0</v>
      </c>
      <c r="AG226">
        <f t="shared" si="250"/>
        <v>0</v>
      </c>
      <c r="AH226">
        <f t="shared" si="235"/>
        <v>0</v>
      </c>
      <c r="AI226">
        <f t="shared" si="236"/>
        <v>0</v>
      </c>
      <c r="AJ226">
        <f t="shared" si="251"/>
        <v>0.04</v>
      </c>
      <c r="AK226">
        <v>27.8</v>
      </c>
      <c r="AL226">
        <v>27.8</v>
      </c>
      <c r="AM226">
        <v>0</v>
      </c>
      <c r="AN226">
        <v>0</v>
      </c>
      <c r="AO226">
        <v>0</v>
      </c>
      <c r="AP226">
        <v>0</v>
      </c>
      <c r="AQ226">
        <v>0</v>
      </c>
      <c r="AR226">
        <v>0</v>
      </c>
      <c r="AS226">
        <v>0.04</v>
      </c>
      <c r="AT226">
        <v>0</v>
      </c>
      <c r="AU226">
        <v>0</v>
      </c>
      <c r="AV226">
        <v>1</v>
      </c>
      <c r="AW226">
        <v>1</v>
      </c>
      <c r="AZ226">
        <v>1</v>
      </c>
      <c r="BA226">
        <v>1</v>
      </c>
      <c r="BB226">
        <v>1</v>
      </c>
      <c r="BC226">
        <v>7.56</v>
      </c>
      <c r="BD226" t="s">
        <v>6</v>
      </c>
      <c r="BE226" t="s">
        <v>6</v>
      </c>
      <c r="BF226" t="s">
        <v>6</v>
      </c>
      <c r="BG226" t="s">
        <v>6</v>
      </c>
      <c r="BH226">
        <v>3</v>
      </c>
      <c r="BI226">
        <v>1</v>
      </c>
      <c r="BJ226" t="s">
        <v>306</v>
      </c>
      <c r="BM226">
        <v>500001</v>
      </c>
      <c r="BN226">
        <v>0</v>
      </c>
      <c r="BO226" t="s">
        <v>6</v>
      </c>
      <c r="BP226">
        <v>0</v>
      </c>
      <c r="BQ226">
        <v>20</v>
      </c>
      <c r="BR226">
        <v>0</v>
      </c>
      <c r="BS226">
        <v>1</v>
      </c>
      <c r="BT226">
        <v>1</v>
      </c>
      <c r="BU226">
        <v>1</v>
      </c>
      <c r="BV226">
        <v>1</v>
      </c>
      <c r="BW226">
        <v>1</v>
      </c>
      <c r="BX226">
        <v>1</v>
      </c>
      <c r="BY226" t="s">
        <v>6</v>
      </c>
      <c r="BZ226">
        <v>0</v>
      </c>
      <c r="CA226">
        <v>0</v>
      </c>
      <c r="CB226" t="s">
        <v>6</v>
      </c>
      <c r="CE226">
        <v>0</v>
      </c>
      <c r="CF226">
        <v>0</v>
      </c>
      <c r="CG226">
        <v>0</v>
      </c>
      <c r="CM226">
        <v>0</v>
      </c>
      <c r="CN226" t="s">
        <v>6</v>
      </c>
      <c r="CO226">
        <v>0</v>
      </c>
      <c r="CP226">
        <f t="shared" si="252"/>
        <v>715</v>
      </c>
      <c r="CQ226">
        <f t="shared" si="253"/>
        <v>210.16800000000001</v>
      </c>
      <c r="CR226">
        <f t="shared" si="254"/>
        <v>0</v>
      </c>
      <c r="CS226">
        <f t="shared" si="255"/>
        <v>0</v>
      </c>
      <c r="CT226">
        <f t="shared" si="256"/>
        <v>0</v>
      </c>
      <c r="CU226">
        <f t="shared" si="257"/>
        <v>0</v>
      </c>
      <c r="CV226">
        <f t="shared" si="258"/>
        <v>0</v>
      </c>
      <c r="CW226">
        <f t="shared" si="259"/>
        <v>0</v>
      </c>
      <c r="CX226">
        <f t="shared" si="260"/>
        <v>0.04</v>
      </c>
      <c r="CY226">
        <f>(S226+R226)*(BZ226/100)</f>
        <v>0</v>
      </c>
      <c r="CZ226">
        <f>(S226+R226)*(CA226/100)</f>
        <v>0</v>
      </c>
      <c r="DC226" t="s">
        <v>6</v>
      </c>
      <c r="DD226" t="s">
        <v>6</v>
      </c>
      <c r="DE226" t="s">
        <v>6</v>
      </c>
      <c r="DF226" t="s">
        <v>6</v>
      </c>
      <c r="DG226" t="s">
        <v>6</v>
      </c>
      <c r="DH226" t="s">
        <v>6</v>
      </c>
      <c r="DI226" t="s">
        <v>6</v>
      </c>
      <c r="DJ226" t="s">
        <v>6</v>
      </c>
      <c r="DK226" t="s">
        <v>6</v>
      </c>
      <c r="DL226" t="s">
        <v>6</v>
      </c>
      <c r="DM226" t="s">
        <v>6</v>
      </c>
      <c r="DN226">
        <v>0</v>
      </c>
      <c r="DO226">
        <v>0</v>
      </c>
      <c r="DP226">
        <v>1</v>
      </c>
      <c r="DQ226">
        <v>1</v>
      </c>
      <c r="DU226">
        <v>1009</v>
      </c>
      <c r="DV226" t="s">
        <v>305</v>
      </c>
      <c r="DW226" t="e">
        <f>'2.Лок.смета.и.Акт'!#REF!</f>
        <v>#REF!</v>
      </c>
      <c r="DX226">
        <v>1</v>
      </c>
      <c r="DZ226" t="s">
        <v>6</v>
      </c>
      <c r="EA226" t="s">
        <v>6</v>
      </c>
      <c r="EB226" t="s">
        <v>6</v>
      </c>
      <c r="EC226" t="s">
        <v>6</v>
      </c>
      <c r="EE226">
        <v>54938781</v>
      </c>
      <c r="EF226">
        <v>20</v>
      </c>
      <c r="EG226" t="s">
        <v>35</v>
      </c>
      <c r="EH226">
        <v>0</v>
      </c>
      <c r="EI226" t="s">
        <v>6</v>
      </c>
      <c r="EJ226">
        <v>1</v>
      </c>
      <c r="EK226">
        <v>500001</v>
      </c>
      <c r="EL226" t="s">
        <v>36</v>
      </c>
      <c r="EM226" t="s">
        <v>37</v>
      </c>
      <c r="EO226" t="s">
        <v>6</v>
      </c>
      <c r="EQ226">
        <v>0</v>
      </c>
      <c r="ER226">
        <v>198.1</v>
      </c>
      <c r="ES226">
        <v>27.8</v>
      </c>
      <c r="ET226">
        <v>0</v>
      </c>
      <c r="EU226">
        <v>0</v>
      </c>
      <c r="EV226">
        <v>0</v>
      </c>
      <c r="EW226">
        <v>0</v>
      </c>
      <c r="EX226">
        <v>0</v>
      </c>
      <c r="EZ226">
        <v>5</v>
      </c>
      <c r="FC226">
        <v>0</v>
      </c>
      <c r="FD226">
        <v>18</v>
      </c>
      <c r="FF226">
        <v>198.1</v>
      </c>
      <c r="FQ226">
        <v>0</v>
      </c>
      <c r="FR226">
        <f t="shared" si="261"/>
        <v>0</v>
      </c>
      <c r="FS226">
        <v>0</v>
      </c>
      <c r="FX226">
        <v>0</v>
      </c>
      <c r="FY226">
        <v>0</v>
      </c>
      <c r="GA226" t="s">
        <v>307</v>
      </c>
      <c r="GD226">
        <v>1</v>
      </c>
      <c r="GF226">
        <v>863799311</v>
      </c>
      <c r="GG226">
        <v>2</v>
      </c>
      <c r="GH226">
        <v>3</v>
      </c>
      <c r="GI226">
        <v>5</v>
      </c>
      <c r="GJ226">
        <v>0</v>
      </c>
      <c r="GK226">
        <v>0</v>
      </c>
      <c r="GL226">
        <f t="shared" si="262"/>
        <v>0</v>
      </c>
      <c r="GM226">
        <f t="shared" si="263"/>
        <v>715</v>
      </c>
      <c r="GN226">
        <f t="shared" si="264"/>
        <v>715</v>
      </c>
      <c r="GO226">
        <f t="shared" si="265"/>
        <v>0</v>
      </c>
      <c r="GP226">
        <f t="shared" si="266"/>
        <v>0</v>
      </c>
      <c r="GR226">
        <v>1</v>
      </c>
      <c r="GS226">
        <v>1</v>
      </c>
      <c r="GT226">
        <v>0</v>
      </c>
      <c r="GU226" t="s">
        <v>6</v>
      </c>
      <c r="GV226">
        <f t="shared" si="267"/>
        <v>0</v>
      </c>
      <c r="GW226">
        <v>1</v>
      </c>
      <c r="GX226">
        <f t="shared" si="268"/>
        <v>0</v>
      </c>
      <c r="HA226">
        <v>0</v>
      </c>
      <c r="HB226">
        <v>0</v>
      </c>
      <c r="HC226">
        <f t="shared" si="269"/>
        <v>0</v>
      </c>
      <c r="HE226" t="s">
        <v>39</v>
      </c>
      <c r="HF226" t="s">
        <v>40</v>
      </c>
      <c r="HM226" t="s">
        <v>6</v>
      </c>
      <c r="HN226" t="s">
        <v>6</v>
      </c>
      <c r="HO226" t="s">
        <v>6</v>
      </c>
      <c r="HP226" t="s">
        <v>6</v>
      </c>
      <c r="HQ226" t="s">
        <v>6</v>
      </c>
      <c r="IF226">
        <v>-1</v>
      </c>
      <c r="IK226">
        <v>0</v>
      </c>
    </row>
    <row r="227" spans="1:255" x14ac:dyDescent="0.2">
      <c r="A227" s="2">
        <v>17</v>
      </c>
      <c r="B227" s="2">
        <v>1</v>
      </c>
      <c r="C227" s="2">
        <f>ROW(SmtRes!A274)</f>
        <v>274</v>
      </c>
      <c r="D227" s="2">
        <f>ROW(EtalonRes!A204)</f>
        <v>204</v>
      </c>
      <c r="E227" s="2" t="s">
        <v>308</v>
      </c>
      <c r="F227" s="2" t="s">
        <v>309</v>
      </c>
      <c r="G227" s="2" t="s">
        <v>310</v>
      </c>
      <c r="H227" s="2" t="s">
        <v>298</v>
      </c>
      <c r="I227" s="2">
        <f>'2.Лок.смета.и.Акт'!E41</f>
        <v>0.72</v>
      </c>
      <c r="J227" s="2">
        <v>0</v>
      </c>
      <c r="K227" s="2">
        <v>2.88</v>
      </c>
      <c r="L227" s="2"/>
      <c r="M227" s="2"/>
      <c r="N227" s="2"/>
      <c r="O227" s="2">
        <f t="shared" si="237"/>
        <v>121</v>
      </c>
      <c r="P227" s="2">
        <f t="shared" si="238"/>
        <v>0</v>
      </c>
      <c r="Q227" s="2">
        <f t="shared" si="239"/>
        <v>17</v>
      </c>
      <c r="R227" s="2">
        <f t="shared" si="240"/>
        <v>1</v>
      </c>
      <c r="S227" s="2">
        <f t="shared" si="241"/>
        <v>104</v>
      </c>
      <c r="T227" s="2">
        <f t="shared" si="242"/>
        <v>0</v>
      </c>
      <c r="U227" s="2">
        <f t="shared" si="243"/>
        <v>11.0016</v>
      </c>
      <c r="V227" s="2">
        <f t="shared" si="244"/>
        <v>6.4799999999999996E-2</v>
      </c>
      <c r="W227" s="2">
        <f t="shared" si="245"/>
        <v>0</v>
      </c>
      <c r="X227" s="2">
        <f t="shared" si="246"/>
        <v>100</v>
      </c>
      <c r="Y227" s="2">
        <f t="shared" si="247"/>
        <v>68</v>
      </c>
      <c r="Z227" s="2"/>
      <c r="AA227" s="2">
        <v>86326987</v>
      </c>
      <c r="AB227" s="2">
        <f t="shared" si="248"/>
        <v>168.36</v>
      </c>
      <c r="AC227" s="2">
        <f>ROUND((ES227+(SUM(SmtRes!BC265:'SmtRes'!BC274)+SUM(EtalonRes!AL197:'EtalonRes'!AL204))),2)</f>
        <v>0</v>
      </c>
      <c r="AD227" s="2">
        <f t="shared" si="270"/>
        <v>23.51</v>
      </c>
      <c r="AE227" s="2">
        <f t="shared" si="233"/>
        <v>1.22</v>
      </c>
      <c r="AF227" s="2">
        <f t="shared" si="234"/>
        <v>144.85</v>
      </c>
      <c r="AG227" s="2">
        <f t="shared" si="250"/>
        <v>0</v>
      </c>
      <c r="AH227" s="2">
        <f t="shared" si="235"/>
        <v>15.28</v>
      </c>
      <c r="AI227" s="2">
        <f t="shared" si="236"/>
        <v>0.09</v>
      </c>
      <c r="AJ227" s="2">
        <f t="shared" si="251"/>
        <v>0</v>
      </c>
      <c r="AK227" s="2">
        <v>187.52</v>
      </c>
      <c r="AL227" s="2">
        <v>19.16</v>
      </c>
      <c r="AM227" s="2">
        <v>23.51</v>
      </c>
      <c r="AN227" s="2">
        <v>1.22</v>
      </c>
      <c r="AO227" s="2">
        <v>144.85</v>
      </c>
      <c r="AP227" s="2">
        <v>0</v>
      </c>
      <c r="AQ227" s="2">
        <v>15.28</v>
      </c>
      <c r="AR227" s="2">
        <v>0.09</v>
      </c>
      <c r="AS227" s="2">
        <v>0</v>
      </c>
      <c r="AT227" s="2">
        <v>95</v>
      </c>
      <c r="AU227" s="2">
        <v>65</v>
      </c>
      <c r="AV227" s="2">
        <v>1</v>
      </c>
      <c r="AW227" s="2">
        <v>1</v>
      </c>
      <c r="AX227" s="2"/>
      <c r="AY227" s="2"/>
      <c r="AZ227" s="2">
        <v>1</v>
      </c>
      <c r="BA227" s="2">
        <v>1</v>
      </c>
      <c r="BB227" s="2">
        <v>1</v>
      </c>
      <c r="BC227" s="2">
        <v>1</v>
      </c>
      <c r="BD227" s="2" t="s">
        <v>6</v>
      </c>
      <c r="BE227" s="2" t="s">
        <v>6</v>
      </c>
      <c r="BF227" s="2" t="s">
        <v>6</v>
      </c>
      <c r="BG227" s="2" t="s">
        <v>6</v>
      </c>
      <c r="BH227" s="2">
        <v>0</v>
      </c>
      <c r="BI227" s="2">
        <v>2</v>
      </c>
      <c r="BJ227" s="2" t="s">
        <v>311</v>
      </c>
      <c r="BK227" s="2"/>
      <c r="BL227" s="2"/>
      <c r="BM227" s="2">
        <v>108001</v>
      </c>
      <c r="BN227" s="2">
        <v>0</v>
      </c>
      <c r="BO227" s="2" t="s">
        <v>6</v>
      </c>
      <c r="BP227" s="2">
        <v>0</v>
      </c>
      <c r="BQ227" s="2">
        <v>2</v>
      </c>
      <c r="BR227" s="2">
        <v>0</v>
      </c>
      <c r="BS227" s="2">
        <v>1</v>
      </c>
      <c r="BT227" s="2">
        <v>1</v>
      </c>
      <c r="BU227" s="2">
        <v>1</v>
      </c>
      <c r="BV227" s="2">
        <v>1</v>
      </c>
      <c r="BW227" s="2">
        <v>1</v>
      </c>
      <c r="BX227" s="2">
        <v>1</v>
      </c>
      <c r="BY227" s="2" t="s">
        <v>6</v>
      </c>
      <c r="BZ227" s="2">
        <v>95</v>
      </c>
      <c r="CA227" s="2">
        <v>65</v>
      </c>
      <c r="CB227" s="2" t="s">
        <v>6</v>
      </c>
      <c r="CC227" s="2"/>
      <c r="CD227" s="2"/>
      <c r="CE227" s="2">
        <v>0</v>
      </c>
      <c r="CF227" s="2">
        <v>0</v>
      </c>
      <c r="CG227" s="2">
        <v>0</v>
      </c>
      <c r="CH227" s="2"/>
      <c r="CI227" s="2"/>
      <c r="CJ227" s="2"/>
      <c r="CK227" s="2"/>
      <c r="CL227" s="2"/>
      <c r="CM227" s="2">
        <v>0</v>
      </c>
      <c r="CN227" s="2" t="s">
        <v>6</v>
      </c>
      <c r="CO227" s="2">
        <v>0</v>
      </c>
      <c r="CP227" s="2">
        <f t="shared" si="252"/>
        <v>121</v>
      </c>
      <c r="CQ227" s="2">
        <f t="shared" si="253"/>
        <v>0</v>
      </c>
      <c r="CR227" s="2">
        <f t="shared" si="254"/>
        <v>23.51</v>
      </c>
      <c r="CS227" s="2">
        <f t="shared" si="255"/>
        <v>1.22</v>
      </c>
      <c r="CT227" s="2">
        <f t="shared" si="256"/>
        <v>144.85</v>
      </c>
      <c r="CU227" s="2">
        <f t="shared" si="257"/>
        <v>0</v>
      </c>
      <c r="CV227" s="2">
        <f t="shared" si="258"/>
        <v>15.28</v>
      </c>
      <c r="CW227" s="2">
        <f t="shared" si="259"/>
        <v>0.09</v>
      </c>
      <c r="CX227" s="2">
        <f t="shared" si="260"/>
        <v>0</v>
      </c>
      <c r="CY227" s="2">
        <f>(((S227+(R227*IF(0,0,1)))*AT227)/100)</f>
        <v>99.75</v>
      </c>
      <c r="CZ227" s="2">
        <f>(((S227+(R227*IF(0,0,1)))*AU227)/100)</f>
        <v>68.25</v>
      </c>
      <c r="DA227" s="2"/>
      <c r="DB227" s="2"/>
      <c r="DC227" s="2" t="s">
        <v>6</v>
      </c>
      <c r="DD227" s="2" t="s">
        <v>6</v>
      </c>
      <c r="DE227" s="2" t="s">
        <v>6</v>
      </c>
      <c r="DF227" s="2" t="s">
        <v>6</v>
      </c>
      <c r="DG227" s="2" t="s">
        <v>6</v>
      </c>
      <c r="DH227" s="2" t="s">
        <v>6</v>
      </c>
      <c r="DI227" s="2" t="s">
        <v>6</v>
      </c>
      <c r="DJ227" s="2" t="s">
        <v>6</v>
      </c>
      <c r="DK227" s="2" t="s">
        <v>6</v>
      </c>
      <c r="DL227" s="2" t="s">
        <v>6</v>
      </c>
      <c r="DM227" s="2" t="s">
        <v>6</v>
      </c>
      <c r="DN227" s="2">
        <v>0</v>
      </c>
      <c r="DO227" s="2">
        <v>0</v>
      </c>
      <c r="DP227" s="2">
        <v>1</v>
      </c>
      <c r="DQ227" s="2">
        <v>1</v>
      </c>
      <c r="DR227" s="2"/>
      <c r="DS227" s="2"/>
      <c r="DT227" s="2"/>
      <c r="DU227" s="2">
        <v>1003</v>
      </c>
      <c r="DV227" s="2" t="s">
        <v>298</v>
      </c>
      <c r="DW227" s="2" t="s">
        <v>298</v>
      </c>
      <c r="DX227" s="2">
        <v>100</v>
      </c>
      <c r="DY227" s="2"/>
      <c r="DZ227" s="2" t="s">
        <v>6</v>
      </c>
      <c r="EA227" s="2" t="s">
        <v>6</v>
      </c>
      <c r="EB227" s="2" t="s">
        <v>6</v>
      </c>
      <c r="EC227" s="2" t="s">
        <v>6</v>
      </c>
      <c r="ED227" s="2"/>
      <c r="EE227" s="2">
        <v>54938726</v>
      </c>
      <c r="EF227" s="2">
        <v>2</v>
      </c>
      <c r="EG227" s="2" t="s">
        <v>312</v>
      </c>
      <c r="EH227" s="2">
        <v>0</v>
      </c>
      <c r="EI227" s="2" t="s">
        <v>6</v>
      </c>
      <c r="EJ227" s="2">
        <v>2</v>
      </c>
      <c r="EK227" s="2">
        <v>108001</v>
      </c>
      <c r="EL227" s="2" t="s">
        <v>313</v>
      </c>
      <c r="EM227" s="2" t="s">
        <v>314</v>
      </c>
      <c r="EN227" s="2"/>
      <c r="EO227" s="2" t="s">
        <v>6</v>
      </c>
      <c r="EP227" s="2"/>
      <c r="EQ227" s="2">
        <v>2097152</v>
      </c>
      <c r="ER227" s="2">
        <v>187.52</v>
      </c>
      <c r="ES227" s="2">
        <v>19.16</v>
      </c>
      <c r="ET227" s="2">
        <v>23.51</v>
      </c>
      <c r="EU227" s="2">
        <v>1.22</v>
      </c>
      <c r="EV227" s="2">
        <v>144.85</v>
      </c>
      <c r="EW227" s="2">
        <v>15.28</v>
      </c>
      <c r="EX227" s="2">
        <v>0.09</v>
      </c>
      <c r="EY227" s="2">
        <v>1</v>
      </c>
      <c r="EZ227" s="2"/>
      <c r="FA227" s="2"/>
      <c r="FB227" s="2"/>
      <c r="FC227" s="2"/>
      <c r="FD227" s="2"/>
      <c r="FE227" s="2"/>
      <c r="FF227" s="2"/>
      <c r="FG227" s="2"/>
      <c r="FH227" s="2"/>
      <c r="FI227" s="2"/>
      <c r="FJ227" s="2"/>
      <c r="FK227" s="2"/>
      <c r="FL227" s="2"/>
      <c r="FM227" s="2"/>
      <c r="FN227" s="2"/>
      <c r="FO227" s="2"/>
      <c r="FP227" s="2"/>
      <c r="FQ227" s="2">
        <v>0</v>
      </c>
      <c r="FR227" s="2">
        <f t="shared" si="261"/>
        <v>0</v>
      </c>
      <c r="FS227" s="2">
        <v>0</v>
      </c>
      <c r="FT227" s="2"/>
      <c r="FU227" s="2"/>
      <c r="FV227" s="2"/>
      <c r="FW227" s="2"/>
      <c r="FX227" s="2">
        <v>95</v>
      </c>
      <c r="FY227" s="2">
        <v>65</v>
      </c>
      <c r="FZ227" s="2"/>
      <c r="GA227" s="2" t="s">
        <v>6</v>
      </c>
      <c r="GB227" s="2"/>
      <c r="GC227" s="2"/>
      <c r="GD227" s="2">
        <v>1</v>
      </c>
      <c r="GE227" s="2"/>
      <c r="GF227" s="2">
        <v>-65854085</v>
      </c>
      <c r="GG227" s="2">
        <v>2</v>
      </c>
      <c r="GH227" s="2">
        <v>1</v>
      </c>
      <c r="GI227" s="2">
        <v>-2</v>
      </c>
      <c r="GJ227" s="2">
        <v>0</v>
      </c>
      <c r="GK227" s="2">
        <v>0</v>
      </c>
      <c r="GL227" s="2">
        <f t="shared" si="262"/>
        <v>0</v>
      </c>
      <c r="GM227" s="2">
        <f t="shared" si="263"/>
        <v>289</v>
      </c>
      <c r="GN227" s="2">
        <f t="shared" si="264"/>
        <v>0</v>
      </c>
      <c r="GO227" s="2">
        <f t="shared" si="265"/>
        <v>289</v>
      </c>
      <c r="GP227" s="2">
        <f t="shared" si="266"/>
        <v>0</v>
      </c>
      <c r="GQ227" s="2"/>
      <c r="GR227" s="2">
        <v>0</v>
      </c>
      <c r="GS227" s="2">
        <v>3</v>
      </c>
      <c r="GT227" s="2">
        <v>0</v>
      </c>
      <c r="GU227" s="2" t="s">
        <v>6</v>
      </c>
      <c r="GV227" s="2">
        <f t="shared" si="267"/>
        <v>0</v>
      </c>
      <c r="GW227" s="2">
        <v>1</v>
      </c>
      <c r="GX227" s="2">
        <f t="shared" si="268"/>
        <v>0</v>
      </c>
      <c r="GY227" s="2"/>
      <c r="GZ227" s="2"/>
      <c r="HA227" s="2">
        <v>0</v>
      </c>
      <c r="HB227" s="2">
        <v>0</v>
      </c>
      <c r="HC227" s="2">
        <f t="shared" si="269"/>
        <v>0</v>
      </c>
      <c r="HD227" s="2"/>
      <c r="HE227" s="2" t="s">
        <v>6</v>
      </c>
      <c r="HF227" s="2" t="s">
        <v>6</v>
      </c>
      <c r="HG227" s="2"/>
      <c r="HH227" s="2"/>
      <c r="HI227" s="2"/>
      <c r="HJ227" s="2"/>
      <c r="HK227" s="2"/>
      <c r="HL227" s="2"/>
      <c r="HM227" s="2" t="s">
        <v>6</v>
      </c>
      <c r="HN227" s="2" t="s">
        <v>6</v>
      </c>
      <c r="HO227" s="2" t="s">
        <v>6</v>
      </c>
      <c r="HP227" s="2" t="s">
        <v>6</v>
      </c>
      <c r="HQ227" s="2" t="s">
        <v>6</v>
      </c>
      <c r="HR227" s="2"/>
      <c r="HS227" s="2"/>
      <c r="HT227" s="2"/>
      <c r="HU227" s="2"/>
      <c r="HV227" s="2"/>
      <c r="HW227" s="2"/>
      <c r="HX227" s="2"/>
      <c r="HY227" s="2"/>
      <c r="HZ227" s="2"/>
      <c r="IA227" s="2"/>
      <c r="IB227" s="2"/>
      <c r="IC227" s="2"/>
      <c r="ID227" s="2"/>
      <c r="IE227" s="2"/>
      <c r="IF227" s="2">
        <v>-1</v>
      </c>
      <c r="IG227" s="2"/>
      <c r="IH227" s="2"/>
      <c r="II227" s="2"/>
      <c r="IJ227" s="2"/>
      <c r="IK227" s="2">
        <v>0</v>
      </c>
      <c r="IL227" s="2"/>
      <c r="IM227" s="2"/>
      <c r="IN227" s="2"/>
      <c r="IO227" s="2"/>
      <c r="IP227" s="2"/>
      <c r="IQ227" s="2"/>
      <c r="IR227" s="2"/>
      <c r="IS227" s="2"/>
      <c r="IT227" s="2"/>
      <c r="IU227" s="2"/>
    </row>
    <row r="228" spans="1:255" x14ac:dyDescent="0.2">
      <c r="A228">
        <v>17</v>
      </c>
      <c r="B228">
        <v>1</v>
      </c>
      <c r="C228">
        <f>ROW(SmtRes!A284)</f>
        <v>284</v>
      </c>
      <c r="D228">
        <f>ROW(EtalonRes!A212)</f>
        <v>212</v>
      </c>
      <c r="E228" t="s">
        <v>308</v>
      </c>
      <c r="F228" t="s">
        <v>309</v>
      </c>
      <c r="G228" t="s">
        <v>310</v>
      </c>
      <c r="H228" t="s">
        <v>298</v>
      </c>
      <c r="I228">
        <f>'2.Лок.смета.и.Акт'!E41</f>
        <v>0.72</v>
      </c>
      <c r="J228">
        <v>0</v>
      </c>
      <c r="K228">
        <v>2.88</v>
      </c>
      <c r="O228">
        <f t="shared" si="237"/>
        <v>2778</v>
      </c>
      <c r="P228">
        <f t="shared" si="238"/>
        <v>0</v>
      </c>
      <c r="Q228">
        <f t="shared" si="239"/>
        <v>133</v>
      </c>
      <c r="R228">
        <f t="shared" si="240"/>
        <v>17</v>
      </c>
      <c r="S228">
        <f t="shared" si="241"/>
        <v>2645</v>
      </c>
      <c r="T228">
        <f t="shared" si="242"/>
        <v>0</v>
      </c>
      <c r="U228" t="e">
        <f t="shared" si="243"/>
        <v>#REF!</v>
      </c>
      <c r="V228">
        <f t="shared" si="244"/>
        <v>6.4799999999999996E-2</v>
      </c>
      <c r="W228">
        <f t="shared" si="245"/>
        <v>0</v>
      </c>
      <c r="X228" t="e">
        <f t="shared" si="246"/>
        <v>#REF!</v>
      </c>
      <c r="Y228" t="e">
        <f t="shared" si="247"/>
        <v>#REF!</v>
      </c>
      <c r="AA228">
        <v>86326988</v>
      </c>
      <c r="AB228">
        <f t="shared" si="248"/>
        <v>168.36</v>
      </c>
      <c r="AC228">
        <f>ROUND((ES228+(SUM(SmtRes!BC275:'SmtRes'!BC284)+SUM(EtalonRes!AL205:'EtalonRes'!AL212))),2)</f>
        <v>0</v>
      </c>
      <c r="AD228">
        <f t="shared" si="270"/>
        <v>23.51</v>
      </c>
      <c r="AE228">
        <f t="shared" si="233"/>
        <v>1.22</v>
      </c>
      <c r="AF228">
        <f t="shared" si="234"/>
        <v>144.85</v>
      </c>
      <c r="AG228">
        <f t="shared" si="250"/>
        <v>0</v>
      </c>
      <c r="AH228" t="e">
        <f t="shared" si="235"/>
        <v>#REF!</v>
      </c>
      <c r="AI228">
        <f t="shared" si="236"/>
        <v>0.09</v>
      </c>
      <c r="AJ228">
        <f t="shared" si="251"/>
        <v>0</v>
      </c>
      <c r="AK228">
        <f>AL228+AM228+AO228</f>
        <v>187.51999999999998</v>
      </c>
      <c r="AL228">
        <v>19.16</v>
      </c>
      <c r="AM228" s="75">
        <f>'1.Лок.смета.и.Акт'!F398</f>
        <v>23.51</v>
      </c>
      <c r="AN228" s="75">
        <f>'1.Лок.смета.и.Акт'!F399</f>
        <v>1.22</v>
      </c>
      <c r="AO228" s="75">
        <f>'1.Лок.смета.и.Акт'!F397</f>
        <v>144.85</v>
      </c>
      <c r="AP228">
        <v>0</v>
      </c>
      <c r="AQ228" t="e">
        <f>'2.Лок.смета.и.Акт'!#REF!</f>
        <v>#REF!</v>
      </c>
      <c r="AR228">
        <v>0.09</v>
      </c>
      <c r="AS228">
        <v>0</v>
      </c>
      <c r="AT228">
        <v>90</v>
      </c>
      <c r="AU228">
        <v>55</v>
      </c>
      <c r="AV228">
        <v>1</v>
      </c>
      <c r="AW228">
        <v>1</v>
      </c>
      <c r="AZ228">
        <v>1</v>
      </c>
      <c r="BA228">
        <f>'1.Лок.смета.и.Акт'!J397</f>
        <v>25.36</v>
      </c>
      <c r="BB228">
        <f>'1.Лок.смета.и.Акт'!J398</f>
        <v>7.84</v>
      </c>
      <c r="BC228">
        <v>7.56</v>
      </c>
      <c r="BD228" t="s">
        <v>6</v>
      </c>
      <c r="BE228" t="s">
        <v>6</v>
      </c>
      <c r="BF228" t="s">
        <v>6</v>
      </c>
      <c r="BG228" t="s">
        <v>6</v>
      </c>
      <c r="BH228">
        <v>0</v>
      </c>
      <c r="BI228">
        <v>2</v>
      </c>
      <c r="BJ228" t="s">
        <v>311</v>
      </c>
      <c r="BM228">
        <v>108001</v>
      </c>
      <c r="BN228">
        <v>0</v>
      </c>
      <c r="BO228" t="s">
        <v>309</v>
      </c>
      <c r="BP228">
        <v>1</v>
      </c>
      <c r="BQ228">
        <v>2</v>
      </c>
      <c r="BR228">
        <v>0</v>
      </c>
      <c r="BS228">
        <f>'1.Лок.смета.и.Акт'!J399</f>
        <v>19.8</v>
      </c>
      <c r="BT228">
        <v>1</v>
      </c>
      <c r="BU228">
        <v>1</v>
      </c>
      <c r="BV228">
        <v>1</v>
      </c>
      <c r="BW228">
        <v>1</v>
      </c>
      <c r="BX228">
        <v>1</v>
      </c>
      <c r="BY228" t="s">
        <v>6</v>
      </c>
      <c r="BZ228" t="e">
        <f>'2.Лок.смета.и.Акт'!#REF!</f>
        <v>#REF!</v>
      </c>
      <c r="CA228" t="e">
        <f>'2.Лок.смета.и.Акт'!#REF!</f>
        <v>#REF!</v>
      </c>
      <c r="CB228" t="s">
        <v>6</v>
      </c>
      <c r="CE228">
        <v>0</v>
      </c>
      <c r="CF228">
        <v>0</v>
      </c>
      <c r="CG228">
        <v>0</v>
      </c>
      <c r="CM228">
        <v>0</v>
      </c>
      <c r="CN228" t="s">
        <v>6</v>
      </c>
      <c r="CO228">
        <v>0</v>
      </c>
      <c r="CP228">
        <f t="shared" si="252"/>
        <v>2778</v>
      </c>
      <c r="CQ228">
        <f t="shared" si="253"/>
        <v>0</v>
      </c>
      <c r="CR228">
        <f t="shared" si="254"/>
        <v>184.3184</v>
      </c>
      <c r="CS228">
        <f t="shared" si="255"/>
        <v>24.155999999999999</v>
      </c>
      <c r="CT228">
        <f t="shared" si="256"/>
        <v>3673.3959999999997</v>
      </c>
      <c r="CU228">
        <f t="shared" si="257"/>
        <v>0</v>
      </c>
      <c r="CV228" t="e">
        <f t="shared" si="258"/>
        <v>#REF!</v>
      </c>
      <c r="CW228">
        <f t="shared" si="259"/>
        <v>0.09</v>
      </c>
      <c r="CX228">
        <f t="shared" si="260"/>
        <v>0</v>
      </c>
      <c r="CY228" t="e">
        <f>(S228+R228)*(BZ228/100)</f>
        <v>#REF!</v>
      </c>
      <c r="CZ228" t="e">
        <f>(S228+R228)*(CA228/100)</f>
        <v>#REF!</v>
      </c>
      <c r="DC228" t="s">
        <v>6</v>
      </c>
      <c r="DD228" t="s">
        <v>6</v>
      </c>
      <c r="DE228" t="s">
        <v>6</v>
      </c>
      <c r="DF228" t="s">
        <v>6</v>
      </c>
      <c r="DG228" t="s">
        <v>6</v>
      </c>
      <c r="DH228" t="s">
        <v>6</v>
      </c>
      <c r="DI228" t="s">
        <v>6</v>
      </c>
      <c r="DJ228" t="s">
        <v>6</v>
      </c>
      <c r="DK228" t="s">
        <v>6</v>
      </c>
      <c r="DL228" t="s">
        <v>6</v>
      </c>
      <c r="DM228" t="s">
        <v>6</v>
      </c>
      <c r="DN228">
        <f>'1.Лок.смета.и.Акт'!E400</f>
        <v>95</v>
      </c>
      <c r="DO228">
        <f>'1.Лок.смета.и.Акт'!E401</f>
        <v>65</v>
      </c>
      <c r="DP228">
        <v>1</v>
      </c>
      <c r="DQ228">
        <v>1</v>
      </c>
      <c r="DU228">
        <v>1003</v>
      </c>
      <c r="DV228" t="s">
        <v>298</v>
      </c>
      <c r="DW228" t="str">
        <f>'2.Лок.смета.и.Акт'!D41</f>
        <v>100 м</v>
      </c>
      <c r="DX228">
        <v>100</v>
      </c>
      <c r="DZ228" t="s">
        <v>6</v>
      </c>
      <c r="EA228" t="s">
        <v>6</v>
      </c>
      <c r="EB228" t="s">
        <v>6</v>
      </c>
      <c r="EC228" t="s">
        <v>6</v>
      </c>
      <c r="EE228">
        <v>54938726</v>
      </c>
      <c r="EF228">
        <v>2</v>
      </c>
      <c r="EG228" t="s">
        <v>312</v>
      </c>
      <c r="EH228">
        <v>0</v>
      </c>
      <c r="EI228" t="s">
        <v>6</v>
      </c>
      <c r="EJ228">
        <v>2</v>
      </c>
      <c r="EK228">
        <v>108001</v>
      </c>
      <c r="EL228" t="s">
        <v>313</v>
      </c>
      <c r="EM228" t="s">
        <v>314</v>
      </c>
      <c r="EO228" t="s">
        <v>6</v>
      </c>
      <c r="EQ228">
        <v>2097152</v>
      </c>
      <c r="ER228">
        <f>ES228+ET228+EV228</f>
        <v>187.51999999999998</v>
      </c>
      <c r="ES228">
        <v>19.16</v>
      </c>
      <c r="ET228" s="75">
        <f>'1.Лок.смета.и.Акт'!F398</f>
        <v>23.51</v>
      </c>
      <c r="EU228" s="75">
        <f>'1.Лок.смета.и.Акт'!F399</f>
        <v>1.22</v>
      </c>
      <c r="EV228" s="75">
        <f>'1.Лок.смета.и.Акт'!F397</f>
        <v>144.85</v>
      </c>
      <c r="EW228" t="e">
        <f>'2.Лок.смета.и.Акт'!#REF!</f>
        <v>#REF!</v>
      </c>
      <c r="EX228">
        <v>0.09</v>
      </c>
      <c r="EY228">
        <v>1</v>
      </c>
      <c r="FQ228">
        <v>0</v>
      </c>
      <c r="FR228">
        <f t="shared" si="261"/>
        <v>0</v>
      </c>
      <c r="FS228">
        <v>0</v>
      </c>
      <c r="FX228">
        <v>95</v>
      </c>
      <c r="FY228">
        <v>65</v>
      </c>
      <c r="GA228" t="s">
        <v>6</v>
      </c>
      <c r="GD228">
        <v>1</v>
      </c>
      <c r="GF228">
        <v>-65854085</v>
      </c>
      <c r="GG228">
        <v>2</v>
      </c>
      <c r="GH228">
        <v>1</v>
      </c>
      <c r="GI228">
        <v>2</v>
      </c>
      <c r="GJ228">
        <v>0</v>
      </c>
      <c r="GK228">
        <v>0</v>
      </c>
      <c r="GL228">
        <f t="shared" si="262"/>
        <v>0</v>
      </c>
      <c r="GM228" t="e">
        <f t="shared" si="263"/>
        <v>#REF!</v>
      </c>
      <c r="GN228">
        <f t="shared" si="264"/>
        <v>0</v>
      </c>
      <c r="GO228" t="e">
        <f t="shared" si="265"/>
        <v>#REF!</v>
      </c>
      <c r="GP228">
        <f t="shared" si="266"/>
        <v>0</v>
      </c>
      <c r="GR228">
        <v>0</v>
      </c>
      <c r="GS228">
        <v>3</v>
      </c>
      <c r="GT228">
        <v>0</v>
      </c>
      <c r="GU228" t="s">
        <v>6</v>
      </c>
      <c r="GV228">
        <f t="shared" si="267"/>
        <v>0</v>
      </c>
      <c r="GW228">
        <v>1015.2</v>
      </c>
      <c r="GX228">
        <f t="shared" si="268"/>
        <v>0</v>
      </c>
      <c r="HA228">
        <v>0</v>
      </c>
      <c r="HB228">
        <v>0</v>
      </c>
      <c r="HC228">
        <f t="shared" si="269"/>
        <v>0</v>
      </c>
      <c r="HE228" t="s">
        <v>6</v>
      </c>
      <c r="HF228" t="s">
        <v>6</v>
      </c>
      <c r="HM228" t="s">
        <v>6</v>
      </c>
      <c r="HN228" t="s">
        <v>6</v>
      </c>
      <c r="HO228" t="s">
        <v>6</v>
      </c>
      <c r="HP228" t="s">
        <v>6</v>
      </c>
      <c r="HQ228" t="s">
        <v>6</v>
      </c>
      <c r="IF228">
        <v>-1</v>
      </c>
      <c r="IK228">
        <v>0</v>
      </c>
    </row>
    <row r="229" spans="1:255" x14ac:dyDescent="0.2">
      <c r="A229" s="2">
        <v>18</v>
      </c>
      <c r="B229" s="2">
        <v>1</v>
      </c>
      <c r="C229" s="2">
        <v>270</v>
      </c>
      <c r="D229" s="2"/>
      <c r="E229" s="2" t="s">
        <v>315</v>
      </c>
      <c r="F229" s="2" t="s">
        <v>316</v>
      </c>
      <c r="G229" s="2" t="s">
        <v>317</v>
      </c>
      <c r="H229" s="2" t="s">
        <v>33</v>
      </c>
      <c r="I229" s="2">
        <f>I227*J229</f>
        <v>1.5874999999999999E-3</v>
      </c>
      <c r="J229" s="226">
        <f>'5.Ведомость_списания'!F109</f>
        <v>2.204861111111111E-3</v>
      </c>
      <c r="K229" s="2">
        <v>2.2049999999999999E-3</v>
      </c>
      <c r="L229" s="2"/>
      <c r="M229" s="2"/>
      <c r="N229" s="2"/>
      <c r="O229" s="2">
        <f t="shared" si="237"/>
        <v>17</v>
      </c>
      <c r="P229" s="2">
        <f t="shared" si="238"/>
        <v>17</v>
      </c>
      <c r="Q229" s="2">
        <f t="shared" si="239"/>
        <v>0</v>
      </c>
      <c r="R229" s="2">
        <f t="shared" si="240"/>
        <v>0</v>
      </c>
      <c r="S229" s="2">
        <f t="shared" si="241"/>
        <v>0</v>
      </c>
      <c r="T229" s="2">
        <f t="shared" si="242"/>
        <v>0</v>
      </c>
      <c r="U229" s="2">
        <f t="shared" si="243"/>
        <v>0</v>
      </c>
      <c r="V229" s="2">
        <f t="shared" si="244"/>
        <v>0</v>
      </c>
      <c r="W229" s="2">
        <f t="shared" si="245"/>
        <v>0</v>
      </c>
      <c r="X229" s="2">
        <f t="shared" si="246"/>
        <v>0</v>
      </c>
      <c r="Y229" s="2">
        <f t="shared" si="247"/>
        <v>0</v>
      </c>
      <c r="Z229" s="2"/>
      <c r="AA229" s="2">
        <v>86326987</v>
      </c>
      <c r="AB229" s="2">
        <f t="shared" si="248"/>
        <v>10559.12</v>
      </c>
      <c r="AC229" s="2">
        <f t="shared" ref="AC229:AC238" si="271">ROUND((ES229),2)</f>
        <v>10559.12</v>
      </c>
      <c r="AD229" s="2">
        <f t="shared" si="270"/>
        <v>0</v>
      </c>
      <c r="AE229" s="2">
        <f t="shared" si="233"/>
        <v>0</v>
      </c>
      <c r="AF229" s="2">
        <f t="shared" si="234"/>
        <v>0</v>
      </c>
      <c r="AG229" s="2">
        <f t="shared" si="250"/>
        <v>0</v>
      </c>
      <c r="AH229" s="2">
        <f t="shared" si="235"/>
        <v>0</v>
      </c>
      <c r="AI229" s="2">
        <f t="shared" si="236"/>
        <v>0</v>
      </c>
      <c r="AJ229" s="2">
        <f t="shared" si="251"/>
        <v>22.28</v>
      </c>
      <c r="AK229" s="2">
        <v>10559.12</v>
      </c>
      <c r="AL229" s="110">
        <f>'1.Лок.смета.и.Акт'!F403</f>
        <v>10559.12</v>
      </c>
      <c r="AM229" s="2">
        <v>0</v>
      </c>
      <c r="AN229" s="2">
        <v>0</v>
      </c>
      <c r="AO229" s="2">
        <v>0</v>
      </c>
      <c r="AP229" s="2">
        <v>0</v>
      </c>
      <c r="AQ229" s="2">
        <v>0</v>
      </c>
      <c r="AR229" s="2">
        <v>0</v>
      </c>
      <c r="AS229" s="2">
        <v>22.28</v>
      </c>
      <c r="AT229" s="2">
        <v>0</v>
      </c>
      <c r="AU229" s="2">
        <v>0</v>
      </c>
      <c r="AV229" s="2">
        <v>1</v>
      </c>
      <c r="AW229" s="2">
        <v>1</v>
      </c>
      <c r="AX229" s="2"/>
      <c r="AY229" s="2"/>
      <c r="AZ229" s="2">
        <v>1</v>
      </c>
      <c r="BA229" s="2">
        <v>1</v>
      </c>
      <c r="BB229" s="2">
        <v>1</v>
      </c>
      <c r="BC229" s="2">
        <v>1</v>
      </c>
      <c r="BD229" s="2" t="s">
        <v>6</v>
      </c>
      <c r="BE229" s="2" t="s">
        <v>6</v>
      </c>
      <c r="BF229" s="2" t="s">
        <v>6</v>
      </c>
      <c r="BG229" s="2" t="s">
        <v>6</v>
      </c>
      <c r="BH229" s="2">
        <v>3</v>
      </c>
      <c r="BI229" s="2">
        <v>1</v>
      </c>
      <c r="BJ229" s="2" t="s">
        <v>318</v>
      </c>
      <c r="BK229" s="2"/>
      <c r="BL229" s="2"/>
      <c r="BM229" s="2">
        <v>500001</v>
      </c>
      <c r="BN229" s="2">
        <v>0</v>
      </c>
      <c r="BO229" s="2" t="s">
        <v>6</v>
      </c>
      <c r="BP229" s="2">
        <v>0</v>
      </c>
      <c r="BQ229" s="2">
        <v>20</v>
      </c>
      <c r="BR229" s="2">
        <v>0</v>
      </c>
      <c r="BS229" s="2">
        <v>1</v>
      </c>
      <c r="BT229" s="2">
        <v>1</v>
      </c>
      <c r="BU229" s="2">
        <v>1</v>
      </c>
      <c r="BV229" s="2">
        <v>1</v>
      </c>
      <c r="BW229" s="2">
        <v>1</v>
      </c>
      <c r="BX229" s="2">
        <v>1</v>
      </c>
      <c r="BY229" s="2" t="s">
        <v>6</v>
      </c>
      <c r="BZ229" s="2">
        <v>0</v>
      </c>
      <c r="CA229" s="2">
        <v>0</v>
      </c>
      <c r="CB229" s="2" t="s">
        <v>6</v>
      </c>
      <c r="CC229" s="2"/>
      <c r="CD229" s="2"/>
      <c r="CE229" s="2">
        <v>0</v>
      </c>
      <c r="CF229" s="2">
        <v>0</v>
      </c>
      <c r="CG229" s="2">
        <v>0</v>
      </c>
      <c r="CH229" s="2"/>
      <c r="CI229" s="2"/>
      <c r="CJ229" s="2"/>
      <c r="CK229" s="2"/>
      <c r="CL229" s="2"/>
      <c r="CM229" s="2">
        <v>0</v>
      </c>
      <c r="CN229" s="2" t="s">
        <v>6</v>
      </c>
      <c r="CO229" s="2">
        <v>0</v>
      </c>
      <c r="CP229" s="2">
        <f t="shared" si="252"/>
        <v>17</v>
      </c>
      <c r="CQ229" s="2">
        <f t="shared" si="253"/>
        <v>10559.12</v>
      </c>
      <c r="CR229" s="2">
        <f t="shared" si="254"/>
        <v>0</v>
      </c>
      <c r="CS229" s="2">
        <f t="shared" si="255"/>
        <v>0</v>
      </c>
      <c r="CT229" s="2">
        <f t="shared" si="256"/>
        <v>0</v>
      </c>
      <c r="CU229" s="2">
        <f t="shared" si="257"/>
        <v>0</v>
      </c>
      <c r="CV229" s="2">
        <f t="shared" si="258"/>
        <v>0</v>
      </c>
      <c r="CW229" s="2">
        <f t="shared" si="259"/>
        <v>0</v>
      </c>
      <c r="CX229" s="2">
        <f t="shared" si="260"/>
        <v>22.28</v>
      </c>
      <c r="CY229" s="2">
        <f>(((S229+(R229*IF(0,0,1)))*AT229)/100)</f>
        <v>0</v>
      </c>
      <c r="CZ229" s="2">
        <f>(((S229+(R229*IF(0,0,1)))*AU229)/100)</f>
        <v>0</v>
      </c>
      <c r="DA229" s="2"/>
      <c r="DB229" s="2"/>
      <c r="DC229" s="2" t="s">
        <v>6</v>
      </c>
      <c r="DD229" s="2" t="s">
        <v>6</v>
      </c>
      <c r="DE229" s="2" t="s">
        <v>6</v>
      </c>
      <c r="DF229" s="2" t="s">
        <v>6</v>
      </c>
      <c r="DG229" s="2" t="s">
        <v>6</v>
      </c>
      <c r="DH229" s="2" t="s">
        <v>6</v>
      </c>
      <c r="DI229" s="2" t="s">
        <v>6</v>
      </c>
      <c r="DJ229" s="2" t="s">
        <v>6</v>
      </c>
      <c r="DK229" s="2" t="s">
        <v>6</v>
      </c>
      <c r="DL229" s="2" t="s">
        <v>6</v>
      </c>
      <c r="DM229" s="2" t="s">
        <v>6</v>
      </c>
      <c r="DN229" s="2">
        <v>0</v>
      </c>
      <c r="DO229" s="2">
        <v>0</v>
      </c>
      <c r="DP229" s="2">
        <v>1</v>
      </c>
      <c r="DQ229" s="2">
        <v>1</v>
      </c>
      <c r="DR229" s="2"/>
      <c r="DS229" s="2"/>
      <c r="DT229" s="2"/>
      <c r="DU229" s="2">
        <v>1009</v>
      </c>
      <c r="DV229" s="2" t="s">
        <v>33</v>
      </c>
      <c r="DW229" s="2" t="s">
        <v>33</v>
      </c>
      <c r="DX229" s="2">
        <v>1000</v>
      </c>
      <c r="DY229" s="2"/>
      <c r="DZ229" s="2" t="s">
        <v>6</v>
      </c>
      <c r="EA229" s="2" t="s">
        <v>6</v>
      </c>
      <c r="EB229" s="2" t="s">
        <v>6</v>
      </c>
      <c r="EC229" s="2" t="s">
        <v>6</v>
      </c>
      <c r="ED229" s="2"/>
      <c r="EE229" s="2">
        <v>54938781</v>
      </c>
      <c r="EF229" s="2">
        <v>20</v>
      </c>
      <c r="EG229" s="2" t="s">
        <v>35</v>
      </c>
      <c r="EH229" s="2">
        <v>0</v>
      </c>
      <c r="EI229" s="2" t="s">
        <v>6</v>
      </c>
      <c r="EJ229" s="2">
        <v>1</v>
      </c>
      <c r="EK229" s="2">
        <v>500001</v>
      </c>
      <c r="EL229" s="2" t="s">
        <v>36</v>
      </c>
      <c r="EM229" s="2" t="s">
        <v>37</v>
      </c>
      <c r="EN229" s="2"/>
      <c r="EO229" s="2" t="s">
        <v>6</v>
      </c>
      <c r="EP229" s="2"/>
      <c r="EQ229" s="2">
        <v>0</v>
      </c>
      <c r="ER229" s="2">
        <v>10559.12</v>
      </c>
      <c r="ES229" s="110">
        <f>'1.Лок.смета.и.Акт'!F403</f>
        <v>10559.12</v>
      </c>
      <c r="ET229" s="2">
        <v>0</v>
      </c>
      <c r="EU229" s="2">
        <v>0</v>
      </c>
      <c r="EV229" s="2">
        <v>0</v>
      </c>
      <c r="EW229" s="2">
        <v>0</v>
      </c>
      <c r="EX229" s="2">
        <v>0</v>
      </c>
      <c r="EY229" s="2"/>
      <c r="EZ229" s="2"/>
      <c r="FA229" s="2"/>
      <c r="FB229" s="2"/>
      <c r="FC229" s="2"/>
      <c r="FD229" s="2"/>
      <c r="FE229" s="2"/>
      <c r="FF229" s="2"/>
      <c r="FG229" s="2"/>
      <c r="FH229" s="2"/>
      <c r="FI229" s="2"/>
      <c r="FJ229" s="2"/>
      <c r="FK229" s="2"/>
      <c r="FL229" s="2"/>
      <c r="FM229" s="2"/>
      <c r="FN229" s="2"/>
      <c r="FO229" s="2"/>
      <c r="FP229" s="2"/>
      <c r="FQ229" s="2">
        <v>0</v>
      </c>
      <c r="FR229" s="2">
        <f t="shared" si="261"/>
        <v>0</v>
      </c>
      <c r="FS229" s="2">
        <v>0</v>
      </c>
      <c r="FT229" s="2"/>
      <c r="FU229" s="2"/>
      <c r="FV229" s="2"/>
      <c r="FW229" s="2"/>
      <c r="FX229" s="2">
        <v>0</v>
      </c>
      <c r="FY229" s="2">
        <v>0</v>
      </c>
      <c r="FZ229" s="2"/>
      <c r="GA229" s="2" t="s">
        <v>6</v>
      </c>
      <c r="GB229" s="2"/>
      <c r="GC229" s="2"/>
      <c r="GD229" s="2">
        <v>1</v>
      </c>
      <c r="GE229" s="2"/>
      <c r="GF229" s="2">
        <v>1988624183</v>
      </c>
      <c r="GG229" s="2">
        <v>2</v>
      </c>
      <c r="GH229" s="2">
        <v>0</v>
      </c>
      <c r="GI229" s="2">
        <v>-2</v>
      </c>
      <c r="GJ229" s="2">
        <v>0</v>
      </c>
      <c r="GK229" s="2">
        <v>0</v>
      </c>
      <c r="GL229" s="2">
        <f t="shared" si="262"/>
        <v>0</v>
      </c>
      <c r="GM229" s="2">
        <f t="shared" si="263"/>
        <v>17</v>
      </c>
      <c r="GN229" s="2">
        <f t="shared" si="264"/>
        <v>17</v>
      </c>
      <c r="GO229" s="2">
        <f t="shared" si="265"/>
        <v>0</v>
      </c>
      <c r="GP229" s="2">
        <f t="shared" si="266"/>
        <v>0</v>
      </c>
      <c r="GQ229" s="2"/>
      <c r="GR229" s="2">
        <v>0</v>
      </c>
      <c r="GS229" s="2">
        <v>3</v>
      </c>
      <c r="GT229" s="2">
        <v>0</v>
      </c>
      <c r="GU229" s="2" t="s">
        <v>6</v>
      </c>
      <c r="GV229" s="2">
        <f t="shared" si="267"/>
        <v>0</v>
      </c>
      <c r="GW229" s="2">
        <v>1</v>
      </c>
      <c r="GX229" s="2">
        <f t="shared" si="268"/>
        <v>0</v>
      </c>
      <c r="GY229" s="2"/>
      <c r="GZ229" s="2"/>
      <c r="HA229" s="2">
        <v>0</v>
      </c>
      <c r="HB229" s="2">
        <v>0</v>
      </c>
      <c r="HC229" s="2">
        <f t="shared" si="269"/>
        <v>0</v>
      </c>
      <c r="HD229" s="2"/>
      <c r="HE229" s="2" t="s">
        <v>6</v>
      </c>
      <c r="HF229" s="2" t="s">
        <v>6</v>
      </c>
      <c r="HG229" s="2"/>
      <c r="HH229" s="2"/>
      <c r="HI229" s="2"/>
      <c r="HJ229" s="2"/>
      <c r="HK229" s="2"/>
      <c r="HL229" s="2"/>
      <c r="HM229" s="2" t="s">
        <v>6</v>
      </c>
      <c r="HN229" s="2" t="s">
        <v>6</v>
      </c>
      <c r="HO229" s="2" t="s">
        <v>6</v>
      </c>
      <c r="HP229" s="2" t="s">
        <v>6</v>
      </c>
      <c r="HQ229" s="2" t="s">
        <v>6</v>
      </c>
      <c r="HR229" s="2"/>
      <c r="HS229" s="2"/>
      <c r="HT229" s="2"/>
      <c r="HU229" s="2"/>
      <c r="HV229" s="2"/>
      <c r="HW229" s="2"/>
      <c r="HX229" s="2"/>
      <c r="HY229" s="2"/>
      <c r="HZ229" s="2"/>
      <c r="IA229" s="2"/>
      <c r="IB229" s="2"/>
      <c r="IC229" s="2"/>
      <c r="ID229" s="2"/>
      <c r="IE229" s="2"/>
      <c r="IF229" s="2">
        <v>-1</v>
      </c>
      <c r="IG229" s="2"/>
      <c r="IH229" s="2"/>
      <c r="II229" s="2"/>
      <c r="IJ229" s="2"/>
      <c r="IK229" s="2">
        <v>0</v>
      </c>
      <c r="IL229" s="2"/>
      <c r="IM229" s="2"/>
      <c r="IN229" s="2"/>
      <c r="IO229" s="2"/>
      <c r="IP229" s="2"/>
      <c r="IQ229" s="2"/>
      <c r="IR229" s="2"/>
      <c r="IS229" s="2"/>
      <c r="IT229" s="2"/>
      <c r="IU229" s="2"/>
    </row>
    <row r="230" spans="1:255" x14ac:dyDescent="0.2">
      <c r="A230">
        <v>18</v>
      </c>
      <c r="B230">
        <v>1</v>
      </c>
      <c r="C230">
        <v>280</v>
      </c>
      <c r="E230" t="s">
        <v>315</v>
      </c>
      <c r="F230" t="e">
        <f>'2.Лок.смета.и.Акт'!#REF!</f>
        <v>#REF!</v>
      </c>
      <c r="G230" t="s">
        <v>317</v>
      </c>
      <c r="H230" t="s">
        <v>33</v>
      </c>
      <c r="I230">
        <f>I228*J230</f>
        <v>1.5874999999999999E-3</v>
      </c>
      <c r="J230">
        <v>2.204861111111111E-3</v>
      </c>
      <c r="K230">
        <v>2.2049999999999999E-3</v>
      </c>
      <c r="O230">
        <f t="shared" si="237"/>
        <v>162</v>
      </c>
      <c r="P230">
        <f t="shared" si="238"/>
        <v>162</v>
      </c>
      <c r="Q230">
        <f t="shared" si="239"/>
        <v>0</v>
      </c>
      <c r="R230">
        <f t="shared" si="240"/>
        <v>0</v>
      </c>
      <c r="S230">
        <f t="shared" si="241"/>
        <v>0</v>
      </c>
      <c r="T230">
        <f t="shared" si="242"/>
        <v>0</v>
      </c>
      <c r="U230">
        <f t="shared" si="243"/>
        <v>0</v>
      </c>
      <c r="V230">
        <f t="shared" si="244"/>
        <v>0</v>
      </c>
      <c r="W230">
        <f t="shared" si="245"/>
        <v>0</v>
      </c>
      <c r="X230">
        <f t="shared" si="246"/>
        <v>0</v>
      </c>
      <c r="Y230">
        <f t="shared" si="247"/>
        <v>0</v>
      </c>
      <c r="AA230">
        <v>86326988</v>
      </c>
      <c r="AB230">
        <f t="shared" si="248"/>
        <v>13505.55</v>
      </c>
      <c r="AC230">
        <f t="shared" si="271"/>
        <v>13505.55</v>
      </c>
      <c r="AD230">
        <f t="shared" si="270"/>
        <v>0</v>
      </c>
      <c r="AE230">
        <f t="shared" si="233"/>
        <v>0</v>
      </c>
      <c r="AF230">
        <f t="shared" si="234"/>
        <v>0</v>
      </c>
      <c r="AG230">
        <f t="shared" si="250"/>
        <v>0</v>
      </c>
      <c r="AH230">
        <f t="shared" si="235"/>
        <v>0</v>
      </c>
      <c r="AI230">
        <f t="shared" si="236"/>
        <v>0</v>
      </c>
      <c r="AJ230">
        <f t="shared" si="251"/>
        <v>22.28</v>
      </c>
      <c r="AK230">
        <v>13505.55</v>
      </c>
      <c r="AL230">
        <v>13505.55</v>
      </c>
      <c r="AM230">
        <v>0</v>
      </c>
      <c r="AN230">
        <v>0</v>
      </c>
      <c r="AO230">
        <v>0</v>
      </c>
      <c r="AP230">
        <v>0</v>
      </c>
      <c r="AQ230">
        <v>0</v>
      </c>
      <c r="AR230">
        <v>0</v>
      </c>
      <c r="AS230">
        <v>22.28</v>
      </c>
      <c r="AT230">
        <v>0</v>
      </c>
      <c r="AU230">
        <v>0</v>
      </c>
      <c r="AV230">
        <v>1</v>
      </c>
      <c r="AW230">
        <v>1</v>
      </c>
      <c r="AZ230">
        <v>1</v>
      </c>
      <c r="BA230">
        <v>1</v>
      </c>
      <c r="BB230">
        <v>1</v>
      </c>
      <c r="BC230">
        <v>7.56</v>
      </c>
      <c r="BD230" t="s">
        <v>6</v>
      </c>
      <c r="BE230" t="s">
        <v>6</v>
      </c>
      <c r="BF230" t="s">
        <v>6</v>
      </c>
      <c r="BG230" t="s">
        <v>6</v>
      </c>
      <c r="BH230">
        <v>3</v>
      </c>
      <c r="BI230">
        <v>1</v>
      </c>
      <c r="BJ230" t="s">
        <v>318</v>
      </c>
      <c r="BM230">
        <v>500001</v>
      </c>
      <c r="BN230">
        <v>0</v>
      </c>
      <c r="BO230" t="s">
        <v>6</v>
      </c>
      <c r="BP230">
        <v>0</v>
      </c>
      <c r="BQ230">
        <v>20</v>
      </c>
      <c r="BR230">
        <v>0</v>
      </c>
      <c r="BS230">
        <v>1</v>
      </c>
      <c r="BT230">
        <v>1</v>
      </c>
      <c r="BU230">
        <v>1</v>
      </c>
      <c r="BV230">
        <v>1</v>
      </c>
      <c r="BW230">
        <v>1</v>
      </c>
      <c r="BX230">
        <v>1</v>
      </c>
      <c r="BY230" t="s">
        <v>6</v>
      </c>
      <c r="BZ230">
        <v>0</v>
      </c>
      <c r="CA230">
        <v>0</v>
      </c>
      <c r="CB230" t="s">
        <v>6</v>
      </c>
      <c r="CE230">
        <v>0</v>
      </c>
      <c r="CF230">
        <v>0</v>
      </c>
      <c r="CG230">
        <v>0</v>
      </c>
      <c r="CM230">
        <v>0</v>
      </c>
      <c r="CN230" t="s">
        <v>6</v>
      </c>
      <c r="CO230">
        <v>0</v>
      </c>
      <c r="CP230">
        <f t="shared" si="252"/>
        <v>162</v>
      </c>
      <c r="CQ230">
        <f t="shared" si="253"/>
        <v>102101.95799999998</v>
      </c>
      <c r="CR230">
        <f t="shared" si="254"/>
        <v>0</v>
      </c>
      <c r="CS230">
        <f t="shared" si="255"/>
        <v>0</v>
      </c>
      <c r="CT230">
        <f t="shared" si="256"/>
        <v>0</v>
      </c>
      <c r="CU230">
        <f t="shared" si="257"/>
        <v>0</v>
      </c>
      <c r="CV230">
        <f t="shared" si="258"/>
        <v>0</v>
      </c>
      <c r="CW230">
        <f t="shared" si="259"/>
        <v>0</v>
      </c>
      <c r="CX230">
        <f t="shared" si="260"/>
        <v>22.28</v>
      </c>
      <c r="CY230">
        <f>(S230+R230)*(BZ230/100)</f>
        <v>0</v>
      </c>
      <c r="CZ230">
        <f>(S230+R230)*(CA230/100)</f>
        <v>0</v>
      </c>
      <c r="DC230" t="s">
        <v>6</v>
      </c>
      <c r="DD230" t="s">
        <v>6</v>
      </c>
      <c r="DE230" t="s">
        <v>6</v>
      </c>
      <c r="DF230" t="s">
        <v>6</v>
      </c>
      <c r="DG230" t="s">
        <v>6</v>
      </c>
      <c r="DH230" t="s">
        <v>6</v>
      </c>
      <c r="DI230" t="s">
        <v>6</v>
      </c>
      <c r="DJ230" t="s">
        <v>6</v>
      </c>
      <c r="DK230" t="s">
        <v>6</v>
      </c>
      <c r="DL230" t="s">
        <v>6</v>
      </c>
      <c r="DM230" t="s">
        <v>6</v>
      </c>
      <c r="DN230">
        <v>0</v>
      </c>
      <c r="DO230">
        <v>0</v>
      </c>
      <c r="DP230">
        <v>1</v>
      </c>
      <c r="DQ230">
        <v>1</v>
      </c>
      <c r="DU230">
        <v>1009</v>
      </c>
      <c r="DV230" t="s">
        <v>33</v>
      </c>
      <c r="DW230" t="e">
        <f>'2.Лок.смета.и.Акт'!#REF!</f>
        <v>#REF!</v>
      </c>
      <c r="DX230">
        <v>1000</v>
      </c>
      <c r="DZ230" t="s">
        <v>6</v>
      </c>
      <c r="EA230" t="s">
        <v>6</v>
      </c>
      <c r="EB230" t="s">
        <v>6</v>
      </c>
      <c r="EC230" t="s">
        <v>6</v>
      </c>
      <c r="EE230">
        <v>54938781</v>
      </c>
      <c r="EF230">
        <v>20</v>
      </c>
      <c r="EG230" t="s">
        <v>35</v>
      </c>
      <c r="EH230">
        <v>0</v>
      </c>
      <c r="EI230" t="s">
        <v>6</v>
      </c>
      <c r="EJ230">
        <v>1</v>
      </c>
      <c r="EK230">
        <v>500001</v>
      </c>
      <c r="EL230" t="s">
        <v>36</v>
      </c>
      <c r="EM230" t="s">
        <v>37</v>
      </c>
      <c r="EO230" t="s">
        <v>6</v>
      </c>
      <c r="EQ230">
        <v>0</v>
      </c>
      <c r="ER230">
        <v>96250</v>
      </c>
      <c r="ES230">
        <v>13505.55</v>
      </c>
      <c r="ET230">
        <v>0</v>
      </c>
      <c r="EU230">
        <v>0</v>
      </c>
      <c r="EV230">
        <v>0</v>
      </c>
      <c r="EW230">
        <v>0</v>
      </c>
      <c r="EX230">
        <v>0</v>
      </c>
      <c r="EZ230">
        <v>5</v>
      </c>
      <c r="FC230">
        <v>0</v>
      </c>
      <c r="FD230">
        <v>18</v>
      </c>
      <c r="FF230">
        <v>96250</v>
      </c>
      <c r="FQ230">
        <v>0</v>
      </c>
      <c r="FR230">
        <f t="shared" si="261"/>
        <v>0</v>
      </c>
      <c r="FS230">
        <v>0</v>
      </c>
      <c r="FX230">
        <v>0</v>
      </c>
      <c r="FY230">
        <v>0</v>
      </c>
      <c r="GA230" t="s">
        <v>319</v>
      </c>
      <c r="GD230">
        <v>1</v>
      </c>
      <c r="GF230">
        <v>1988624183</v>
      </c>
      <c r="GG230">
        <v>2</v>
      </c>
      <c r="GH230">
        <v>3</v>
      </c>
      <c r="GI230">
        <v>5</v>
      </c>
      <c r="GJ230">
        <v>0</v>
      </c>
      <c r="GK230">
        <v>0</v>
      </c>
      <c r="GL230">
        <f t="shared" si="262"/>
        <v>0</v>
      </c>
      <c r="GM230">
        <f t="shared" si="263"/>
        <v>162</v>
      </c>
      <c r="GN230">
        <f t="shared" si="264"/>
        <v>162</v>
      </c>
      <c r="GO230">
        <f t="shared" si="265"/>
        <v>0</v>
      </c>
      <c r="GP230">
        <f t="shared" si="266"/>
        <v>0</v>
      </c>
      <c r="GR230">
        <v>1</v>
      </c>
      <c r="GS230">
        <v>1</v>
      </c>
      <c r="GT230">
        <v>0</v>
      </c>
      <c r="GU230" t="s">
        <v>6</v>
      </c>
      <c r="GV230">
        <f t="shared" si="267"/>
        <v>0</v>
      </c>
      <c r="GW230">
        <v>1</v>
      </c>
      <c r="GX230">
        <f t="shared" si="268"/>
        <v>0</v>
      </c>
      <c r="HA230">
        <v>0</v>
      </c>
      <c r="HB230">
        <v>0</v>
      </c>
      <c r="HC230">
        <f t="shared" si="269"/>
        <v>0</v>
      </c>
      <c r="HE230" t="s">
        <v>39</v>
      </c>
      <c r="HF230" t="s">
        <v>40</v>
      </c>
      <c r="HM230" t="s">
        <v>6</v>
      </c>
      <c r="HN230" t="s">
        <v>6</v>
      </c>
      <c r="HO230" t="s">
        <v>6</v>
      </c>
      <c r="HP230" t="s">
        <v>6</v>
      </c>
      <c r="HQ230" t="s">
        <v>6</v>
      </c>
      <c r="IF230">
        <v>-1</v>
      </c>
      <c r="IK230">
        <v>0</v>
      </c>
    </row>
    <row r="231" spans="1:255" x14ac:dyDescent="0.2">
      <c r="A231" s="2">
        <v>18</v>
      </c>
      <c r="B231" s="2">
        <v>1</v>
      </c>
      <c r="C231" s="2">
        <v>271</v>
      </c>
      <c r="D231" s="2"/>
      <c r="E231" s="2" t="s">
        <v>320</v>
      </c>
      <c r="F231" s="2" t="s">
        <v>321</v>
      </c>
      <c r="G231" s="2" t="s">
        <v>322</v>
      </c>
      <c r="H231" s="2" t="s">
        <v>323</v>
      </c>
      <c r="I231" s="2">
        <f>I227*J231</f>
        <v>57</v>
      </c>
      <c r="J231" s="226">
        <f>'5.Ведомость_списания'!F110</f>
        <v>79.166666666666671</v>
      </c>
      <c r="K231" s="2">
        <v>79.166666699999993</v>
      </c>
      <c r="L231" s="2"/>
      <c r="M231" s="2"/>
      <c r="N231" s="2"/>
      <c r="O231" s="2">
        <f t="shared" si="237"/>
        <v>452</v>
      </c>
      <c r="P231" s="2">
        <f t="shared" si="238"/>
        <v>452</v>
      </c>
      <c r="Q231" s="2">
        <f t="shared" si="239"/>
        <v>0</v>
      </c>
      <c r="R231" s="2">
        <f t="shared" si="240"/>
        <v>0</v>
      </c>
      <c r="S231" s="2">
        <f t="shared" si="241"/>
        <v>0</v>
      </c>
      <c r="T231" s="2">
        <f t="shared" si="242"/>
        <v>0</v>
      </c>
      <c r="U231" s="2">
        <f t="shared" si="243"/>
        <v>0</v>
      </c>
      <c r="V231" s="2">
        <f t="shared" si="244"/>
        <v>0</v>
      </c>
      <c r="W231" s="2">
        <f t="shared" si="245"/>
        <v>0</v>
      </c>
      <c r="X231" s="2">
        <f t="shared" si="246"/>
        <v>0</v>
      </c>
      <c r="Y231" s="2">
        <f t="shared" si="247"/>
        <v>0</v>
      </c>
      <c r="Z231" s="2"/>
      <c r="AA231" s="2">
        <v>86326987</v>
      </c>
      <c r="AB231" s="2">
        <f t="shared" si="248"/>
        <v>7.93</v>
      </c>
      <c r="AC231" s="2">
        <f t="shared" si="271"/>
        <v>7.93</v>
      </c>
      <c r="AD231" s="2">
        <f t="shared" si="270"/>
        <v>0</v>
      </c>
      <c r="AE231" s="2">
        <f t="shared" si="233"/>
        <v>0</v>
      </c>
      <c r="AF231" s="2">
        <f t="shared" si="234"/>
        <v>0</v>
      </c>
      <c r="AG231" s="2">
        <f t="shared" si="250"/>
        <v>0</v>
      </c>
      <c r="AH231" s="2">
        <f t="shared" si="235"/>
        <v>0</v>
      </c>
      <c r="AI231" s="2">
        <f t="shared" si="236"/>
        <v>0</v>
      </c>
      <c r="AJ231" s="2">
        <f t="shared" si="251"/>
        <v>0</v>
      </c>
      <c r="AK231" s="2">
        <v>7.93</v>
      </c>
      <c r="AL231" s="110">
        <f>'1.Лок.смета.и.Акт'!F405</f>
        <v>7.93</v>
      </c>
      <c r="AM231" s="2">
        <v>0</v>
      </c>
      <c r="AN231" s="2">
        <v>0</v>
      </c>
      <c r="AO231" s="2">
        <v>0</v>
      </c>
      <c r="AP231" s="2">
        <v>0</v>
      </c>
      <c r="AQ231" s="2">
        <v>0</v>
      </c>
      <c r="AR231" s="2">
        <v>0</v>
      </c>
      <c r="AS231" s="2">
        <v>0</v>
      </c>
      <c r="AT231" s="2">
        <v>0</v>
      </c>
      <c r="AU231" s="2">
        <v>0</v>
      </c>
      <c r="AV231" s="2">
        <v>1</v>
      </c>
      <c r="AW231" s="2">
        <v>1</v>
      </c>
      <c r="AX231" s="2"/>
      <c r="AY231" s="2"/>
      <c r="AZ231" s="2">
        <v>1</v>
      </c>
      <c r="BA231" s="2">
        <v>1</v>
      </c>
      <c r="BB231" s="2">
        <v>1</v>
      </c>
      <c r="BC231" s="2">
        <v>1</v>
      </c>
      <c r="BD231" s="2" t="s">
        <v>6</v>
      </c>
      <c r="BE231" s="2" t="s">
        <v>6</v>
      </c>
      <c r="BF231" s="2" t="s">
        <v>6</v>
      </c>
      <c r="BG231" s="2" t="s">
        <v>6</v>
      </c>
      <c r="BH231" s="2">
        <v>3</v>
      </c>
      <c r="BI231" s="2">
        <v>2</v>
      </c>
      <c r="BJ231" s="2" t="s">
        <v>324</v>
      </c>
      <c r="BK231" s="2"/>
      <c r="BL231" s="2"/>
      <c r="BM231" s="2">
        <v>500002</v>
      </c>
      <c r="BN231" s="2">
        <v>0</v>
      </c>
      <c r="BO231" s="2" t="s">
        <v>6</v>
      </c>
      <c r="BP231" s="2">
        <v>0</v>
      </c>
      <c r="BQ231" s="2">
        <v>21</v>
      </c>
      <c r="BR231" s="2">
        <v>0</v>
      </c>
      <c r="BS231" s="2">
        <v>1</v>
      </c>
      <c r="BT231" s="2">
        <v>1</v>
      </c>
      <c r="BU231" s="2">
        <v>1</v>
      </c>
      <c r="BV231" s="2">
        <v>1</v>
      </c>
      <c r="BW231" s="2">
        <v>1</v>
      </c>
      <c r="BX231" s="2">
        <v>1</v>
      </c>
      <c r="BY231" s="2" t="s">
        <v>6</v>
      </c>
      <c r="BZ231" s="2">
        <v>0</v>
      </c>
      <c r="CA231" s="2">
        <v>0</v>
      </c>
      <c r="CB231" s="2" t="s">
        <v>6</v>
      </c>
      <c r="CC231" s="2"/>
      <c r="CD231" s="2"/>
      <c r="CE231" s="2">
        <v>0</v>
      </c>
      <c r="CF231" s="2">
        <v>0</v>
      </c>
      <c r="CG231" s="2">
        <v>0</v>
      </c>
      <c r="CH231" s="2"/>
      <c r="CI231" s="2"/>
      <c r="CJ231" s="2"/>
      <c r="CK231" s="2"/>
      <c r="CL231" s="2"/>
      <c r="CM231" s="2">
        <v>0</v>
      </c>
      <c r="CN231" s="2" t="s">
        <v>6</v>
      </c>
      <c r="CO231" s="2">
        <v>0</v>
      </c>
      <c r="CP231" s="2">
        <f t="shared" si="252"/>
        <v>452</v>
      </c>
      <c r="CQ231" s="2">
        <f t="shared" si="253"/>
        <v>7.93</v>
      </c>
      <c r="CR231" s="2">
        <f t="shared" si="254"/>
        <v>0</v>
      </c>
      <c r="CS231" s="2">
        <f t="shared" si="255"/>
        <v>0</v>
      </c>
      <c r="CT231" s="2">
        <f t="shared" si="256"/>
        <v>0</v>
      </c>
      <c r="CU231" s="2">
        <f t="shared" si="257"/>
        <v>0</v>
      </c>
      <c r="CV231" s="2">
        <f t="shared" si="258"/>
        <v>0</v>
      </c>
      <c r="CW231" s="2">
        <f t="shared" si="259"/>
        <v>0</v>
      </c>
      <c r="CX231" s="2">
        <f t="shared" si="260"/>
        <v>0</v>
      </c>
      <c r="CY231" s="2">
        <f>(((S231+(R231*IF(0,0,1)))*AT231)/100)</f>
        <v>0</v>
      </c>
      <c r="CZ231" s="2">
        <f>(((S231+(R231*IF(0,0,1)))*AU231)/100)</f>
        <v>0</v>
      </c>
      <c r="DA231" s="2"/>
      <c r="DB231" s="2"/>
      <c r="DC231" s="2" t="s">
        <v>6</v>
      </c>
      <c r="DD231" s="2" t="s">
        <v>6</v>
      </c>
      <c r="DE231" s="2" t="s">
        <v>6</v>
      </c>
      <c r="DF231" s="2" t="s">
        <v>6</v>
      </c>
      <c r="DG231" s="2" t="s">
        <v>6</v>
      </c>
      <c r="DH231" s="2" t="s">
        <v>6</v>
      </c>
      <c r="DI231" s="2" t="s">
        <v>6</v>
      </c>
      <c r="DJ231" s="2" t="s">
        <v>6</v>
      </c>
      <c r="DK231" s="2" t="s">
        <v>6</v>
      </c>
      <c r="DL231" s="2" t="s">
        <v>6</v>
      </c>
      <c r="DM231" s="2" t="s">
        <v>6</v>
      </c>
      <c r="DN231" s="2">
        <v>0</v>
      </c>
      <c r="DO231" s="2">
        <v>0</v>
      </c>
      <c r="DP231" s="2">
        <v>1</v>
      </c>
      <c r="DQ231" s="2">
        <v>1</v>
      </c>
      <c r="DR231" s="2"/>
      <c r="DS231" s="2"/>
      <c r="DT231" s="2"/>
      <c r="DU231" s="2">
        <v>1010</v>
      </c>
      <c r="DV231" s="2" t="s">
        <v>323</v>
      </c>
      <c r="DW231" s="2" t="s">
        <v>325</v>
      </c>
      <c r="DX231" s="2">
        <v>1</v>
      </c>
      <c r="DY231" s="2"/>
      <c r="DZ231" s="2" t="s">
        <v>6</v>
      </c>
      <c r="EA231" s="2" t="s">
        <v>6</v>
      </c>
      <c r="EB231" s="2" t="s">
        <v>6</v>
      </c>
      <c r="EC231" s="2" t="s">
        <v>6</v>
      </c>
      <c r="ED231" s="2"/>
      <c r="EE231" s="2">
        <v>54938782</v>
      </c>
      <c r="EF231" s="2">
        <v>21</v>
      </c>
      <c r="EG231" s="2" t="s">
        <v>96</v>
      </c>
      <c r="EH231" s="2">
        <v>0</v>
      </c>
      <c r="EI231" s="2" t="s">
        <v>6</v>
      </c>
      <c r="EJ231" s="2">
        <v>2</v>
      </c>
      <c r="EK231" s="2">
        <v>500002</v>
      </c>
      <c r="EL231" s="2" t="s">
        <v>97</v>
      </c>
      <c r="EM231" s="2" t="s">
        <v>98</v>
      </c>
      <c r="EN231" s="2"/>
      <c r="EO231" s="2" t="s">
        <v>6</v>
      </c>
      <c r="EP231" s="2"/>
      <c r="EQ231" s="2">
        <v>0</v>
      </c>
      <c r="ER231" s="2">
        <v>7.93</v>
      </c>
      <c r="ES231" s="110">
        <f>'1.Лок.смета.и.Акт'!F405</f>
        <v>7.93</v>
      </c>
      <c r="ET231" s="2">
        <v>0</v>
      </c>
      <c r="EU231" s="2">
        <v>0</v>
      </c>
      <c r="EV231" s="2">
        <v>0</v>
      </c>
      <c r="EW231" s="2">
        <v>0</v>
      </c>
      <c r="EX231" s="2">
        <v>0</v>
      </c>
      <c r="EY231" s="2"/>
      <c r="EZ231" s="2"/>
      <c r="FA231" s="2"/>
      <c r="FB231" s="2"/>
      <c r="FC231" s="2"/>
      <c r="FD231" s="2"/>
      <c r="FE231" s="2"/>
      <c r="FF231" s="2"/>
      <c r="FG231" s="2"/>
      <c r="FH231" s="2"/>
      <c r="FI231" s="2"/>
      <c r="FJ231" s="2"/>
      <c r="FK231" s="2"/>
      <c r="FL231" s="2"/>
      <c r="FM231" s="2"/>
      <c r="FN231" s="2"/>
      <c r="FO231" s="2"/>
      <c r="FP231" s="2"/>
      <c r="FQ231" s="2">
        <v>0</v>
      </c>
      <c r="FR231" s="2">
        <f t="shared" si="261"/>
        <v>0</v>
      </c>
      <c r="FS231" s="2">
        <v>0</v>
      </c>
      <c r="FT231" s="2"/>
      <c r="FU231" s="2"/>
      <c r="FV231" s="2"/>
      <c r="FW231" s="2"/>
      <c r="FX231" s="2">
        <v>0</v>
      </c>
      <c r="FY231" s="2">
        <v>0</v>
      </c>
      <c r="FZ231" s="2"/>
      <c r="GA231" s="2" t="s">
        <v>6</v>
      </c>
      <c r="GB231" s="2"/>
      <c r="GC231" s="2"/>
      <c r="GD231" s="2">
        <v>1</v>
      </c>
      <c r="GE231" s="2"/>
      <c r="GF231" s="2">
        <v>1471566618</v>
      </c>
      <c r="GG231" s="2">
        <v>2</v>
      </c>
      <c r="GH231" s="2">
        <v>1</v>
      </c>
      <c r="GI231" s="2">
        <v>-2</v>
      </c>
      <c r="GJ231" s="2">
        <v>0</v>
      </c>
      <c r="GK231" s="2">
        <v>0</v>
      </c>
      <c r="GL231" s="2">
        <f t="shared" si="262"/>
        <v>0</v>
      </c>
      <c r="GM231" s="2">
        <f t="shared" si="263"/>
        <v>452</v>
      </c>
      <c r="GN231" s="2">
        <f t="shared" si="264"/>
        <v>0</v>
      </c>
      <c r="GO231" s="2">
        <f t="shared" si="265"/>
        <v>452</v>
      </c>
      <c r="GP231" s="2">
        <f t="shared" si="266"/>
        <v>0</v>
      </c>
      <c r="GQ231" s="2"/>
      <c r="GR231" s="2">
        <v>0</v>
      </c>
      <c r="GS231" s="2">
        <v>3</v>
      </c>
      <c r="GT231" s="2">
        <v>0</v>
      </c>
      <c r="GU231" s="2" t="s">
        <v>6</v>
      </c>
      <c r="GV231" s="2">
        <f t="shared" si="267"/>
        <v>0</v>
      </c>
      <c r="GW231" s="2">
        <v>1</v>
      </c>
      <c r="GX231" s="2">
        <f t="shared" si="268"/>
        <v>0</v>
      </c>
      <c r="GY231" s="2"/>
      <c r="GZ231" s="2"/>
      <c r="HA231" s="2">
        <v>0</v>
      </c>
      <c r="HB231" s="2">
        <v>0</v>
      </c>
      <c r="HC231" s="2">
        <f t="shared" si="269"/>
        <v>0</v>
      </c>
      <c r="HD231" s="2"/>
      <c r="HE231" s="2" t="s">
        <v>6</v>
      </c>
      <c r="HF231" s="2" t="s">
        <v>6</v>
      </c>
      <c r="HG231" s="2"/>
      <c r="HH231" s="2"/>
      <c r="HI231" s="2"/>
      <c r="HJ231" s="2"/>
      <c r="HK231" s="2"/>
      <c r="HL231" s="2"/>
      <c r="HM231" s="2" t="s">
        <v>6</v>
      </c>
      <c r="HN231" s="2" t="s">
        <v>6</v>
      </c>
      <c r="HO231" s="2" t="s">
        <v>6</v>
      </c>
      <c r="HP231" s="2" t="s">
        <v>6</v>
      </c>
      <c r="HQ231" s="2" t="s">
        <v>6</v>
      </c>
      <c r="HR231" s="2"/>
      <c r="HS231" s="2"/>
      <c r="HT231" s="2"/>
      <c r="HU231" s="2"/>
      <c r="HV231" s="2"/>
      <c r="HW231" s="2"/>
      <c r="HX231" s="2"/>
      <c r="HY231" s="2"/>
      <c r="HZ231" s="2"/>
      <c r="IA231" s="2"/>
      <c r="IB231" s="2"/>
      <c r="IC231" s="2"/>
      <c r="ID231" s="2"/>
      <c r="IE231" s="2"/>
      <c r="IF231" s="2">
        <v>-1</v>
      </c>
      <c r="IG231" s="2"/>
      <c r="IH231" s="2"/>
      <c r="II231" s="2"/>
      <c r="IJ231" s="2"/>
      <c r="IK231" s="2">
        <v>0</v>
      </c>
      <c r="IL231" s="2"/>
      <c r="IM231" s="2"/>
      <c r="IN231" s="2"/>
      <c r="IO231" s="2"/>
      <c r="IP231" s="2"/>
      <c r="IQ231" s="2"/>
      <c r="IR231" s="2"/>
      <c r="IS231" s="2"/>
      <c r="IT231" s="2"/>
      <c r="IU231" s="2"/>
    </row>
    <row r="232" spans="1:255" x14ac:dyDescent="0.2">
      <c r="A232">
        <v>18</v>
      </c>
      <c r="B232">
        <v>1</v>
      </c>
      <c r="C232">
        <v>281</v>
      </c>
      <c r="E232" t="s">
        <v>320</v>
      </c>
      <c r="F232" t="e">
        <f>'2.Лок.смета.и.Акт'!#REF!</f>
        <v>#REF!</v>
      </c>
      <c r="G232" t="s">
        <v>322</v>
      </c>
      <c r="H232" t="s">
        <v>323</v>
      </c>
      <c r="I232">
        <f>I228*J232</f>
        <v>57</v>
      </c>
      <c r="J232">
        <v>79.166666666666671</v>
      </c>
      <c r="K232">
        <v>79.166666699999993</v>
      </c>
      <c r="O232">
        <f t="shared" si="237"/>
        <v>1521</v>
      </c>
      <c r="P232">
        <f t="shared" si="238"/>
        <v>1521</v>
      </c>
      <c r="Q232">
        <f t="shared" si="239"/>
        <v>0</v>
      </c>
      <c r="R232">
        <f t="shared" si="240"/>
        <v>0</v>
      </c>
      <c r="S232">
        <f t="shared" si="241"/>
        <v>0</v>
      </c>
      <c r="T232">
        <f t="shared" si="242"/>
        <v>0</v>
      </c>
      <c r="U232">
        <f t="shared" si="243"/>
        <v>0</v>
      </c>
      <c r="V232">
        <f t="shared" si="244"/>
        <v>0</v>
      </c>
      <c r="W232">
        <f t="shared" si="245"/>
        <v>0</v>
      </c>
      <c r="X232">
        <f t="shared" si="246"/>
        <v>0</v>
      </c>
      <c r="Y232">
        <f t="shared" si="247"/>
        <v>0</v>
      </c>
      <c r="AA232">
        <v>86326988</v>
      </c>
      <c r="AB232">
        <f t="shared" si="248"/>
        <v>3.53</v>
      </c>
      <c r="AC232">
        <f t="shared" si="271"/>
        <v>3.53</v>
      </c>
      <c r="AD232">
        <f t="shared" si="270"/>
        <v>0</v>
      </c>
      <c r="AE232">
        <f t="shared" si="233"/>
        <v>0</v>
      </c>
      <c r="AF232">
        <f t="shared" si="234"/>
        <v>0</v>
      </c>
      <c r="AG232">
        <f t="shared" si="250"/>
        <v>0</v>
      </c>
      <c r="AH232">
        <f t="shared" si="235"/>
        <v>0</v>
      </c>
      <c r="AI232">
        <f t="shared" si="236"/>
        <v>0</v>
      </c>
      <c r="AJ232">
        <f t="shared" si="251"/>
        <v>0</v>
      </c>
      <c r="AK232">
        <v>3.53</v>
      </c>
      <c r="AL232">
        <v>3.53</v>
      </c>
      <c r="AM232">
        <v>0</v>
      </c>
      <c r="AN232">
        <v>0</v>
      </c>
      <c r="AO232">
        <v>0</v>
      </c>
      <c r="AP232">
        <v>0</v>
      </c>
      <c r="AQ232">
        <v>0</v>
      </c>
      <c r="AR232">
        <v>0</v>
      </c>
      <c r="AS232">
        <v>0</v>
      </c>
      <c r="AT232">
        <v>0</v>
      </c>
      <c r="AU232">
        <v>0</v>
      </c>
      <c r="AV232">
        <v>1</v>
      </c>
      <c r="AW232">
        <v>1</v>
      </c>
      <c r="AZ232">
        <v>1</v>
      </c>
      <c r="BA232">
        <v>1</v>
      </c>
      <c r="BB232">
        <v>1</v>
      </c>
      <c r="BC232">
        <v>7.56</v>
      </c>
      <c r="BD232" t="s">
        <v>6</v>
      </c>
      <c r="BE232" t="s">
        <v>6</v>
      </c>
      <c r="BF232" t="s">
        <v>6</v>
      </c>
      <c r="BG232" t="s">
        <v>6</v>
      </c>
      <c r="BH232">
        <v>3</v>
      </c>
      <c r="BI232">
        <v>2</v>
      </c>
      <c r="BJ232" t="s">
        <v>324</v>
      </c>
      <c r="BM232">
        <v>500002</v>
      </c>
      <c r="BN232">
        <v>0</v>
      </c>
      <c r="BO232" t="s">
        <v>6</v>
      </c>
      <c r="BP232">
        <v>0</v>
      </c>
      <c r="BQ232">
        <v>21</v>
      </c>
      <c r="BR232">
        <v>0</v>
      </c>
      <c r="BS232">
        <v>1</v>
      </c>
      <c r="BT232">
        <v>1</v>
      </c>
      <c r="BU232">
        <v>1</v>
      </c>
      <c r="BV232">
        <v>1</v>
      </c>
      <c r="BW232">
        <v>1</v>
      </c>
      <c r="BX232">
        <v>1</v>
      </c>
      <c r="BY232" t="s">
        <v>6</v>
      </c>
      <c r="BZ232">
        <v>0</v>
      </c>
      <c r="CA232">
        <v>0</v>
      </c>
      <c r="CB232" t="s">
        <v>6</v>
      </c>
      <c r="CE232">
        <v>0</v>
      </c>
      <c r="CF232">
        <v>0</v>
      </c>
      <c r="CG232">
        <v>0</v>
      </c>
      <c r="CM232">
        <v>0</v>
      </c>
      <c r="CN232" t="s">
        <v>6</v>
      </c>
      <c r="CO232">
        <v>0</v>
      </c>
      <c r="CP232">
        <f t="shared" si="252"/>
        <v>1521</v>
      </c>
      <c r="CQ232">
        <f t="shared" si="253"/>
        <v>26.686799999999998</v>
      </c>
      <c r="CR232">
        <f t="shared" si="254"/>
        <v>0</v>
      </c>
      <c r="CS232">
        <f t="shared" si="255"/>
        <v>0</v>
      </c>
      <c r="CT232">
        <f t="shared" si="256"/>
        <v>0</v>
      </c>
      <c r="CU232">
        <f t="shared" si="257"/>
        <v>0</v>
      </c>
      <c r="CV232">
        <f t="shared" si="258"/>
        <v>0</v>
      </c>
      <c r="CW232">
        <f t="shared" si="259"/>
        <v>0</v>
      </c>
      <c r="CX232">
        <f t="shared" si="260"/>
        <v>0</v>
      </c>
      <c r="CY232">
        <f>(S232+R232)*(BZ232/100)</f>
        <v>0</v>
      </c>
      <c r="CZ232">
        <f>(S232+R232)*(CA232/100)</f>
        <v>0</v>
      </c>
      <c r="DC232" t="s">
        <v>6</v>
      </c>
      <c r="DD232" t="s">
        <v>6</v>
      </c>
      <c r="DE232" t="s">
        <v>6</v>
      </c>
      <c r="DF232" t="s">
        <v>6</v>
      </c>
      <c r="DG232" t="s">
        <v>6</v>
      </c>
      <c r="DH232" t="s">
        <v>6</v>
      </c>
      <c r="DI232" t="s">
        <v>6</v>
      </c>
      <c r="DJ232" t="s">
        <v>6</v>
      </c>
      <c r="DK232" t="s">
        <v>6</v>
      </c>
      <c r="DL232" t="s">
        <v>6</v>
      </c>
      <c r="DM232" t="s">
        <v>6</v>
      </c>
      <c r="DN232">
        <v>0</v>
      </c>
      <c r="DO232">
        <v>0</v>
      </c>
      <c r="DP232">
        <v>1</v>
      </c>
      <c r="DQ232">
        <v>1</v>
      </c>
      <c r="DU232">
        <v>1010</v>
      </c>
      <c r="DV232" t="s">
        <v>323</v>
      </c>
      <c r="DW232" t="e">
        <f>'2.Лок.смета.и.Акт'!#REF!</f>
        <v>#REF!</v>
      </c>
      <c r="DX232">
        <v>1</v>
      </c>
      <c r="DZ232" t="s">
        <v>6</v>
      </c>
      <c r="EA232" t="s">
        <v>6</v>
      </c>
      <c r="EB232" t="s">
        <v>6</v>
      </c>
      <c r="EC232" t="s">
        <v>6</v>
      </c>
      <c r="EE232">
        <v>54938782</v>
      </c>
      <c r="EF232">
        <v>21</v>
      </c>
      <c r="EG232" t="s">
        <v>96</v>
      </c>
      <c r="EH232">
        <v>0</v>
      </c>
      <c r="EI232" t="s">
        <v>6</v>
      </c>
      <c r="EJ232">
        <v>2</v>
      </c>
      <c r="EK232">
        <v>500002</v>
      </c>
      <c r="EL232" t="s">
        <v>97</v>
      </c>
      <c r="EM232" t="s">
        <v>98</v>
      </c>
      <c r="EO232" t="s">
        <v>6</v>
      </c>
      <c r="EQ232">
        <v>0</v>
      </c>
      <c r="ER232">
        <v>25.15</v>
      </c>
      <c r="ES232">
        <v>3.53</v>
      </c>
      <c r="ET232">
        <v>0</v>
      </c>
      <c r="EU232">
        <v>0</v>
      </c>
      <c r="EV232">
        <v>0</v>
      </c>
      <c r="EW232">
        <v>0</v>
      </c>
      <c r="EX232">
        <v>0</v>
      </c>
      <c r="EZ232">
        <v>5</v>
      </c>
      <c r="FC232">
        <v>0</v>
      </c>
      <c r="FD232">
        <v>18</v>
      </c>
      <c r="FF232">
        <v>25.15</v>
      </c>
      <c r="FQ232">
        <v>0</v>
      </c>
      <c r="FR232">
        <f t="shared" si="261"/>
        <v>0</v>
      </c>
      <c r="FS232">
        <v>0</v>
      </c>
      <c r="FX232">
        <v>0</v>
      </c>
      <c r="FY232">
        <v>0</v>
      </c>
      <c r="GA232" t="s">
        <v>326</v>
      </c>
      <c r="GD232">
        <v>1</v>
      </c>
      <c r="GF232">
        <v>1471566618</v>
      </c>
      <c r="GG232">
        <v>2</v>
      </c>
      <c r="GH232">
        <v>3</v>
      </c>
      <c r="GI232">
        <v>5</v>
      </c>
      <c r="GJ232">
        <v>0</v>
      </c>
      <c r="GK232">
        <v>0</v>
      </c>
      <c r="GL232">
        <f t="shared" si="262"/>
        <v>0</v>
      </c>
      <c r="GM232">
        <f t="shared" si="263"/>
        <v>1521</v>
      </c>
      <c r="GN232">
        <f t="shared" si="264"/>
        <v>0</v>
      </c>
      <c r="GO232">
        <f t="shared" si="265"/>
        <v>1521</v>
      </c>
      <c r="GP232">
        <f t="shared" si="266"/>
        <v>0</v>
      </c>
      <c r="GR232">
        <v>1</v>
      </c>
      <c r="GS232">
        <v>1</v>
      </c>
      <c r="GT232">
        <v>0</v>
      </c>
      <c r="GU232" t="s">
        <v>6</v>
      </c>
      <c r="GV232">
        <f t="shared" si="267"/>
        <v>0</v>
      </c>
      <c r="GW232">
        <v>1</v>
      </c>
      <c r="GX232">
        <f t="shared" si="268"/>
        <v>0</v>
      </c>
      <c r="HA232">
        <v>0</v>
      </c>
      <c r="HB232">
        <v>0</v>
      </c>
      <c r="HC232">
        <f t="shared" si="269"/>
        <v>0</v>
      </c>
      <c r="HE232" t="s">
        <v>39</v>
      </c>
      <c r="HF232" t="s">
        <v>40</v>
      </c>
      <c r="HM232" t="s">
        <v>6</v>
      </c>
      <c r="HN232" t="s">
        <v>6</v>
      </c>
      <c r="HO232" t="s">
        <v>6</v>
      </c>
      <c r="HP232" t="s">
        <v>6</v>
      </c>
      <c r="HQ232" t="s">
        <v>6</v>
      </c>
      <c r="IF232">
        <v>-1</v>
      </c>
      <c r="IK232">
        <v>0</v>
      </c>
    </row>
    <row r="233" spans="1:255" x14ac:dyDescent="0.2">
      <c r="A233" s="2">
        <v>18</v>
      </c>
      <c r="B233" s="2">
        <v>1</v>
      </c>
      <c r="C233" s="2">
        <v>272</v>
      </c>
      <c r="D233" s="2"/>
      <c r="E233" s="2" t="s">
        <v>327</v>
      </c>
      <c r="F233" s="2" t="s">
        <v>321</v>
      </c>
      <c r="G233" s="2" t="s">
        <v>328</v>
      </c>
      <c r="H233" s="2" t="s">
        <v>323</v>
      </c>
      <c r="I233" s="2">
        <f>I227*J233</f>
        <v>68.5</v>
      </c>
      <c r="J233" s="226">
        <f>'5.Ведомость_списания'!F111</f>
        <v>95.138888888888886</v>
      </c>
      <c r="K233" s="2">
        <v>95.138889000000006</v>
      </c>
      <c r="L233" s="2"/>
      <c r="M233" s="2"/>
      <c r="N233" s="2"/>
      <c r="O233" s="2">
        <f t="shared" si="237"/>
        <v>543</v>
      </c>
      <c r="P233" s="2">
        <f t="shared" si="238"/>
        <v>543</v>
      </c>
      <c r="Q233" s="2">
        <f t="shared" si="239"/>
        <v>0</v>
      </c>
      <c r="R233" s="2">
        <f t="shared" si="240"/>
        <v>0</v>
      </c>
      <c r="S233" s="2">
        <f t="shared" si="241"/>
        <v>0</v>
      </c>
      <c r="T233" s="2">
        <f t="shared" si="242"/>
        <v>0</v>
      </c>
      <c r="U233" s="2">
        <f t="shared" si="243"/>
        <v>0</v>
      </c>
      <c r="V233" s="2">
        <f t="shared" si="244"/>
        <v>0</v>
      </c>
      <c r="W233" s="2">
        <f t="shared" si="245"/>
        <v>0</v>
      </c>
      <c r="X233" s="2">
        <f t="shared" si="246"/>
        <v>0</v>
      </c>
      <c r="Y233" s="2">
        <f t="shared" si="247"/>
        <v>0</v>
      </c>
      <c r="Z233" s="2"/>
      <c r="AA233" s="2">
        <v>86326987</v>
      </c>
      <c r="AB233" s="2">
        <f t="shared" si="248"/>
        <v>7.93</v>
      </c>
      <c r="AC233" s="2">
        <f t="shared" si="271"/>
        <v>7.93</v>
      </c>
      <c r="AD233" s="2">
        <f t="shared" si="270"/>
        <v>0</v>
      </c>
      <c r="AE233" s="2">
        <f t="shared" si="233"/>
        <v>0</v>
      </c>
      <c r="AF233" s="2">
        <f t="shared" si="234"/>
        <v>0</v>
      </c>
      <c r="AG233" s="2">
        <f t="shared" si="250"/>
        <v>0</v>
      </c>
      <c r="AH233" s="2">
        <f t="shared" si="235"/>
        <v>0</v>
      </c>
      <c r="AI233" s="2">
        <f t="shared" si="236"/>
        <v>0</v>
      </c>
      <c r="AJ233" s="2">
        <f t="shared" si="251"/>
        <v>0</v>
      </c>
      <c r="AK233" s="2">
        <v>7.93</v>
      </c>
      <c r="AL233" s="110">
        <f>'1.Лок.смета.и.Акт'!F407</f>
        <v>7.93</v>
      </c>
      <c r="AM233" s="2">
        <v>0</v>
      </c>
      <c r="AN233" s="2">
        <v>0</v>
      </c>
      <c r="AO233" s="2">
        <v>0</v>
      </c>
      <c r="AP233" s="2">
        <v>0</v>
      </c>
      <c r="AQ233" s="2">
        <v>0</v>
      </c>
      <c r="AR233" s="2">
        <v>0</v>
      </c>
      <c r="AS233" s="2">
        <v>0</v>
      </c>
      <c r="AT233" s="2">
        <v>0</v>
      </c>
      <c r="AU233" s="2">
        <v>0</v>
      </c>
      <c r="AV233" s="2">
        <v>1</v>
      </c>
      <c r="AW233" s="2">
        <v>1</v>
      </c>
      <c r="AX233" s="2"/>
      <c r="AY233" s="2"/>
      <c r="AZ233" s="2">
        <v>1</v>
      </c>
      <c r="BA233" s="2">
        <v>1</v>
      </c>
      <c r="BB233" s="2">
        <v>1</v>
      </c>
      <c r="BC233" s="2">
        <v>1</v>
      </c>
      <c r="BD233" s="2" t="s">
        <v>6</v>
      </c>
      <c r="BE233" s="2" t="s">
        <v>6</v>
      </c>
      <c r="BF233" s="2" t="s">
        <v>6</v>
      </c>
      <c r="BG233" s="2" t="s">
        <v>6</v>
      </c>
      <c r="BH233" s="2">
        <v>3</v>
      </c>
      <c r="BI233" s="2">
        <v>2</v>
      </c>
      <c r="BJ233" s="2" t="s">
        <v>324</v>
      </c>
      <c r="BK233" s="2"/>
      <c r="BL233" s="2"/>
      <c r="BM233" s="2">
        <v>500002</v>
      </c>
      <c r="BN233" s="2">
        <v>0</v>
      </c>
      <c r="BO233" s="2" t="s">
        <v>6</v>
      </c>
      <c r="BP233" s="2">
        <v>0</v>
      </c>
      <c r="BQ233" s="2">
        <v>21</v>
      </c>
      <c r="BR233" s="2">
        <v>0</v>
      </c>
      <c r="BS233" s="2">
        <v>1</v>
      </c>
      <c r="BT233" s="2">
        <v>1</v>
      </c>
      <c r="BU233" s="2">
        <v>1</v>
      </c>
      <c r="BV233" s="2">
        <v>1</v>
      </c>
      <c r="BW233" s="2">
        <v>1</v>
      </c>
      <c r="BX233" s="2">
        <v>1</v>
      </c>
      <c r="BY233" s="2" t="s">
        <v>6</v>
      </c>
      <c r="BZ233" s="2">
        <v>0</v>
      </c>
      <c r="CA233" s="2">
        <v>0</v>
      </c>
      <c r="CB233" s="2" t="s">
        <v>6</v>
      </c>
      <c r="CC233" s="2"/>
      <c r="CD233" s="2"/>
      <c r="CE233" s="2">
        <v>0</v>
      </c>
      <c r="CF233" s="2">
        <v>0</v>
      </c>
      <c r="CG233" s="2">
        <v>0</v>
      </c>
      <c r="CH233" s="2"/>
      <c r="CI233" s="2"/>
      <c r="CJ233" s="2"/>
      <c r="CK233" s="2"/>
      <c r="CL233" s="2"/>
      <c r="CM233" s="2">
        <v>0</v>
      </c>
      <c r="CN233" s="2" t="s">
        <v>6</v>
      </c>
      <c r="CO233" s="2">
        <v>0</v>
      </c>
      <c r="CP233" s="2">
        <f t="shared" si="252"/>
        <v>543</v>
      </c>
      <c r="CQ233" s="2">
        <f t="shared" si="253"/>
        <v>7.93</v>
      </c>
      <c r="CR233" s="2">
        <f t="shared" si="254"/>
        <v>0</v>
      </c>
      <c r="CS233" s="2">
        <f t="shared" si="255"/>
        <v>0</v>
      </c>
      <c r="CT233" s="2">
        <f t="shared" si="256"/>
        <v>0</v>
      </c>
      <c r="CU233" s="2">
        <f t="shared" si="257"/>
        <v>0</v>
      </c>
      <c r="CV233" s="2">
        <f t="shared" si="258"/>
        <v>0</v>
      </c>
      <c r="CW233" s="2">
        <f t="shared" si="259"/>
        <v>0</v>
      </c>
      <c r="CX233" s="2">
        <f t="shared" si="260"/>
        <v>0</v>
      </c>
      <c r="CY233" s="2">
        <f>(((S233+(R233*IF(0,0,1)))*AT233)/100)</f>
        <v>0</v>
      </c>
      <c r="CZ233" s="2">
        <f>(((S233+(R233*IF(0,0,1)))*AU233)/100)</f>
        <v>0</v>
      </c>
      <c r="DA233" s="2"/>
      <c r="DB233" s="2"/>
      <c r="DC233" s="2" t="s">
        <v>6</v>
      </c>
      <c r="DD233" s="2" t="s">
        <v>6</v>
      </c>
      <c r="DE233" s="2" t="s">
        <v>6</v>
      </c>
      <c r="DF233" s="2" t="s">
        <v>6</v>
      </c>
      <c r="DG233" s="2" t="s">
        <v>6</v>
      </c>
      <c r="DH233" s="2" t="s">
        <v>6</v>
      </c>
      <c r="DI233" s="2" t="s">
        <v>6</v>
      </c>
      <c r="DJ233" s="2" t="s">
        <v>6</v>
      </c>
      <c r="DK233" s="2" t="s">
        <v>6</v>
      </c>
      <c r="DL233" s="2" t="s">
        <v>6</v>
      </c>
      <c r="DM233" s="2" t="s">
        <v>6</v>
      </c>
      <c r="DN233" s="2">
        <v>0</v>
      </c>
      <c r="DO233" s="2">
        <v>0</v>
      </c>
      <c r="DP233" s="2">
        <v>1</v>
      </c>
      <c r="DQ233" s="2">
        <v>1</v>
      </c>
      <c r="DR233" s="2"/>
      <c r="DS233" s="2"/>
      <c r="DT233" s="2"/>
      <c r="DU233" s="2">
        <v>1010</v>
      </c>
      <c r="DV233" s="2" t="s">
        <v>323</v>
      </c>
      <c r="DW233" s="2" t="s">
        <v>325</v>
      </c>
      <c r="DX233" s="2">
        <v>1</v>
      </c>
      <c r="DY233" s="2"/>
      <c r="DZ233" s="2" t="s">
        <v>6</v>
      </c>
      <c r="EA233" s="2" t="s">
        <v>6</v>
      </c>
      <c r="EB233" s="2" t="s">
        <v>6</v>
      </c>
      <c r="EC233" s="2" t="s">
        <v>6</v>
      </c>
      <c r="ED233" s="2"/>
      <c r="EE233" s="2">
        <v>54938782</v>
      </c>
      <c r="EF233" s="2">
        <v>21</v>
      </c>
      <c r="EG233" s="2" t="s">
        <v>96</v>
      </c>
      <c r="EH233" s="2">
        <v>0</v>
      </c>
      <c r="EI233" s="2" t="s">
        <v>6</v>
      </c>
      <c r="EJ233" s="2">
        <v>2</v>
      </c>
      <c r="EK233" s="2">
        <v>500002</v>
      </c>
      <c r="EL233" s="2" t="s">
        <v>97</v>
      </c>
      <c r="EM233" s="2" t="s">
        <v>98</v>
      </c>
      <c r="EN233" s="2"/>
      <c r="EO233" s="2" t="s">
        <v>6</v>
      </c>
      <c r="EP233" s="2"/>
      <c r="EQ233" s="2">
        <v>0</v>
      </c>
      <c r="ER233" s="2">
        <v>7.93</v>
      </c>
      <c r="ES233" s="110">
        <f>'1.Лок.смета.и.Акт'!F407</f>
        <v>7.93</v>
      </c>
      <c r="ET233" s="2">
        <v>0</v>
      </c>
      <c r="EU233" s="2">
        <v>0</v>
      </c>
      <c r="EV233" s="2">
        <v>0</v>
      </c>
      <c r="EW233" s="2">
        <v>0</v>
      </c>
      <c r="EX233" s="2">
        <v>0</v>
      </c>
      <c r="EY233" s="2"/>
      <c r="EZ233" s="2"/>
      <c r="FA233" s="2"/>
      <c r="FB233" s="2"/>
      <c r="FC233" s="2"/>
      <c r="FD233" s="2"/>
      <c r="FE233" s="2"/>
      <c r="FF233" s="2"/>
      <c r="FG233" s="2"/>
      <c r="FH233" s="2"/>
      <c r="FI233" s="2"/>
      <c r="FJ233" s="2"/>
      <c r="FK233" s="2"/>
      <c r="FL233" s="2"/>
      <c r="FM233" s="2"/>
      <c r="FN233" s="2"/>
      <c r="FO233" s="2"/>
      <c r="FP233" s="2"/>
      <c r="FQ233" s="2">
        <v>0</v>
      </c>
      <c r="FR233" s="2">
        <f t="shared" si="261"/>
        <v>0</v>
      </c>
      <c r="FS233" s="2">
        <v>0</v>
      </c>
      <c r="FT233" s="2"/>
      <c r="FU233" s="2"/>
      <c r="FV233" s="2"/>
      <c r="FW233" s="2"/>
      <c r="FX233" s="2">
        <v>0</v>
      </c>
      <c r="FY233" s="2">
        <v>0</v>
      </c>
      <c r="FZ233" s="2"/>
      <c r="GA233" s="2" t="s">
        <v>6</v>
      </c>
      <c r="GB233" s="2"/>
      <c r="GC233" s="2"/>
      <c r="GD233" s="2">
        <v>1</v>
      </c>
      <c r="GE233" s="2"/>
      <c r="GF233" s="2">
        <v>-2127956255</v>
      </c>
      <c r="GG233" s="2">
        <v>2</v>
      </c>
      <c r="GH233" s="2">
        <v>1</v>
      </c>
      <c r="GI233" s="2">
        <v>-2</v>
      </c>
      <c r="GJ233" s="2">
        <v>0</v>
      </c>
      <c r="GK233" s="2">
        <v>0</v>
      </c>
      <c r="GL233" s="2">
        <f t="shared" si="262"/>
        <v>0</v>
      </c>
      <c r="GM233" s="2">
        <f t="shared" si="263"/>
        <v>543</v>
      </c>
      <c r="GN233" s="2">
        <f t="shared" si="264"/>
        <v>0</v>
      </c>
      <c r="GO233" s="2">
        <f t="shared" si="265"/>
        <v>543</v>
      </c>
      <c r="GP233" s="2">
        <f t="shared" si="266"/>
        <v>0</v>
      </c>
      <c r="GQ233" s="2"/>
      <c r="GR233" s="2">
        <v>0</v>
      </c>
      <c r="GS233" s="2">
        <v>3</v>
      </c>
      <c r="GT233" s="2">
        <v>0</v>
      </c>
      <c r="GU233" s="2" t="s">
        <v>6</v>
      </c>
      <c r="GV233" s="2">
        <f t="shared" si="267"/>
        <v>0</v>
      </c>
      <c r="GW233" s="2">
        <v>1</v>
      </c>
      <c r="GX233" s="2">
        <f t="shared" si="268"/>
        <v>0</v>
      </c>
      <c r="GY233" s="2"/>
      <c r="GZ233" s="2"/>
      <c r="HA233" s="2">
        <v>0</v>
      </c>
      <c r="HB233" s="2">
        <v>0</v>
      </c>
      <c r="HC233" s="2">
        <f t="shared" si="269"/>
        <v>0</v>
      </c>
      <c r="HD233" s="2"/>
      <c r="HE233" s="2" t="s">
        <v>6</v>
      </c>
      <c r="HF233" s="2" t="s">
        <v>6</v>
      </c>
      <c r="HG233" s="2"/>
      <c r="HH233" s="2"/>
      <c r="HI233" s="2"/>
      <c r="HJ233" s="2"/>
      <c r="HK233" s="2"/>
      <c r="HL233" s="2"/>
      <c r="HM233" s="2" t="s">
        <v>6</v>
      </c>
      <c r="HN233" s="2" t="s">
        <v>6</v>
      </c>
      <c r="HO233" s="2" t="s">
        <v>6</v>
      </c>
      <c r="HP233" s="2" t="s">
        <v>6</v>
      </c>
      <c r="HQ233" s="2" t="s">
        <v>6</v>
      </c>
      <c r="HR233" s="2"/>
      <c r="HS233" s="2"/>
      <c r="HT233" s="2"/>
      <c r="HU233" s="2"/>
      <c r="HV233" s="2"/>
      <c r="HW233" s="2"/>
      <c r="HX233" s="2"/>
      <c r="HY233" s="2"/>
      <c r="HZ233" s="2"/>
      <c r="IA233" s="2"/>
      <c r="IB233" s="2"/>
      <c r="IC233" s="2"/>
      <c r="ID233" s="2"/>
      <c r="IE233" s="2"/>
      <c r="IF233" s="2">
        <v>-1</v>
      </c>
      <c r="IG233" s="2"/>
      <c r="IH233" s="2"/>
      <c r="II233" s="2"/>
      <c r="IJ233" s="2"/>
      <c r="IK233" s="2">
        <v>0</v>
      </c>
      <c r="IL233" s="2"/>
      <c r="IM233" s="2"/>
      <c r="IN233" s="2"/>
      <c r="IO233" s="2"/>
      <c r="IP233" s="2"/>
      <c r="IQ233" s="2"/>
      <c r="IR233" s="2"/>
      <c r="IS233" s="2"/>
      <c r="IT233" s="2"/>
      <c r="IU233" s="2"/>
    </row>
    <row r="234" spans="1:255" x14ac:dyDescent="0.2">
      <c r="A234">
        <v>18</v>
      </c>
      <c r="B234">
        <v>1</v>
      </c>
      <c r="C234">
        <v>282</v>
      </c>
      <c r="E234" t="s">
        <v>327</v>
      </c>
      <c r="F234" t="e">
        <f>'2.Лок.смета.и.Акт'!#REF!</f>
        <v>#REF!</v>
      </c>
      <c r="G234" t="s">
        <v>328</v>
      </c>
      <c r="H234" t="s">
        <v>323</v>
      </c>
      <c r="I234">
        <f>I228*J234</f>
        <v>68.5</v>
      </c>
      <c r="J234">
        <v>95.138888888888886</v>
      </c>
      <c r="K234">
        <v>95.138889000000006</v>
      </c>
      <c r="O234">
        <f t="shared" si="237"/>
        <v>2201</v>
      </c>
      <c r="P234">
        <f t="shared" si="238"/>
        <v>2201</v>
      </c>
      <c r="Q234">
        <f t="shared" si="239"/>
        <v>0</v>
      </c>
      <c r="R234">
        <f t="shared" si="240"/>
        <v>0</v>
      </c>
      <c r="S234">
        <f t="shared" si="241"/>
        <v>0</v>
      </c>
      <c r="T234">
        <f t="shared" si="242"/>
        <v>0</v>
      </c>
      <c r="U234">
        <f t="shared" si="243"/>
        <v>0</v>
      </c>
      <c r="V234">
        <f t="shared" si="244"/>
        <v>0</v>
      </c>
      <c r="W234">
        <f t="shared" si="245"/>
        <v>0</v>
      </c>
      <c r="X234">
        <f t="shared" si="246"/>
        <v>0</v>
      </c>
      <c r="Y234">
        <f t="shared" si="247"/>
        <v>0</v>
      </c>
      <c r="AA234">
        <v>86326988</v>
      </c>
      <c r="AB234">
        <f t="shared" si="248"/>
        <v>4.25</v>
      </c>
      <c r="AC234">
        <f t="shared" si="271"/>
        <v>4.25</v>
      </c>
      <c r="AD234">
        <f t="shared" si="270"/>
        <v>0</v>
      </c>
      <c r="AE234">
        <f t="shared" si="233"/>
        <v>0</v>
      </c>
      <c r="AF234">
        <f t="shared" si="234"/>
        <v>0</v>
      </c>
      <c r="AG234">
        <f t="shared" si="250"/>
        <v>0</v>
      </c>
      <c r="AH234">
        <f t="shared" si="235"/>
        <v>0</v>
      </c>
      <c r="AI234">
        <f t="shared" si="236"/>
        <v>0</v>
      </c>
      <c r="AJ234">
        <f t="shared" si="251"/>
        <v>0</v>
      </c>
      <c r="AK234">
        <v>4.25</v>
      </c>
      <c r="AL234">
        <v>4.25</v>
      </c>
      <c r="AM234">
        <v>0</v>
      </c>
      <c r="AN234">
        <v>0</v>
      </c>
      <c r="AO234">
        <v>0</v>
      </c>
      <c r="AP234">
        <v>0</v>
      </c>
      <c r="AQ234">
        <v>0</v>
      </c>
      <c r="AR234">
        <v>0</v>
      </c>
      <c r="AS234">
        <v>0</v>
      </c>
      <c r="AT234">
        <v>0</v>
      </c>
      <c r="AU234">
        <v>0</v>
      </c>
      <c r="AV234">
        <v>1</v>
      </c>
      <c r="AW234">
        <v>1</v>
      </c>
      <c r="AZ234">
        <v>1</v>
      </c>
      <c r="BA234">
        <v>1</v>
      </c>
      <c r="BB234">
        <v>1</v>
      </c>
      <c r="BC234">
        <v>7.56</v>
      </c>
      <c r="BD234" t="s">
        <v>6</v>
      </c>
      <c r="BE234" t="s">
        <v>6</v>
      </c>
      <c r="BF234" t="s">
        <v>6</v>
      </c>
      <c r="BG234" t="s">
        <v>6</v>
      </c>
      <c r="BH234">
        <v>3</v>
      </c>
      <c r="BI234">
        <v>2</v>
      </c>
      <c r="BJ234" t="s">
        <v>324</v>
      </c>
      <c r="BM234">
        <v>500002</v>
      </c>
      <c r="BN234">
        <v>0</v>
      </c>
      <c r="BO234" t="s">
        <v>6</v>
      </c>
      <c r="BP234">
        <v>0</v>
      </c>
      <c r="BQ234">
        <v>21</v>
      </c>
      <c r="BR234">
        <v>0</v>
      </c>
      <c r="BS234">
        <v>1</v>
      </c>
      <c r="BT234">
        <v>1</v>
      </c>
      <c r="BU234">
        <v>1</v>
      </c>
      <c r="BV234">
        <v>1</v>
      </c>
      <c r="BW234">
        <v>1</v>
      </c>
      <c r="BX234">
        <v>1</v>
      </c>
      <c r="BY234" t="s">
        <v>6</v>
      </c>
      <c r="BZ234">
        <v>0</v>
      </c>
      <c r="CA234">
        <v>0</v>
      </c>
      <c r="CB234" t="s">
        <v>6</v>
      </c>
      <c r="CE234">
        <v>0</v>
      </c>
      <c r="CF234">
        <v>0</v>
      </c>
      <c r="CG234">
        <v>0</v>
      </c>
      <c r="CM234">
        <v>0</v>
      </c>
      <c r="CN234" t="s">
        <v>6</v>
      </c>
      <c r="CO234">
        <v>0</v>
      </c>
      <c r="CP234">
        <f t="shared" si="252"/>
        <v>2201</v>
      </c>
      <c r="CQ234">
        <f t="shared" si="253"/>
        <v>32.129999999999995</v>
      </c>
      <c r="CR234">
        <f t="shared" si="254"/>
        <v>0</v>
      </c>
      <c r="CS234">
        <f t="shared" si="255"/>
        <v>0</v>
      </c>
      <c r="CT234">
        <f t="shared" si="256"/>
        <v>0</v>
      </c>
      <c r="CU234">
        <f t="shared" si="257"/>
        <v>0</v>
      </c>
      <c r="CV234">
        <f t="shared" si="258"/>
        <v>0</v>
      </c>
      <c r="CW234">
        <f t="shared" si="259"/>
        <v>0</v>
      </c>
      <c r="CX234">
        <f t="shared" si="260"/>
        <v>0</v>
      </c>
      <c r="CY234">
        <f>(S234+R234)*(BZ234/100)</f>
        <v>0</v>
      </c>
      <c r="CZ234">
        <f>(S234+R234)*(CA234/100)</f>
        <v>0</v>
      </c>
      <c r="DC234" t="s">
        <v>6</v>
      </c>
      <c r="DD234" t="s">
        <v>6</v>
      </c>
      <c r="DE234" t="s">
        <v>6</v>
      </c>
      <c r="DF234" t="s">
        <v>6</v>
      </c>
      <c r="DG234" t="s">
        <v>6</v>
      </c>
      <c r="DH234" t="s">
        <v>6</v>
      </c>
      <c r="DI234" t="s">
        <v>6</v>
      </c>
      <c r="DJ234" t="s">
        <v>6</v>
      </c>
      <c r="DK234" t="s">
        <v>6</v>
      </c>
      <c r="DL234" t="s">
        <v>6</v>
      </c>
      <c r="DM234" t="s">
        <v>6</v>
      </c>
      <c r="DN234">
        <v>0</v>
      </c>
      <c r="DO234">
        <v>0</v>
      </c>
      <c r="DP234">
        <v>1</v>
      </c>
      <c r="DQ234">
        <v>1</v>
      </c>
      <c r="DU234">
        <v>1010</v>
      </c>
      <c r="DV234" t="s">
        <v>323</v>
      </c>
      <c r="DW234" t="e">
        <f>'2.Лок.смета.и.Акт'!#REF!</f>
        <v>#REF!</v>
      </c>
      <c r="DX234">
        <v>1</v>
      </c>
      <c r="DZ234" t="s">
        <v>6</v>
      </c>
      <c r="EA234" t="s">
        <v>6</v>
      </c>
      <c r="EB234" t="s">
        <v>6</v>
      </c>
      <c r="EC234" t="s">
        <v>6</v>
      </c>
      <c r="EE234">
        <v>54938782</v>
      </c>
      <c r="EF234">
        <v>21</v>
      </c>
      <c r="EG234" t="s">
        <v>96</v>
      </c>
      <c r="EH234">
        <v>0</v>
      </c>
      <c r="EI234" t="s">
        <v>6</v>
      </c>
      <c r="EJ234">
        <v>2</v>
      </c>
      <c r="EK234">
        <v>500002</v>
      </c>
      <c r="EL234" t="s">
        <v>97</v>
      </c>
      <c r="EM234" t="s">
        <v>98</v>
      </c>
      <c r="EO234" t="s">
        <v>6</v>
      </c>
      <c r="EQ234">
        <v>0</v>
      </c>
      <c r="ER234">
        <v>30.28</v>
      </c>
      <c r="ES234">
        <v>4.25</v>
      </c>
      <c r="ET234">
        <v>0</v>
      </c>
      <c r="EU234">
        <v>0</v>
      </c>
      <c r="EV234">
        <v>0</v>
      </c>
      <c r="EW234">
        <v>0</v>
      </c>
      <c r="EX234">
        <v>0</v>
      </c>
      <c r="EZ234">
        <v>5</v>
      </c>
      <c r="FC234">
        <v>0</v>
      </c>
      <c r="FD234">
        <v>18</v>
      </c>
      <c r="FF234">
        <v>30.28</v>
      </c>
      <c r="FQ234">
        <v>0</v>
      </c>
      <c r="FR234">
        <f t="shared" si="261"/>
        <v>0</v>
      </c>
      <c r="FS234">
        <v>0</v>
      </c>
      <c r="FX234">
        <v>0</v>
      </c>
      <c r="FY234">
        <v>0</v>
      </c>
      <c r="GA234" t="s">
        <v>329</v>
      </c>
      <c r="GD234">
        <v>1</v>
      </c>
      <c r="GF234">
        <v>-2127956255</v>
      </c>
      <c r="GG234">
        <v>2</v>
      </c>
      <c r="GH234">
        <v>3</v>
      </c>
      <c r="GI234">
        <v>5</v>
      </c>
      <c r="GJ234">
        <v>0</v>
      </c>
      <c r="GK234">
        <v>0</v>
      </c>
      <c r="GL234">
        <f t="shared" si="262"/>
        <v>0</v>
      </c>
      <c r="GM234">
        <f t="shared" si="263"/>
        <v>2201</v>
      </c>
      <c r="GN234">
        <f t="shared" si="264"/>
        <v>0</v>
      </c>
      <c r="GO234">
        <f t="shared" si="265"/>
        <v>2201</v>
      </c>
      <c r="GP234">
        <f t="shared" si="266"/>
        <v>0</v>
      </c>
      <c r="GR234">
        <v>1</v>
      </c>
      <c r="GS234">
        <v>1</v>
      </c>
      <c r="GT234">
        <v>0</v>
      </c>
      <c r="GU234" t="s">
        <v>6</v>
      </c>
      <c r="GV234">
        <f t="shared" si="267"/>
        <v>0</v>
      </c>
      <c r="GW234">
        <v>1</v>
      </c>
      <c r="GX234">
        <f t="shared" si="268"/>
        <v>0</v>
      </c>
      <c r="HA234">
        <v>0</v>
      </c>
      <c r="HB234">
        <v>0</v>
      </c>
      <c r="HC234">
        <f t="shared" si="269"/>
        <v>0</v>
      </c>
      <c r="HE234" t="s">
        <v>39</v>
      </c>
      <c r="HF234" t="s">
        <v>40</v>
      </c>
      <c r="HM234" t="s">
        <v>6</v>
      </c>
      <c r="HN234" t="s">
        <v>6</v>
      </c>
      <c r="HO234" t="s">
        <v>6</v>
      </c>
      <c r="HP234" t="s">
        <v>6</v>
      </c>
      <c r="HQ234" t="s">
        <v>6</v>
      </c>
      <c r="IF234">
        <v>-1</v>
      </c>
      <c r="IK234">
        <v>0</v>
      </c>
    </row>
    <row r="235" spans="1:255" x14ac:dyDescent="0.2">
      <c r="A235" s="2">
        <v>18</v>
      </c>
      <c r="B235" s="2">
        <v>1</v>
      </c>
      <c r="C235" s="2">
        <v>273</v>
      </c>
      <c r="D235" s="2"/>
      <c r="E235" s="2" t="s">
        <v>330</v>
      </c>
      <c r="F235" s="2" t="s">
        <v>331</v>
      </c>
      <c r="G235" s="2" t="s">
        <v>332</v>
      </c>
      <c r="H235" s="2" t="s">
        <v>333</v>
      </c>
      <c r="I235" s="2">
        <f>I227*J235</f>
        <v>7.1999999999999993</v>
      </c>
      <c r="J235" s="226">
        <f>'5.Ведомость_списания'!F112</f>
        <v>10</v>
      </c>
      <c r="K235" s="2">
        <v>10</v>
      </c>
      <c r="L235" s="2"/>
      <c r="M235" s="2"/>
      <c r="N235" s="2"/>
      <c r="O235" s="2">
        <f t="shared" si="237"/>
        <v>410</v>
      </c>
      <c r="P235" s="2">
        <f t="shared" si="238"/>
        <v>410</v>
      </c>
      <c r="Q235" s="2">
        <f t="shared" si="239"/>
        <v>0</v>
      </c>
      <c r="R235" s="2">
        <f t="shared" si="240"/>
        <v>0</v>
      </c>
      <c r="S235" s="2">
        <f t="shared" si="241"/>
        <v>0</v>
      </c>
      <c r="T235" s="2">
        <f t="shared" si="242"/>
        <v>0</v>
      </c>
      <c r="U235" s="2">
        <f t="shared" si="243"/>
        <v>0</v>
      </c>
      <c r="V235" s="2">
        <f t="shared" si="244"/>
        <v>0</v>
      </c>
      <c r="W235" s="2">
        <f t="shared" si="245"/>
        <v>0</v>
      </c>
      <c r="X235" s="2">
        <f t="shared" si="246"/>
        <v>0</v>
      </c>
      <c r="Y235" s="2">
        <f t="shared" si="247"/>
        <v>0</v>
      </c>
      <c r="Z235" s="2"/>
      <c r="AA235" s="2">
        <v>86326987</v>
      </c>
      <c r="AB235" s="2">
        <f t="shared" si="248"/>
        <v>56.95</v>
      </c>
      <c r="AC235" s="2">
        <f t="shared" si="271"/>
        <v>56.95</v>
      </c>
      <c r="AD235" s="2">
        <f t="shared" si="270"/>
        <v>0</v>
      </c>
      <c r="AE235" s="2">
        <f t="shared" si="233"/>
        <v>0</v>
      </c>
      <c r="AF235" s="2">
        <f t="shared" si="234"/>
        <v>0</v>
      </c>
      <c r="AG235" s="2">
        <f t="shared" si="250"/>
        <v>0</v>
      </c>
      <c r="AH235" s="2">
        <f t="shared" si="235"/>
        <v>0</v>
      </c>
      <c r="AI235" s="2">
        <f t="shared" si="236"/>
        <v>0</v>
      </c>
      <c r="AJ235" s="2">
        <f t="shared" si="251"/>
        <v>0.06</v>
      </c>
      <c r="AK235" s="2">
        <v>56.95</v>
      </c>
      <c r="AL235" s="110">
        <f>'1.Лок.смета.и.Акт'!F409</f>
        <v>56.95</v>
      </c>
      <c r="AM235" s="2">
        <v>0</v>
      </c>
      <c r="AN235" s="2">
        <v>0</v>
      </c>
      <c r="AO235" s="2">
        <v>0</v>
      </c>
      <c r="AP235" s="2">
        <v>0</v>
      </c>
      <c r="AQ235" s="2">
        <v>0</v>
      </c>
      <c r="AR235" s="2">
        <v>0</v>
      </c>
      <c r="AS235" s="2">
        <v>0.06</v>
      </c>
      <c r="AT235" s="2">
        <v>0</v>
      </c>
      <c r="AU235" s="2">
        <v>0</v>
      </c>
      <c r="AV235" s="2">
        <v>1</v>
      </c>
      <c r="AW235" s="2">
        <v>1</v>
      </c>
      <c r="AX235" s="2"/>
      <c r="AY235" s="2"/>
      <c r="AZ235" s="2">
        <v>1</v>
      </c>
      <c r="BA235" s="2">
        <v>1</v>
      </c>
      <c r="BB235" s="2">
        <v>1</v>
      </c>
      <c r="BC235" s="2">
        <v>1</v>
      </c>
      <c r="BD235" s="2" t="s">
        <v>6</v>
      </c>
      <c r="BE235" s="2" t="s">
        <v>6</v>
      </c>
      <c r="BF235" s="2" t="s">
        <v>6</v>
      </c>
      <c r="BG235" s="2" t="s">
        <v>6</v>
      </c>
      <c r="BH235" s="2">
        <v>3</v>
      </c>
      <c r="BI235" s="2">
        <v>2</v>
      </c>
      <c r="BJ235" s="2" t="s">
        <v>334</v>
      </c>
      <c r="BK235" s="2"/>
      <c r="BL235" s="2"/>
      <c r="BM235" s="2">
        <v>500002</v>
      </c>
      <c r="BN235" s="2">
        <v>0</v>
      </c>
      <c r="BO235" s="2" t="s">
        <v>6</v>
      </c>
      <c r="BP235" s="2">
        <v>0</v>
      </c>
      <c r="BQ235" s="2">
        <v>21</v>
      </c>
      <c r="BR235" s="2">
        <v>0</v>
      </c>
      <c r="BS235" s="2">
        <v>1</v>
      </c>
      <c r="BT235" s="2">
        <v>1</v>
      </c>
      <c r="BU235" s="2">
        <v>1</v>
      </c>
      <c r="BV235" s="2">
        <v>1</v>
      </c>
      <c r="BW235" s="2">
        <v>1</v>
      </c>
      <c r="BX235" s="2">
        <v>1</v>
      </c>
      <c r="BY235" s="2" t="s">
        <v>6</v>
      </c>
      <c r="BZ235" s="2">
        <v>0</v>
      </c>
      <c r="CA235" s="2">
        <v>0</v>
      </c>
      <c r="CB235" s="2" t="s">
        <v>6</v>
      </c>
      <c r="CC235" s="2"/>
      <c r="CD235" s="2"/>
      <c r="CE235" s="2">
        <v>0</v>
      </c>
      <c r="CF235" s="2">
        <v>0</v>
      </c>
      <c r="CG235" s="2">
        <v>0</v>
      </c>
      <c r="CH235" s="2"/>
      <c r="CI235" s="2"/>
      <c r="CJ235" s="2"/>
      <c r="CK235" s="2"/>
      <c r="CL235" s="2"/>
      <c r="CM235" s="2">
        <v>0</v>
      </c>
      <c r="CN235" s="2" t="s">
        <v>6</v>
      </c>
      <c r="CO235" s="2">
        <v>0</v>
      </c>
      <c r="CP235" s="2">
        <f t="shared" si="252"/>
        <v>410</v>
      </c>
      <c r="CQ235" s="2">
        <f t="shared" si="253"/>
        <v>56.95</v>
      </c>
      <c r="CR235" s="2">
        <f t="shared" si="254"/>
        <v>0</v>
      </c>
      <c r="CS235" s="2">
        <f t="shared" si="255"/>
        <v>0</v>
      </c>
      <c r="CT235" s="2">
        <f t="shared" si="256"/>
        <v>0</v>
      </c>
      <c r="CU235" s="2">
        <f t="shared" si="257"/>
        <v>0</v>
      </c>
      <c r="CV235" s="2">
        <f t="shared" si="258"/>
        <v>0</v>
      </c>
      <c r="CW235" s="2">
        <f t="shared" si="259"/>
        <v>0</v>
      </c>
      <c r="CX235" s="2">
        <f t="shared" si="260"/>
        <v>0.06</v>
      </c>
      <c r="CY235" s="2">
        <f>(((S235+(R235*IF(0,0,1)))*AT235)/100)</f>
        <v>0</v>
      </c>
      <c r="CZ235" s="2">
        <f>(((S235+(R235*IF(0,0,1)))*AU235)/100)</f>
        <v>0</v>
      </c>
      <c r="DA235" s="2"/>
      <c r="DB235" s="2"/>
      <c r="DC235" s="2" t="s">
        <v>6</v>
      </c>
      <c r="DD235" s="2" t="s">
        <v>6</v>
      </c>
      <c r="DE235" s="2" t="s">
        <v>6</v>
      </c>
      <c r="DF235" s="2" t="s">
        <v>6</v>
      </c>
      <c r="DG235" s="2" t="s">
        <v>6</v>
      </c>
      <c r="DH235" s="2" t="s">
        <v>6</v>
      </c>
      <c r="DI235" s="2" t="s">
        <v>6</v>
      </c>
      <c r="DJ235" s="2" t="s">
        <v>6</v>
      </c>
      <c r="DK235" s="2" t="s">
        <v>6</v>
      </c>
      <c r="DL235" s="2" t="s">
        <v>6</v>
      </c>
      <c r="DM235" s="2" t="s">
        <v>6</v>
      </c>
      <c r="DN235" s="2">
        <v>0</v>
      </c>
      <c r="DO235" s="2">
        <v>0</v>
      </c>
      <c r="DP235" s="2">
        <v>1</v>
      </c>
      <c r="DQ235" s="2">
        <v>1</v>
      </c>
      <c r="DR235" s="2"/>
      <c r="DS235" s="2"/>
      <c r="DT235" s="2"/>
      <c r="DU235" s="2">
        <v>1003</v>
      </c>
      <c r="DV235" s="2" t="s">
        <v>333</v>
      </c>
      <c r="DW235" s="2" t="s">
        <v>333</v>
      </c>
      <c r="DX235" s="2">
        <v>10</v>
      </c>
      <c r="DY235" s="2"/>
      <c r="DZ235" s="2" t="s">
        <v>6</v>
      </c>
      <c r="EA235" s="2" t="s">
        <v>6</v>
      </c>
      <c r="EB235" s="2" t="s">
        <v>6</v>
      </c>
      <c r="EC235" s="2" t="s">
        <v>6</v>
      </c>
      <c r="ED235" s="2"/>
      <c r="EE235" s="2">
        <v>54938782</v>
      </c>
      <c r="EF235" s="2">
        <v>21</v>
      </c>
      <c r="EG235" s="2" t="s">
        <v>96</v>
      </c>
      <c r="EH235" s="2">
        <v>0</v>
      </c>
      <c r="EI235" s="2" t="s">
        <v>6</v>
      </c>
      <c r="EJ235" s="2">
        <v>2</v>
      </c>
      <c r="EK235" s="2">
        <v>500002</v>
      </c>
      <c r="EL235" s="2" t="s">
        <v>97</v>
      </c>
      <c r="EM235" s="2" t="s">
        <v>98</v>
      </c>
      <c r="EN235" s="2"/>
      <c r="EO235" s="2" t="s">
        <v>6</v>
      </c>
      <c r="EP235" s="2"/>
      <c r="EQ235" s="2">
        <v>0</v>
      </c>
      <c r="ER235" s="2">
        <v>56.95</v>
      </c>
      <c r="ES235" s="110">
        <f>'1.Лок.смета.и.Акт'!F409</f>
        <v>56.95</v>
      </c>
      <c r="ET235" s="2">
        <v>0</v>
      </c>
      <c r="EU235" s="2">
        <v>0</v>
      </c>
      <c r="EV235" s="2">
        <v>0</v>
      </c>
      <c r="EW235" s="2">
        <v>0</v>
      </c>
      <c r="EX235" s="2">
        <v>0</v>
      </c>
      <c r="EY235" s="2"/>
      <c r="EZ235" s="2"/>
      <c r="FA235" s="2"/>
      <c r="FB235" s="2"/>
      <c r="FC235" s="2"/>
      <c r="FD235" s="2"/>
      <c r="FE235" s="2"/>
      <c r="FF235" s="2"/>
      <c r="FG235" s="2"/>
      <c r="FH235" s="2"/>
      <c r="FI235" s="2"/>
      <c r="FJ235" s="2"/>
      <c r="FK235" s="2"/>
      <c r="FL235" s="2"/>
      <c r="FM235" s="2"/>
      <c r="FN235" s="2"/>
      <c r="FO235" s="2"/>
      <c r="FP235" s="2"/>
      <c r="FQ235" s="2">
        <v>0</v>
      </c>
      <c r="FR235" s="2">
        <f t="shared" si="261"/>
        <v>0</v>
      </c>
      <c r="FS235" s="2">
        <v>0</v>
      </c>
      <c r="FT235" s="2"/>
      <c r="FU235" s="2"/>
      <c r="FV235" s="2"/>
      <c r="FW235" s="2"/>
      <c r="FX235" s="2">
        <v>0</v>
      </c>
      <c r="FY235" s="2">
        <v>0</v>
      </c>
      <c r="FZ235" s="2"/>
      <c r="GA235" s="2" t="s">
        <v>6</v>
      </c>
      <c r="GB235" s="2"/>
      <c r="GC235" s="2"/>
      <c r="GD235" s="2">
        <v>1</v>
      </c>
      <c r="GE235" s="2"/>
      <c r="GF235" s="2">
        <v>-1605369031</v>
      </c>
      <c r="GG235" s="2">
        <v>2</v>
      </c>
      <c r="GH235" s="2">
        <v>1</v>
      </c>
      <c r="GI235" s="2">
        <v>-2</v>
      </c>
      <c r="GJ235" s="2">
        <v>0</v>
      </c>
      <c r="GK235" s="2">
        <v>0</v>
      </c>
      <c r="GL235" s="2">
        <f t="shared" si="262"/>
        <v>0</v>
      </c>
      <c r="GM235" s="2">
        <f t="shared" si="263"/>
        <v>410</v>
      </c>
      <c r="GN235" s="2">
        <f t="shared" si="264"/>
        <v>0</v>
      </c>
      <c r="GO235" s="2">
        <f t="shared" si="265"/>
        <v>410</v>
      </c>
      <c r="GP235" s="2">
        <f t="shared" si="266"/>
        <v>0</v>
      </c>
      <c r="GQ235" s="2"/>
      <c r="GR235" s="2">
        <v>0</v>
      </c>
      <c r="GS235" s="2">
        <v>3</v>
      </c>
      <c r="GT235" s="2">
        <v>0</v>
      </c>
      <c r="GU235" s="2" t="s">
        <v>6</v>
      </c>
      <c r="GV235" s="2">
        <f t="shared" si="267"/>
        <v>0</v>
      </c>
      <c r="GW235" s="2">
        <v>1</v>
      </c>
      <c r="GX235" s="2">
        <f t="shared" si="268"/>
        <v>0</v>
      </c>
      <c r="GY235" s="2"/>
      <c r="GZ235" s="2"/>
      <c r="HA235" s="2">
        <v>0</v>
      </c>
      <c r="HB235" s="2">
        <v>0</v>
      </c>
      <c r="HC235" s="2">
        <f t="shared" si="269"/>
        <v>0</v>
      </c>
      <c r="HD235" s="2"/>
      <c r="HE235" s="2" t="s">
        <v>6</v>
      </c>
      <c r="HF235" s="2" t="s">
        <v>6</v>
      </c>
      <c r="HG235" s="2"/>
      <c r="HH235" s="2"/>
      <c r="HI235" s="2"/>
      <c r="HJ235" s="2"/>
      <c r="HK235" s="2"/>
      <c r="HL235" s="2"/>
      <c r="HM235" s="2" t="s">
        <v>6</v>
      </c>
      <c r="HN235" s="2" t="s">
        <v>6</v>
      </c>
      <c r="HO235" s="2" t="s">
        <v>6</v>
      </c>
      <c r="HP235" s="2" t="s">
        <v>6</v>
      </c>
      <c r="HQ235" s="2" t="s">
        <v>6</v>
      </c>
      <c r="HR235" s="2"/>
      <c r="HS235" s="2"/>
      <c r="HT235" s="2"/>
      <c r="HU235" s="2"/>
      <c r="HV235" s="2"/>
      <c r="HW235" s="2"/>
      <c r="HX235" s="2"/>
      <c r="HY235" s="2"/>
      <c r="HZ235" s="2"/>
      <c r="IA235" s="2"/>
      <c r="IB235" s="2"/>
      <c r="IC235" s="2"/>
      <c r="ID235" s="2"/>
      <c r="IE235" s="2"/>
      <c r="IF235" s="2">
        <v>-1</v>
      </c>
      <c r="IG235" s="2"/>
      <c r="IH235" s="2"/>
      <c r="II235" s="2"/>
      <c r="IJ235" s="2"/>
      <c r="IK235" s="2">
        <v>0</v>
      </c>
      <c r="IL235" s="2"/>
      <c r="IM235" s="2"/>
      <c r="IN235" s="2"/>
      <c r="IO235" s="2"/>
      <c r="IP235" s="2"/>
      <c r="IQ235" s="2"/>
      <c r="IR235" s="2"/>
      <c r="IS235" s="2"/>
      <c r="IT235" s="2"/>
      <c r="IU235" s="2"/>
    </row>
    <row r="236" spans="1:255" x14ac:dyDescent="0.2">
      <c r="A236">
        <v>18</v>
      </c>
      <c r="B236">
        <v>1</v>
      </c>
      <c r="C236">
        <v>283</v>
      </c>
      <c r="E236" t="s">
        <v>330</v>
      </c>
      <c r="F236" t="e">
        <f>'2.Лок.смета.и.Акт'!#REF!</f>
        <v>#REF!</v>
      </c>
      <c r="G236" t="s">
        <v>332</v>
      </c>
      <c r="H236" t="s">
        <v>333</v>
      </c>
      <c r="I236">
        <f>I228*J236</f>
        <v>7.1999999999999993</v>
      </c>
      <c r="J236">
        <v>10</v>
      </c>
      <c r="K236">
        <v>10</v>
      </c>
      <c r="O236">
        <f t="shared" si="237"/>
        <v>1536</v>
      </c>
      <c r="P236">
        <f t="shared" si="238"/>
        <v>1536</v>
      </c>
      <c r="Q236">
        <f t="shared" si="239"/>
        <v>0</v>
      </c>
      <c r="R236">
        <f t="shared" si="240"/>
        <v>0</v>
      </c>
      <c r="S236">
        <f t="shared" si="241"/>
        <v>0</v>
      </c>
      <c r="T236">
        <f t="shared" si="242"/>
        <v>0</v>
      </c>
      <c r="U236">
        <f t="shared" si="243"/>
        <v>0</v>
      </c>
      <c r="V236">
        <f t="shared" si="244"/>
        <v>0</v>
      </c>
      <c r="W236">
        <f t="shared" si="245"/>
        <v>0</v>
      </c>
      <c r="X236">
        <f t="shared" si="246"/>
        <v>0</v>
      </c>
      <c r="Y236">
        <f t="shared" si="247"/>
        <v>0</v>
      </c>
      <c r="AA236">
        <v>86326988</v>
      </c>
      <c r="AB236">
        <f t="shared" si="248"/>
        <v>28.21</v>
      </c>
      <c r="AC236">
        <f t="shared" si="271"/>
        <v>28.21</v>
      </c>
      <c r="AD236">
        <f t="shared" si="270"/>
        <v>0</v>
      </c>
      <c r="AE236">
        <f t="shared" si="233"/>
        <v>0</v>
      </c>
      <c r="AF236">
        <f t="shared" si="234"/>
        <v>0</v>
      </c>
      <c r="AG236">
        <f t="shared" si="250"/>
        <v>0</v>
      </c>
      <c r="AH236">
        <f t="shared" si="235"/>
        <v>0</v>
      </c>
      <c r="AI236">
        <f t="shared" si="236"/>
        <v>0</v>
      </c>
      <c r="AJ236">
        <f t="shared" si="251"/>
        <v>0.06</v>
      </c>
      <c r="AK236">
        <v>28.21</v>
      </c>
      <c r="AL236">
        <v>28.21</v>
      </c>
      <c r="AM236">
        <v>0</v>
      </c>
      <c r="AN236">
        <v>0</v>
      </c>
      <c r="AO236">
        <v>0</v>
      </c>
      <c r="AP236">
        <v>0</v>
      </c>
      <c r="AQ236">
        <v>0</v>
      </c>
      <c r="AR236">
        <v>0</v>
      </c>
      <c r="AS236">
        <v>0.06</v>
      </c>
      <c r="AT236">
        <v>0</v>
      </c>
      <c r="AU236">
        <v>0</v>
      </c>
      <c r="AV236">
        <v>1</v>
      </c>
      <c r="AW236">
        <v>1</v>
      </c>
      <c r="AZ236">
        <v>1</v>
      </c>
      <c r="BA236">
        <v>1</v>
      </c>
      <c r="BB236">
        <v>1</v>
      </c>
      <c r="BC236">
        <v>7.56</v>
      </c>
      <c r="BD236" t="s">
        <v>6</v>
      </c>
      <c r="BE236" t="s">
        <v>6</v>
      </c>
      <c r="BF236" t="s">
        <v>6</v>
      </c>
      <c r="BG236" t="s">
        <v>6</v>
      </c>
      <c r="BH236">
        <v>3</v>
      </c>
      <c r="BI236">
        <v>2</v>
      </c>
      <c r="BJ236" t="s">
        <v>334</v>
      </c>
      <c r="BM236">
        <v>500002</v>
      </c>
      <c r="BN236">
        <v>0</v>
      </c>
      <c r="BO236" t="s">
        <v>6</v>
      </c>
      <c r="BP236">
        <v>0</v>
      </c>
      <c r="BQ236">
        <v>21</v>
      </c>
      <c r="BR236">
        <v>0</v>
      </c>
      <c r="BS236">
        <v>1</v>
      </c>
      <c r="BT236">
        <v>1</v>
      </c>
      <c r="BU236">
        <v>1</v>
      </c>
      <c r="BV236">
        <v>1</v>
      </c>
      <c r="BW236">
        <v>1</v>
      </c>
      <c r="BX236">
        <v>1</v>
      </c>
      <c r="BY236" t="s">
        <v>6</v>
      </c>
      <c r="BZ236">
        <v>0</v>
      </c>
      <c r="CA236">
        <v>0</v>
      </c>
      <c r="CB236" t="s">
        <v>6</v>
      </c>
      <c r="CE236">
        <v>0</v>
      </c>
      <c r="CF236">
        <v>0</v>
      </c>
      <c r="CG236">
        <v>0</v>
      </c>
      <c r="CM236">
        <v>0</v>
      </c>
      <c r="CN236" t="s">
        <v>6</v>
      </c>
      <c r="CO236">
        <v>0</v>
      </c>
      <c r="CP236">
        <f t="shared" si="252"/>
        <v>1536</v>
      </c>
      <c r="CQ236">
        <f t="shared" si="253"/>
        <v>213.26759999999999</v>
      </c>
      <c r="CR236">
        <f t="shared" si="254"/>
        <v>0</v>
      </c>
      <c r="CS236">
        <f t="shared" si="255"/>
        <v>0</v>
      </c>
      <c r="CT236">
        <f t="shared" si="256"/>
        <v>0</v>
      </c>
      <c r="CU236">
        <f t="shared" si="257"/>
        <v>0</v>
      </c>
      <c r="CV236">
        <f t="shared" si="258"/>
        <v>0</v>
      </c>
      <c r="CW236">
        <f t="shared" si="259"/>
        <v>0</v>
      </c>
      <c r="CX236">
        <f t="shared" si="260"/>
        <v>0.06</v>
      </c>
      <c r="CY236">
        <f>(S236+R236)*(BZ236/100)</f>
        <v>0</v>
      </c>
      <c r="CZ236">
        <f>(S236+R236)*(CA236/100)</f>
        <v>0</v>
      </c>
      <c r="DC236" t="s">
        <v>6</v>
      </c>
      <c r="DD236" t="s">
        <v>6</v>
      </c>
      <c r="DE236" t="s">
        <v>6</v>
      </c>
      <c r="DF236" t="s">
        <v>6</v>
      </c>
      <c r="DG236" t="s">
        <v>6</v>
      </c>
      <c r="DH236" t="s">
        <v>6</v>
      </c>
      <c r="DI236" t="s">
        <v>6</v>
      </c>
      <c r="DJ236" t="s">
        <v>6</v>
      </c>
      <c r="DK236" t="s">
        <v>6</v>
      </c>
      <c r="DL236" t="s">
        <v>6</v>
      </c>
      <c r="DM236" t="s">
        <v>6</v>
      </c>
      <c r="DN236">
        <v>0</v>
      </c>
      <c r="DO236">
        <v>0</v>
      </c>
      <c r="DP236">
        <v>1</v>
      </c>
      <c r="DQ236">
        <v>1</v>
      </c>
      <c r="DU236">
        <v>1003</v>
      </c>
      <c r="DV236" t="s">
        <v>333</v>
      </c>
      <c r="DW236" t="e">
        <f>'2.Лок.смета.и.Акт'!#REF!</f>
        <v>#REF!</v>
      </c>
      <c r="DX236">
        <v>10</v>
      </c>
      <c r="DZ236" t="s">
        <v>6</v>
      </c>
      <c r="EA236" t="s">
        <v>6</v>
      </c>
      <c r="EB236" t="s">
        <v>6</v>
      </c>
      <c r="EC236" t="s">
        <v>6</v>
      </c>
      <c r="EE236">
        <v>54938782</v>
      </c>
      <c r="EF236">
        <v>21</v>
      </c>
      <c r="EG236" t="s">
        <v>96</v>
      </c>
      <c r="EH236">
        <v>0</v>
      </c>
      <c r="EI236" t="s">
        <v>6</v>
      </c>
      <c r="EJ236">
        <v>2</v>
      </c>
      <c r="EK236">
        <v>500002</v>
      </c>
      <c r="EL236" t="s">
        <v>97</v>
      </c>
      <c r="EM236" t="s">
        <v>98</v>
      </c>
      <c r="EO236" t="s">
        <v>6</v>
      </c>
      <c r="EQ236">
        <v>0</v>
      </c>
      <c r="ER236">
        <v>201.1</v>
      </c>
      <c r="ES236">
        <v>28.21</v>
      </c>
      <c r="ET236">
        <v>0</v>
      </c>
      <c r="EU236">
        <v>0</v>
      </c>
      <c r="EV236">
        <v>0</v>
      </c>
      <c r="EW236">
        <v>0</v>
      </c>
      <c r="EX236">
        <v>0</v>
      </c>
      <c r="EZ236">
        <v>5</v>
      </c>
      <c r="FC236">
        <v>0</v>
      </c>
      <c r="FD236">
        <v>18</v>
      </c>
      <c r="FF236">
        <v>201.1</v>
      </c>
      <c r="FQ236">
        <v>0</v>
      </c>
      <c r="FR236">
        <f t="shared" si="261"/>
        <v>0</v>
      </c>
      <c r="FS236">
        <v>0</v>
      </c>
      <c r="FX236">
        <v>0</v>
      </c>
      <c r="FY236">
        <v>0</v>
      </c>
      <c r="GA236" t="s">
        <v>335</v>
      </c>
      <c r="GD236">
        <v>1</v>
      </c>
      <c r="GF236">
        <v>-1605369031</v>
      </c>
      <c r="GG236">
        <v>2</v>
      </c>
      <c r="GH236">
        <v>3</v>
      </c>
      <c r="GI236">
        <v>5</v>
      </c>
      <c r="GJ236">
        <v>0</v>
      </c>
      <c r="GK236">
        <v>0</v>
      </c>
      <c r="GL236">
        <f t="shared" si="262"/>
        <v>0</v>
      </c>
      <c r="GM236">
        <f t="shared" si="263"/>
        <v>1536</v>
      </c>
      <c r="GN236">
        <f t="shared" si="264"/>
        <v>0</v>
      </c>
      <c r="GO236">
        <f t="shared" si="265"/>
        <v>1536</v>
      </c>
      <c r="GP236">
        <f t="shared" si="266"/>
        <v>0</v>
      </c>
      <c r="GR236">
        <v>1</v>
      </c>
      <c r="GS236">
        <v>1</v>
      </c>
      <c r="GT236">
        <v>0</v>
      </c>
      <c r="GU236" t="s">
        <v>6</v>
      </c>
      <c r="GV236">
        <f t="shared" si="267"/>
        <v>0</v>
      </c>
      <c r="GW236">
        <v>1</v>
      </c>
      <c r="GX236">
        <f t="shared" si="268"/>
        <v>0</v>
      </c>
      <c r="HA236">
        <v>0</v>
      </c>
      <c r="HB236">
        <v>0</v>
      </c>
      <c r="HC236">
        <f t="shared" si="269"/>
        <v>0</v>
      </c>
      <c r="HE236" t="s">
        <v>39</v>
      </c>
      <c r="HF236" t="s">
        <v>40</v>
      </c>
      <c r="HM236" t="s">
        <v>6</v>
      </c>
      <c r="HN236" t="s">
        <v>6</v>
      </c>
      <c r="HO236" t="s">
        <v>6</v>
      </c>
      <c r="HP236" t="s">
        <v>6</v>
      </c>
      <c r="HQ236" t="s">
        <v>6</v>
      </c>
      <c r="IF236">
        <v>-1</v>
      </c>
      <c r="IK236">
        <v>0</v>
      </c>
    </row>
    <row r="237" spans="1:255" x14ac:dyDescent="0.2">
      <c r="A237" s="2">
        <v>18</v>
      </c>
      <c r="B237" s="2">
        <v>1</v>
      </c>
      <c r="C237" s="2">
        <v>274</v>
      </c>
      <c r="D237" s="2"/>
      <c r="E237" s="2" t="s">
        <v>336</v>
      </c>
      <c r="F237" s="2" t="s">
        <v>337</v>
      </c>
      <c r="G237" s="2" t="s">
        <v>338</v>
      </c>
      <c r="H237" s="2" t="s">
        <v>44</v>
      </c>
      <c r="I237" s="2">
        <f>I227*J237</f>
        <v>1.5138E-2</v>
      </c>
      <c r="J237" s="226">
        <f>'5.Ведомость_списания'!F113</f>
        <v>2.1025000000000002E-2</v>
      </c>
      <c r="K237" s="2">
        <v>2.1024999999999999E-2</v>
      </c>
      <c r="L237" s="2"/>
      <c r="M237" s="2"/>
      <c r="N237" s="2"/>
      <c r="O237" s="2">
        <f t="shared" si="237"/>
        <v>9</v>
      </c>
      <c r="P237" s="2">
        <f t="shared" si="238"/>
        <v>9</v>
      </c>
      <c r="Q237" s="2">
        <f t="shared" si="239"/>
        <v>0</v>
      </c>
      <c r="R237" s="2">
        <f t="shared" si="240"/>
        <v>0</v>
      </c>
      <c r="S237" s="2">
        <f t="shared" si="241"/>
        <v>0</v>
      </c>
      <c r="T237" s="2">
        <f t="shared" si="242"/>
        <v>0</v>
      </c>
      <c r="U237" s="2">
        <f t="shared" si="243"/>
        <v>0</v>
      </c>
      <c r="V237" s="2">
        <f t="shared" si="244"/>
        <v>0</v>
      </c>
      <c r="W237" s="2">
        <f t="shared" si="245"/>
        <v>0</v>
      </c>
      <c r="X237" s="2">
        <f t="shared" si="246"/>
        <v>0</v>
      </c>
      <c r="Y237" s="2">
        <f t="shared" si="247"/>
        <v>0</v>
      </c>
      <c r="Z237" s="2"/>
      <c r="AA237" s="2">
        <v>86326987</v>
      </c>
      <c r="AB237" s="2">
        <f t="shared" si="248"/>
        <v>586.71</v>
      </c>
      <c r="AC237" s="2">
        <f t="shared" si="271"/>
        <v>586.71</v>
      </c>
      <c r="AD237" s="2">
        <f t="shared" si="270"/>
        <v>0</v>
      </c>
      <c r="AE237" s="2">
        <f t="shared" si="233"/>
        <v>0</v>
      </c>
      <c r="AF237" s="2">
        <f t="shared" si="234"/>
        <v>0</v>
      </c>
      <c r="AG237" s="2">
        <f t="shared" si="250"/>
        <v>0</v>
      </c>
      <c r="AH237" s="2">
        <f t="shared" si="235"/>
        <v>0</v>
      </c>
      <c r="AI237" s="2">
        <f t="shared" si="236"/>
        <v>0</v>
      </c>
      <c r="AJ237" s="2">
        <f t="shared" si="251"/>
        <v>0</v>
      </c>
      <c r="AK237" s="2">
        <v>586.71</v>
      </c>
      <c r="AL237" s="110">
        <f>'1.Лок.смета.и.Акт'!F411</f>
        <v>586.71</v>
      </c>
      <c r="AM237" s="2">
        <v>0</v>
      </c>
      <c r="AN237" s="2">
        <v>0</v>
      </c>
      <c r="AO237" s="2">
        <v>0</v>
      </c>
      <c r="AP237" s="2">
        <v>0</v>
      </c>
      <c r="AQ237" s="2">
        <v>0</v>
      </c>
      <c r="AR237" s="2">
        <v>0</v>
      </c>
      <c r="AS237" s="2">
        <v>0</v>
      </c>
      <c r="AT237" s="2">
        <v>0</v>
      </c>
      <c r="AU237" s="2">
        <v>0</v>
      </c>
      <c r="AV237" s="2">
        <v>1</v>
      </c>
      <c r="AW237" s="2">
        <v>1</v>
      </c>
      <c r="AX237" s="2"/>
      <c r="AY237" s="2"/>
      <c r="AZ237" s="2">
        <v>1</v>
      </c>
      <c r="BA237" s="2">
        <v>1</v>
      </c>
      <c r="BB237" s="2">
        <v>1</v>
      </c>
      <c r="BC237" s="2">
        <v>1</v>
      </c>
      <c r="BD237" s="2" t="s">
        <v>6</v>
      </c>
      <c r="BE237" s="2" t="s">
        <v>6</v>
      </c>
      <c r="BF237" s="2" t="s">
        <v>6</v>
      </c>
      <c r="BG237" s="2" t="s">
        <v>6</v>
      </c>
      <c r="BH237" s="2">
        <v>3</v>
      </c>
      <c r="BI237" s="2">
        <v>1</v>
      </c>
      <c r="BJ237" s="2" t="s">
        <v>339</v>
      </c>
      <c r="BK237" s="2"/>
      <c r="BL237" s="2"/>
      <c r="BM237" s="2">
        <v>500003</v>
      </c>
      <c r="BN237" s="2">
        <v>0</v>
      </c>
      <c r="BO237" s="2" t="s">
        <v>6</v>
      </c>
      <c r="BP237" s="2">
        <v>0</v>
      </c>
      <c r="BQ237" s="2">
        <v>22</v>
      </c>
      <c r="BR237" s="2">
        <v>0</v>
      </c>
      <c r="BS237" s="2">
        <v>1</v>
      </c>
      <c r="BT237" s="2">
        <v>1</v>
      </c>
      <c r="BU237" s="2">
        <v>1</v>
      </c>
      <c r="BV237" s="2">
        <v>1</v>
      </c>
      <c r="BW237" s="2">
        <v>1</v>
      </c>
      <c r="BX237" s="2">
        <v>1</v>
      </c>
      <c r="BY237" s="2" t="s">
        <v>6</v>
      </c>
      <c r="BZ237" s="2">
        <v>0</v>
      </c>
      <c r="CA237" s="2">
        <v>0</v>
      </c>
      <c r="CB237" s="2" t="s">
        <v>6</v>
      </c>
      <c r="CC237" s="2"/>
      <c r="CD237" s="2"/>
      <c r="CE237" s="2">
        <v>0</v>
      </c>
      <c r="CF237" s="2">
        <v>0</v>
      </c>
      <c r="CG237" s="2">
        <v>0</v>
      </c>
      <c r="CH237" s="2"/>
      <c r="CI237" s="2"/>
      <c r="CJ237" s="2"/>
      <c r="CK237" s="2"/>
      <c r="CL237" s="2"/>
      <c r="CM237" s="2">
        <v>0</v>
      </c>
      <c r="CN237" s="2" t="s">
        <v>6</v>
      </c>
      <c r="CO237" s="2">
        <v>0</v>
      </c>
      <c r="CP237" s="2">
        <f t="shared" si="252"/>
        <v>9</v>
      </c>
      <c r="CQ237" s="2">
        <f t="shared" si="253"/>
        <v>586.71</v>
      </c>
      <c r="CR237" s="2">
        <f t="shared" si="254"/>
        <v>0</v>
      </c>
      <c r="CS237" s="2">
        <f t="shared" si="255"/>
        <v>0</v>
      </c>
      <c r="CT237" s="2">
        <f t="shared" si="256"/>
        <v>0</v>
      </c>
      <c r="CU237" s="2">
        <f t="shared" si="257"/>
        <v>0</v>
      </c>
      <c r="CV237" s="2">
        <f t="shared" si="258"/>
        <v>0</v>
      </c>
      <c r="CW237" s="2">
        <f t="shared" si="259"/>
        <v>0</v>
      </c>
      <c r="CX237" s="2">
        <f t="shared" si="260"/>
        <v>0</v>
      </c>
      <c r="CY237" s="2">
        <f>(((S237+(R237*IF(0,0,1)))*AT237)/100)</f>
        <v>0</v>
      </c>
      <c r="CZ237" s="2">
        <f>(((S237+(R237*IF(0,0,1)))*AU237)/100)</f>
        <v>0</v>
      </c>
      <c r="DA237" s="2"/>
      <c r="DB237" s="2"/>
      <c r="DC237" s="2" t="s">
        <v>6</v>
      </c>
      <c r="DD237" s="2" t="s">
        <v>6</v>
      </c>
      <c r="DE237" s="2" t="s">
        <v>6</v>
      </c>
      <c r="DF237" s="2" t="s">
        <v>6</v>
      </c>
      <c r="DG237" s="2" t="s">
        <v>6</v>
      </c>
      <c r="DH237" s="2" t="s">
        <v>6</v>
      </c>
      <c r="DI237" s="2" t="s">
        <v>6</v>
      </c>
      <c r="DJ237" s="2" t="s">
        <v>6</v>
      </c>
      <c r="DK237" s="2" t="s">
        <v>6</v>
      </c>
      <c r="DL237" s="2" t="s">
        <v>6</v>
      </c>
      <c r="DM237" s="2" t="s">
        <v>6</v>
      </c>
      <c r="DN237" s="2">
        <v>0</v>
      </c>
      <c r="DO237" s="2">
        <v>0</v>
      </c>
      <c r="DP237" s="2">
        <v>1</v>
      </c>
      <c r="DQ237" s="2">
        <v>1</v>
      </c>
      <c r="DR237" s="2"/>
      <c r="DS237" s="2"/>
      <c r="DT237" s="2"/>
      <c r="DU237" s="2">
        <v>1007</v>
      </c>
      <c r="DV237" s="2" t="s">
        <v>44</v>
      </c>
      <c r="DW237" s="2" t="s">
        <v>44</v>
      </c>
      <c r="DX237" s="2">
        <v>1</v>
      </c>
      <c r="DY237" s="2"/>
      <c r="DZ237" s="2" t="s">
        <v>6</v>
      </c>
      <c r="EA237" s="2" t="s">
        <v>6</v>
      </c>
      <c r="EB237" s="2" t="s">
        <v>6</v>
      </c>
      <c r="EC237" s="2" t="s">
        <v>6</v>
      </c>
      <c r="ED237" s="2"/>
      <c r="EE237" s="2">
        <v>54938783</v>
      </c>
      <c r="EF237" s="2">
        <v>22</v>
      </c>
      <c r="EG237" s="2" t="s">
        <v>57</v>
      </c>
      <c r="EH237" s="2">
        <v>0</v>
      </c>
      <c r="EI237" s="2" t="s">
        <v>6</v>
      </c>
      <c r="EJ237" s="2">
        <v>1</v>
      </c>
      <c r="EK237" s="2">
        <v>500003</v>
      </c>
      <c r="EL237" s="2" t="s">
        <v>58</v>
      </c>
      <c r="EM237" s="2" t="s">
        <v>59</v>
      </c>
      <c r="EN237" s="2"/>
      <c r="EO237" s="2" t="s">
        <v>6</v>
      </c>
      <c r="EP237" s="2"/>
      <c r="EQ237" s="2">
        <v>0</v>
      </c>
      <c r="ER237" s="2">
        <v>586.71</v>
      </c>
      <c r="ES237" s="110">
        <f>'1.Лок.смета.и.Акт'!F411</f>
        <v>586.71</v>
      </c>
      <c r="ET237" s="2">
        <v>0</v>
      </c>
      <c r="EU237" s="2">
        <v>0</v>
      </c>
      <c r="EV237" s="2">
        <v>0</v>
      </c>
      <c r="EW237" s="2">
        <v>0</v>
      </c>
      <c r="EX237" s="2">
        <v>0</v>
      </c>
      <c r="EY237" s="2"/>
      <c r="EZ237" s="2"/>
      <c r="FA237" s="2"/>
      <c r="FB237" s="2"/>
      <c r="FC237" s="2"/>
      <c r="FD237" s="2"/>
      <c r="FE237" s="2"/>
      <c r="FF237" s="2"/>
      <c r="FG237" s="2"/>
      <c r="FH237" s="2"/>
      <c r="FI237" s="2"/>
      <c r="FJ237" s="2"/>
      <c r="FK237" s="2"/>
      <c r="FL237" s="2"/>
      <c r="FM237" s="2"/>
      <c r="FN237" s="2"/>
      <c r="FO237" s="2"/>
      <c r="FP237" s="2"/>
      <c r="FQ237" s="2">
        <v>0</v>
      </c>
      <c r="FR237" s="2">
        <f t="shared" si="261"/>
        <v>0</v>
      </c>
      <c r="FS237" s="2">
        <v>0</v>
      </c>
      <c r="FT237" s="2"/>
      <c r="FU237" s="2"/>
      <c r="FV237" s="2"/>
      <c r="FW237" s="2"/>
      <c r="FX237" s="2">
        <v>0</v>
      </c>
      <c r="FY237" s="2">
        <v>0</v>
      </c>
      <c r="FZ237" s="2"/>
      <c r="GA237" s="2" t="s">
        <v>6</v>
      </c>
      <c r="GB237" s="2"/>
      <c r="GC237" s="2"/>
      <c r="GD237" s="2">
        <v>1</v>
      </c>
      <c r="GE237" s="2"/>
      <c r="GF237" s="2">
        <v>2111049581</v>
      </c>
      <c r="GG237" s="2">
        <v>2</v>
      </c>
      <c r="GH237" s="2">
        <v>2</v>
      </c>
      <c r="GI237" s="2">
        <v>-2</v>
      </c>
      <c r="GJ237" s="2">
        <v>0</v>
      </c>
      <c r="GK237" s="2">
        <v>0</v>
      </c>
      <c r="GL237" s="2">
        <f t="shared" si="262"/>
        <v>0</v>
      </c>
      <c r="GM237" s="2">
        <f t="shared" si="263"/>
        <v>9</v>
      </c>
      <c r="GN237" s="2">
        <f t="shared" si="264"/>
        <v>9</v>
      </c>
      <c r="GO237" s="2">
        <f t="shared" si="265"/>
        <v>0</v>
      </c>
      <c r="GP237" s="2">
        <f t="shared" si="266"/>
        <v>0</v>
      </c>
      <c r="GQ237" s="2"/>
      <c r="GR237" s="2">
        <v>0</v>
      </c>
      <c r="GS237" s="2">
        <v>2</v>
      </c>
      <c r="GT237" s="2">
        <v>0</v>
      </c>
      <c r="GU237" s="2" t="s">
        <v>6</v>
      </c>
      <c r="GV237" s="2">
        <f t="shared" si="267"/>
        <v>0</v>
      </c>
      <c r="GW237" s="2">
        <v>1</v>
      </c>
      <c r="GX237" s="2">
        <f t="shared" si="268"/>
        <v>0</v>
      </c>
      <c r="GY237" s="2"/>
      <c r="GZ237" s="2"/>
      <c r="HA237" s="2">
        <v>0</v>
      </c>
      <c r="HB237" s="2">
        <v>0</v>
      </c>
      <c r="HC237" s="2">
        <f t="shared" si="269"/>
        <v>0</v>
      </c>
      <c r="HD237" s="2"/>
      <c r="HE237" s="2" t="s">
        <v>6</v>
      </c>
      <c r="HF237" s="2" t="s">
        <v>6</v>
      </c>
      <c r="HG237" s="2"/>
      <c r="HH237" s="2"/>
      <c r="HI237" s="2"/>
      <c r="HJ237" s="2"/>
      <c r="HK237" s="2"/>
      <c r="HL237" s="2"/>
      <c r="HM237" s="2" t="s">
        <v>6</v>
      </c>
      <c r="HN237" s="2" t="s">
        <v>6</v>
      </c>
      <c r="HO237" s="2" t="s">
        <v>6</v>
      </c>
      <c r="HP237" s="2" t="s">
        <v>6</v>
      </c>
      <c r="HQ237" s="2" t="s">
        <v>6</v>
      </c>
      <c r="HR237" s="2"/>
      <c r="HS237" s="2"/>
      <c r="HT237" s="2"/>
      <c r="HU237" s="2"/>
      <c r="HV237" s="2"/>
      <c r="HW237" s="2"/>
      <c r="HX237" s="2"/>
      <c r="HY237" s="2"/>
      <c r="HZ237" s="2"/>
      <c r="IA237" s="2"/>
      <c r="IB237" s="2"/>
      <c r="IC237" s="2"/>
      <c r="ID237" s="2"/>
      <c r="IE237" s="2"/>
      <c r="IF237" s="2">
        <v>-1</v>
      </c>
      <c r="IG237" s="2"/>
      <c r="IH237" s="2"/>
      <c r="II237" s="2"/>
      <c r="IJ237" s="2"/>
      <c r="IK237" s="2">
        <v>0</v>
      </c>
      <c r="IL237" s="2"/>
      <c r="IM237" s="2"/>
      <c r="IN237" s="2"/>
      <c r="IO237" s="2"/>
      <c r="IP237" s="2"/>
      <c r="IQ237" s="2"/>
      <c r="IR237" s="2"/>
      <c r="IS237" s="2"/>
      <c r="IT237" s="2"/>
      <c r="IU237" s="2"/>
    </row>
    <row r="238" spans="1:255" x14ac:dyDescent="0.2">
      <c r="A238">
        <v>18</v>
      </c>
      <c r="B238">
        <v>1</v>
      </c>
      <c r="C238">
        <v>284</v>
      </c>
      <c r="E238" t="s">
        <v>336</v>
      </c>
      <c r="F238" t="e">
        <f>'2.Лок.смета.и.Акт'!#REF!</f>
        <v>#REF!</v>
      </c>
      <c r="G238" t="s">
        <v>338</v>
      </c>
      <c r="H238" t="s">
        <v>44</v>
      </c>
      <c r="I238">
        <f>I228*J238</f>
        <v>1.5138E-2</v>
      </c>
      <c r="J238">
        <v>2.1025000000000002E-2</v>
      </c>
      <c r="K238">
        <v>2.1024999999999999E-2</v>
      </c>
      <c r="O238">
        <f t="shared" si="237"/>
        <v>79</v>
      </c>
      <c r="P238">
        <f t="shared" si="238"/>
        <v>79</v>
      </c>
      <c r="Q238">
        <f t="shared" si="239"/>
        <v>0</v>
      </c>
      <c r="R238">
        <f t="shared" si="240"/>
        <v>0</v>
      </c>
      <c r="S238">
        <f t="shared" si="241"/>
        <v>0</v>
      </c>
      <c r="T238">
        <f t="shared" si="242"/>
        <v>0</v>
      </c>
      <c r="U238">
        <f t="shared" si="243"/>
        <v>0</v>
      </c>
      <c r="V238">
        <f t="shared" si="244"/>
        <v>0</v>
      </c>
      <c r="W238">
        <f t="shared" si="245"/>
        <v>0</v>
      </c>
      <c r="X238">
        <f t="shared" si="246"/>
        <v>0</v>
      </c>
      <c r="Y238">
        <f t="shared" si="247"/>
        <v>0</v>
      </c>
      <c r="AA238">
        <v>86326988</v>
      </c>
      <c r="AB238">
        <f t="shared" si="248"/>
        <v>691.67</v>
      </c>
      <c r="AC238">
        <f t="shared" si="271"/>
        <v>691.67</v>
      </c>
      <c r="AD238">
        <f t="shared" si="270"/>
        <v>0</v>
      </c>
      <c r="AE238">
        <f t="shared" si="233"/>
        <v>0</v>
      </c>
      <c r="AF238">
        <f t="shared" si="234"/>
        <v>0</v>
      </c>
      <c r="AG238">
        <f t="shared" si="250"/>
        <v>0</v>
      </c>
      <c r="AH238">
        <f t="shared" si="235"/>
        <v>0</v>
      </c>
      <c r="AI238">
        <f t="shared" si="236"/>
        <v>0</v>
      </c>
      <c r="AJ238">
        <f t="shared" si="251"/>
        <v>0</v>
      </c>
      <c r="AK238">
        <v>691.67</v>
      </c>
      <c r="AL238">
        <v>691.67</v>
      </c>
      <c r="AM238">
        <v>0</v>
      </c>
      <c r="AN238">
        <v>0</v>
      </c>
      <c r="AO238">
        <v>0</v>
      </c>
      <c r="AP238">
        <v>0</v>
      </c>
      <c r="AQ238">
        <v>0</v>
      </c>
      <c r="AR238">
        <v>0</v>
      </c>
      <c r="AS238">
        <v>0</v>
      </c>
      <c r="AT238">
        <v>0</v>
      </c>
      <c r="AU238">
        <v>0</v>
      </c>
      <c r="AV238">
        <v>1</v>
      </c>
      <c r="AW238">
        <v>1</v>
      </c>
      <c r="AZ238">
        <v>1</v>
      </c>
      <c r="BA238">
        <v>1</v>
      </c>
      <c r="BB238">
        <v>1</v>
      </c>
      <c r="BC238">
        <v>7.56</v>
      </c>
      <c r="BD238" t="s">
        <v>6</v>
      </c>
      <c r="BE238" t="s">
        <v>6</v>
      </c>
      <c r="BF238" t="s">
        <v>6</v>
      </c>
      <c r="BG238" t="s">
        <v>6</v>
      </c>
      <c r="BH238">
        <v>3</v>
      </c>
      <c r="BI238">
        <v>1</v>
      </c>
      <c r="BJ238" t="s">
        <v>339</v>
      </c>
      <c r="BM238">
        <v>500003</v>
      </c>
      <c r="BN238">
        <v>0</v>
      </c>
      <c r="BO238" t="s">
        <v>6</v>
      </c>
      <c r="BP238">
        <v>0</v>
      </c>
      <c r="BQ238">
        <v>22</v>
      </c>
      <c r="BR238">
        <v>0</v>
      </c>
      <c r="BS238">
        <v>1</v>
      </c>
      <c r="BT238">
        <v>1</v>
      </c>
      <c r="BU238">
        <v>1</v>
      </c>
      <c r="BV238">
        <v>1</v>
      </c>
      <c r="BW238">
        <v>1</v>
      </c>
      <c r="BX238">
        <v>1</v>
      </c>
      <c r="BY238" t="s">
        <v>6</v>
      </c>
      <c r="BZ238">
        <v>0</v>
      </c>
      <c r="CA238">
        <v>0</v>
      </c>
      <c r="CB238" t="s">
        <v>6</v>
      </c>
      <c r="CE238">
        <v>0</v>
      </c>
      <c r="CF238">
        <v>0</v>
      </c>
      <c r="CG238">
        <v>0</v>
      </c>
      <c r="CM238">
        <v>0</v>
      </c>
      <c r="CN238" t="s">
        <v>6</v>
      </c>
      <c r="CO238">
        <v>0</v>
      </c>
      <c r="CP238">
        <f t="shared" si="252"/>
        <v>79</v>
      </c>
      <c r="CQ238">
        <f t="shared" si="253"/>
        <v>5229.0251999999991</v>
      </c>
      <c r="CR238">
        <f t="shared" si="254"/>
        <v>0</v>
      </c>
      <c r="CS238">
        <f t="shared" si="255"/>
        <v>0</v>
      </c>
      <c r="CT238">
        <f t="shared" si="256"/>
        <v>0</v>
      </c>
      <c r="CU238">
        <f t="shared" si="257"/>
        <v>0</v>
      </c>
      <c r="CV238">
        <f t="shared" si="258"/>
        <v>0</v>
      </c>
      <c r="CW238">
        <f t="shared" si="259"/>
        <v>0</v>
      </c>
      <c r="CX238">
        <f t="shared" si="260"/>
        <v>0</v>
      </c>
      <c r="CY238">
        <f>(S238+R238)*(BZ238/100)</f>
        <v>0</v>
      </c>
      <c r="CZ238">
        <f>(S238+R238)*(CA238/100)</f>
        <v>0</v>
      </c>
      <c r="DC238" t="s">
        <v>6</v>
      </c>
      <c r="DD238" t="s">
        <v>6</v>
      </c>
      <c r="DE238" t="s">
        <v>6</v>
      </c>
      <c r="DF238" t="s">
        <v>6</v>
      </c>
      <c r="DG238" t="s">
        <v>6</v>
      </c>
      <c r="DH238" t="s">
        <v>6</v>
      </c>
      <c r="DI238" t="s">
        <v>6</v>
      </c>
      <c r="DJ238" t="s">
        <v>6</v>
      </c>
      <c r="DK238" t="s">
        <v>6</v>
      </c>
      <c r="DL238" t="s">
        <v>6</v>
      </c>
      <c r="DM238" t="s">
        <v>6</v>
      </c>
      <c r="DN238">
        <v>0</v>
      </c>
      <c r="DO238">
        <v>0</v>
      </c>
      <c r="DP238">
        <v>1</v>
      </c>
      <c r="DQ238">
        <v>1</v>
      </c>
      <c r="DU238">
        <v>1007</v>
      </c>
      <c r="DV238" t="s">
        <v>44</v>
      </c>
      <c r="DW238" t="e">
        <f>'2.Лок.смета.и.Акт'!#REF!</f>
        <v>#REF!</v>
      </c>
      <c r="DX238">
        <v>1</v>
      </c>
      <c r="DZ238" t="s">
        <v>6</v>
      </c>
      <c r="EA238" t="s">
        <v>6</v>
      </c>
      <c r="EB238" t="s">
        <v>6</v>
      </c>
      <c r="EC238" t="s">
        <v>6</v>
      </c>
      <c r="EE238">
        <v>54938783</v>
      </c>
      <c r="EF238">
        <v>22</v>
      </c>
      <c r="EG238" t="s">
        <v>57</v>
      </c>
      <c r="EH238">
        <v>0</v>
      </c>
      <c r="EI238" t="s">
        <v>6</v>
      </c>
      <c r="EJ238">
        <v>1</v>
      </c>
      <c r="EK238">
        <v>500003</v>
      </c>
      <c r="EL238" t="s">
        <v>58</v>
      </c>
      <c r="EM238" t="s">
        <v>59</v>
      </c>
      <c r="EO238" t="s">
        <v>6</v>
      </c>
      <c r="EQ238">
        <v>0</v>
      </c>
      <c r="ER238">
        <v>4929.3500000000004</v>
      </c>
      <c r="ES238">
        <v>691.67</v>
      </c>
      <c r="ET238">
        <v>0</v>
      </c>
      <c r="EU238">
        <v>0</v>
      </c>
      <c r="EV238">
        <v>0</v>
      </c>
      <c r="EW238">
        <v>0</v>
      </c>
      <c r="EX238">
        <v>0</v>
      </c>
      <c r="EZ238">
        <v>5</v>
      </c>
      <c r="FC238">
        <v>0</v>
      </c>
      <c r="FD238">
        <v>18</v>
      </c>
      <c r="FF238">
        <v>4929.3500000000004</v>
      </c>
      <c r="FQ238">
        <v>0</v>
      </c>
      <c r="FR238">
        <f t="shared" si="261"/>
        <v>0</v>
      </c>
      <c r="FS238">
        <v>0</v>
      </c>
      <c r="FX238">
        <v>0</v>
      </c>
      <c r="FY238">
        <v>0</v>
      </c>
      <c r="GA238" t="s">
        <v>340</v>
      </c>
      <c r="GD238">
        <v>1</v>
      </c>
      <c r="GF238">
        <v>2111049581</v>
      </c>
      <c r="GG238">
        <v>2</v>
      </c>
      <c r="GH238">
        <v>3</v>
      </c>
      <c r="GI238">
        <v>5</v>
      </c>
      <c r="GJ238">
        <v>0</v>
      </c>
      <c r="GK238">
        <v>0</v>
      </c>
      <c r="GL238">
        <f t="shared" si="262"/>
        <v>0</v>
      </c>
      <c r="GM238">
        <f t="shared" si="263"/>
        <v>79</v>
      </c>
      <c r="GN238">
        <f t="shared" si="264"/>
        <v>79</v>
      </c>
      <c r="GO238">
        <f t="shared" si="265"/>
        <v>0</v>
      </c>
      <c r="GP238">
        <f t="shared" si="266"/>
        <v>0</v>
      </c>
      <c r="GR238">
        <v>1</v>
      </c>
      <c r="GS238">
        <v>1</v>
      </c>
      <c r="GT238">
        <v>0</v>
      </c>
      <c r="GU238" t="s">
        <v>6</v>
      </c>
      <c r="GV238">
        <f t="shared" si="267"/>
        <v>0</v>
      </c>
      <c r="GW238">
        <v>1</v>
      </c>
      <c r="GX238">
        <f t="shared" si="268"/>
        <v>0</v>
      </c>
      <c r="HA238">
        <v>0</v>
      </c>
      <c r="HB238">
        <v>0</v>
      </c>
      <c r="HC238">
        <f t="shared" si="269"/>
        <v>0</v>
      </c>
      <c r="HE238" t="s">
        <v>39</v>
      </c>
      <c r="HF238" t="s">
        <v>40</v>
      </c>
      <c r="HM238" t="s">
        <v>6</v>
      </c>
      <c r="HN238" t="s">
        <v>6</v>
      </c>
      <c r="HO238" t="s">
        <v>6</v>
      </c>
      <c r="HP238" t="s">
        <v>6</v>
      </c>
      <c r="HQ238" t="s">
        <v>6</v>
      </c>
      <c r="IF238">
        <v>-1</v>
      </c>
      <c r="IK238">
        <v>0</v>
      </c>
    </row>
    <row r="239" spans="1:255" x14ac:dyDescent="0.2">
      <c r="A239" s="2">
        <v>17</v>
      </c>
      <c r="B239" s="2">
        <v>1</v>
      </c>
      <c r="C239" s="2">
        <f>ROW(SmtRes!A294)</f>
        <v>294</v>
      </c>
      <c r="D239" s="2">
        <f>ROW(EtalonRes!A220)</f>
        <v>220</v>
      </c>
      <c r="E239" s="2" t="s">
        <v>341</v>
      </c>
      <c r="F239" s="2" t="s">
        <v>342</v>
      </c>
      <c r="G239" s="2" t="s">
        <v>343</v>
      </c>
      <c r="H239" s="2" t="s">
        <v>298</v>
      </c>
      <c r="I239" s="2">
        <f>'2.Лок.смета.и.Акт'!E42</f>
        <v>0.19</v>
      </c>
      <c r="J239" s="2">
        <v>0</v>
      </c>
      <c r="K239" s="2">
        <v>0.76</v>
      </c>
      <c r="L239" s="2"/>
      <c r="M239" s="2"/>
      <c r="N239" s="2"/>
      <c r="O239" s="2">
        <f t="shared" si="237"/>
        <v>42</v>
      </c>
      <c r="P239" s="2">
        <f t="shared" si="238"/>
        <v>0</v>
      </c>
      <c r="Q239" s="2">
        <f t="shared" si="239"/>
        <v>11</v>
      </c>
      <c r="R239" s="2">
        <f t="shared" si="240"/>
        <v>1</v>
      </c>
      <c r="S239" s="2">
        <f t="shared" si="241"/>
        <v>31</v>
      </c>
      <c r="T239" s="2">
        <f t="shared" si="242"/>
        <v>0</v>
      </c>
      <c r="U239" s="2">
        <f t="shared" si="243"/>
        <v>3.2528000000000001</v>
      </c>
      <c r="V239" s="2">
        <f t="shared" si="244"/>
        <v>4.9399999999999999E-2</v>
      </c>
      <c r="W239" s="2">
        <f t="shared" si="245"/>
        <v>0</v>
      </c>
      <c r="X239" s="2">
        <f t="shared" si="246"/>
        <v>30</v>
      </c>
      <c r="Y239" s="2">
        <f t="shared" si="247"/>
        <v>21</v>
      </c>
      <c r="Z239" s="2"/>
      <c r="AA239" s="2">
        <v>86326987</v>
      </c>
      <c r="AB239" s="2">
        <f t="shared" si="248"/>
        <v>222.13</v>
      </c>
      <c r="AC239" s="2">
        <f>ROUND((ES239+(SUM(SmtRes!BC285:'SmtRes'!BC294)+SUM(EtalonRes!AL213:'EtalonRes'!AL220))),2)</f>
        <v>0</v>
      </c>
      <c r="AD239" s="2">
        <f t="shared" si="270"/>
        <v>59.83</v>
      </c>
      <c r="AE239" s="2">
        <f t="shared" si="233"/>
        <v>3.54</v>
      </c>
      <c r="AF239" s="2">
        <f t="shared" si="234"/>
        <v>162.30000000000001</v>
      </c>
      <c r="AG239" s="2">
        <f t="shared" si="250"/>
        <v>0</v>
      </c>
      <c r="AH239" s="2">
        <f t="shared" si="235"/>
        <v>17.12</v>
      </c>
      <c r="AI239" s="2">
        <f t="shared" si="236"/>
        <v>0.26</v>
      </c>
      <c r="AJ239" s="2">
        <f t="shared" si="251"/>
        <v>0</v>
      </c>
      <c r="AK239" s="2">
        <v>246.8</v>
      </c>
      <c r="AL239" s="2">
        <v>24.67</v>
      </c>
      <c r="AM239" s="2">
        <v>59.83</v>
      </c>
      <c r="AN239" s="2">
        <v>3.54</v>
      </c>
      <c r="AO239" s="2">
        <v>162.30000000000001</v>
      </c>
      <c r="AP239" s="2">
        <v>0</v>
      </c>
      <c r="AQ239" s="2">
        <v>17.12</v>
      </c>
      <c r="AR239" s="2">
        <v>0.26</v>
      </c>
      <c r="AS239" s="2">
        <v>0</v>
      </c>
      <c r="AT239" s="2">
        <v>95</v>
      </c>
      <c r="AU239" s="2">
        <v>65</v>
      </c>
      <c r="AV239" s="2">
        <v>1</v>
      </c>
      <c r="AW239" s="2">
        <v>1</v>
      </c>
      <c r="AX239" s="2"/>
      <c r="AY239" s="2"/>
      <c r="AZ239" s="2">
        <v>1</v>
      </c>
      <c r="BA239" s="2">
        <v>1</v>
      </c>
      <c r="BB239" s="2">
        <v>1</v>
      </c>
      <c r="BC239" s="2">
        <v>1</v>
      </c>
      <c r="BD239" s="2" t="s">
        <v>6</v>
      </c>
      <c r="BE239" s="2" t="s">
        <v>6</v>
      </c>
      <c r="BF239" s="2" t="s">
        <v>6</v>
      </c>
      <c r="BG239" s="2" t="s">
        <v>6</v>
      </c>
      <c r="BH239" s="2">
        <v>0</v>
      </c>
      <c r="BI239" s="2">
        <v>2</v>
      </c>
      <c r="BJ239" s="2" t="s">
        <v>344</v>
      </c>
      <c r="BK239" s="2"/>
      <c r="BL239" s="2"/>
      <c r="BM239" s="2">
        <v>108001</v>
      </c>
      <c r="BN239" s="2">
        <v>0</v>
      </c>
      <c r="BO239" s="2" t="s">
        <v>6</v>
      </c>
      <c r="BP239" s="2">
        <v>0</v>
      </c>
      <c r="BQ239" s="2">
        <v>2</v>
      </c>
      <c r="BR239" s="2">
        <v>0</v>
      </c>
      <c r="BS239" s="2">
        <v>1</v>
      </c>
      <c r="BT239" s="2">
        <v>1</v>
      </c>
      <c r="BU239" s="2">
        <v>1</v>
      </c>
      <c r="BV239" s="2">
        <v>1</v>
      </c>
      <c r="BW239" s="2">
        <v>1</v>
      </c>
      <c r="BX239" s="2">
        <v>1</v>
      </c>
      <c r="BY239" s="2" t="s">
        <v>6</v>
      </c>
      <c r="BZ239" s="2">
        <v>95</v>
      </c>
      <c r="CA239" s="2">
        <v>65</v>
      </c>
      <c r="CB239" s="2" t="s">
        <v>6</v>
      </c>
      <c r="CC239" s="2"/>
      <c r="CD239" s="2"/>
      <c r="CE239" s="2">
        <v>0</v>
      </c>
      <c r="CF239" s="2">
        <v>0</v>
      </c>
      <c r="CG239" s="2">
        <v>0</v>
      </c>
      <c r="CH239" s="2"/>
      <c r="CI239" s="2"/>
      <c r="CJ239" s="2"/>
      <c r="CK239" s="2"/>
      <c r="CL239" s="2"/>
      <c r="CM239" s="2">
        <v>0</v>
      </c>
      <c r="CN239" s="2" t="s">
        <v>6</v>
      </c>
      <c r="CO239" s="2">
        <v>0</v>
      </c>
      <c r="CP239" s="2">
        <f t="shared" si="252"/>
        <v>42</v>
      </c>
      <c r="CQ239" s="2">
        <f t="shared" si="253"/>
        <v>0</v>
      </c>
      <c r="CR239" s="2">
        <f t="shared" si="254"/>
        <v>59.83</v>
      </c>
      <c r="CS239" s="2">
        <f t="shared" si="255"/>
        <v>3.54</v>
      </c>
      <c r="CT239" s="2">
        <f t="shared" si="256"/>
        <v>162.30000000000001</v>
      </c>
      <c r="CU239" s="2">
        <f t="shared" si="257"/>
        <v>0</v>
      </c>
      <c r="CV239" s="2">
        <f t="shared" si="258"/>
        <v>17.12</v>
      </c>
      <c r="CW239" s="2">
        <f t="shared" si="259"/>
        <v>0.26</v>
      </c>
      <c r="CX239" s="2">
        <f t="shared" si="260"/>
        <v>0</v>
      </c>
      <c r="CY239" s="2">
        <f>(((S239+(R239*IF(0,0,1)))*AT239)/100)</f>
        <v>30.4</v>
      </c>
      <c r="CZ239" s="2">
        <f>(((S239+(R239*IF(0,0,1)))*AU239)/100)</f>
        <v>20.8</v>
      </c>
      <c r="DA239" s="2"/>
      <c r="DB239" s="2"/>
      <c r="DC239" s="2" t="s">
        <v>6</v>
      </c>
      <c r="DD239" s="2" t="s">
        <v>6</v>
      </c>
      <c r="DE239" s="2" t="s">
        <v>6</v>
      </c>
      <c r="DF239" s="2" t="s">
        <v>6</v>
      </c>
      <c r="DG239" s="2" t="s">
        <v>6</v>
      </c>
      <c r="DH239" s="2" t="s">
        <v>6</v>
      </c>
      <c r="DI239" s="2" t="s">
        <v>6</v>
      </c>
      <c r="DJ239" s="2" t="s">
        <v>6</v>
      </c>
      <c r="DK239" s="2" t="s">
        <v>6</v>
      </c>
      <c r="DL239" s="2" t="s">
        <v>6</v>
      </c>
      <c r="DM239" s="2" t="s">
        <v>6</v>
      </c>
      <c r="DN239" s="2">
        <v>0</v>
      </c>
      <c r="DO239" s="2">
        <v>0</v>
      </c>
      <c r="DP239" s="2">
        <v>1</v>
      </c>
      <c r="DQ239" s="2">
        <v>1</v>
      </c>
      <c r="DR239" s="2"/>
      <c r="DS239" s="2"/>
      <c r="DT239" s="2"/>
      <c r="DU239" s="2">
        <v>1003</v>
      </c>
      <c r="DV239" s="2" t="s">
        <v>298</v>
      </c>
      <c r="DW239" s="2" t="s">
        <v>298</v>
      </c>
      <c r="DX239" s="2">
        <v>100</v>
      </c>
      <c r="DY239" s="2"/>
      <c r="DZ239" s="2" t="s">
        <v>6</v>
      </c>
      <c r="EA239" s="2" t="s">
        <v>6</v>
      </c>
      <c r="EB239" s="2" t="s">
        <v>6</v>
      </c>
      <c r="EC239" s="2" t="s">
        <v>6</v>
      </c>
      <c r="ED239" s="2"/>
      <c r="EE239" s="2">
        <v>54938726</v>
      </c>
      <c r="EF239" s="2">
        <v>2</v>
      </c>
      <c r="EG239" s="2" t="s">
        <v>312</v>
      </c>
      <c r="EH239" s="2">
        <v>0</v>
      </c>
      <c r="EI239" s="2" t="s">
        <v>6</v>
      </c>
      <c r="EJ239" s="2">
        <v>2</v>
      </c>
      <c r="EK239" s="2">
        <v>108001</v>
      </c>
      <c r="EL239" s="2" t="s">
        <v>313</v>
      </c>
      <c r="EM239" s="2" t="s">
        <v>314</v>
      </c>
      <c r="EN239" s="2"/>
      <c r="EO239" s="2" t="s">
        <v>6</v>
      </c>
      <c r="EP239" s="2"/>
      <c r="EQ239" s="2">
        <v>2097152</v>
      </c>
      <c r="ER239" s="2">
        <v>246.8</v>
      </c>
      <c r="ES239" s="2">
        <v>24.67</v>
      </c>
      <c r="ET239" s="2">
        <v>59.83</v>
      </c>
      <c r="EU239" s="2">
        <v>3.54</v>
      </c>
      <c r="EV239" s="2">
        <v>162.30000000000001</v>
      </c>
      <c r="EW239" s="2">
        <v>17.12</v>
      </c>
      <c r="EX239" s="2">
        <v>0.26</v>
      </c>
      <c r="EY239" s="2">
        <v>1</v>
      </c>
      <c r="EZ239" s="2"/>
      <c r="FA239" s="2"/>
      <c r="FB239" s="2"/>
      <c r="FC239" s="2"/>
      <c r="FD239" s="2"/>
      <c r="FE239" s="2"/>
      <c r="FF239" s="2"/>
      <c r="FG239" s="2"/>
      <c r="FH239" s="2"/>
      <c r="FI239" s="2"/>
      <c r="FJ239" s="2"/>
      <c r="FK239" s="2"/>
      <c r="FL239" s="2"/>
      <c r="FM239" s="2"/>
      <c r="FN239" s="2"/>
      <c r="FO239" s="2"/>
      <c r="FP239" s="2"/>
      <c r="FQ239" s="2">
        <v>0</v>
      </c>
      <c r="FR239" s="2">
        <f t="shared" si="261"/>
        <v>0</v>
      </c>
      <c r="FS239" s="2">
        <v>0</v>
      </c>
      <c r="FT239" s="2"/>
      <c r="FU239" s="2"/>
      <c r="FV239" s="2"/>
      <c r="FW239" s="2"/>
      <c r="FX239" s="2">
        <v>95</v>
      </c>
      <c r="FY239" s="2">
        <v>65</v>
      </c>
      <c r="FZ239" s="2"/>
      <c r="GA239" s="2" t="s">
        <v>6</v>
      </c>
      <c r="GB239" s="2"/>
      <c r="GC239" s="2"/>
      <c r="GD239" s="2">
        <v>1</v>
      </c>
      <c r="GE239" s="2"/>
      <c r="GF239" s="2">
        <v>1597658960</v>
      </c>
      <c r="GG239" s="2">
        <v>2</v>
      </c>
      <c r="GH239" s="2">
        <v>1</v>
      </c>
      <c r="GI239" s="2">
        <v>-2</v>
      </c>
      <c r="GJ239" s="2">
        <v>0</v>
      </c>
      <c r="GK239" s="2">
        <v>0</v>
      </c>
      <c r="GL239" s="2">
        <f t="shared" si="262"/>
        <v>0</v>
      </c>
      <c r="GM239" s="2">
        <f t="shared" si="263"/>
        <v>93</v>
      </c>
      <c r="GN239" s="2">
        <f t="shared" si="264"/>
        <v>0</v>
      </c>
      <c r="GO239" s="2">
        <f t="shared" si="265"/>
        <v>93</v>
      </c>
      <c r="GP239" s="2">
        <f t="shared" si="266"/>
        <v>0</v>
      </c>
      <c r="GQ239" s="2"/>
      <c r="GR239" s="2">
        <v>0</v>
      </c>
      <c r="GS239" s="2">
        <v>3</v>
      </c>
      <c r="GT239" s="2">
        <v>0</v>
      </c>
      <c r="GU239" s="2" t="s">
        <v>6</v>
      </c>
      <c r="GV239" s="2">
        <f t="shared" si="267"/>
        <v>0</v>
      </c>
      <c r="GW239" s="2">
        <v>1</v>
      </c>
      <c r="GX239" s="2">
        <f t="shared" si="268"/>
        <v>0</v>
      </c>
      <c r="GY239" s="2"/>
      <c r="GZ239" s="2"/>
      <c r="HA239" s="2">
        <v>0</v>
      </c>
      <c r="HB239" s="2">
        <v>0</v>
      </c>
      <c r="HC239" s="2">
        <f t="shared" si="269"/>
        <v>0</v>
      </c>
      <c r="HD239" s="2"/>
      <c r="HE239" s="2" t="s">
        <v>6</v>
      </c>
      <c r="HF239" s="2" t="s">
        <v>6</v>
      </c>
      <c r="HG239" s="2"/>
      <c r="HH239" s="2"/>
      <c r="HI239" s="2"/>
      <c r="HJ239" s="2"/>
      <c r="HK239" s="2"/>
      <c r="HL239" s="2"/>
      <c r="HM239" s="2" t="s">
        <v>6</v>
      </c>
      <c r="HN239" s="2" t="s">
        <v>6</v>
      </c>
      <c r="HO239" s="2" t="s">
        <v>6</v>
      </c>
      <c r="HP239" s="2" t="s">
        <v>6</v>
      </c>
      <c r="HQ239" s="2" t="s">
        <v>6</v>
      </c>
      <c r="HR239" s="2"/>
      <c r="HS239" s="2"/>
      <c r="HT239" s="2"/>
      <c r="HU239" s="2"/>
      <c r="HV239" s="2"/>
      <c r="HW239" s="2"/>
      <c r="HX239" s="2"/>
      <c r="HY239" s="2"/>
      <c r="HZ239" s="2"/>
      <c r="IA239" s="2"/>
      <c r="IB239" s="2"/>
      <c r="IC239" s="2"/>
      <c r="ID239" s="2"/>
      <c r="IE239" s="2"/>
      <c r="IF239" s="2">
        <v>-1</v>
      </c>
      <c r="IG239" s="2"/>
      <c r="IH239" s="2"/>
      <c r="II239" s="2"/>
      <c r="IJ239" s="2"/>
      <c r="IK239" s="2">
        <v>0</v>
      </c>
      <c r="IL239" s="2"/>
      <c r="IM239" s="2"/>
      <c r="IN239" s="2"/>
      <c r="IO239" s="2"/>
      <c r="IP239" s="2"/>
      <c r="IQ239" s="2"/>
      <c r="IR239" s="2"/>
      <c r="IS239" s="2"/>
      <c r="IT239" s="2"/>
      <c r="IU239" s="2"/>
    </row>
    <row r="240" spans="1:255" x14ac:dyDescent="0.2">
      <c r="A240">
        <v>17</v>
      </c>
      <c r="B240">
        <v>1</v>
      </c>
      <c r="C240">
        <f>ROW(SmtRes!A304)</f>
        <v>304</v>
      </c>
      <c r="D240">
        <f>ROW(EtalonRes!A228)</f>
        <v>228</v>
      </c>
      <c r="E240" t="s">
        <v>341</v>
      </c>
      <c r="F240" t="s">
        <v>342</v>
      </c>
      <c r="G240" t="s">
        <v>343</v>
      </c>
      <c r="H240" t="s">
        <v>298</v>
      </c>
      <c r="I240">
        <f>'2.Лок.смета.и.Акт'!E42</f>
        <v>0.19</v>
      </c>
      <c r="J240">
        <v>0</v>
      </c>
      <c r="K240">
        <v>0.76</v>
      </c>
      <c r="O240">
        <f t="shared" si="237"/>
        <v>871</v>
      </c>
      <c r="P240">
        <f t="shared" si="238"/>
        <v>0</v>
      </c>
      <c r="Q240">
        <f t="shared" si="239"/>
        <v>89</v>
      </c>
      <c r="R240">
        <f t="shared" si="240"/>
        <v>13</v>
      </c>
      <c r="S240">
        <f t="shared" si="241"/>
        <v>782</v>
      </c>
      <c r="T240">
        <f t="shared" si="242"/>
        <v>0</v>
      </c>
      <c r="U240" t="e">
        <f t="shared" si="243"/>
        <v>#REF!</v>
      </c>
      <c r="V240">
        <f t="shared" si="244"/>
        <v>4.9399999999999999E-2</v>
      </c>
      <c r="W240">
        <f t="shared" si="245"/>
        <v>0</v>
      </c>
      <c r="X240" t="e">
        <f t="shared" si="246"/>
        <v>#REF!</v>
      </c>
      <c r="Y240" t="e">
        <f t="shared" si="247"/>
        <v>#REF!</v>
      </c>
      <c r="AA240">
        <v>86326988</v>
      </c>
      <c r="AB240">
        <f t="shared" si="248"/>
        <v>222.13</v>
      </c>
      <c r="AC240">
        <f>ROUND((ES240+(SUM(SmtRes!BC295:'SmtRes'!BC304)+SUM(EtalonRes!AL221:'EtalonRes'!AL228))),2)</f>
        <v>0</v>
      </c>
      <c r="AD240">
        <f t="shared" si="270"/>
        <v>59.83</v>
      </c>
      <c r="AE240">
        <f t="shared" si="233"/>
        <v>3.54</v>
      </c>
      <c r="AF240">
        <f t="shared" si="234"/>
        <v>162.30000000000001</v>
      </c>
      <c r="AG240">
        <f t="shared" si="250"/>
        <v>0</v>
      </c>
      <c r="AH240" t="e">
        <f t="shared" si="235"/>
        <v>#REF!</v>
      </c>
      <c r="AI240">
        <f t="shared" si="236"/>
        <v>0.26</v>
      </c>
      <c r="AJ240">
        <f t="shared" si="251"/>
        <v>0</v>
      </c>
      <c r="AK240">
        <f>AL240+AM240+AO240</f>
        <v>246.8</v>
      </c>
      <c r="AL240">
        <v>24.67</v>
      </c>
      <c r="AM240" s="75">
        <f>'1.Лок.смета.и.Акт'!F418</f>
        <v>59.83</v>
      </c>
      <c r="AN240" s="75">
        <f>'1.Лок.смета.и.Акт'!F419</f>
        <v>3.54</v>
      </c>
      <c r="AO240" s="75">
        <f>'1.Лок.смета.и.Акт'!F417</f>
        <v>162.30000000000001</v>
      </c>
      <c r="AP240">
        <v>0</v>
      </c>
      <c r="AQ240" t="e">
        <f>'2.Лок.смета.и.Акт'!#REF!</f>
        <v>#REF!</v>
      </c>
      <c r="AR240">
        <v>0.26</v>
      </c>
      <c r="AS240">
        <v>0</v>
      </c>
      <c r="AT240">
        <v>90</v>
      </c>
      <c r="AU240">
        <v>55</v>
      </c>
      <c r="AV240">
        <v>1</v>
      </c>
      <c r="AW240">
        <v>1</v>
      </c>
      <c r="AZ240">
        <v>1</v>
      </c>
      <c r="BA240">
        <f>'1.Лок.смета.и.Акт'!J417</f>
        <v>25.36</v>
      </c>
      <c r="BB240">
        <f>'1.Лок.смета.и.Акт'!J418</f>
        <v>7.84</v>
      </c>
      <c r="BC240">
        <v>7.56</v>
      </c>
      <c r="BD240" t="s">
        <v>6</v>
      </c>
      <c r="BE240" t="s">
        <v>6</v>
      </c>
      <c r="BF240" t="s">
        <v>6</v>
      </c>
      <c r="BG240" t="s">
        <v>6</v>
      </c>
      <c r="BH240">
        <v>0</v>
      </c>
      <c r="BI240">
        <v>2</v>
      </c>
      <c r="BJ240" t="s">
        <v>344</v>
      </c>
      <c r="BM240">
        <v>108001</v>
      </c>
      <c r="BN240">
        <v>0</v>
      </c>
      <c r="BO240" t="s">
        <v>342</v>
      </c>
      <c r="BP240">
        <v>1</v>
      </c>
      <c r="BQ240">
        <v>2</v>
      </c>
      <c r="BR240">
        <v>0</v>
      </c>
      <c r="BS240">
        <f>'1.Лок.смета.и.Акт'!J419</f>
        <v>19.8</v>
      </c>
      <c r="BT240">
        <v>1</v>
      </c>
      <c r="BU240">
        <v>1</v>
      </c>
      <c r="BV240">
        <v>1</v>
      </c>
      <c r="BW240">
        <v>1</v>
      </c>
      <c r="BX240">
        <v>1</v>
      </c>
      <c r="BY240" t="s">
        <v>6</v>
      </c>
      <c r="BZ240" t="e">
        <f>'2.Лок.смета.и.Акт'!#REF!</f>
        <v>#REF!</v>
      </c>
      <c r="CA240" t="e">
        <f>'2.Лок.смета.и.Акт'!#REF!</f>
        <v>#REF!</v>
      </c>
      <c r="CB240" t="s">
        <v>6</v>
      </c>
      <c r="CE240">
        <v>0</v>
      </c>
      <c r="CF240">
        <v>0</v>
      </c>
      <c r="CG240">
        <v>0</v>
      </c>
      <c r="CM240">
        <v>0</v>
      </c>
      <c r="CN240" t="s">
        <v>6</v>
      </c>
      <c r="CO240">
        <v>0</v>
      </c>
      <c r="CP240">
        <f t="shared" si="252"/>
        <v>871</v>
      </c>
      <c r="CQ240">
        <f t="shared" si="253"/>
        <v>0</v>
      </c>
      <c r="CR240">
        <f t="shared" si="254"/>
        <v>469.06719999999996</v>
      </c>
      <c r="CS240">
        <f t="shared" si="255"/>
        <v>70.091999999999999</v>
      </c>
      <c r="CT240">
        <f t="shared" si="256"/>
        <v>4115.9279999999999</v>
      </c>
      <c r="CU240">
        <f t="shared" si="257"/>
        <v>0</v>
      </c>
      <c r="CV240" t="e">
        <f t="shared" si="258"/>
        <v>#REF!</v>
      </c>
      <c r="CW240">
        <f t="shared" si="259"/>
        <v>0.26</v>
      </c>
      <c r="CX240">
        <f t="shared" si="260"/>
        <v>0</v>
      </c>
      <c r="CY240" t="e">
        <f>(S240+R240)*(BZ240/100)</f>
        <v>#REF!</v>
      </c>
      <c r="CZ240" t="e">
        <f>(S240+R240)*(CA240/100)</f>
        <v>#REF!</v>
      </c>
      <c r="DC240" t="s">
        <v>6</v>
      </c>
      <c r="DD240" t="s">
        <v>6</v>
      </c>
      <c r="DE240" t="s">
        <v>6</v>
      </c>
      <c r="DF240" t="s">
        <v>6</v>
      </c>
      <c r="DG240" t="s">
        <v>6</v>
      </c>
      <c r="DH240" t="s">
        <v>6</v>
      </c>
      <c r="DI240" t="s">
        <v>6</v>
      </c>
      <c r="DJ240" t="s">
        <v>6</v>
      </c>
      <c r="DK240" t="s">
        <v>6</v>
      </c>
      <c r="DL240" t="s">
        <v>6</v>
      </c>
      <c r="DM240" t="s">
        <v>6</v>
      </c>
      <c r="DN240">
        <f>'1.Лок.смета.и.Акт'!E420</f>
        <v>95</v>
      </c>
      <c r="DO240">
        <f>'1.Лок.смета.и.Акт'!E421</f>
        <v>65</v>
      </c>
      <c r="DP240">
        <v>1</v>
      </c>
      <c r="DQ240">
        <v>1</v>
      </c>
      <c r="DU240">
        <v>1003</v>
      </c>
      <c r="DV240" t="s">
        <v>298</v>
      </c>
      <c r="DW240" t="str">
        <f>'2.Лок.смета.и.Акт'!D42</f>
        <v>100 м</v>
      </c>
      <c r="DX240">
        <v>100</v>
      </c>
      <c r="DZ240" t="s">
        <v>6</v>
      </c>
      <c r="EA240" t="s">
        <v>6</v>
      </c>
      <c r="EB240" t="s">
        <v>6</v>
      </c>
      <c r="EC240" t="s">
        <v>6</v>
      </c>
      <c r="EE240">
        <v>54938726</v>
      </c>
      <c r="EF240">
        <v>2</v>
      </c>
      <c r="EG240" t="s">
        <v>312</v>
      </c>
      <c r="EH240">
        <v>0</v>
      </c>
      <c r="EI240" t="s">
        <v>6</v>
      </c>
      <c r="EJ240">
        <v>2</v>
      </c>
      <c r="EK240">
        <v>108001</v>
      </c>
      <c r="EL240" t="s">
        <v>313</v>
      </c>
      <c r="EM240" t="s">
        <v>314</v>
      </c>
      <c r="EO240" t="s">
        <v>6</v>
      </c>
      <c r="EQ240">
        <v>2097152</v>
      </c>
      <c r="ER240">
        <f>ES240+ET240+EV240</f>
        <v>246.8</v>
      </c>
      <c r="ES240">
        <v>24.67</v>
      </c>
      <c r="ET240" s="75">
        <f>'1.Лок.смета.и.Акт'!F418</f>
        <v>59.83</v>
      </c>
      <c r="EU240" s="75">
        <f>'1.Лок.смета.и.Акт'!F419</f>
        <v>3.54</v>
      </c>
      <c r="EV240" s="75">
        <f>'1.Лок.смета.и.Акт'!F417</f>
        <v>162.30000000000001</v>
      </c>
      <c r="EW240" t="e">
        <f>'2.Лок.смета.и.Акт'!#REF!</f>
        <v>#REF!</v>
      </c>
      <c r="EX240">
        <v>0.26</v>
      </c>
      <c r="EY240">
        <v>1</v>
      </c>
      <c r="FQ240">
        <v>0</v>
      </c>
      <c r="FR240">
        <f t="shared" si="261"/>
        <v>0</v>
      </c>
      <c r="FS240">
        <v>0</v>
      </c>
      <c r="FX240">
        <v>95</v>
      </c>
      <c r="FY240">
        <v>65</v>
      </c>
      <c r="GA240" t="s">
        <v>6</v>
      </c>
      <c r="GD240">
        <v>1</v>
      </c>
      <c r="GF240">
        <v>1597658960</v>
      </c>
      <c r="GG240">
        <v>2</v>
      </c>
      <c r="GH240">
        <v>1</v>
      </c>
      <c r="GI240">
        <v>2</v>
      </c>
      <c r="GJ240">
        <v>0</v>
      </c>
      <c r="GK240">
        <v>0</v>
      </c>
      <c r="GL240">
        <f t="shared" si="262"/>
        <v>0</v>
      </c>
      <c r="GM240" t="e">
        <f t="shared" si="263"/>
        <v>#REF!</v>
      </c>
      <c r="GN240">
        <f t="shared" si="264"/>
        <v>0</v>
      </c>
      <c r="GO240" t="e">
        <f t="shared" si="265"/>
        <v>#REF!</v>
      </c>
      <c r="GP240">
        <f t="shared" si="266"/>
        <v>0</v>
      </c>
      <c r="GR240">
        <v>0</v>
      </c>
      <c r="GS240">
        <v>3</v>
      </c>
      <c r="GT240">
        <v>0</v>
      </c>
      <c r="GU240" t="s">
        <v>6</v>
      </c>
      <c r="GV240">
        <f t="shared" si="267"/>
        <v>0</v>
      </c>
      <c r="GW240">
        <v>1015.2</v>
      </c>
      <c r="GX240">
        <f t="shared" si="268"/>
        <v>0</v>
      </c>
      <c r="HA240">
        <v>0</v>
      </c>
      <c r="HB240">
        <v>0</v>
      </c>
      <c r="HC240">
        <f t="shared" si="269"/>
        <v>0</v>
      </c>
      <c r="HE240" t="s">
        <v>6</v>
      </c>
      <c r="HF240" t="s">
        <v>6</v>
      </c>
      <c r="HM240" t="s">
        <v>6</v>
      </c>
      <c r="HN240" t="s">
        <v>6</v>
      </c>
      <c r="HO240" t="s">
        <v>6</v>
      </c>
      <c r="HP240" t="s">
        <v>6</v>
      </c>
      <c r="HQ240" t="s">
        <v>6</v>
      </c>
      <c r="IF240">
        <v>-1</v>
      </c>
      <c r="IK240">
        <v>0</v>
      </c>
    </row>
    <row r="241" spans="1:255" x14ac:dyDescent="0.2">
      <c r="A241" s="2">
        <v>18</v>
      </c>
      <c r="B241" s="2">
        <v>1</v>
      </c>
      <c r="C241" s="2">
        <v>290</v>
      </c>
      <c r="D241" s="2"/>
      <c r="E241" s="2" t="s">
        <v>345</v>
      </c>
      <c r="F241" s="2" t="s">
        <v>316</v>
      </c>
      <c r="G241" s="2" t="s">
        <v>317</v>
      </c>
      <c r="H241" s="2" t="s">
        <v>33</v>
      </c>
      <c r="I241" s="2">
        <f>I239*J241</f>
        <v>4.1800000000000002E-4</v>
      </c>
      <c r="J241" s="226">
        <f>'5.Ведомость_списания'!F115</f>
        <v>2.2000000000000001E-3</v>
      </c>
      <c r="K241" s="2">
        <v>2.2000000000000001E-3</v>
      </c>
      <c r="L241" s="2"/>
      <c r="M241" s="2"/>
      <c r="N241" s="2"/>
      <c r="O241" s="2">
        <f t="shared" si="237"/>
        <v>4</v>
      </c>
      <c r="P241" s="2">
        <f t="shared" si="238"/>
        <v>4</v>
      </c>
      <c r="Q241" s="2">
        <f t="shared" si="239"/>
        <v>0</v>
      </c>
      <c r="R241" s="2">
        <f t="shared" si="240"/>
        <v>0</v>
      </c>
      <c r="S241" s="2">
        <f t="shared" si="241"/>
        <v>0</v>
      </c>
      <c r="T241" s="2">
        <f t="shared" si="242"/>
        <v>0</v>
      </c>
      <c r="U241" s="2">
        <f t="shared" si="243"/>
        <v>0</v>
      </c>
      <c r="V241" s="2">
        <f t="shared" si="244"/>
        <v>0</v>
      </c>
      <c r="W241" s="2">
        <f t="shared" si="245"/>
        <v>0</v>
      </c>
      <c r="X241" s="2">
        <f t="shared" si="246"/>
        <v>0</v>
      </c>
      <c r="Y241" s="2">
        <f t="shared" si="247"/>
        <v>0</v>
      </c>
      <c r="Z241" s="2"/>
      <c r="AA241" s="2">
        <v>86326987</v>
      </c>
      <c r="AB241" s="2">
        <f t="shared" si="248"/>
        <v>10559.12</v>
      </c>
      <c r="AC241" s="2">
        <f t="shared" ref="AC241:AC250" si="272">ROUND((ES241),2)</f>
        <v>10559.12</v>
      </c>
      <c r="AD241" s="2">
        <f t="shared" si="270"/>
        <v>0</v>
      </c>
      <c r="AE241" s="2">
        <f t="shared" si="233"/>
        <v>0</v>
      </c>
      <c r="AF241" s="2">
        <f t="shared" si="234"/>
        <v>0</v>
      </c>
      <c r="AG241" s="2">
        <f t="shared" si="250"/>
        <v>0</v>
      </c>
      <c r="AH241" s="2">
        <f t="shared" si="235"/>
        <v>0</v>
      </c>
      <c r="AI241" s="2">
        <f t="shared" si="236"/>
        <v>0</v>
      </c>
      <c r="AJ241" s="2">
        <f t="shared" si="251"/>
        <v>22.28</v>
      </c>
      <c r="AK241" s="2">
        <v>10559.12</v>
      </c>
      <c r="AL241" s="110">
        <f>'1.Лок.смета.и.Акт'!F423</f>
        <v>10559.12</v>
      </c>
      <c r="AM241" s="2">
        <v>0</v>
      </c>
      <c r="AN241" s="2">
        <v>0</v>
      </c>
      <c r="AO241" s="2">
        <v>0</v>
      </c>
      <c r="AP241" s="2">
        <v>0</v>
      </c>
      <c r="AQ241" s="2">
        <v>0</v>
      </c>
      <c r="AR241" s="2">
        <v>0</v>
      </c>
      <c r="AS241" s="2">
        <v>22.28</v>
      </c>
      <c r="AT241" s="2">
        <v>0</v>
      </c>
      <c r="AU241" s="2">
        <v>0</v>
      </c>
      <c r="AV241" s="2">
        <v>1</v>
      </c>
      <c r="AW241" s="2">
        <v>1</v>
      </c>
      <c r="AX241" s="2"/>
      <c r="AY241" s="2"/>
      <c r="AZ241" s="2">
        <v>1</v>
      </c>
      <c r="BA241" s="2">
        <v>1</v>
      </c>
      <c r="BB241" s="2">
        <v>1</v>
      </c>
      <c r="BC241" s="2">
        <v>1</v>
      </c>
      <c r="BD241" s="2" t="s">
        <v>6</v>
      </c>
      <c r="BE241" s="2" t="s">
        <v>6</v>
      </c>
      <c r="BF241" s="2" t="s">
        <v>6</v>
      </c>
      <c r="BG241" s="2" t="s">
        <v>6</v>
      </c>
      <c r="BH241" s="2">
        <v>3</v>
      </c>
      <c r="BI241" s="2">
        <v>1</v>
      </c>
      <c r="BJ241" s="2" t="s">
        <v>318</v>
      </c>
      <c r="BK241" s="2"/>
      <c r="BL241" s="2"/>
      <c r="BM241" s="2">
        <v>500001</v>
      </c>
      <c r="BN241" s="2">
        <v>0</v>
      </c>
      <c r="BO241" s="2" t="s">
        <v>6</v>
      </c>
      <c r="BP241" s="2">
        <v>0</v>
      </c>
      <c r="BQ241" s="2">
        <v>20</v>
      </c>
      <c r="BR241" s="2">
        <v>0</v>
      </c>
      <c r="BS241" s="2">
        <v>1</v>
      </c>
      <c r="BT241" s="2">
        <v>1</v>
      </c>
      <c r="BU241" s="2">
        <v>1</v>
      </c>
      <c r="BV241" s="2">
        <v>1</v>
      </c>
      <c r="BW241" s="2">
        <v>1</v>
      </c>
      <c r="BX241" s="2">
        <v>1</v>
      </c>
      <c r="BY241" s="2" t="s">
        <v>6</v>
      </c>
      <c r="BZ241" s="2">
        <v>0</v>
      </c>
      <c r="CA241" s="2">
        <v>0</v>
      </c>
      <c r="CB241" s="2" t="s">
        <v>6</v>
      </c>
      <c r="CC241" s="2"/>
      <c r="CD241" s="2"/>
      <c r="CE241" s="2">
        <v>0</v>
      </c>
      <c r="CF241" s="2">
        <v>0</v>
      </c>
      <c r="CG241" s="2">
        <v>0</v>
      </c>
      <c r="CH241" s="2"/>
      <c r="CI241" s="2"/>
      <c r="CJ241" s="2"/>
      <c r="CK241" s="2"/>
      <c r="CL241" s="2"/>
      <c r="CM241" s="2">
        <v>0</v>
      </c>
      <c r="CN241" s="2" t="s">
        <v>6</v>
      </c>
      <c r="CO241" s="2">
        <v>0</v>
      </c>
      <c r="CP241" s="2">
        <f t="shared" si="252"/>
        <v>4</v>
      </c>
      <c r="CQ241" s="2">
        <f t="shared" si="253"/>
        <v>10559.12</v>
      </c>
      <c r="CR241" s="2">
        <f t="shared" si="254"/>
        <v>0</v>
      </c>
      <c r="CS241" s="2">
        <f t="shared" si="255"/>
        <v>0</v>
      </c>
      <c r="CT241" s="2">
        <f t="shared" si="256"/>
        <v>0</v>
      </c>
      <c r="CU241" s="2">
        <f t="shared" si="257"/>
        <v>0</v>
      </c>
      <c r="CV241" s="2">
        <f t="shared" si="258"/>
        <v>0</v>
      </c>
      <c r="CW241" s="2">
        <f t="shared" si="259"/>
        <v>0</v>
      </c>
      <c r="CX241" s="2">
        <f t="shared" si="260"/>
        <v>22.28</v>
      </c>
      <c r="CY241" s="2">
        <f>(((S241+(R241*IF(0,0,1)))*AT241)/100)</f>
        <v>0</v>
      </c>
      <c r="CZ241" s="2">
        <f>(((S241+(R241*IF(0,0,1)))*AU241)/100)</f>
        <v>0</v>
      </c>
      <c r="DA241" s="2"/>
      <c r="DB241" s="2"/>
      <c r="DC241" s="2" t="s">
        <v>6</v>
      </c>
      <c r="DD241" s="2" t="s">
        <v>6</v>
      </c>
      <c r="DE241" s="2" t="s">
        <v>6</v>
      </c>
      <c r="DF241" s="2" t="s">
        <v>6</v>
      </c>
      <c r="DG241" s="2" t="s">
        <v>6</v>
      </c>
      <c r="DH241" s="2" t="s">
        <v>6</v>
      </c>
      <c r="DI241" s="2" t="s">
        <v>6</v>
      </c>
      <c r="DJ241" s="2" t="s">
        <v>6</v>
      </c>
      <c r="DK241" s="2" t="s">
        <v>6</v>
      </c>
      <c r="DL241" s="2" t="s">
        <v>6</v>
      </c>
      <c r="DM241" s="2" t="s">
        <v>6</v>
      </c>
      <c r="DN241" s="2">
        <v>0</v>
      </c>
      <c r="DO241" s="2">
        <v>0</v>
      </c>
      <c r="DP241" s="2">
        <v>1</v>
      </c>
      <c r="DQ241" s="2">
        <v>1</v>
      </c>
      <c r="DR241" s="2"/>
      <c r="DS241" s="2"/>
      <c r="DT241" s="2"/>
      <c r="DU241" s="2">
        <v>1009</v>
      </c>
      <c r="DV241" s="2" t="s">
        <v>33</v>
      </c>
      <c r="DW241" s="2" t="s">
        <v>33</v>
      </c>
      <c r="DX241" s="2">
        <v>1000</v>
      </c>
      <c r="DY241" s="2"/>
      <c r="DZ241" s="2" t="s">
        <v>6</v>
      </c>
      <c r="EA241" s="2" t="s">
        <v>6</v>
      </c>
      <c r="EB241" s="2" t="s">
        <v>6</v>
      </c>
      <c r="EC241" s="2" t="s">
        <v>6</v>
      </c>
      <c r="ED241" s="2"/>
      <c r="EE241" s="2">
        <v>54938781</v>
      </c>
      <c r="EF241" s="2">
        <v>20</v>
      </c>
      <c r="EG241" s="2" t="s">
        <v>35</v>
      </c>
      <c r="EH241" s="2">
        <v>0</v>
      </c>
      <c r="EI241" s="2" t="s">
        <v>6</v>
      </c>
      <c r="EJ241" s="2">
        <v>1</v>
      </c>
      <c r="EK241" s="2">
        <v>500001</v>
      </c>
      <c r="EL241" s="2" t="s">
        <v>36</v>
      </c>
      <c r="EM241" s="2" t="s">
        <v>37</v>
      </c>
      <c r="EN241" s="2"/>
      <c r="EO241" s="2" t="s">
        <v>6</v>
      </c>
      <c r="EP241" s="2"/>
      <c r="EQ241" s="2">
        <v>0</v>
      </c>
      <c r="ER241" s="2">
        <v>10559.12</v>
      </c>
      <c r="ES241" s="110">
        <f>'1.Лок.смета.и.Акт'!F423</f>
        <v>10559.12</v>
      </c>
      <c r="ET241" s="2">
        <v>0</v>
      </c>
      <c r="EU241" s="2">
        <v>0</v>
      </c>
      <c r="EV241" s="2">
        <v>0</v>
      </c>
      <c r="EW241" s="2">
        <v>0</v>
      </c>
      <c r="EX241" s="2">
        <v>0</v>
      </c>
      <c r="EY241" s="2"/>
      <c r="EZ241" s="2"/>
      <c r="FA241" s="2"/>
      <c r="FB241" s="2"/>
      <c r="FC241" s="2"/>
      <c r="FD241" s="2"/>
      <c r="FE241" s="2"/>
      <c r="FF241" s="2"/>
      <c r="FG241" s="2"/>
      <c r="FH241" s="2"/>
      <c r="FI241" s="2"/>
      <c r="FJ241" s="2"/>
      <c r="FK241" s="2"/>
      <c r="FL241" s="2"/>
      <c r="FM241" s="2"/>
      <c r="FN241" s="2"/>
      <c r="FO241" s="2"/>
      <c r="FP241" s="2"/>
      <c r="FQ241" s="2">
        <v>0</v>
      </c>
      <c r="FR241" s="2">
        <f t="shared" si="261"/>
        <v>0</v>
      </c>
      <c r="FS241" s="2">
        <v>0</v>
      </c>
      <c r="FT241" s="2"/>
      <c r="FU241" s="2"/>
      <c r="FV241" s="2"/>
      <c r="FW241" s="2"/>
      <c r="FX241" s="2">
        <v>0</v>
      </c>
      <c r="FY241" s="2">
        <v>0</v>
      </c>
      <c r="FZ241" s="2"/>
      <c r="GA241" s="2" t="s">
        <v>6</v>
      </c>
      <c r="GB241" s="2"/>
      <c r="GC241" s="2"/>
      <c r="GD241" s="2">
        <v>1</v>
      </c>
      <c r="GE241" s="2"/>
      <c r="GF241" s="2">
        <v>1988624183</v>
      </c>
      <c r="GG241" s="2">
        <v>2</v>
      </c>
      <c r="GH241" s="2">
        <v>0</v>
      </c>
      <c r="GI241" s="2">
        <v>-2</v>
      </c>
      <c r="GJ241" s="2">
        <v>0</v>
      </c>
      <c r="GK241" s="2">
        <v>0</v>
      </c>
      <c r="GL241" s="2">
        <f t="shared" si="262"/>
        <v>0</v>
      </c>
      <c r="GM241" s="2">
        <f t="shared" si="263"/>
        <v>4</v>
      </c>
      <c r="GN241" s="2">
        <f t="shared" si="264"/>
        <v>4</v>
      </c>
      <c r="GO241" s="2">
        <f t="shared" si="265"/>
        <v>0</v>
      </c>
      <c r="GP241" s="2">
        <f t="shared" si="266"/>
        <v>0</v>
      </c>
      <c r="GQ241" s="2"/>
      <c r="GR241" s="2">
        <v>0</v>
      </c>
      <c r="GS241" s="2">
        <v>3</v>
      </c>
      <c r="GT241" s="2">
        <v>0</v>
      </c>
      <c r="GU241" s="2" t="s">
        <v>6</v>
      </c>
      <c r="GV241" s="2">
        <f t="shared" si="267"/>
        <v>0</v>
      </c>
      <c r="GW241" s="2">
        <v>1</v>
      </c>
      <c r="GX241" s="2">
        <f t="shared" si="268"/>
        <v>0</v>
      </c>
      <c r="GY241" s="2"/>
      <c r="GZ241" s="2"/>
      <c r="HA241" s="2">
        <v>0</v>
      </c>
      <c r="HB241" s="2">
        <v>0</v>
      </c>
      <c r="HC241" s="2">
        <f t="shared" si="269"/>
        <v>0</v>
      </c>
      <c r="HD241" s="2"/>
      <c r="HE241" s="2" t="s">
        <v>6</v>
      </c>
      <c r="HF241" s="2" t="s">
        <v>6</v>
      </c>
      <c r="HG241" s="2"/>
      <c r="HH241" s="2"/>
      <c r="HI241" s="2"/>
      <c r="HJ241" s="2"/>
      <c r="HK241" s="2"/>
      <c r="HL241" s="2"/>
      <c r="HM241" s="2" t="s">
        <v>6</v>
      </c>
      <c r="HN241" s="2" t="s">
        <v>6</v>
      </c>
      <c r="HO241" s="2" t="s">
        <v>6</v>
      </c>
      <c r="HP241" s="2" t="s">
        <v>6</v>
      </c>
      <c r="HQ241" s="2" t="s">
        <v>6</v>
      </c>
      <c r="HR241" s="2"/>
      <c r="HS241" s="2"/>
      <c r="HT241" s="2"/>
      <c r="HU241" s="2"/>
      <c r="HV241" s="2"/>
      <c r="HW241" s="2"/>
      <c r="HX241" s="2"/>
      <c r="HY241" s="2"/>
      <c r="HZ241" s="2"/>
      <c r="IA241" s="2"/>
      <c r="IB241" s="2"/>
      <c r="IC241" s="2"/>
      <c r="ID241" s="2"/>
      <c r="IE241" s="2"/>
      <c r="IF241" s="2">
        <v>-1</v>
      </c>
      <c r="IG241" s="2"/>
      <c r="IH241" s="2"/>
      <c r="II241" s="2"/>
      <c r="IJ241" s="2"/>
      <c r="IK241" s="2">
        <v>0</v>
      </c>
      <c r="IL241" s="2"/>
      <c r="IM241" s="2"/>
      <c r="IN241" s="2"/>
      <c r="IO241" s="2"/>
      <c r="IP241" s="2"/>
      <c r="IQ241" s="2"/>
      <c r="IR241" s="2"/>
      <c r="IS241" s="2"/>
      <c r="IT241" s="2"/>
      <c r="IU241" s="2"/>
    </row>
    <row r="242" spans="1:255" x14ac:dyDescent="0.2">
      <c r="A242">
        <v>18</v>
      </c>
      <c r="B242">
        <v>1</v>
      </c>
      <c r="C242">
        <v>300</v>
      </c>
      <c r="E242" t="s">
        <v>345</v>
      </c>
      <c r="F242" t="e">
        <f>'2.Лок.смета.и.Акт'!#REF!</f>
        <v>#REF!</v>
      </c>
      <c r="G242" t="s">
        <v>317</v>
      </c>
      <c r="H242" t="s">
        <v>33</v>
      </c>
      <c r="I242">
        <f>I240*J242</f>
        <v>4.1800000000000002E-4</v>
      </c>
      <c r="J242">
        <v>2.2000000000000001E-3</v>
      </c>
      <c r="K242">
        <v>2.2000000000000001E-3</v>
      </c>
      <c r="O242">
        <f t="shared" si="237"/>
        <v>43</v>
      </c>
      <c r="P242">
        <f t="shared" si="238"/>
        <v>43</v>
      </c>
      <c r="Q242">
        <f t="shared" si="239"/>
        <v>0</v>
      </c>
      <c r="R242">
        <f t="shared" si="240"/>
        <v>0</v>
      </c>
      <c r="S242">
        <f t="shared" si="241"/>
        <v>0</v>
      </c>
      <c r="T242">
        <f t="shared" si="242"/>
        <v>0</v>
      </c>
      <c r="U242">
        <f t="shared" si="243"/>
        <v>0</v>
      </c>
      <c r="V242">
        <f t="shared" si="244"/>
        <v>0</v>
      </c>
      <c r="W242">
        <f t="shared" si="245"/>
        <v>0</v>
      </c>
      <c r="X242">
        <f t="shared" si="246"/>
        <v>0</v>
      </c>
      <c r="Y242">
        <f t="shared" si="247"/>
        <v>0</v>
      </c>
      <c r="AA242">
        <v>86326988</v>
      </c>
      <c r="AB242">
        <f t="shared" si="248"/>
        <v>13505.55</v>
      </c>
      <c r="AC242">
        <f t="shared" si="272"/>
        <v>13505.55</v>
      </c>
      <c r="AD242">
        <f t="shared" si="270"/>
        <v>0</v>
      </c>
      <c r="AE242">
        <f t="shared" si="233"/>
        <v>0</v>
      </c>
      <c r="AF242">
        <f t="shared" si="234"/>
        <v>0</v>
      </c>
      <c r="AG242">
        <f t="shared" si="250"/>
        <v>0</v>
      </c>
      <c r="AH242">
        <f t="shared" si="235"/>
        <v>0</v>
      </c>
      <c r="AI242">
        <f t="shared" si="236"/>
        <v>0</v>
      </c>
      <c r="AJ242">
        <f t="shared" si="251"/>
        <v>22.28</v>
      </c>
      <c r="AK242">
        <v>13505.55</v>
      </c>
      <c r="AL242">
        <v>13505.55</v>
      </c>
      <c r="AM242">
        <v>0</v>
      </c>
      <c r="AN242">
        <v>0</v>
      </c>
      <c r="AO242">
        <v>0</v>
      </c>
      <c r="AP242">
        <v>0</v>
      </c>
      <c r="AQ242">
        <v>0</v>
      </c>
      <c r="AR242">
        <v>0</v>
      </c>
      <c r="AS242">
        <v>22.28</v>
      </c>
      <c r="AT242">
        <v>0</v>
      </c>
      <c r="AU242">
        <v>0</v>
      </c>
      <c r="AV242">
        <v>1</v>
      </c>
      <c r="AW242">
        <v>1</v>
      </c>
      <c r="AZ242">
        <v>1</v>
      </c>
      <c r="BA242">
        <v>1</v>
      </c>
      <c r="BB242">
        <v>1</v>
      </c>
      <c r="BC242">
        <v>7.56</v>
      </c>
      <c r="BD242" t="s">
        <v>6</v>
      </c>
      <c r="BE242" t="s">
        <v>6</v>
      </c>
      <c r="BF242" t="s">
        <v>6</v>
      </c>
      <c r="BG242" t="s">
        <v>6</v>
      </c>
      <c r="BH242">
        <v>3</v>
      </c>
      <c r="BI242">
        <v>1</v>
      </c>
      <c r="BJ242" t="s">
        <v>318</v>
      </c>
      <c r="BM242">
        <v>500001</v>
      </c>
      <c r="BN242">
        <v>0</v>
      </c>
      <c r="BO242" t="s">
        <v>6</v>
      </c>
      <c r="BP242">
        <v>0</v>
      </c>
      <c r="BQ242">
        <v>20</v>
      </c>
      <c r="BR242">
        <v>0</v>
      </c>
      <c r="BS242">
        <v>1</v>
      </c>
      <c r="BT242">
        <v>1</v>
      </c>
      <c r="BU242">
        <v>1</v>
      </c>
      <c r="BV242">
        <v>1</v>
      </c>
      <c r="BW242">
        <v>1</v>
      </c>
      <c r="BX242">
        <v>1</v>
      </c>
      <c r="BY242" t="s">
        <v>6</v>
      </c>
      <c r="BZ242">
        <v>0</v>
      </c>
      <c r="CA242">
        <v>0</v>
      </c>
      <c r="CB242" t="s">
        <v>6</v>
      </c>
      <c r="CE242">
        <v>0</v>
      </c>
      <c r="CF242">
        <v>0</v>
      </c>
      <c r="CG242">
        <v>0</v>
      </c>
      <c r="CM242">
        <v>0</v>
      </c>
      <c r="CN242" t="s">
        <v>6</v>
      </c>
      <c r="CO242">
        <v>0</v>
      </c>
      <c r="CP242">
        <f t="shared" si="252"/>
        <v>43</v>
      </c>
      <c r="CQ242">
        <f t="shared" si="253"/>
        <v>102101.95799999998</v>
      </c>
      <c r="CR242">
        <f t="shared" si="254"/>
        <v>0</v>
      </c>
      <c r="CS242">
        <f t="shared" si="255"/>
        <v>0</v>
      </c>
      <c r="CT242">
        <f t="shared" si="256"/>
        <v>0</v>
      </c>
      <c r="CU242">
        <f t="shared" si="257"/>
        <v>0</v>
      </c>
      <c r="CV242">
        <f t="shared" si="258"/>
        <v>0</v>
      </c>
      <c r="CW242">
        <f t="shared" si="259"/>
        <v>0</v>
      </c>
      <c r="CX242">
        <f t="shared" si="260"/>
        <v>22.28</v>
      </c>
      <c r="CY242">
        <f>(S242+R242)*(BZ242/100)</f>
        <v>0</v>
      </c>
      <c r="CZ242">
        <f>(S242+R242)*(CA242/100)</f>
        <v>0</v>
      </c>
      <c r="DC242" t="s">
        <v>6</v>
      </c>
      <c r="DD242" t="s">
        <v>6</v>
      </c>
      <c r="DE242" t="s">
        <v>6</v>
      </c>
      <c r="DF242" t="s">
        <v>6</v>
      </c>
      <c r="DG242" t="s">
        <v>6</v>
      </c>
      <c r="DH242" t="s">
        <v>6</v>
      </c>
      <c r="DI242" t="s">
        <v>6</v>
      </c>
      <c r="DJ242" t="s">
        <v>6</v>
      </c>
      <c r="DK242" t="s">
        <v>6</v>
      </c>
      <c r="DL242" t="s">
        <v>6</v>
      </c>
      <c r="DM242" t="s">
        <v>6</v>
      </c>
      <c r="DN242">
        <v>0</v>
      </c>
      <c r="DO242">
        <v>0</v>
      </c>
      <c r="DP242">
        <v>1</v>
      </c>
      <c r="DQ242">
        <v>1</v>
      </c>
      <c r="DU242">
        <v>1009</v>
      </c>
      <c r="DV242" t="s">
        <v>33</v>
      </c>
      <c r="DW242" t="e">
        <f>'2.Лок.смета.и.Акт'!#REF!</f>
        <v>#REF!</v>
      </c>
      <c r="DX242">
        <v>1000</v>
      </c>
      <c r="DZ242" t="s">
        <v>6</v>
      </c>
      <c r="EA242" t="s">
        <v>6</v>
      </c>
      <c r="EB242" t="s">
        <v>6</v>
      </c>
      <c r="EC242" t="s">
        <v>6</v>
      </c>
      <c r="EE242">
        <v>54938781</v>
      </c>
      <c r="EF242">
        <v>20</v>
      </c>
      <c r="EG242" t="s">
        <v>35</v>
      </c>
      <c r="EH242">
        <v>0</v>
      </c>
      <c r="EI242" t="s">
        <v>6</v>
      </c>
      <c r="EJ242">
        <v>1</v>
      </c>
      <c r="EK242">
        <v>500001</v>
      </c>
      <c r="EL242" t="s">
        <v>36</v>
      </c>
      <c r="EM242" t="s">
        <v>37</v>
      </c>
      <c r="EO242" t="s">
        <v>6</v>
      </c>
      <c r="EQ242">
        <v>0</v>
      </c>
      <c r="ER242">
        <v>96250</v>
      </c>
      <c r="ES242">
        <v>13505.55</v>
      </c>
      <c r="ET242">
        <v>0</v>
      </c>
      <c r="EU242">
        <v>0</v>
      </c>
      <c r="EV242">
        <v>0</v>
      </c>
      <c r="EW242">
        <v>0</v>
      </c>
      <c r="EX242">
        <v>0</v>
      </c>
      <c r="EZ242">
        <v>5</v>
      </c>
      <c r="FC242">
        <v>0</v>
      </c>
      <c r="FD242">
        <v>18</v>
      </c>
      <c r="FF242">
        <v>96250</v>
      </c>
      <c r="FQ242">
        <v>0</v>
      </c>
      <c r="FR242">
        <f t="shared" si="261"/>
        <v>0</v>
      </c>
      <c r="FS242">
        <v>0</v>
      </c>
      <c r="FX242">
        <v>0</v>
      </c>
      <c r="FY242">
        <v>0</v>
      </c>
      <c r="GA242" t="s">
        <v>319</v>
      </c>
      <c r="GD242">
        <v>1</v>
      </c>
      <c r="GF242">
        <v>1988624183</v>
      </c>
      <c r="GG242">
        <v>2</v>
      </c>
      <c r="GH242">
        <v>3</v>
      </c>
      <c r="GI242">
        <v>5</v>
      </c>
      <c r="GJ242">
        <v>0</v>
      </c>
      <c r="GK242">
        <v>0</v>
      </c>
      <c r="GL242">
        <f t="shared" si="262"/>
        <v>0</v>
      </c>
      <c r="GM242">
        <f t="shared" si="263"/>
        <v>43</v>
      </c>
      <c r="GN242">
        <f t="shared" si="264"/>
        <v>43</v>
      </c>
      <c r="GO242">
        <f t="shared" si="265"/>
        <v>0</v>
      </c>
      <c r="GP242">
        <f t="shared" si="266"/>
        <v>0</v>
      </c>
      <c r="GR242">
        <v>1</v>
      </c>
      <c r="GS242">
        <v>1</v>
      </c>
      <c r="GT242">
        <v>0</v>
      </c>
      <c r="GU242" t="s">
        <v>6</v>
      </c>
      <c r="GV242">
        <f t="shared" si="267"/>
        <v>0</v>
      </c>
      <c r="GW242">
        <v>1</v>
      </c>
      <c r="GX242">
        <f t="shared" si="268"/>
        <v>0</v>
      </c>
      <c r="HA242">
        <v>0</v>
      </c>
      <c r="HB242">
        <v>0</v>
      </c>
      <c r="HC242">
        <f t="shared" si="269"/>
        <v>0</v>
      </c>
      <c r="HE242" t="s">
        <v>39</v>
      </c>
      <c r="HF242" t="s">
        <v>40</v>
      </c>
      <c r="HM242" t="s">
        <v>6</v>
      </c>
      <c r="HN242" t="s">
        <v>6</v>
      </c>
      <c r="HO242" t="s">
        <v>6</v>
      </c>
      <c r="HP242" t="s">
        <v>6</v>
      </c>
      <c r="HQ242" t="s">
        <v>6</v>
      </c>
      <c r="IF242">
        <v>-1</v>
      </c>
      <c r="IK242">
        <v>0</v>
      </c>
    </row>
    <row r="243" spans="1:255" x14ac:dyDescent="0.2">
      <c r="A243" s="2">
        <v>18</v>
      </c>
      <c r="B243" s="2">
        <v>1</v>
      </c>
      <c r="C243" s="2">
        <v>291</v>
      </c>
      <c r="D243" s="2"/>
      <c r="E243" s="2" t="s">
        <v>346</v>
      </c>
      <c r="F243" s="2" t="s">
        <v>321</v>
      </c>
      <c r="G243" s="2" t="s">
        <v>322</v>
      </c>
      <c r="H243" s="2" t="s">
        <v>323</v>
      </c>
      <c r="I243" s="2">
        <f>I239*J243</f>
        <v>15</v>
      </c>
      <c r="J243" s="226">
        <f>'5.Ведомость_списания'!F116</f>
        <v>78.94736842105263</v>
      </c>
      <c r="K243" s="2">
        <v>78.947367999999997</v>
      </c>
      <c r="L243" s="2"/>
      <c r="M243" s="2"/>
      <c r="N243" s="2"/>
      <c r="O243" s="2">
        <f t="shared" si="237"/>
        <v>119</v>
      </c>
      <c r="P243" s="2">
        <f t="shared" si="238"/>
        <v>119</v>
      </c>
      <c r="Q243" s="2">
        <f t="shared" si="239"/>
        <v>0</v>
      </c>
      <c r="R243" s="2">
        <f t="shared" si="240"/>
        <v>0</v>
      </c>
      <c r="S243" s="2">
        <f t="shared" si="241"/>
        <v>0</v>
      </c>
      <c r="T243" s="2">
        <f t="shared" si="242"/>
        <v>0</v>
      </c>
      <c r="U243" s="2">
        <f t="shared" si="243"/>
        <v>0</v>
      </c>
      <c r="V243" s="2">
        <f t="shared" si="244"/>
        <v>0</v>
      </c>
      <c r="W243" s="2">
        <f t="shared" si="245"/>
        <v>0</v>
      </c>
      <c r="X243" s="2">
        <f t="shared" si="246"/>
        <v>0</v>
      </c>
      <c r="Y243" s="2">
        <f t="shared" si="247"/>
        <v>0</v>
      </c>
      <c r="Z243" s="2"/>
      <c r="AA243" s="2">
        <v>86326987</v>
      </c>
      <c r="AB243" s="2">
        <f t="shared" si="248"/>
        <v>7.93</v>
      </c>
      <c r="AC243" s="2">
        <f t="shared" si="272"/>
        <v>7.93</v>
      </c>
      <c r="AD243" s="2">
        <f t="shared" si="270"/>
        <v>0</v>
      </c>
      <c r="AE243" s="2">
        <f t="shared" si="233"/>
        <v>0</v>
      </c>
      <c r="AF243" s="2">
        <f t="shared" si="234"/>
        <v>0</v>
      </c>
      <c r="AG243" s="2">
        <f t="shared" si="250"/>
        <v>0</v>
      </c>
      <c r="AH243" s="2">
        <f t="shared" si="235"/>
        <v>0</v>
      </c>
      <c r="AI243" s="2">
        <f t="shared" si="236"/>
        <v>0</v>
      </c>
      <c r="AJ243" s="2">
        <f t="shared" si="251"/>
        <v>0</v>
      </c>
      <c r="AK243" s="2">
        <v>7.93</v>
      </c>
      <c r="AL243" s="110">
        <f>'1.Лок.смета.и.Акт'!F425</f>
        <v>7.93</v>
      </c>
      <c r="AM243" s="2">
        <v>0</v>
      </c>
      <c r="AN243" s="2">
        <v>0</v>
      </c>
      <c r="AO243" s="2">
        <v>0</v>
      </c>
      <c r="AP243" s="2">
        <v>0</v>
      </c>
      <c r="AQ243" s="2">
        <v>0</v>
      </c>
      <c r="AR243" s="2">
        <v>0</v>
      </c>
      <c r="AS243" s="2">
        <v>0</v>
      </c>
      <c r="AT243" s="2">
        <v>0</v>
      </c>
      <c r="AU243" s="2">
        <v>0</v>
      </c>
      <c r="AV243" s="2">
        <v>1</v>
      </c>
      <c r="AW243" s="2">
        <v>1</v>
      </c>
      <c r="AX243" s="2"/>
      <c r="AY243" s="2"/>
      <c r="AZ243" s="2">
        <v>1</v>
      </c>
      <c r="BA243" s="2">
        <v>1</v>
      </c>
      <c r="BB243" s="2">
        <v>1</v>
      </c>
      <c r="BC243" s="2">
        <v>1</v>
      </c>
      <c r="BD243" s="2" t="s">
        <v>6</v>
      </c>
      <c r="BE243" s="2" t="s">
        <v>6</v>
      </c>
      <c r="BF243" s="2" t="s">
        <v>6</v>
      </c>
      <c r="BG243" s="2" t="s">
        <v>6</v>
      </c>
      <c r="BH243" s="2">
        <v>3</v>
      </c>
      <c r="BI243" s="2">
        <v>2</v>
      </c>
      <c r="BJ243" s="2" t="s">
        <v>324</v>
      </c>
      <c r="BK243" s="2"/>
      <c r="BL243" s="2"/>
      <c r="BM243" s="2">
        <v>500002</v>
      </c>
      <c r="BN243" s="2">
        <v>0</v>
      </c>
      <c r="BO243" s="2" t="s">
        <v>6</v>
      </c>
      <c r="BP243" s="2">
        <v>0</v>
      </c>
      <c r="BQ243" s="2">
        <v>21</v>
      </c>
      <c r="BR243" s="2">
        <v>0</v>
      </c>
      <c r="BS243" s="2">
        <v>1</v>
      </c>
      <c r="BT243" s="2">
        <v>1</v>
      </c>
      <c r="BU243" s="2">
        <v>1</v>
      </c>
      <c r="BV243" s="2">
        <v>1</v>
      </c>
      <c r="BW243" s="2">
        <v>1</v>
      </c>
      <c r="BX243" s="2">
        <v>1</v>
      </c>
      <c r="BY243" s="2" t="s">
        <v>6</v>
      </c>
      <c r="BZ243" s="2">
        <v>0</v>
      </c>
      <c r="CA243" s="2">
        <v>0</v>
      </c>
      <c r="CB243" s="2" t="s">
        <v>6</v>
      </c>
      <c r="CC243" s="2"/>
      <c r="CD243" s="2"/>
      <c r="CE243" s="2">
        <v>0</v>
      </c>
      <c r="CF243" s="2">
        <v>0</v>
      </c>
      <c r="CG243" s="2">
        <v>0</v>
      </c>
      <c r="CH243" s="2"/>
      <c r="CI243" s="2"/>
      <c r="CJ243" s="2"/>
      <c r="CK243" s="2"/>
      <c r="CL243" s="2"/>
      <c r="CM243" s="2">
        <v>0</v>
      </c>
      <c r="CN243" s="2" t="s">
        <v>6</v>
      </c>
      <c r="CO243" s="2">
        <v>0</v>
      </c>
      <c r="CP243" s="2">
        <f t="shared" si="252"/>
        <v>119</v>
      </c>
      <c r="CQ243" s="2">
        <f t="shared" si="253"/>
        <v>7.93</v>
      </c>
      <c r="CR243" s="2">
        <f t="shared" si="254"/>
        <v>0</v>
      </c>
      <c r="CS243" s="2">
        <f t="shared" si="255"/>
        <v>0</v>
      </c>
      <c r="CT243" s="2">
        <f t="shared" si="256"/>
        <v>0</v>
      </c>
      <c r="CU243" s="2">
        <f t="shared" si="257"/>
        <v>0</v>
      </c>
      <c r="CV243" s="2">
        <f t="shared" si="258"/>
        <v>0</v>
      </c>
      <c r="CW243" s="2">
        <f t="shared" si="259"/>
        <v>0</v>
      </c>
      <c r="CX243" s="2">
        <f t="shared" si="260"/>
        <v>0</v>
      </c>
      <c r="CY243" s="2">
        <f>(((S243+(R243*IF(0,0,1)))*AT243)/100)</f>
        <v>0</v>
      </c>
      <c r="CZ243" s="2">
        <f>(((S243+(R243*IF(0,0,1)))*AU243)/100)</f>
        <v>0</v>
      </c>
      <c r="DA243" s="2"/>
      <c r="DB243" s="2"/>
      <c r="DC243" s="2" t="s">
        <v>6</v>
      </c>
      <c r="DD243" s="2" t="s">
        <v>6</v>
      </c>
      <c r="DE243" s="2" t="s">
        <v>6</v>
      </c>
      <c r="DF243" s="2" t="s">
        <v>6</v>
      </c>
      <c r="DG243" s="2" t="s">
        <v>6</v>
      </c>
      <c r="DH243" s="2" t="s">
        <v>6</v>
      </c>
      <c r="DI243" s="2" t="s">
        <v>6</v>
      </c>
      <c r="DJ243" s="2" t="s">
        <v>6</v>
      </c>
      <c r="DK243" s="2" t="s">
        <v>6</v>
      </c>
      <c r="DL243" s="2" t="s">
        <v>6</v>
      </c>
      <c r="DM243" s="2" t="s">
        <v>6</v>
      </c>
      <c r="DN243" s="2">
        <v>0</v>
      </c>
      <c r="DO243" s="2">
        <v>0</v>
      </c>
      <c r="DP243" s="2">
        <v>1</v>
      </c>
      <c r="DQ243" s="2">
        <v>1</v>
      </c>
      <c r="DR243" s="2"/>
      <c r="DS243" s="2"/>
      <c r="DT243" s="2"/>
      <c r="DU243" s="2">
        <v>1010</v>
      </c>
      <c r="DV243" s="2" t="s">
        <v>323</v>
      </c>
      <c r="DW243" s="2" t="s">
        <v>325</v>
      </c>
      <c r="DX243" s="2">
        <v>1</v>
      </c>
      <c r="DY243" s="2"/>
      <c r="DZ243" s="2" t="s">
        <v>6</v>
      </c>
      <c r="EA243" s="2" t="s">
        <v>6</v>
      </c>
      <c r="EB243" s="2" t="s">
        <v>6</v>
      </c>
      <c r="EC243" s="2" t="s">
        <v>6</v>
      </c>
      <c r="ED243" s="2"/>
      <c r="EE243" s="2">
        <v>54938782</v>
      </c>
      <c r="EF243" s="2">
        <v>21</v>
      </c>
      <c r="EG243" s="2" t="s">
        <v>96</v>
      </c>
      <c r="EH243" s="2">
        <v>0</v>
      </c>
      <c r="EI243" s="2" t="s">
        <v>6</v>
      </c>
      <c r="EJ243" s="2">
        <v>2</v>
      </c>
      <c r="EK243" s="2">
        <v>500002</v>
      </c>
      <c r="EL243" s="2" t="s">
        <v>97</v>
      </c>
      <c r="EM243" s="2" t="s">
        <v>98</v>
      </c>
      <c r="EN243" s="2"/>
      <c r="EO243" s="2" t="s">
        <v>6</v>
      </c>
      <c r="EP243" s="2"/>
      <c r="EQ243" s="2">
        <v>0</v>
      </c>
      <c r="ER243" s="2">
        <v>7.93</v>
      </c>
      <c r="ES243" s="110">
        <f>'1.Лок.смета.и.Акт'!F425</f>
        <v>7.93</v>
      </c>
      <c r="ET243" s="2">
        <v>0</v>
      </c>
      <c r="EU243" s="2">
        <v>0</v>
      </c>
      <c r="EV243" s="2">
        <v>0</v>
      </c>
      <c r="EW243" s="2">
        <v>0</v>
      </c>
      <c r="EX243" s="2">
        <v>0</v>
      </c>
      <c r="EY243" s="2"/>
      <c r="EZ243" s="2"/>
      <c r="FA243" s="2"/>
      <c r="FB243" s="2"/>
      <c r="FC243" s="2"/>
      <c r="FD243" s="2"/>
      <c r="FE243" s="2"/>
      <c r="FF243" s="2"/>
      <c r="FG243" s="2"/>
      <c r="FH243" s="2"/>
      <c r="FI243" s="2"/>
      <c r="FJ243" s="2"/>
      <c r="FK243" s="2"/>
      <c r="FL243" s="2"/>
      <c r="FM243" s="2"/>
      <c r="FN243" s="2"/>
      <c r="FO243" s="2"/>
      <c r="FP243" s="2"/>
      <c r="FQ243" s="2">
        <v>0</v>
      </c>
      <c r="FR243" s="2">
        <f t="shared" si="261"/>
        <v>0</v>
      </c>
      <c r="FS243" s="2">
        <v>0</v>
      </c>
      <c r="FT243" s="2"/>
      <c r="FU243" s="2"/>
      <c r="FV243" s="2"/>
      <c r="FW243" s="2"/>
      <c r="FX243" s="2">
        <v>0</v>
      </c>
      <c r="FY243" s="2">
        <v>0</v>
      </c>
      <c r="FZ243" s="2"/>
      <c r="GA243" s="2" t="s">
        <v>6</v>
      </c>
      <c r="GB243" s="2"/>
      <c r="GC243" s="2"/>
      <c r="GD243" s="2">
        <v>1</v>
      </c>
      <c r="GE243" s="2"/>
      <c r="GF243" s="2">
        <v>1471566618</v>
      </c>
      <c r="GG243" s="2">
        <v>2</v>
      </c>
      <c r="GH243" s="2">
        <v>1</v>
      </c>
      <c r="GI243" s="2">
        <v>-2</v>
      </c>
      <c r="GJ243" s="2">
        <v>0</v>
      </c>
      <c r="GK243" s="2">
        <v>0</v>
      </c>
      <c r="GL243" s="2">
        <f t="shared" si="262"/>
        <v>0</v>
      </c>
      <c r="GM243" s="2">
        <f t="shared" si="263"/>
        <v>119</v>
      </c>
      <c r="GN243" s="2">
        <f t="shared" si="264"/>
        <v>0</v>
      </c>
      <c r="GO243" s="2">
        <f t="shared" si="265"/>
        <v>119</v>
      </c>
      <c r="GP243" s="2">
        <f t="shared" si="266"/>
        <v>0</v>
      </c>
      <c r="GQ243" s="2"/>
      <c r="GR243" s="2">
        <v>0</v>
      </c>
      <c r="GS243" s="2">
        <v>3</v>
      </c>
      <c r="GT243" s="2">
        <v>0</v>
      </c>
      <c r="GU243" s="2" t="s">
        <v>6</v>
      </c>
      <c r="GV243" s="2">
        <f t="shared" si="267"/>
        <v>0</v>
      </c>
      <c r="GW243" s="2">
        <v>1</v>
      </c>
      <c r="GX243" s="2">
        <f t="shared" si="268"/>
        <v>0</v>
      </c>
      <c r="GY243" s="2"/>
      <c r="GZ243" s="2"/>
      <c r="HA243" s="2">
        <v>0</v>
      </c>
      <c r="HB243" s="2">
        <v>0</v>
      </c>
      <c r="HC243" s="2">
        <f t="shared" si="269"/>
        <v>0</v>
      </c>
      <c r="HD243" s="2"/>
      <c r="HE243" s="2" t="s">
        <v>6</v>
      </c>
      <c r="HF243" s="2" t="s">
        <v>6</v>
      </c>
      <c r="HG243" s="2"/>
      <c r="HH243" s="2"/>
      <c r="HI243" s="2"/>
      <c r="HJ243" s="2"/>
      <c r="HK243" s="2"/>
      <c r="HL243" s="2"/>
      <c r="HM243" s="2" t="s">
        <v>6</v>
      </c>
      <c r="HN243" s="2" t="s">
        <v>6</v>
      </c>
      <c r="HO243" s="2" t="s">
        <v>6</v>
      </c>
      <c r="HP243" s="2" t="s">
        <v>6</v>
      </c>
      <c r="HQ243" s="2" t="s">
        <v>6</v>
      </c>
      <c r="HR243" s="2"/>
      <c r="HS243" s="2"/>
      <c r="HT243" s="2"/>
      <c r="HU243" s="2"/>
      <c r="HV243" s="2"/>
      <c r="HW243" s="2"/>
      <c r="HX243" s="2"/>
      <c r="HY243" s="2"/>
      <c r="HZ243" s="2"/>
      <c r="IA243" s="2"/>
      <c r="IB243" s="2"/>
      <c r="IC243" s="2"/>
      <c r="ID243" s="2"/>
      <c r="IE243" s="2"/>
      <c r="IF243" s="2">
        <v>-1</v>
      </c>
      <c r="IG243" s="2"/>
      <c r="IH243" s="2"/>
      <c r="II243" s="2"/>
      <c r="IJ243" s="2"/>
      <c r="IK243" s="2">
        <v>0</v>
      </c>
      <c r="IL243" s="2"/>
      <c r="IM243" s="2"/>
      <c r="IN243" s="2"/>
      <c r="IO243" s="2"/>
      <c r="IP243" s="2"/>
      <c r="IQ243" s="2"/>
      <c r="IR243" s="2"/>
      <c r="IS243" s="2"/>
      <c r="IT243" s="2"/>
      <c r="IU243" s="2"/>
    </row>
    <row r="244" spans="1:255" x14ac:dyDescent="0.2">
      <c r="A244">
        <v>18</v>
      </c>
      <c r="B244">
        <v>1</v>
      </c>
      <c r="C244">
        <v>301</v>
      </c>
      <c r="E244" t="s">
        <v>346</v>
      </c>
      <c r="F244" t="e">
        <f>'2.Лок.смета.и.Акт'!#REF!</f>
        <v>#REF!</v>
      </c>
      <c r="G244" t="s">
        <v>322</v>
      </c>
      <c r="H244" t="s">
        <v>323</v>
      </c>
      <c r="I244">
        <f>I240*J244</f>
        <v>15</v>
      </c>
      <c r="J244">
        <v>78.94736842105263</v>
      </c>
      <c r="K244">
        <v>78.947367999999997</v>
      </c>
      <c r="O244">
        <f t="shared" si="237"/>
        <v>400</v>
      </c>
      <c r="P244">
        <f t="shared" si="238"/>
        <v>400</v>
      </c>
      <c r="Q244">
        <f t="shared" si="239"/>
        <v>0</v>
      </c>
      <c r="R244">
        <f t="shared" si="240"/>
        <v>0</v>
      </c>
      <c r="S244">
        <f t="shared" si="241"/>
        <v>0</v>
      </c>
      <c r="T244">
        <f t="shared" si="242"/>
        <v>0</v>
      </c>
      <c r="U244">
        <f t="shared" si="243"/>
        <v>0</v>
      </c>
      <c r="V244">
        <f t="shared" si="244"/>
        <v>0</v>
      </c>
      <c r="W244">
        <f t="shared" si="245"/>
        <v>0</v>
      </c>
      <c r="X244">
        <f t="shared" si="246"/>
        <v>0</v>
      </c>
      <c r="Y244">
        <f t="shared" si="247"/>
        <v>0</v>
      </c>
      <c r="AA244">
        <v>86326988</v>
      </c>
      <c r="AB244">
        <f t="shared" si="248"/>
        <v>3.53</v>
      </c>
      <c r="AC244">
        <f t="shared" si="272"/>
        <v>3.53</v>
      </c>
      <c r="AD244">
        <f t="shared" si="270"/>
        <v>0</v>
      </c>
      <c r="AE244">
        <f t="shared" si="233"/>
        <v>0</v>
      </c>
      <c r="AF244">
        <f t="shared" si="234"/>
        <v>0</v>
      </c>
      <c r="AG244">
        <f t="shared" si="250"/>
        <v>0</v>
      </c>
      <c r="AH244">
        <f t="shared" si="235"/>
        <v>0</v>
      </c>
      <c r="AI244">
        <f t="shared" si="236"/>
        <v>0</v>
      </c>
      <c r="AJ244">
        <f t="shared" si="251"/>
        <v>0</v>
      </c>
      <c r="AK244">
        <v>3.53</v>
      </c>
      <c r="AL244">
        <v>3.53</v>
      </c>
      <c r="AM244">
        <v>0</v>
      </c>
      <c r="AN244">
        <v>0</v>
      </c>
      <c r="AO244">
        <v>0</v>
      </c>
      <c r="AP244">
        <v>0</v>
      </c>
      <c r="AQ244">
        <v>0</v>
      </c>
      <c r="AR244">
        <v>0</v>
      </c>
      <c r="AS244">
        <v>0</v>
      </c>
      <c r="AT244">
        <v>0</v>
      </c>
      <c r="AU244">
        <v>0</v>
      </c>
      <c r="AV244">
        <v>1</v>
      </c>
      <c r="AW244">
        <v>1</v>
      </c>
      <c r="AZ244">
        <v>1</v>
      </c>
      <c r="BA244">
        <v>1</v>
      </c>
      <c r="BB244">
        <v>1</v>
      </c>
      <c r="BC244">
        <v>7.56</v>
      </c>
      <c r="BD244" t="s">
        <v>6</v>
      </c>
      <c r="BE244" t="s">
        <v>6</v>
      </c>
      <c r="BF244" t="s">
        <v>6</v>
      </c>
      <c r="BG244" t="s">
        <v>6</v>
      </c>
      <c r="BH244">
        <v>3</v>
      </c>
      <c r="BI244">
        <v>2</v>
      </c>
      <c r="BJ244" t="s">
        <v>324</v>
      </c>
      <c r="BM244">
        <v>500002</v>
      </c>
      <c r="BN244">
        <v>0</v>
      </c>
      <c r="BO244" t="s">
        <v>6</v>
      </c>
      <c r="BP244">
        <v>0</v>
      </c>
      <c r="BQ244">
        <v>21</v>
      </c>
      <c r="BR244">
        <v>0</v>
      </c>
      <c r="BS244">
        <v>1</v>
      </c>
      <c r="BT244">
        <v>1</v>
      </c>
      <c r="BU244">
        <v>1</v>
      </c>
      <c r="BV244">
        <v>1</v>
      </c>
      <c r="BW244">
        <v>1</v>
      </c>
      <c r="BX244">
        <v>1</v>
      </c>
      <c r="BY244" t="s">
        <v>6</v>
      </c>
      <c r="BZ244">
        <v>0</v>
      </c>
      <c r="CA244">
        <v>0</v>
      </c>
      <c r="CB244" t="s">
        <v>6</v>
      </c>
      <c r="CE244">
        <v>0</v>
      </c>
      <c r="CF244">
        <v>0</v>
      </c>
      <c r="CG244">
        <v>0</v>
      </c>
      <c r="CM244">
        <v>0</v>
      </c>
      <c r="CN244" t="s">
        <v>6</v>
      </c>
      <c r="CO244">
        <v>0</v>
      </c>
      <c r="CP244">
        <f t="shared" si="252"/>
        <v>400</v>
      </c>
      <c r="CQ244">
        <f t="shared" si="253"/>
        <v>26.686799999999998</v>
      </c>
      <c r="CR244">
        <f t="shared" si="254"/>
        <v>0</v>
      </c>
      <c r="CS244">
        <f t="shared" si="255"/>
        <v>0</v>
      </c>
      <c r="CT244">
        <f t="shared" si="256"/>
        <v>0</v>
      </c>
      <c r="CU244">
        <f t="shared" si="257"/>
        <v>0</v>
      </c>
      <c r="CV244">
        <f t="shared" si="258"/>
        <v>0</v>
      </c>
      <c r="CW244">
        <f t="shared" si="259"/>
        <v>0</v>
      </c>
      <c r="CX244">
        <f t="shared" si="260"/>
        <v>0</v>
      </c>
      <c r="CY244">
        <f>(S244+R244)*(BZ244/100)</f>
        <v>0</v>
      </c>
      <c r="CZ244">
        <f>(S244+R244)*(CA244/100)</f>
        <v>0</v>
      </c>
      <c r="DC244" t="s">
        <v>6</v>
      </c>
      <c r="DD244" t="s">
        <v>6</v>
      </c>
      <c r="DE244" t="s">
        <v>6</v>
      </c>
      <c r="DF244" t="s">
        <v>6</v>
      </c>
      <c r="DG244" t="s">
        <v>6</v>
      </c>
      <c r="DH244" t="s">
        <v>6</v>
      </c>
      <c r="DI244" t="s">
        <v>6</v>
      </c>
      <c r="DJ244" t="s">
        <v>6</v>
      </c>
      <c r="DK244" t="s">
        <v>6</v>
      </c>
      <c r="DL244" t="s">
        <v>6</v>
      </c>
      <c r="DM244" t="s">
        <v>6</v>
      </c>
      <c r="DN244">
        <v>0</v>
      </c>
      <c r="DO244">
        <v>0</v>
      </c>
      <c r="DP244">
        <v>1</v>
      </c>
      <c r="DQ244">
        <v>1</v>
      </c>
      <c r="DU244">
        <v>1010</v>
      </c>
      <c r="DV244" t="s">
        <v>323</v>
      </c>
      <c r="DW244" t="e">
        <f>'2.Лок.смета.и.Акт'!#REF!</f>
        <v>#REF!</v>
      </c>
      <c r="DX244">
        <v>1</v>
      </c>
      <c r="DZ244" t="s">
        <v>6</v>
      </c>
      <c r="EA244" t="s">
        <v>6</v>
      </c>
      <c r="EB244" t="s">
        <v>6</v>
      </c>
      <c r="EC244" t="s">
        <v>6</v>
      </c>
      <c r="EE244">
        <v>54938782</v>
      </c>
      <c r="EF244">
        <v>21</v>
      </c>
      <c r="EG244" t="s">
        <v>96</v>
      </c>
      <c r="EH244">
        <v>0</v>
      </c>
      <c r="EI244" t="s">
        <v>6</v>
      </c>
      <c r="EJ244">
        <v>2</v>
      </c>
      <c r="EK244">
        <v>500002</v>
      </c>
      <c r="EL244" t="s">
        <v>97</v>
      </c>
      <c r="EM244" t="s">
        <v>98</v>
      </c>
      <c r="EO244" t="s">
        <v>6</v>
      </c>
      <c r="EQ244">
        <v>0</v>
      </c>
      <c r="ER244">
        <v>25.15</v>
      </c>
      <c r="ES244">
        <v>3.53</v>
      </c>
      <c r="ET244">
        <v>0</v>
      </c>
      <c r="EU244">
        <v>0</v>
      </c>
      <c r="EV244">
        <v>0</v>
      </c>
      <c r="EW244">
        <v>0</v>
      </c>
      <c r="EX244">
        <v>0</v>
      </c>
      <c r="EZ244">
        <v>5</v>
      </c>
      <c r="FC244">
        <v>0</v>
      </c>
      <c r="FD244">
        <v>18</v>
      </c>
      <c r="FF244">
        <v>25.15</v>
      </c>
      <c r="FQ244">
        <v>0</v>
      </c>
      <c r="FR244">
        <f t="shared" si="261"/>
        <v>0</v>
      </c>
      <c r="FS244">
        <v>0</v>
      </c>
      <c r="FX244">
        <v>0</v>
      </c>
      <c r="FY244">
        <v>0</v>
      </c>
      <c r="GA244" t="s">
        <v>326</v>
      </c>
      <c r="GD244">
        <v>1</v>
      </c>
      <c r="GF244">
        <v>1471566618</v>
      </c>
      <c r="GG244">
        <v>2</v>
      </c>
      <c r="GH244">
        <v>3</v>
      </c>
      <c r="GI244">
        <v>5</v>
      </c>
      <c r="GJ244">
        <v>0</v>
      </c>
      <c r="GK244">
        <v>0</v>
      </c>
      <c r="GL244">
        <f t="shared" si="262"/>
        <v>0</v>
      </c>
      <c r="GM244">
        <f t="shared" si="263"/>
        <v>400</v>
      </c>
      <c r="GN244">
        <f t="shared" si="264"/>
        <v>0</v>
      </c>
      <c r="GO244">
        <f t="shared" si="265"/>
        <v>400</v>
      </c>
      <c r="GP244">
        <f t="shared" si="266"/>
        <v>0</v>
      </c>
      <c r="GR244">
        <v>1</v>
      </c>
      <c r="GS244">
        <v>1</v>
      </c>
      <c r="GT244">
        <v>0</v>
      </c>
      <c r="GU244" t="s">
        <v>6</v>
      </c>
      <c r="GV244">
        <f t="shared" si="267"/>
        <v>0</v>
      </c>
      <c r="GW244">
        <v>1</v>
      </c>
      <c r="GX244">
        <f t="shared" si="268"/>
        <v>0</v>
      </c>
      <c r="HA244">
        <v>0</v>
      </c>
      <c r="HB244">
        <v>0</v>
      </c>
      <c r="HC244">
        <f t="shared" si="269"/>
        <v>0</v>
      </c>
      <c r="HE244" t="s">
        <v>39</v>
      </c>
      <c r="HF244" t="s">
        <v>40</v>
      </c>
      <c r="HM244" t="s">
        <v>6</v>
      </c>
      <c r="HN244" t="s">
        <v>6</v>
      </c>
      <c r="HO244" t="s">
        <v>6</v>
      </c>
      <c r="HP244" t="s">
        <v>6</v>
      </c>
      <c r="HQ244" t="s">
        <v>6</v>
      </c>
      <c r="IF244">
        <v>-1</v>
      </c>
      <c r="IK244">
        <v>0</v>
      </c>
    </row>
    <row r="245" spans="1:255" x14ac:dyDescent="0.2">
      <c r="A245" s="2">
        <v>18</v>
      </c>
      <c r="B245" s="2">
        <v>1</v>
      </c>
      <c r="C245" s="2">
        <v>292</v>
      </c>
      <c r="D245" s="2"/>
      <c r="E245" s="2" t="s">
        <v>347</v>
      </c>
      <c r="F245" s="2" t="s">
        <v>321</v>
      </c>
      <c r="G245" s="2" t="s">
        <v>328</v>
      </c>
      <c r="H245" s="2" t="s">
        <v>323</v>
      </c>
      <c r="I245" s="2">
        <f>I239*J245</f>
        <v>18</v>
      </c>
      <c r="J245" s="226">
        <f>'5.Ведомость_списания'!F117</f>
        <v>94.73684210526315</v>
      </c>
      <c r="K245" s="2">
        <v>94.736841999999996</v>
      </c>
      <c r="L245" s="2"/>
      <c r="M245" s="2"/>
      <c r="N245" s="2"/>
      <c r="O245" s="2">
        <f t="shared" si="237"/>
        <v>143</v>
      </c>
      <c r="P245" s="2">
        <f t="shared" si="238"/>
        <v>143</v>
      </c>
      <c r="Q245" s="2">
        <f t="shared" si="239"/>
        <v>0</v>
      </c>
      <c r="R245" s="2">
        <f t="shared" si="240"/>
        <v>0</v>
      </c>
      <c r="S245" s="2">
        <f t="shared" si="241"/>
        <v>0</v>
      </c>
      <c r="T245" s="2">
        <f t="shared" si="242"/>
        <v>0</v>
      </c>
      <c r="U245" s="2">
        <f t="shared" si="243"/>
        <v>0</v>
      </c>
      <c r="V245" s="2">
        <f t="shared" si="244"/>
        <v>0</v>
      </c>
      <c r="W245" s="2">
        <f t="shared" si="245"/>
        <v>0</v>
      </c>
      <c r="X245" s="2">
        <f t="shared" si="246"/>
        <v>0</v>
      </c>
      <c r="Y245" s="2">
        <f t="shared" si="247"/>
        <v>0</v>
      </c>
      <c r="Z245" s="2"/>
      <c r="AA245" s="2">
        <v>86326987</v>
      </c>
      <c r="AB245" s="2">
        <f t="shared" si="248"/>
        <v>7.93</v>
      </c>
      <c r="AC245" s="2">
        <f t="shared" si="272"/>
        <v>7.93</v>
      </c>
      <c r="AD245" s="2">
        <f t="shared" si="270"/>
        <v>0</v>
      </c>
      <c r="AE245" s="2">
        <f t="shared" si="233"/>
        <v>0</v>
      </c>
      <c r="AF245" s="2">
        <f t="shared" si="234"/>
        <v>0</v>
      </c>
      <c r="AG245" s="2">
        <f t="shared" si="250"/>
        <v>0</v>
      </c>
      <c r="AH245" s="2">
        <f t="shared" si="235"/>
        <v>0</v>
      </c>
      <c r="AI245" s="2">
        <f t="shared" si="236"/>
        <v>0</v>
      </c>
      <c r="AJ245" s="2">
        <f t="shared" si="251"/>
        <v>0</v>
      </c>
      <c r="AK245" s="2">
        <v>7.93</v>
      </c>
      <c r="AL245" s="110">
        <f>'1.Лок.смета.и.Акт'!F427</f>
        <v>7.93</v>
      </c>
      <c r="AM245" s="2">
        <v>0</v>
      </c>
      <c r="AN245" s="2">
        <v>0</v>
      </c>
      <c r="AO245" s="2">
        <v>0</v>
      </c>
      <c r="AP245" s="2">
        <v>0</v>
      </c>
      <c r="AQ245" s="2">
        <v>0</v>
      </c>
      <c r="AR245" s="2">
        <v>0</v>
      </c>
      <c r="AS245" s="2">
        <v>0</v>
      </c>
      <c r="AT245" s="2">
        <v>0</v>
      </c>
      <c r="AU245" s="2">
        <v>0</v>
      </c>
      <c r="AV245" s="2">
        <v>1</v>
      </c>
      <c r="AW245" s="2">
        <v>1</v>
      </c>
      <c r="AX245" s="2"/>
      <c r="AY245" s="2"/>
      <c r="AZ245" s="2">
        <v>1</v>
      </c>
      <c r="BA245" s="2">
        <v>1</v>
      </c>
      <c r="BB245" s="2">
        <v>1</v>
      </c>
      <c r="BC245" s="2">
        <v>1</v>
      </c>
      <c r="BD245" s="2" t="s">
        <v>6</v>
      </c>
      <c r="BE245" s="2" t="s">
        <v>6</v>
      </c>
      <c r="BF245" s="2" t="s">
        <v>6</v>
      </c>
      <c r="BG245" s="2" t="s">
        <v>6</v>
      </c>
      <c r="BH245" s="2">
        <v>3</v>
      </c>
      <c r="BI245" s="2">
        <v>2</v>
      </c>
      <c r="BJ245" s="2" t="s">
        <v>324</v>
      </c>
      <c r="BK245" s="2"/>
      <c r="BL245" s="2"/>
      <c r="BM245" s="2">
        <v>500002</v>
      </c>
      <c r="BN245" s="2">
        <v>0</v>
      </c>
      <c r="BO245" s="2" t="s">
        <v>6</v>
      </c>
      <c r="BP245" s="2">
        <v>0</v>
      </c>
      <c r="BQ245" s="2">
        <v>21</v>
      </c>
      <c r="BR245" s="2">
        <v>0</v>
      </c>
      <c r="BS245" s="2">
        <v>1</v>
      </c>
      <c r="BT245" s="2">
        <v>1</v>
      </c>
      <c r="BU245" s="2">
        <v>1</v>
      </c>
      <c r="BV245" s="2">
        <v>1</v>
      </c>
      <c r="BW245" s="2">
        <v>1</v>
      </c>
      <c r="BX245" s="2">
        <v>1</v>
      </c>
      <c r="BY245" s="2" t="s">
        <v>6</v>
      </c>
      <c r="BZ245" s="2">
        <v>0</v>
      </c>
      <c r="CA245" s="2">
        <v>0</v>
      </c>
      <c r="CB245" s="2" t="s">
        <v>6</v>
      </c>
      <c r="CC245" s="2"/>
      <c r="CD245" s="2"/>
      <c r="CE245" s="2">
        <v>0</v>
      </c>
      <c r="CF245" s="2">
        <v>0</v>
      </c>
      <c r="CG245" s="2">
        <v>0</v>
      </c>
      <c r="CH245" s="2"/>
      <c r="CI245" s="2"/>
      <c r="CJ245" s="2"/>
      <c r="CK245" s="2"/>
      <c r="CL245" s="2"/>
      <c r="CM245" s="2">
        <v>0</v>
      </c>
      <c r="CN245" s="2" t="s">
        <v>6</v>
      </c>
      <c r="CO245" s="2">
        <v>0</v>
      </c>
      <c r="CP245" s="2">
        <f t="shared" si="252"/>
        <v>143</v>
      </c>
      <c r="CQ245" s="2">
        <f t="shared" si="253"/>
        <v>7.93</v>
      </c>
      <c r="CR245" s="2">
        <f t="shared" si="254"/>
        <v>0</v>
      </c>
      <c r="CS245" s="2">
        <f t="shared" si="255"/>
        <v>0</v>
      </c>
      <c r="CT245" s="2">
        <f t="shared" si="256"/>
        <v>0</v>
      </c>
      <c r="CU245" s="2">
        <f t="shared" si="257"/>
        <v>0</v>
      </c>
      <c r="CV245" s="2">
        <f t="shared" si="258"/>
        <v>0</v>
      </c>
      <c r="CW245" s="2">
        <f t="shared" si="259"/>
        <v>0</v>
      </c>
      <c r="CX245" s="2">
        <f t="shared" si="260"/>
        <v>0</v>
      </c>
      <c r="CY245" s="2">
        <f>(((S245+(R245*IF(0,0,1)))*AT245)/100)</f>
        <v>0</v>
      </c>
      <c r="CZ245" s="2">
        <f>(((S245+(R245*IF(0,0,1)))*AU245)/100)</f>
        <v>0</v>
      </c>
      <c r="DA245" s="2"/>
      <c r="DB245" s="2"/>
      <c r="DC245" s="2" t="s">
        <v>6</v>
      </c>
      <c r="DD245" s="2" t="s">
        <v>6</v>
      </c>
      <c r="DE245" s="2" t="s">
        <v>6</v>
      </c>
      <c r="DF245" s="2" t="s">
        <v>6</v>
      </c>
      <c r="DG245" s="2" t="s">
        <v>6</v>
      </c>
      <c r="DH245" s="2" t="s">
        <v>6</v>
      </c>
      <c r="DI245" s="2" t="s">
        <v>6</v>
      </c>
      <c r="DJ245" s="2" t="s">
        <v>6</v>
      </c>
      <c r="DK245" s="2" t="s">
        <v>6</v>
      </c>
      <c r="DL245" s="2" t="s">
        <v>6</v>
      </c>
      <c r="DM245" s="2" t="s">
        <v>6</v>
      </c>
      <c r="DN245" s="2">
        <v>0</v>
      </c>
      <c r="DO245" s="2">
        <v>0</v>
      </c>
      <c r="DP245" s="2">
        <v>1</v>
      </c>
      <c r="DQ245" s="2">
        <v>1</v>
      </c>
      <c r="DR245" s="2"/>
      <c r="DS245" s="2"/>
      <c r="DT245" s="2"/>
      <c r="DU245" s="2">
        <v>1010</v>
      </c>
      <c r="DV245" s="2" t="s">
        <v>323</v>
      </c>
      <c r="DW245" s="2" t="s">
        <v>325</v>
      </c>
      <c r="DX245" s="2">
        <v>1</v>
      </c>
      <c r="DY245" s="2"/>
      <c r="DZ245" s="2" t="s">
        <v>6</v>
      </c>
      <c r="EA245" s="2" t="s">
        <v>6</v>
      </c>
      <c r="EB245" s="2" t="s">
        <v>6</v>
      </c>
      <c r="EC245" s="2" t="s">
        <v>6</v>
      </c>
      <c r="ED245" s="2"/>
      <c r="EE245" s="2">
        <v>54938782</v>
      </c>
      <c r="EF245" s="2">
        <v>21</v>
      </c>
      <c r="EG245" s="2" t="s">
        <v>96</v>
      </c>
      <c r="EH245" s="2">
        <v>0</v>
      </c>
      <c r="EI245" s="2" t="s">
        <v>6</v>
      </c>
      <c r="EJ245" s="2">
        <v>2</v>
      </c>
      <c r="EK245" s="2">
        <v>500002</v>
      </c>
      <c r="EL245" s="2" t="s">
        <v>97</v>
      </c>
      <c r="EM245" s="2" t="s">
        <v>98</v>
      </c>
      <c r="EN245" s="2"/>
      <c r="EO245" s="2" t="s">
        <v>6</v>
      </c>
      <c r="EP245" s="2"/>
      <c r="EQ245" s="2">
        <v>0</v>
      </c>
      <c r="ER245" s="2">
        <v>7.93</v>
      </c>
      <c r="ES245" s="110">
        <f>'1.Лок.смета.и.Акт'!F427</f>
        <v>7.93</v>
      </c>
      <c r="ET245" s="2">
        <v>0</v>
      </c>
      <c r="EU245" s="2">
        <v>0</v>
      </c>
      <c r="EV245" s="2">
        <v>0</v>
      </c>
      <c r="EW245" s="2">
        <v>0</v>
      </c>
      <c r="EX245" s="2">
        <v>0</v>
      </c>
      <c r="EY245" s="2"/>
      <c r="EZ245" s="2"/>
      <c r="FA245" s="2"/>
      <c r="FB245" s="2"/>
      <c r="FC245" s="2"/>
      <c r="FD245" s="2"/>
      <c r="FE245" s="2"/>
      <c r="FF245" s="2"/>
      <c r="FG245" s="2"/>
      <c r="FH245" s="2"/>
      <c r="FI245" s="2"/>
      <c r="FJ245" s="2"/>
      <c r="FK245" s="2"/>
      <c r="FL245" s="2"/>
      <c r="FM245" s="2"/>
      <c r="FN245" s="2"/>
      <c r="FO245" s="2"/>
      <c r="FP245" s="2"/>
      <c r="FQ245" s="2">
        <v>0</v>
      </c>
      <c r="FR245" s="2">
        <f t="shared" si="261"/>
        <v>0</v>
      </c>
      <c r="FS245" s="2">
        <v>0</v>
      </c>
      <c r="FT245" s="2"/>
      <c r="FU245" s="2"/>
      <c r="FV245" s="2"/>
      <c r="FW245" s="2"/>
      <c r="FX245" s="2">
        <v>0</v>
      </c>
      <c r="FY245" s="2">
        <v>0</v>
      </c>
      <c r="FZ245" s="2"/>
      <c r="GA245" s="2" t="s">
        <v>6</v>
      </c>
      <c r="GB245" s="2"/>
      <c r="GC245" s="2"/>
      <c r="GD245" s="2">
        <v>1</v>
      </c>
      <c r="GE245" s="2"/>
      <c r="GF245" s="2">
        <v>-2127956255</v>
      </c>
      <c r="GG245" s="2">
        <v>2</v>
      </c>
      <c r="GH245" s="2">
        <v>1</v>
      </c>
      <c r="GI245" s="2">
        <v>-2</v>
      </c>
      <c r="GJ245" s="2">
        <v>0</v>
      </c>
      <c r="GK245" s="2">
        <v>0</v>
      </c>
      <c r="GL245" s="2">
        <f t="shared" si="262"/>
        <v>0</v>
      </c>
      <c r="GM245" s="2">
        <f t="shared" si="263"/>
        <v>143</v>
      </c>
      <c r="GN245" s="2">
        <f t="shared" si="264"/>
        <v>0</v>
      </c>
      <c r="GO245" s="2">
        <f t="shared" si="265"/>
        <v>143</v>
      </c>
      <c r="GP245" s="2">
        <f t="shared" si="266"/>
        <v>0</v>
      </c>
      <c r="GQ245" s="2"/>
      <c r="GR245" s="2">
        <v>0</v>
      </c>
      <c r="GS245" s="2">
        <v>3</v>
      </c>
      <c r="GT245" s="2">
        <v>0</v>
      </c>
      <c r="GU245" s="2" t="s">
        <v>6</v>
      </c>
      <c r="GV245" s="2">
        <f t="shared" si="267"/>
        <v>0</v>
      </c>
      <c r="GW245" s="2">
        <v>1</v>
      </c>
      <c r="GX245" s="2">
        <f t="shared" si="268"/>
        <v>0</v>
      </c>
      <c r="GY245" s="2"/>
      <c r="GZ245" s="2"/>
      <c r="HA245" s="2">
        <v>0</v>
      </c>
      <c r="HB245" s="2">
        <v>0</v>
      </c>
      <c r="HC245" s="2">
        <f t="shared" si="269"/>
        <v>0</v>
      </c>
      <c r="HD245" s="2"/>
      <c r="HE245" s="2" t="s">
        <v>6</v>
      </c>
      <c r="HF245" s="2" t="s">
        <v>6</v>
      </c>
      <c r="HG245" s="2"/>
      <c r="HH245" s="2"/>
      <c r="HI245" s="2"/>
      <c r="HJ245" s="2"/>
      <c r="HK245" s="2"/>
      <c r="HL245" s="2"/>
      <c r="HM245" s="2" t="s">
        <v>6</v>
      </c>
      <c r="HN245" s="2" t="s">
        <v>6</v>
      </c>
      <c r="HO245" s="2" t="s">
        <v>6</v>
      </c>
      <c r="HP245" s="2" t="s">
        <v>6</v>
      </c>
      <c r="HQ245" s="2" t="s">
        <v>6</v>
      </c>
      <c r="HR245" s="2"/>
      <c r="HS245" s="2"/>
      <c r="HT245" s="2"/>
      <c r="HU245" s="2"/>
      <c r="HV245" s="2"/>
      <c r="HW245" s="2"/>
      <c r="HX245" s="2"/>
      <c r="HY245" s="2"/>
      <c r="HZ245" s="2"/>
      <c r="IA245" s="2"/>
      <c r="IB245" s="2"/>
      <c r="IC245" s="2"/>
      <c r="ID245" s="2"/>
      <c r="IE245" s="2"/>
      <c r="IF245" s="2">
        <v>-1</v>
      </c>
      <c r="IG245" s="2"/>
      <c r="IH245" s="2"/>
      <c r="II245" s="2"/>
      <c r="IJ245" s="2"/>
      <c r="IK245" s="2">
        <v>0</v>
      </c>
      <c r="IL245" s="2"/>
      <c r="IM245" s="2"/>
      <c r="IN245" s="2"/>
      <c r="IO245" s="2"/>
      <c r="IP245" s="2"/>
      <c r="IQ245" s="2"/>
      <c r="IR245" s="2"/>
      <c r="IS245" s="2"/>
      <c r="IT245" s="2"/>
      <c r="IU245" s="2"/>
    </row>
    <row r="246" spans="1:255" x14ac:dyDescent="0.2">
      <c r="A246">
        <v>18</v>
      </c>
      <c r="B246">
        <v>1</v>
      </c>
      <c r="C246">
        <v>302</v>
      </c>
      <c r="E246" t="s">
        <v>347</v>
      </c>
      <c r="F246" t="e">
        <f>'2.Лок.смета.и.Акт'!#REF!</f>
        <v>#REF!</v>
      </c>
      <c r="G246" t="s">
        <v>328</v>
      </c>
      <c r="H246" t="s">
        <v>323</v>
      </c>
      <c r="I246">
        <f>I240*J246</f>
        <v>18</v>
      </c>
      <c r="J246">
        <v>94.73684210526315</v>
      </c>
      <c r="K246">
        <v>94.736841999999996</v>
      </c>
      <c r="O246">
        <f t="shared" si="237"/>
        <v>578</v>
      </c>
      <c r="P246">
        <f t="shared" si="238"/>
        <v>578</v>
      </c>
      <c r="Q246">
        <f t="shared" si="239"/>
        <v>0</v>
      </c>
      <c r="R246">
        <f t="shared" si="240"/>
        <v>0</v>
      </c>
      <c r="S246">
        <f t="shared" si="241"/>
        <v>0</v>
      </c>
      <c r="T246">
        <f t="shared" si="242"/>
        <v>0</v>
      </c>
      <c r="U246">
        <f t="shared" si="243"/>
        <v>0</v>
      </c>
      <c r="V246">
        <f t="shared" si="244"/>
        <v>0</v>
      </c>
      <c r="W246">
        <f t="shared" si="245"/>
        <v>0</v>
      </c>
      <c r="X246">
        <f t="shared" si="246"/>
        <v>0</v>
      </c>
      <c r="Y246">
        <f t="shared" si="247"/>
        <v>0</v>
      </c>
      <c r="AA246">
        <v>86326988</v>
      </c>
      <c r="AB246">
        <f t="shared" si="248"/>
        <v>4.25</v>
      </c>
      <c r="AC246">
        <f t="shared" si="272"/>
        <v>4.25</v>
      </c>
      <c r="AD246">
        <f t="shared" si="270"/>
        <v>0</v>
      </c>
      <c r="AE246">
        <f t="shared" si="233"/>
        <v>0</v>
      </c>
      <c r="AF246">
        <f t="shared" si="234"/>
        <v>0</v>
      </c>
      <c r="AG246">
        <f t="shared" si="250"/>
        <v>0</v>
      </c>
      <c r="AH246">
        <f t="shared" si="235"/>
        <v>0</v>
      </c>
      <c r="AI246">
        <f t="shared" si="236"/>
        <v>0</v>
      </c>
      <c r="AJ246">
        <f t="shared" si="251"/>
        <v>0</v>
      </c>
      <c r="AK246">
        <v>4.25</v>
      </c>
      <c r="AL246">
        <v>4.25</v>
      </c>
      <c r="AM246">
        <v>0</v>
      </c>
      <c r="AN246">
        <v>0</v>
      </c>
      <c r="AO246">
        <v>0</v>
      </c>
      <c r="AP246">
        <v>0</v>
      </c>
      <c r="AQ246">
        <v>0</v>
      </c>
      <c r="AR246">
        <v>0</v>
      </c>
      <c r="AS246">
        <v>0</v>
      </c>
      <c r="AT246">
        <v>0</v>
      </c>
      <c r="AU246">
        <v>0</v>
      </c>
      <c r="AV246">
        <v>1</v>
      </c>
      <c r="AW246">
        <v>1</v>
      </c>
      <c r="AZ246">
        <v>1</v>
      </c>
      <c r="BA246">
        <v>1</v>
      </c>
      <c r="BB246">
        <v>1</v>
      </c>
      <c r="BC246">
        <v>7.56</v>
      </c>
      <c r="BD246" t="s">
        <v>6</v>
      </c>
      <c r="BE246" t="s">
        <v>6</v>
      </c>
      <c r="BF246" t="s">
        <v>6</v>
      </c>
      <c r="BG246" t="s">
        <v>6</v>
      </c>
      <c r="BH246">
        <v>3</v>
      </c>
      <c r="BI246">
        <v>2</v>
      </c>
      <c r="BJ246" t="s">
        <v>324</v>
      </c>
      <c r="BM246">
        <v>500002</v>
      </c>
      <c r="BN246">
        <v>0</v>
      </c>
      <c r="BO246" t="s">
        <v>6</v>
      </c>
      <c r="BP246">
        <v>0</v>
      </c>
      <c r="BQ246">
        <v>21</v>
      </c>
      <c r="BR246">
        <v>0</v>
      </c>
      <c r="BS246">
        <v>1</v>
      </c>
      <c r="BT246">
        <v>1</v>
      </c>
      <c r="BU246">
        <v>1</v>
      </c>
      <c r="BV246">
        <v>1</v>
      </c>
      <c r="BW246">
        <v>1</v>
      </c>
      <c r="BX246">
        <v>1</v>
      </c>
      <c r="BY246" t="s">
        <v>6</v>
      </c>
      <c r="BZ246">
        <v>0</v>
      </c>
      <c r="CA246">
        <v>0</v>
      </c>
      <c r="CB246" t="s">
        <v>6</v>
      </c>
      <c r="CE246">
        <v>0</v>
      </c>
      <c r="CF246">
        <v>0</v>
      </c>
      <c r="CG246">
        <v>0</v>
      </c>
      <c r="CM246">
        <v>0</v>
      </c>
      <c r="CN246" t="s">
        <v>6</v>
      </c>
      <c r="CO246">
        <v>0</v>
      </c>
      <c r="CP246">
        <f t="shared" si="252"/>
        <v>578</v>
      </c>
      <c r="CQ246">
        <f t="shared" si="253"/>
        <v>32.129999999999995</v>
      </c>
      <c r="CR246">
        <f t="shared" si="254"/>
        <v>0</v>
      </c>
      <c r="CS246">
        <f t="shared" si="255"/>
        <v>0</v>
      </c>
      <c r="CT246">
        <f t="shared" si="256"/>
        <v>0</v>
      </c>
      <c r="CU246">
        <f t="shared" si="257"/>
        <v>0</v>
      </c>
      <c r="CV246">
        <f t="shared" si="258"/>
        <v>0</v>
      </c>
      <c r="CW246">
        <f t="shared" si="259"/>
        <v>0</v>
      </c>
      <c r="CX246">
        <f t="shared" si="260"/>
        <v>0</v>
      </c>
      <c r="CY246">
        <f>(S246+R246)*(BZ246/100)</f>
        <v>0</v>
      </c>
      <c r="CZ246">
        <f>(S246+R246)*(CA246/100)</f>
        <v>0</v>
      </c>
      <c r="DC246" t="s">
        <v>6</v>
      </c>
      <c r="DD246" t="s">
        <v>6</v>
      </c>
      <c r="DE246" t="s">
        <v>6</v>
      </c>
      <c r="DF246" t="s">
        <v>6</v>
      </c>
      <c r="DG246" t="s">
        <v>6</v>
      </c>
      <c r="DH246" t="s">
        <v>6</v>
      </c>
      <c r="DI246" t="s">
        <v>6</v>
      </c>
      <c r="DJ246" t="s">
        <v>6</v>
      </c>
      <c r="DK246" t="s">
        <v>6</v>
      </c>
      <c r="DL246" t="s">
        <v>6</v>
      </c>
      <c r="DM246" t="s">
        <v>6</v>
      </c>
      <c r="DN246">
        <v>0</v>
      </c>
      <c r="DO246">
        <v>0</v>
      </c>
      <c r="DP246">
        <v>1</v>
      </c>
      <c r="DQ246">
        <v>1</v>
      </c>
      <c r="DU246">
        <v>1010</v>
      </c>
      <c r="DV246" t="s">
        <v>323</v>
      </c>
      <c r="DW246" t="e">
        <f>'2.Лок.смета.и.Акт'!#REF!</f>
        <v>#REF!</v>
      </c>
      <c r="DX246">
        <v>1</v>
      </c>
      <c r="DZ246" t="s">
        <v>6</v>
      </c>
      <c r="EA246" t="s">
        <v>6</v>
      </c>
      <c r="EB246" t="s">
        <v>6</v>
      </c>
      <c r="EC246" t="s">
        <v>6</v>
      </c>
      <c r="EE246">
        <v>54938782</v>
      </c>
      <c r="EF246">
        <v>21</v>
      </c>
      <c r="EG246" t="s">
        <v>96</v>
      </c>
      <c r="EH246">
        <v>0</v>
      </c>
      <c r="EI246" t="s">
        <v>6</v>
      </c>
      <c r="EJ246">
        <v>2</v>
      </c>
      <c r="EK246">
        <v>500002</v>
      </c>
      <c r="EL246" t="s">
        <v>97</v>
      </c>
      <c r="EM246" t="s">
        <v>98</v>
      </c>
      <c r="EO246" t="s">
        <v>6</v>
      </c>
      <c r="EQ246">
        <v>0</v>
      </c>
      <c r="ER246">
        <v>30.28</v>
      </c>
      <c r="ES246">
        <v>4.25</v>
      </c>
      <c r="ET246">
        <v>0</v>
      </c>
      <c r="EU246">
        <v>0</v>
      </c>
      <c r="EV246">
        <v>0</v>
      </c>
      <c r="EW246">
        <v>0</v>
      </c>
      <c r="EX246">
        <v>0</v>
      </c>
      <c r="EZ246">
        <v>5</v>
      </c>
      <c r="FC246">
        <v>0</v>
      </c>
      <c r="FD246">
        <v>18</v>
      </c>
      <c r="FF246">
        <v>30.28</v>
      </c>
      <c r="FQ246">
        <v>0</v>
      </c>
      <c r="FR246">
        <f t="shared" si="261"/>
        <v>0</v>
      </c>
      <c r="FS246">
        <v>0</v>
      </c>
      <c r="FX246">
        <v>0</v>
      </c>
      <c r="FY246">
        <v>0</v>
      </c>
      <c r="GA246" t="s">
        <v>329</v>
      </c>
      <c r="GD246">
        <v>1</v>
      </c>
      <c r="GF246">
        <v>-2127956255</v>
      </c>
      <c r="GG246">
        <v>2</v>
      </c>
      <c r="GH246">
        <v>3</v>
      </c>
      <c r="GI246">
        <v>5</v>
      </c>
      <c r="GJ246">
        <v>0</v>
      </c>
      <c r="GK246">
        <v>0</v>
      </c>
      <c r="GL246">
        <f t="shared" si="262"/>
        <v>0</v>
      </c>
      <c r="GM246">
        <f t="shared" si="263"/>
        <v>578</v>
      </c>
      <c r="GN246">
        <f t="shared" si="264"/>
        <v>0</v>
      </c>
      <c r="GO246">
        <f t="shared" si="265"/>
        <v>578</v>
      </c>
      <c r="GP246">
        <f t="shared" si="266"/>
        <v>0</v>
      </c>
      <c r="GR246">
        <v>1</v>
      </c>
      <c r="GS246">
        <v>1</v>
      </c>
      <c r="GT246">
        <v>0</v>
      </c>
      <c r="GU246" t="s">
        <v>6</v>
      </c>
      <c r="GV246">
        <f t="shared" si="267"/>
        <v>0</v>
      </c>
      <c r="GW246">
        <v>1</v>
      </c>
      <c r="GX246">
        <f t="shared" si="268"/>
        <v>0</v>
      </c>
      <c r="HA246">
        <v>0</v>
      </c>
      <c r="HB246">
        <v>0</v>
      </c>
      <c r="HC246">
        <f t="shared" si="269"/>
        <v>0</v>
      </c>
      <c r="HE246" t="s">
        <v>39</v>
      </c>
      <c r="HF246" t="s">
        <v>40</v>
      </c>
      <c r="HM246" t="s">
        <v>6</v>
      </c>
      <c r="HN246" t="s">
        <v>6</v>
      </c>
      <c r="HO246" t="s">
        <v>6</v>
      </c>
      <c r="HP246" t="s">
        <v>6</v>
      </c>
      <c r="HQ246" t="s">
        <v>6</v>
      </c>
      <c r="IF246">
        <v>-1</v>
      </c>
      <c r="IK246">
        <v>0</v>
      </c>
    </row>
    <row r="247" spans="1:255" x14ac:dyDescent="0.2">
      <c r="A247" s="2">
        <v>18</v>
      </c>
      <c r="B247" s="2">
        <v>1</v>
      </c>
      <c r="C247" s="2">
        <v>293</v>
      </c>
      <c r="D247" s="2"/>
      <c r="E247" s="2" t="s">
        <v>348</v>
      </c>
      <c r="F247" s="2" t="s">
        <v>349</v>
      </c>
      <c r="G247" s="2" t="s">
        <v>350</v>
      </c>
      <c r="H247" s="2" t="s">
        <v>333</v>
      </c>
      <c r="I247" s="2">
        <f>I239*J247</f>
        <v>1.9</v>
      </c>
      <c r="J247" s="226">
        <f>'5.Ведомость_списания'!F118</f>
        <v>10</v>
      </c>
      <c r="K247" s="2">
        <v>10</v>
      </c>
      <c r="L247" s="2"/>
      <c r="M247" s="2"/>
      <c r="N247" s="2"/>
      <c r="O247" s="2">
        <f t="shared" ref="O247:O280" si="273">ROUND(CP247,0)</f>
        <v>171</v>
      </c>
      <c r="P247" s="2">
        <f t="shared" ref="P247:P280" si="274">ROUND(CQ247*I247,0)</f>
        <v>171</v>
      </c>
      <c r="Q247" s="2">
        <f t="shared" ref="Q247:Q280" si="275">ROUND(CR247*I247,0)</f>
        <v>0</v>
      </c>
      <c r="R247" s="2">
        <f t="shared" ref="R247:R280" si="276">ROUND(CS247*I247,0)</f>
        <v>0</v>
      </c>
      <c r="S247" s="2">
        <f t="shared" ref="S247:S280" si="277">ROUND(CT247*I247,0)</f>
        <v>0</v>
      </c>
      <c r="T247" s="2">
        <f t="shared" ref="T247:T280" si="278">ROUND(CU247*I247,0)</f>
        <v>0</v>
      </c>
      <c r="U247" s="2">
        <f t="shared" ref="U247:U280" si="279">CV247*I247</f>
        <v>0</v>
      </c>
      <c r="V247" s="2">
        <f t="shared" ref="V247:V280" si="280">CW247*I247</f>
        <v>0</v>
      </c>
      <c r="W247" s="2">
        <f t="shared" ref="W247:W280" si="281">ROUND(CX247*I247,0)</f>
        <v>0</v>
      </c>
      <c r="X247" s="2">
        <f t="shared" ref="X247:X280" si="282">ROUND(CY247,0)</f>
        <v>0</v>
      </c>
      <c r="Y247" s="2">
        <f t="shared" ref="Y247:Y280" si="283">ROUND(CZ247,0)</f>
        <v>0</v>
      </c>
      <c r="Z247" s="2"/>
      <c r="AA247" s="2">
        <v>86326987</v>
      </c>
      <c r="AB247" s="2">
        <f t="shared" ref="AB247:AB278" si="284">ROUND((AC247+AD247+AF247),2)</f>
        <v>90</v>
      </c>
      <c r="AC247" s="2">
        <f t="shared" si="272"/>
        <v>90</v>
      </c>
      <c r="AD247" s="2">
        <f t="shared" si="270"/>
        <v>0</v>
      </c>
      <c r="AE247" s="2">
        <f t="shared" si="233"/>
        <v>0</v>
      </c>
      <c r="AF247" s="2">
        <f t="shared" si="234"/>
        <v>0</v>
      </c>
      <c r="AG247" s="2">
        <f t="shared" ref="AG247:AG280" si="285">ROUND((AP247),2)</f>
        <v>0</v>
      </c>
      <c r="AH247" s="2">
        <f t="shared" si="235"/>
        <v>0</v>
      </c>
      <c r="AI247" s="2">
        <f t="shared" si="236"/>
        <v>0</v>
      </c>
      <c r="AJ247" s="2">
        <f t="shared" ref="AJ247:AJ280" si="286">(AS247)</f>
        <v>0.1</v>
      </c>
      <c r="AK247" s="2">
        <v>90</v>
      </c>
      <c r="AL247" s="110">
        <f>'1.Лок.смета.и.Акт'!F429</f>
        <v>90</v>
      </c>
      <c r="AM247" s="2">
        <v>0</v>
      </c>
      <c r="AN247" s="2">
        <v>0</v>
      </c>
      <c r="AO247" s="2">
        <v>0</v>
      </c>
      <c r="AP247" s="2">
        <v>0</v>
      </c>
      <c r="AQ247" s="2">
        <v>0</v>
      </c>
      <c r="AR247" s="2">
        <v>0</v>
      </c>
      <c r="AS247" s="2">
        <v>0.1</v>
      </c>
      <c r="AT247" s="2">
        <v>0</v>
      </c>
      <c r="AU247" s="2">
        <v>0</v>
      </c>
      <c r="AV247" s="2">
        <v>1</v>
      </c>
      <c r="AW247" s="2">
        <v>1</v>
      </c>
      <c r="AX247" s="2"/>
      <c r="AY247" s="2"/>
      <c r="AZ247" s="2">
        <v>1</v>
      </c>
      <c r="BA247" s="2">
        <v>1</v>
      </c>
      <c r="BB247" s="2">
        <v>1</v>
      </c>
      <c r="BC247" s="2">
        <v>1</v>
      </c>
      <c r="BD247" s="2" t="s">
        <v>6</v>
      </c>
      <c r="BE247" s="2" t="s">
        <v>6</v>
      </c>
      <c r="BF247" s="2" t="s">
        <v>6</v>
      </c>
      <c r="BG247" s="2" t="s">
        <v>6</v>
      </c>
      <c r="BH247" s="2">
        <v>3</v>
      </c>
      <c r="BI247" s="2">
        <v>2</v>
      </c>
      <c r="BJ247" s="2" t="s">
        <v>351</v>
      </c>
      <c r="BK247" s="2"/>
      <c r="BL247" s="2"/>
      <c r="BM247" s="2">
        <v>500002</v>
      </c>
      <c r="BN247" s="2">
        <v>0</v>
      </c>
      <c r="BO247" s="2" t="s">
        <v>6</v>
      </c>
      <c r="BP247" s="2">
        <v>0</v>
      </c>
      <c r="BQ247" s="2">
        <v>21</v>
      </c>
      <c r="BR247" s="2">
        <v>0</v>
      </c>
      <c r="BS247" s="2">
        <v>1</v>
      </c>
      <c r="BT247" s="2">
        <v>1</v>
      </c>
      <c r="BU247" s="2">
        <v>1</v>
      </c>
      <c r="BV247" s="2">
        <v>1</v>
      </c>
      <c r="BW247" s="2">
        <v>1</v>
      </c>
      <c r="BX247" s="2">
        <v>1</v>
      </c>
      <c r="BY247" s="2" t="s">
        <v>6</v>
      </c>
      <c r="BZ247" s="2">
        <v>0</v>
      </c>
      <c r="CA247" s="2">
        <v>0</v>
      </c>
      <c r="CB247" s="2" t="s">
        <v>6</v>
      </c>
      <c r="CC247" s="2"/>
      <c r="CD247" s="2"/>
      <c r="CE247" s="2">
        <v>0</v>
      </c>
      <c r="CF247" s="2">
        <v>0</v>
      </c>
      <c r="CG247" s="2">
        <v>0</v>
      </c>
      <c r="CH247" s="2"/>
      <c r="CI247" s="2"/>
      <c r="CJ247" s="2"/>
      <c r="CK247" s="2"/>
      <c r="CL247" s="2"/>
      <c r="CM247" s="2">
        <v>0</v>
      </c>
      <c r="CN247" s="2" t="s">
        <v>6</v>
      </c>
      <c r="CO247" s="2">
        <v>0</v>
      </c>
      <c r="CP247" s="2">
        <f t="shared" ref="CP247:CP280" si="287">(P247+Q247+S247)</f>
        <v>171</v>
      </c>
      <c r="CQ247" s="2">
        <f t="shared" ref="CQ247:CQ280" si="288">AC247*BC247</f>
        <v>90</v>
      </c>
      <c r="CR247" s="2">
        <f t="shared" ref="CR247:CR280" si="289">AD247*BB247</f>
        <v>0</v>
      </c>
      <c r="CS247" s="2">
        <f t="shared" ref="CS247:CS280" si="290">AE247*BS247</f>
        <v>0</v>
      </c>
      <c r="CT247" s="2">
        <f t="shared" ref="CT247:CT280" si="291">AF247*BA247</f>
        <v>0</v>
      </c>
      <c r="CU247" s="2">
        <f t="shared" ref="CU247:CU280" si="292">AG247</f>
        <v>0</v>
      </c>
      <c r="CV247" s="2">
        <f t="shared" ref="CV247:CV280" si="293">AH247</f>
        <v>0</v>
      </c>
      <c r="CW247" s="2">
        <f t="shared" ref="CW247:CW280" si="294">AI247</f>
        <v>0</v>
      </c>
      <c r="CX247" s="2">
        <f t="shared" ref="CX247:CX280" si="295">AJ247</f>
        <v>0.1</v>
      </c>
      <c r="CY247" s="2">
        <f>(((S247+(R247*IF(0,0,1)))*AT247)/100)</f>
        <v>0</v>
      </c>
      <c r="CZ247" s="2">
        <f>(((S247+(R247*IF(0,0,1)))*AU247)/100)</f>
        <v>0</v>
      </c>
      <c r="DA247" s="2"/>
      <c r="DB247" s="2"/>
      <c r="DC247" s="2" t="s">
        <v>6</v>
      </c>
      <c r="DD247" s="2" t="s">
        <v>6</v>
      </c>
      <c r="DE247" s="2" t="s">
        <v>6</v>
      </c>
      <c r="DF247" s="2" t="s">
        <v>6</v>
      </c>
      <c r="DG247" s="2" t="s">
        <v>6</v>
      </c>
      <c r="DH247" s="2" t="s">
        <v>6</v>
      </c>
      <c r="DI247" s="2" t="s">
        <v>6</v>
      </c>
      <c r="DJ247" s="2" t="s">
        <v>6</v>
      </c>
      <c r="DK247" s="2" t="s">
        <v>6</v>
      </c>
      <c r="DL247" s="2" t="s">
        <v>6</v>
      </c>
      <c r="DM247" s="2" t="s">
        <v>6</v>
      </c>
      <c r="DN247" s="2">
        <v>0</v>
      </c>
      <c r="DO247" s="2">
        <v>0</v>
      </c>
      <c r="DP247" s="2">
        <v>1</v>
      </c>
      <c r="DQ247" s="2">
        <v>1</v>
      </c>
      <c r="DR247" s="2"/>
      <c r="DS247" s="2"/>
      <c r="DT247" s="2"/>
      <c r="DU247" s="2">
        <v>1003</v>
      </c>
      <c r="DV247" s="2" t="s">
        <v>333</v>
      </c>
      <c r="DW247" s="2" t="s">
        <v>333</v>
      </c>
      <c r="DX247" s="2">
        <v>10</v>
      </c>
      <c r="DY247" s="2"/>
      <c r="DZ247" s="2" t="s">
        <v>6</v>
      </c>
      <c r="EA247" s="2" t="s">
        <v>6</v>
      </c>
      <c r="EB247" s="2" t="s">
        <v>6</v>
      </c>
      <c r="EC247" s="2" t="s">
        <v>6</v>
      </c>
      <c r="ED247" s="2"/>
      <c r="EE247" s="2">
        <v>54938782</v>
      </c>
      <c r="EF247" s="2">
        <v>21</v>
      </c>
      <c r="EG247" s="2" t="s">
        <v>96</v>
      </c>
      <c r="EH247" s="2">
        <v>0</v>
      </c>
      <c r="EI247" s="2" t="s">
        <v>6</v>
      </c>
      <c r="EJ247" s="2">
        <v>2</v>
      </c>
      <c r="EK247" s="2">
        <v>500002</v>
      </c>
      <c r="EL247" s="2" t="s">
        <v>97</v>
      </c>
      <c r="EM247" s="2" t="s">
        <v>98</v>
      </c>
      <c r="EN247" s="2"/>
      <c r="EO247" s="2" t="s">
        <v>6</v>
      </c>
      <c r="EP247" s="2"/>
      <c r="EQ247" s="2">
        <v>0</v>
      </c>
      <c r="ER247" s="2">
        <v>90</v>
      </c>
      <c r="ES247" s="110">
        <f>'1.Лок.смета.и.Акт'!F429</f>
        <v>90</v>
      </c>
      <c r="ET247" s="2">
        <v>0</v>
      </c>
      <c r="EU247" s="2">
        <v>0</v>
      </c>
      <c r="EV247" s="2">
        <v>0</v>
      </c>
      <c r="EW247" s="2">
        <v>0</v>
      </c>
      <c r="EX247" s="2">
        <v>0</v>
      </c>
      <c r="EY247" s="2"/>
      <c r="EZ247" s="2"/>
      <c r="FA247" s="2"/>
      <c r="FB247" s="2"/>
      <c r="FC247" s="2"/>
      <c r="FD247" s="2"/>
      <c r="FE247" s="2"/>
      <c r="FF247" s="2"/>
      <c r="FG247" s="2"/>
      <c r="FH247" s="2"/>
      <c r="FI247" s="2"/>
      <c r="FJ247" s="2"/>
      <c r="FK247" s="2"/>
      <c r="FL247" s="2"/>
      <c r="FM247" s="2"/>
      <c r="FN247" s="2"/>
      <c r="FO247" s="2"/>
      <c r="FP247" s="2"/>
      <c r="FQ247" s="2">
        <v>0</v>
      </c>
      <c r="FR247" s="2">
        <f t="shared" ref="FR247:FR280" si="296">ROUND(IF(BI247=3,GM247,0),0)</f>
        <v>0</v>
      </c>
      <c r="FS247" s="2">
        <v>0</v>
      </c>
      <c r="FT247" s="2"/>
      <c r="FU247" s="2"/>
      <c r="FV247" s="2"/>
      <c r="FW247" s="2"/>
      <c r="FX247" s="2">
        <v>0</v>
      </c>
      <c r="FY247" s="2">
        <v>0</v>
      </c>
      <c r="FZ247" s="2"/>
      <c r="GA247" s="2" t="s">
        <v>6</v>
      </c>
      <c r="GB247" s="2"/>
      <c r="GC247" s="2"/>
      <c r="GD247" s="2">
        <v>1</v>
      </c>
      <c r="GE247" s="2"/>
      <c r="GF247" s="2">
        <v>-2080007222</v>
      </c>
      <c r="GG247" s="2">
        <v>2</v>
      </c>
      <c r="GH247" s="2">
        <v>1</v>
      </c>
      <c r="GI247" s="2">
        <v>-2</v>
      </c>
      <c r="GJ247" s="2">
        <v>0</v>
      </c>
      <c r="GK247" s="2">
        <v>0</v>
      </c>
      <c r="GL247" s="2">
        <f t="shared" ref="GL247:GL280" si="297">ROUND(IF(AND(BH247=3,BI247=3,FS247&lt;&gt;0),P247,0),0)</f>
        <v>0</v>
      </c>
      <c r="GM247" s="2">
        <f t="shared" ref="GM247:GM280" si="298">ROUND(O247+X247+Y247,0)+GX247</f>
        <v>171</v>
      </c>
      <c r="GN247" s="2">
        <f t="shared" ref="GN247:GN278" si="299">IF(OR(BI247=0,BI247=1),GM247-GX247,0)</f>
        <v>0</v>
      </c>
      <c r="GO247" s="2">
        <f t="shared" ref="GO247:GO280" si="300">IF(BI247=2,GM247-GX247,0)</f>
        <v>171</v>
      </c>
      <c r="GP247" s="2">
        <f t="shared" ref="GP247:GP280" si="301">IF(BI247=4,GM247-GX247,0)</f>
        <v>0</v>
      </c>
      <c r="GQ247" s="2"/>
      <c r="GR247" s="2">
        <v>0</v>
      </c>
      <c r="GS247" s="2">
        <v>3</v>
      </c>
      <c r="GT247" s="2">
        <v>0</v>
      </c>
      <c r="GU247" s="2" t="s">
        <v>6</v>
      </c>
      <c r="GV247" s="2">
        <f t="shared" ref="GV247:GV264" si="302">ROUND((GT247),2)</f>
        <v>0</v>
      </c>
      <c r="GW247" s="2">
        <v>1</v>
      </c>
      <c r="GX247" s="2">
        <f t="shared" ref="GX247:GX280" si="303">ROUND(HC247*I247,0)</f>
        <v>0</v>
      </c>
      <c r="GY247" s="2"/>
      <c r="GZ247" s="2"/>
      <c r="HA247" s="2">
        <v>0</v>
      </c>
      <c r="HB247" s="2">
        <v>0</v>
      </c>
      <c r="HC247" s="2">
        <f t="shared" ref="HC247:HC280" si="304">GV247*GW247</f>
        <v>0</v>
      </c>
      <c r="HD247" s="2"/>
      <c r="HE247" s="2" t="s">
        <v>6</v>
      </c>
      <c r="HF247" s="2" t="s">
        <v>6</v>
      </c>
      <c r="HG247" s="2"/>
      <c r="HH247" s="2"/>
      <c r="HI247" s="2"/>
      <c r="HJ247" s="2"/>
      <c r="HK247" s="2"/>
      <c r="HL247" s="2"/>
      <c r="HM247" s="2" t="s">
        <v>6</v>
      </c>
      <c r="HN247" s="2" t="s">
        <v>6</v>
      </c>
      <c r="HO247" s="2" t="s">
        <v>6</v>
      </c>
      <c r="HP247" s="2" t="s">
        <v>6</v>
      </c>
      <c r="HQ247" s="2" t="s">
        <v>6</v>
      </c>
      <c r="HR247" s="2"/>
      <c r="HS247" s="2"/>
      <c r="HT247" s="2"/>
      <c r="HU247" s="2"/>
      <c r="HV247" s="2"/>
      <c r="HW247" s="2"/>
      <c r="HX247" s="2"/>
      <c r="HY247" s="2"/>
      <c r="HZ247" s="2"/>
      <c r="IA247" s="2"/>
      <c r="IB247" s="2"/>
      <c r="IC247" s="2"/>
      <c r="ID247" s="2"/>
      <c r="IE247" s="2"/>
      <c r="IF247" s="2">
        <v>-1</v>
      </c>
      <c r="IG247" s="2"/>
      <c r="IH247" s="2"/>
      <c r="II247" s="2"/>
      <c r="IJ247" s="2"/>
      <c r="IK247" s="2">
        <v>0</v>
      </c>
      <c r="IL247" s="2"/>
      <c r="IM247" s="2"/>
      <c r="IN247" s="2"/>
      <c r="IO247" s="2"/>
      <c r="IP247" s="2"/>
      <c r="IQ247" s="2"/>
      <c r="IR247" s="2"/>
      <c r="IS247" s="2"/>
      <c r="IT247" s="2"/>
      <c r="IU247" s="2"/>
    </row>
    <row r="248" spans="1:255" x14ac:dyDescent="0.2">
      <c r="A248">
        <v>18</v>
      </c>
      <c r="B248">
        <v>1</v>
      </c>
      <c r="C248">
        <v>303</v>
      </c>
      <c r="E248" t="s">
        <v>348</v>
      </c>
      <c r="F248" t="e">
        <f>'2.Лок.смета.и.Акт'!#REF!</f>
        <v>#REF!</v>
      </c>
      <c r="G248" t="s">
        <v>350</v>
      </c>
      <c r="H248" t="s">
        <v>333</v>
      </c>
      <c r="I248">
        <f>I240*J248</f>
        <v>1.9</v>
      </c>
      <c r="J248">
        <v>10</v>
      </c>
      <c r="K248">
        <v>10</v>
      </c>
      <c r="O248">
        <f t="shared" si="273"/>
        <v>705</v>
      </c>
      <c r="P248">
        <f t="shared" si="274"/>
        <v>705</v>
      </c>
      <c r="Q248">
        <f t="shared" si="275"/>
        <v>0</v>
      </c>
      <c r="R248">
        <f t="shared" si="276"/>
        <v>0</v>
      </c>
      <c r="S248">
        <f t="shared" si="277"/>
        <v>0</v>
      </c>
      <c r="T248">
        <f t="shared" si="278"/>
        <v>0</v>
      </c>
      <c r="U248">
        <f t="shared" si="279"/>
        <v>0</v>
      </c>
      <c r="V248">
        <f t="shared" si="280"/>
        <v>0</v>
      </c>
      <c r="W248">
        <f t="shared" si="281"/>
        <v>0</v>
      </c>
      <c r="X248">
        <f t="shared" si="282"/>
        <v>0</v>
      </c>
      <c r="Y248">
        <f t="shared" si="283"/>
        <v>0</v>
      </c>
      <c r="AA248">
        <v>86326988</v>
      </c>
      <c r="AB248">
        <f t="shared" si="284"/>
        <v>49.11</v>
      </c>
      <c r="AC248">
        <f t="shared" si="272"/>
        <v>49.11</v>
      </c>
      <c r="AD248">
        <f t="shared" si="270"/>
        <v>0</v>
      </c>
      <c r="AE248">
        <f t="shared" si="233"/>
        <v>0</v>
      </c>
      <c r="AF248">
        <f t="shared" si="234"/>
        <v>0</v>
      </c>
      <c r="AG248">
        <f t="shared" si="285"/>
        <v>0</v>
      </c>
      <c r="AH248">
        <f t="shared" si="235"/>
        <v>0</v>
      </c>
      <c r="AI248">
        <f t="shared" si="236"/>
        <v>0</v>
      </c>
      <c r="AJ248">
        <f t="shared" si="286"/>
        <v>0.1</v>
      </c>
      <c r="AK248">
        <v>49.11</v>
      </c>
      <c r="AL248">
        <v>49.11</v>
      </c>
      <c r="AM248">
        <v>0</v>
      </c>
      <c r="AN248">
        <v>0</v>
      </c>
      <c r="AO248">
        <v>0</v>
      </c>
      <c r="AP248">
        <v>0</v>
      </c>
      <c r="AQ248">
        <v>0</v>
      </c>
      <c r="AR248">
        <v>0</v>
      </c>
      <c r="AS248">
        <v>0.1</v>
      </c>
      <c r="AT248">
        <v>0</v>
      </c>
      <c r="AU248">
        <v>0</v>
      </c>
      <c r="AV248">
        <v>1</v>
      </c>
      <c r="AW248">
        <v>1</v>
      </c>
      <c r="AZ248">
        <v>1</v>
      </c>
      <c r="BA248">
        <v>1</v>
      </c>
      <c r="BB248">
        <v>1</v>
      </c>
      <c r="BC248">
        <v>7.56</v>
      </c>
      <c r="BD248" t="s">
        <v>6</v>
      </c>
      <c r="BE248" t="s">
        <v>6</v>
      </c>
      <c r="BF248" t="s">
        <v>6</v>
      </c>
      <c r="BG248" t="s">
        <v>6</v>
      </c>
      <c r="BH248">
        <v>3</v>
      </c>
      <c r="BI248">
        <v>2</v>
      </c>
      <c r="BJ248" t="s">
        <v>351</v>
      </c>
      <c r="BM248">
        <v>500002</v>
      </c>
      <c r="BN248">
        <v>0</v>
      </c>
      <c r="BO248" t="s">
        <v>6</v>
      </c>
      <c r="BP248">
        <v>0</v>
      </c>
      <c r="BQ248">
        <v>21</v>
      </c>
      <c r="BR248">
        <v>0</v>
      </c>
      <c r="BS248">
        <v>1</v>
      </c>
      <c r="BT248">
        <v>1</v>
      </c>
      <c r="BU248">
        <v>1</v>
      </c>
      <c r="BV248">
        <v>1</v>
      </c>
      <c r="BW248">
        <v>1</v>
      </c>
      <c r="BX248">
        <v>1</v>
      </c>
      <c r="BY248" t="s">
        <v>6</v>
      </c>
      <c r="BZ248">
        <v>0</v>
      </c>
      <c r="CA248">
        <v>0</v>
      </c>
      <c r="CB248" t="s">
        <v>6</v>
      </c>
      <c r="CE248">
        <v>0</v>
      </c>
      <c r="CF248">
        <v>0</v>
      </c>
      <c r="CG248">
        <v>0</v>
      </c>
      <c r="CM248">
        <v>0</v>
      </c>
      <c r="CN248" t="s">
        <v>6</v>
      </c>
      <c r="CO248">
        <v>0</v>
      </c>
      <c r="CP248">
        <f t="shared" si="287"/>
        <v>705</v>
      </c>
      <c r="CQ248">
        <f t="shared" si="288"/>
        <v>371.27159999999998</v>
      </c>
      <c r="CR248">
        <f t="shared" si="289"/>
        <v>0</v>
      </c>
      <c r="CS248">
        <f t="shared" si="290"/>
        <v>0</v>
      </c>
      <c r="CT248">
        <f t="shared" si="291"/>
        <v>0</v>
      </c>
      <c r="CU248">
        <f t="shared" si="292"/>
        <v>0</v>
      </c>
      <c r="CV248">
        <f t="shared" si="293"/>
        <v>0</v>
      </c>
      <c r="CW248">
        <f t="shared" si="294"/>
        <v>0</v>
      </c>
      <c r="CX248">
        <f t="shared" si="295"/>
        <v>0.1</v>
      </c>
      <c r="CY248">
        <f>(S248+R248)*(BZ248/100)</f>
        <v>0</v>
      </c>
      <c r="CZ248">
        <f>(S248+R248)*(CA248/100)</f>
        <v>0</v>
      </c>
      <c r="DC248" t="s">
        <v>6</v>
      </c>
      <c r="DD248" t="s">
        <v>6</v>
      </c>
      <c r="DE248" t="s">
        <v>6</v>
      </c>
      <c r="DF248" t="s">
        <v>6</v>
      </c>
      <c r="DG248" t="s">
        <v>6</v>
      </c>
      <c r="DH248" t="s">
        <v>6</v>
      </c>
      <c r="DI248" t="s">
        <v>6</v>
      </c>
      <c r="DJ248" t="s">
        <v>6</v>
      </c>
      <c r="DK248" t="s">
        <v>6</v>
      </c>
      <c r="DL248" t="s">
        <v>6</v>
      </c>
      <c r="DM248" t="s">
        <v>6</v>
      </c>
      <c r="DN248">
        <v>0</v>
      </c>
      <c r="DO248">
        <v>0</v>
      </c>
      <c r="DP248">
        <v>1</v>
      </c>
      <c r="DQ248">
        <v>1</v>
      </c>
      <c r="DU248">
        <v>1003</v>
      </c>
      <c r="DV248" t="s">
        <v>333</v>
      </c>
      <c r="DW248" t="e">
        <f>'2.Лок.смета.и.Акт'!#REF!</f>
        <v>#REF!</v>
      </c>
      <c r="DX248">
        <v>10</v>
      </c>
      <c r="DZ248" t="s">
        <v>6</v>
      </c>
      <c r="EA248" t="s">
        <v>6</v>
      </c>
      <c r="EB248" t="s">
        <v>6</v>
      </c>
      <c r="EC248" t="s">
        <v>6</v>
      </c>
      <c r="EE248">
        <v>54938782</v>
      </c>
      <c r="EF248">
        <v>21</v>
      </c>
      <c r="EG248" t="s">
        <v>96</v>
      </c>
      <c r="EH248">
        <v>0</v>
      </c>
      <c r="EI248" t="s">
        <v>6</v>
      </c>
      <c r="EJ248">
        <v>2</v>
      </c>
      <c r="EK248">
        <v>500002</v>
      </c>
      <c r="EL248" t="s">
        <v>97</v>
      </c>
      <c r="EM248" t="s">
        <v>98</v>
      </c>
      <c r="EO248" t="s">
        <v>6</v>
      </c>
      <c r="EQ248">
        <v>0</v>
      </c>
      <c r="ER248">
        <v>350</v>
      </c>
      <c r="ES248">
        <v>49.11</v>
      </c>
      <c r="ET248">
        <v>0</v>
      </c>
      <c r="EU248">
        <v>0</v>
      </c>
      <c r="EV248">
        <v>0</v>
      </c>
      <c r="EW248">
        <v>0</v>
      </c>
      <c r="EX248">
        <v>0</v>
      </c>
      <c r="EZ248">
        <v>5</v>
      </c>
      <c r="FC248">
        <v>0</v>
      </c>
      <c r="FD248">
        <v>18</v>
      </c>
      <c r="FF248">
        <v>350</v>
      </c>
      <c r="FQ248">
        <v>0</v>
      </c>
      <c r="FR248">
        <f t="shared" si="296"/>
        <v>0</v>
      </c>
      <c r="FS248">
        <v>0</v>
      </c>
      <c r="FX248">
        <v>0</v>
      </c>
      <c r="FY248">
        <v>0</v>
      </c>
      <c r="GA248" t="s">
        <v>352</v>
      </c>
      <c r="GD248">
        <v>1</v>
      </c>
      <c r="GF248">
        <v>-2080007222</v>
      </c>
      <c r="GG248">
        <v>2</v>
      </c>
      <c r="GH248">
        <v>3</v>
      </c>
      <c r="GI248">
        <v>5</v>
      </c>
      <c r="GJ248">
        <v>0</v>
      </c>
      <c r="GK248">
        <v>0</v>
      </c>
      <c r="GL248">
        <f t="shared" si="297"/>
        <v>0</v>
      </c>
      <c r="GM248">
        <f t="shared" si="298"/>
        <v>705</v>
      </c>
      <c r="GN248">
        <f t="shared" si="299"/>
        <v>0</v>
      </c>
      <c r="GO248">
        <f t="shared" si="300"/>
        <v>705</v>
      </c>
      <c r="GP248">
        <f t="shared" si="301"/>
        <v>0</v>
      </c>
      <c r="GR248">
        <v>1</v>
      </c>
      <c r="GS248">
        <v>1</v>
      </c>
      <c r="GT248">
        <v>0</v>
      </c>
      <c r="GU248" t="s">
        <v>6</v>
      </c>
      <c r="GV248">
        <f t="shared" si="302"/>
        <v>0</v>
      </c>
      <c r="GW248">
        <v>1</v>
      </c>
      <c r="GX248">
        <f t="shared" si="303"/>
        <v>0</v>
      </c>
      <c r="HA248">
        <v>0</v>
      </c>
      <c r="HB248">
        <v>0</v>
      </c>
      <c r="HC248">
        <f t="shared" si="304"/>
        <v>0</v>
      </c>
      <c r="HE248" t="s">
        <v>39</v>
      </c>
      <c r="HF248" t="s">
        <v>40</v>
      </c>
      <c r="HM248" t="s">
        <v>6</v>
      </c>
      <c r="HN248" t="s">
        <v>6</v>
      </c>
      <c r="HO248" t="s">
        <v>6</v>
      </c>
      <c r="HP248" t="s">
        <v>6</v>
      </c>
      <c r="HQ248" t="s">
        <v>6</v>
      </c>
      <c r="IF248">
        <v>-1</v>
      </c>
      <c r="IK248">
        <v>0</v>
      </c>
    </row>
    <row r="249" spans="1:255" x14ac:dyDescent="0.2">
      <c r="A249" s="2">
        <v>18</v>
      </c>
      <c r="B249" s="2">
        <v>1</v>
      </c>
      <c r="C249" s="2">
        <v>294</v>
      </c>
      <c r="D249" s="2"/>
      <c r="E249" s="2" t="s">
        <v>353</v>
      </c>
      <c r="F249" s="2" t="s">
        <v>337</v>
      </c>
      <c r="G249" s="2" t="s">
        <v>338</v>
      </c>
      <c r="H249" s="2" t="s">
        <v>44</v>
      </c>
      <c r="I249" s="2">
        <f>I239*J249</f>
        <v>3.9899999999999996E-3</v>
      </c>
      <c r="J249" s="226">
        <f>'5.Ведомость_списания'!F119</f>
        <v>2.0999999999999998E-2</v>
      </c>
      <c r="K249" s="2">
        <v>2.1000000000000001E-2</v>
      </c>
      <c r="L249" s="2"/>
      <c r="M249" s="2"/>
      <c r="N249" s="2"/>
      <c r="O249" s="2">
        <f t="shared" si="273"/>
        <v>2</v>
      </c>
      <c r="P249" s="2">
        <f t="shared" si="274"/>
        <v>2</v>
      </c>
      <c r="Q249" s="2">
        <f t="shared" si="275"/>
        <v>0</v>
      </c>
      <c r="R249" s="2">
        <f t="shared" si="276"/>
        <v>0</v>
      </c>
      <c r="S249" s="2">
        <f t="shared" si="277"/>
        <v>0</v>
      </c>
      <c r="T249" s="2">
        <f t="shared" si="278"/>
        <v>0</v>
      </c>
      <c r="U249" s="2">
        <f t="shared" si="279"/>
        <v>0</v>
      </c>
      <c r="V249" s="2">
        <f t="shared" si="280"/>
        <v>0</v>
      </c>
      <c r="W249" s="2">
        <f t="shared" si="281"/>
        <v>0</v>
      </c>
      <c r="X249" s="2">
        <f t="shared" si="282"/>
        <v>0</v>
      </c>
      <c r="Y249" s="2">
        <f t="shared" si="283"/>
        <v>0</v>
      </c>
      <c r="Z249" s="2"/>
      <c r="AA249" s="2">
        <v>86326987</v>
      </c>
      <c r="AB249" s="2">
        <f t="shared" si="284"/>
        <v>586.71</v>
      </c>
      <c r="AC249" s="2">
        <f t="shared" si="272"/>
        <v>586.71</v>
      </c>
      <c r="AD249" s="2">
        <f t="shared" si="270"/>
        <v>0</v>
      </c>
      <c r="AE249" s="2">
        <f t="shared" si="233"/>
        <v>0</v>
      </c>
      <c r="AF249" s="2">
        <f t="shared" si="234"/>
        <v>0</v>
      </c>
      <c r="AG249" s="2">
        <f t="shared" si="285"/>
        <v>0</v>
      </c>
      <c r="AH249" s="2">
        <f t="shared" si="235"/>
        <v>0</v>
      </c>
      <c r="AI249" s="2">
        <f t="shared" si="236"/>
        <v>0</v>
      </c>
      <c r="AJ249" s="2">
        <f t="shared" si="286"/>
        <v>0</v>
      </c>
      <c r="AK249" s="2">
        <v>586.71</v>
      </c>
      <c r="AL249" s="110">
        <f>'1.Лок.смета.и.Акт'!F431</f>
        <v>586.71</v>
      </c>
      <c r="AM249" s="2">
        <v>0</v>
      </c>
      <c r="AN249" s="2">
        <v>0</v>
      </c>
      <c r="AO249" s="2">
        <v>0</v>
      </c>
      <c r="AP249" s="2">
        <v>0</v>
      </c>
      <c r="AQ249" s="2">
        <v>0</v>
      </c>
      <c r="AR249" s="2">
        <v>0</v>
      </c>
      <c r="AS249" s="2">
        <v>0</v>
      </c>
      <c r="AT249" s="2">
        <v>0</v>
      </c>
      <c r="AU249" s="2">
        <v>0</v>
      </c>
      <c r="AV249" s="2">
        <v>1</v>
      </c>
      <c r="AW249" s="2">
        <v>1</v>
      </c>
      <c r="AX249" s="2"/>
      <c r="AY249" s="2"/>
      <c r="AZ249" s="2">
        <v>1</v>
      </c>
      <c r="BA249" s="2">
        <v>1</v>
      </c>
      <c r="BB249" s="2">
        <v>1</v>
      </c>
      <c r="BC249" s="2">
        <v>1</v>
      </c>
      <c r="BD249" s="2" t="s">
        <v>6</v>
      </c>
      <c r="BE249" s="2" t="s">
        <v>6</v>
      </c>
      <c r="BF249" s="2" t="s">
        <v>6</v>
      </c>
      <c r="BG249" s="2" t="s">
        <v>6</v>
      </c>
      <c r="BH249" s="2">
        <v>3</v>
      </c>
      <c r="BI249" s="2">
        <v>1</v>
      </c>
      <c r="BJ249" s="2" t="s">
        <v>339</v>
      </c>
      <c r="BK249" s="2"/>
      <c r="BL249" s="2"/>
      <c r="BM249" s="2">
        <v>500003</v>
      </c>
      <c r="BN249" s="2">
        <v>0</v>
      </c>
      <c r="BO249" s="2" t="s">
        <v>6</v>
      </c>
      <c r="BP249" s="2">
        <v>0</v>
      </c>
      <c r="BQ249" s="2">
        <v>22</v>
      </c>
      <c r="BR249" s="2">
        <v>0</v>
      </c>
      <c r="BS249" s="2">
        <v>1</v>
      </c>
      <c r="BT249" s="2">
        <v>1</v>
      </c>
      <c r="BU249" s="2">
        <v>1</v>
      </c>
      <c r="BV249" s="2">
        <v>1</v>
      </c>
      <c r="BW249" s="2">
        <v>1</v>
      </c>
      <c r="BX249" s="2">
        <v>1</v>
      </c>
      <c r="BY249" s="2" t="s">
        <v>6</v>
      </c>
      <c r="BZ249" s="2">
        <v>0</v>
      </c>
      <c r="CA249" s="2">
        <v>0</v>
      </c>
      <c r="CB249" s="2" t="s">
        <v>6</v>
      </c>
      <c r="CC249" s="2"/>
      <c r="CD249" s="2"/>
      <c r="CE249" s="2">
        <v>0</v>
      </c>
      <c r="CF249" s="2">
        <v>0</v>
      </c>
      <c r="CG249" s="2">
        <v>0</v>
      </c>
      <c r="CH249" s="2"/>
      <c r="CI249" s="2"/>
      <c r="CJ249" s="2"/>
      <c r="CK249" s="2"/>
      <c r="CL249" s="2"/>
      <c r="CM249" s="2">
        <v>0</v>
      </c>
      <c r="CN249" s="2" t="s">
        <v>6</v>
      </c>
      <c r="CO249" s="2">
        <v>0</v>
      </c>
      <c r="CP249" s="2">
        <f t="shared" si="287"/>
        <v>2</v>
      </c>
      <c r="CQ249" s="2">
        <f t="shared" si="288"/>
        <v>586.71</v>
      </c>
      <c r="CR249" s="2">
        <f t="shared" si="289"/>
        <v>0</v>
      </c>
      <c r="CS249" s="2">
        <f t="shared" si="290"/>
        <v>0</v>
      </c>
      <c r="CT249" s="2">
        <f t="shared" si="291"/>
        <v>0</v>
      </c>
      <c r="CU249" s="2">
        <f t="shared" si="292"/>
        <v>0</v>
      </c>
      <c r="CV249" s="2">
        <f t="shared" si="293"/>
        <v>0</v>
      </c>
      <c r="CW249" s="2">
        <f t="shared" si="294"/>
        <v>0</v>
      </c>
      <c r="CX249" s="2">
        <f t="shared" si="295"/>
        <v>0</v>
      </c>
      <c r="CY249" s="2">
        <f>(((S249+(R249*IF(0,0,1)))*AT249)/100)</f>
        <v>0</v>
      </c>
      <c r="CZ249" s="2">
        <f>(((S249+(R249*IF(0,0,1)))*AU249)/100)</f>
        <v>0</v>
      </c>
      <c r="DA249" s="2"/>
      <c r="DB249" s="2"/>
      <c r="DC249" s="2" t="s">
        <v>6</v>
      </c>
      <c r="DD249" s="2" t="s">
        <v>6</v>
      </c>
      <c r="DE249" s="2" t="s">
        <v>6</v>
      </c>
      <c r="DF249" s="2" t="s">
        <v>6</v>
      </c>
      <c r="DG249" s="2" t="s">
        <v>6</v>
      </c>
      <c r="DH249" s="2" t="s">
        <v>6</v>
      </c>
      <c r="DI249" s="2" t="s">
        <v>6</v>
      </c>
      <c r="DJ249" s="2" t="s">
        <v>6</v>
      </c>
      <c r="DK249" s="2" t="s">
        <v>6</v>
      </c>
      <c r="DL249" s="2" t="s">
        <v>6</v>
      </c>
      <c r="DM249" s="2" t="s">
        <v>6</v>
      </c>
      <c r="DN249" s="2">
        <v>0</v>
      </c>
      <c r="DO249" s="2">
        <v>0</v>
      </c>
      <c r="DP249" s="2">
        <v>1</v>
      </c>
      <c r="DQ249" s="2">
        <v>1</v>
      </c>
      <c r="DR249" s="2"/>
      <c r="DS249" s="2"/>
      <c r="DT249" s="2"/>
      <c r="DU249" s="2">
        <v>1007</v>
      </c>
      <c r="DV249" s="2" t="s">
        <v>44</v>
      </c>
      <c r="DW249" s="2" t="s">
        <v>44</v>
      </c>
      <c r="DX249" s="2">
        <v>1</v>
      </c>
      <c r="DY249" s="2"/>
      <c r="DZ249" s="2" t="s">
        <v>6</v>
      </c>
      <c r="EA249" s="2" t="s">
        <v>6</v>
      </c>
      <c r="EB249" s="2" t="s">
        <v>6</v>
      </c>
      <c r="EC249" s="2" t="s">
        <v>6</v>
      </c>
      <c r="ED249" s="2"/>
      <c r="EE249" s="2">
        <v>54938783</v>
      </c>
      <c r="EF249" s="2">
        <v>22</v>
      </c>
      <c r="EG249" s="2" t="s">
        <v>57</v>
      </c>
      <c r="EH249" s="2">
        <v>0</v>
      </c>
      <c r="EI249" s="2" t="s">
        <v>6</v>
      </c>
      <c r="EJ249" s="2">
        <v>1</v>
      </c>
      <c r="EK249" s="2">
        <v>500003</v>
      </c>
      <c r="EL249" s="2" t="s">
        <v>58</v>
      </c>
      <c r="EM249" s="2" t="s">
        <v>59</v>
      </c>
      <c r="EN249" s="2"/>
      <c r="EO249" s="2" t="s">
        <v>6</v>
      </c>
      <c r="EP249" s="2"/>
      <c r="EQ249" s="2">
        <v>0</v>
      </c>
      <c r="ER249" s="2">
        <v>586.71</v>
      </c>
      <c r="ES249" s="110">
        <f>'1.Лок.смета.и.Акт'!F431</f>
        <v>586.71</v>
      </c>
      <c r="ET249" s="2">
        <v>0</v>
      </c>
      <c r="EU249" s="2">
        <v>0</v>
      </c>
      <c r="EV249" s="2">
        <v>0</v>
      </c>
      <c r="EW249" s="2">
        <v>0</v>
      </c>
      <c r="EX249" s="2">
        <v>0</v>
      </c>
      <c r="EY249" s="2"/>
      <c r="EZ249" s="2"/>
      <c r="FA249" s="2"/>
      <c r="FB249" s="2"/>
      <c r="FC249" s="2"/>
      <c r="FD249" s="2"/>
      <c r="FE249" s="2"/>
      <c r="FF249" s="2"/>
      <c r="FG249" s="2"/>
      <c r="FH249" s="2"/>
      <c r="FI249" s="2"/>
      <c r="FJ249" s="2"/>
      <c r="FK249" s="2"/>
      <c r="FL249" s="2"/>
      <c r="FM249" s="2"/>
      <c r="FN249" s="2"/>
      <c r="FO249" s="2"/>
      <c r="FP249" s="2"/>
      <c r="FQ249" s="2">
        <v>0</v>
      </c>
      <c r="FR249" s="2">
        <f t="shared" si="296"/>
        <v>0</v>
      </c>
      <c r="FS249" s="2">
        <v>0</v>
      </c>
      <c r="FT249" s="2"/>
      <c r="FU249" s="2"/>
      <c r="FV249" s="2"/>
      <c r="FW249" s="2"/>
      <c r="FX249" s="2">
        <v>0</v>
      </c>
      <c r="FY249" s="2">
        <v>0</v>
      </c>
      <c r="FZ249" s="2"/>
      <c r="GA249" s="2" t="s">
        <v>6</v>
      </c>
      <c r="GB249" s="2"/>
      <c r="GC249" s="2"/>
      <c r="GD249" s="2">
        <v>1</v>
      </c>
      <c r="GE249" s="2"/>
      <c r="GF249" s="2">
        <v>2111049581</v>
      </c>
      <c r="GG249" s="2">
        <v>2</v>
      </c>
      <c r="GH249" s="2">
        <v>2</v>
      </c>
      <c r="GI249" s="2">
        <v>-2</v>
      </c>
      <c r="GJ249" s="2">
        <v>0</v>
      </c>
      <c r="GK249" s="2">
        <v>0</v>
      </c>
      <c r="GL249" s="2">
        <f t="shared" si="297"/>
        <v>0</v>
      </c>
      <c r="GM249" s="2">
        <f t="shared" si="298"/>
        <v>2</v>
      </c>
      <c r="GN249" s="2">
        <f t="shared" si="299"/>
        <v>2</v>
      </c>
      <c r="GO249" s="2">
        <f t="shared" si="300"/>
        <v>0</v>
      </c>
      <c r="GP249" s="2">
        <f t="shared" si="301"/>
        <v>0</v>
      </c>
      <c r="GQ249" s="2"/>
      <c r="GR249" s="2">
        <v>0</v>
      </c>
      <c r="GS249" s="2">
        <v>2</v>
      </c>
      <c r="GT249" s="2">
        <v>0</v>
      </c>
      <c r="GU249" s="2" t="s">
        <v>6</v>
      </c>
      <c r="GV249" s="2">
        <f t="shared" si="302"/>
        <v>0</v>
      </c>
      <c r="GW249" s="2">
        <v>1</v>
      </c>
      <c r="GX249" s="2">
        <f t="shared" si="303"/>
        <v>0</v>
      </c>
      <c r="GY249" s="2"/>
      <c r="GZ249" s="2"/>
      <c r="HA249" s="2">
        <v>0</v>
      </c>
      <c r="HB249" s="2">
        <v>0</v>
      </c>
      <c r="HC249" s="2">
        <f t="shared" si="304"/>
        <v>0</v>
      </c>
      <c r="HD249" s="2"/>
      <c r="HE249" s="2" t="s">
        <v>6</v>
      </c>
      <c r="HF249" s="2" t="s">
        <v>6</v>
      </c>
      <c r="HG249" s="2"/>
      <c r="HH249" s="2"/>
      <c r="HI249" s="2"/>
      <c r="HJ249" s="2"/>
      <c r="HK249" s="2"/>
      <c r="HL249" s="2"/>
      <c r="HM249" s="2" t="s">
        <v>6</v>
      </c>
      <c r="HN249" s="2" t="s">
        <v>6</v>
      </c>
      <c r="HO249" s="2" t="s">
        <v>6</v>
      </c>
      <c r="HP249" s="2" t="s">
        <v>6</v>
      </c>
      <c r="HQ249" s="2" t="s">
        <v>6</v>
      </c>
      <c r="HR249" s="2"/>
      <c r="HS249" s="2"/>
      <c r="HT249" s="2"/>
      <c r="HU249" s="2"/>
      <c r="HV249" s="2"/>
      <c r="HW249" s="2"/>
      <c r="HX249" s="2"/>
      <c r="HY249" s="2"/>
      <c r="HZ249" s="2"/>
      <c r="IA249" s="2"/>
      <c r="IB249" s="2"/>
      <c r="IC249" s="2"/>
      <c r="ID249" s="2"/>
      <c r="IE249" s="2"/>
      <c r="IF249" s="2">
        <v>-1</v>
      </c>
      <c r="IG249" s="2"/>
      <c r="IH249" s="2"/>
      <c r="II249" s="2"/>
      <c r="IJ249" s="2"/>
      <c r="IK249" s="2">
        <v>0</v>
      </c>
      <c r="IL249" s="2"/>
      <c r="IM249" s="2"/>
      <c r="IN249" s="2"/>
      <c r="IO249" s="2"/>
      <c r="IP249" s="2"/>
      <c r="IQ249" s="2"/>
      <c r="IR249" s="2"/>
      <c r="IS249" s="2"/>
      <c r="IT249" s="2"/>
      <c r="IU249" s="2"/>
    </row>
    <row r="250" spans="1:255" x14ac:dyDescent="0.2">
      <c r="A250">
        <v>18</v>
      </c>
      <c r="B250">
        <v>1</v>
      </c>
      <c r="C250">
        <v>304</v>
      </c>
      <c r="E250" t="s">
        <v>353</v>
      </c>
      <c r="F250" t="e">
        <f>'2.Лок.смета.и.Акт'!#REF!</f>
        <v>#REF!</v>
      </c>
      <c r="G250" t="s">
        <v>338</v>
      </c>
      <c r="H250" t="s">
        <v>44</v>
      </c>
      <c r="I250">
        <f>I240*J250</f>
        <v>3.9899999999999996E-3</v>
      </c>
      <c r="J250">
        <v>2.0999999999999998E-2</v>
      </c>
      <c r="K250">
        <v>2.1000000000000001E-2</v>
      </c>
      <c r="O250">
        <f t="shared" si="273"/>
        <v>21</v>
      </c>
      <c r="P250">
        <f t="shared" si="274"/>
        <v>21</v>
      </c>
      <c r="Q250">
        <f t="shared" si="275"/>
        <v>0</v>
      </c>
      <c r="R250">
        <f t="shared" si="276"/>
        <v>0</v>
      </c>
      <c r="S250">
        <f t="shared" si="277"/>
        <v>0</v>
      </c>
      <c r="T250">
        <f t="shared" si="278"/>
        <v>0</v>
      </c>
      <c r="U250">
        <f t="shared" si="279"/>
        <v>0</v>
      </c>
      <c r="V250">
        <f t="shared" si="280"/>
        <v>0</v>
      </c>
      <c r="W250">
        <f t="shared" si="281"/>
        <v>0</v>
      </c>
      <c r="X250">
        <f t="shared" si="282"/>
        <v>0</v>
      </c>
      <c r="Y250">
        <f t="shared" si="283"/>
        <v>0</v>
      </c>
      <c r="AA250">
        <v>86326988</v>
      </c>
      <c r="AB250">
        <f t="shared" si="284"/>
        <v>691.67</v>
      </c>
      <c r="AC250">
        <f t="shared" si="272"/>
        <v>691.67</v>
      </c>
      <c r="AD250">
        <f t="shared" si="270"/>
        <v>0</v>
      </c>
      <c r="AE250">
        <f t="shared" si="233"/>
        <v>0</v>
      </c>
      <c r="AF250">
        <f t="shared" si="234"/>
        <v>0</v>
      </c>
      <c r="AG250">
        <f t="shared" si="285"/>
        <v>0</v>
      </c>
      <c r="AH250">
        <f t="shared" si="235"/>
        <v>0</v>
      </c>
      <c r="AI250">
        <f t="shared" si="236"/>
        <v>0</v>
      </c>
      <c r="AJ250">
        <f t="shared" si="286"/>
        <v>0</v>
      </c>
      <c r="AK250">
        <v>691.67</v>
      </c>
      <c r="AL250">
        <v>691.67</v>
      </c>
      <c r="AM250">
        <v>0</v>
      </c>
      <c r="AN250">
        <v>0</v>
      </c>
      <c r="AO250">
        <v>0</v>
      </c>
      <c r="AP250">
        <v>0</v>
      </c>
      <c r="AQ250">
        <v>0</v>
      </c>
      <c r="AR250">
        <v>0</v>
      </c>
      <c r="AS250">
        <v>0</v>
      </c>
      <c r="AT250">
        <v>0</v>
      </c>
      <c r="AU250">
        <v>0</v>
      </c>
      <c r="AV250">
        <v>1</v>
      </c>
      <c r="AW250">
        <v>1</v>
      </c>
      <c r="AZ250">
        <v>1</v>
      </c>
      <c r="BA250">
        <v>1</v>
      </c>
      <c r="BB250">
        <v>1</v>
      </c>
      <c r="BC250">
        <v>7.56</v>
      </c>
      <c r="BD250" t="s">
        <v>6</v>
      </c>
      <c r="BE250" t="s">
        <v>6</v>
      </c>
      <c r="BF250" t="s">
        <v>6</v>
      </c>
      <c r="BG250" t="s">
        <v>6</v>
      </c>
      <c r="BH250">
        <v>3</v>
      </c>
      <c r="BI250">
        <v>1</v>
      </c>
      <c r="BJ250" t="s">
        <v>339</v>
      </c>
      <c r="BM250">
        <v>500003</v>
      </c>
      <c r="BN250">
        <v>0</v>
      </c>
      <c r="BO250" t="s">
        <v>6</v>
      </c>
      <c r="BP250">
        <v>0</v>
      </c>
      <c r="BQ250">
        <v>22</v>
      </c>
      <c r="BR250">
        <v>0</v>
      </c>
      <c r="BS250">
        <v>1</v>
      </c>
      <c r="BT250">
        <v>1</v>
      </c>
      <c r="BU250">
        <v>1</v>
      </c>
      <c r="BV250">
        <v>1</v>
      </c>
      <c r="BW250">
        <v>1</v>
      </c>
      <c r="BX250">
        <v>1</v>
      </c>
      <c r="BY250" t="s">
        <v>6</v>
      </c>
      <c r="BZ250">
        <v>0</v>
      </c>
      <c r="CA250">
        <v>0</v>
      </c>
      <c r="CB250" t="s">
        <v>6</v>
      </c>
      <c r="CE250">
        <v>0</v>
      </c>
      <c r="CF250">
        <v>0</v>
      </c>
      <c r="CG250">
        <v>0</v>
      </c>
      <c r="CM250">
        <v>0</v>
      </c>
      <c r="CN250" t="s">
        <v>6</v>
      </c>
      <c r="CO250">
        <v>0</v>
      </c>
      <c r="CP250">
        <f t="shared" si="287"/>
        <v>21</v>
      </c>
      <c r="CQ250">
        <f t="shared" si="288"/>
        <v>5229.0251999999991</v>
      </c>
      <c r="CR250">
        <f t="shared" si="289"/>
        <v>0</v>
      </c>
      <c r="CS250">
        <f t="shared" si="290"/>
        <v>0</v>
      </c>
      <c r="CT250">
        <f t="shared" si="291"/>
        <v>0</v>
      </c>
      <c r="CU250">
        <f t="shared" si="292"/>
        <v>0</v>
      </c>
      <c r="CV250">
        <f t="shared" si="293"/>
        <v>0</v>
      </c>
      <c r="CW250">
        <f t="shared" si="294"/>
        <v>0</v>
      </c>
      <c r="CX250">
        <f t="shared" si="295"/>
        <v>0</v>
      </c>
      <c r="CY250">
        <f>(S250+R250)*(BZ250/100)</f>
        <v>0</v>
      </c>
      <c r="CZ250">
        <f>(S250+R250)*(CA250/100)</f>
        <v>0</v>
      </c>
      <c r="DC250" t="s">
        <v>6</v>
      </c>
      <c r="DD250" t="s">
        <v>6</v>
      </c>
      <c r="DE250" t="s">
        <v>6</v>
      </c>
      <c r="DF250" t="s">
        <v>6</v>
      </c>
      <c r="DG250" t="s">
        <v>6</v>
      </c>
      <c r="DH250" t="s">
        <v>6</v>
      </c>
      <c r="DI250" t="s">
        <v>6</v>
      </c>
      <c r="DJ250" t="s">
        <v>6</v>
      </c>
      <c r="DK250" t="s">
        <v>6</v>
      </c>
      <c r="DL250" t="s">
        <v>6</v>
      </c>
      <c r="DM250" t="s">
        <v>6</v>
      </c>
      <c r="DN250">
        <v>0</v>
      </c>
      <c r="DO250">
        <v>0</v>
      </c>
      <c r="DP250">
        <v>1</v>
      </c>
      <c r="DQ250">
        <v>1</v>
      </c>
      <c r="DU250">
        <v>1007</v>
      </c>
      <c r="DV250" t="s">
        <v>44</v>
      </c>
      <c r="DW250" t="e">
        <f>'2.Лок.смета.и.Акт'!#REF!</f>
        <v>#REF!</v>
      </c>
      <c r="DX250">
        <v>1</v>
      </c>
      <c r="DZ250" t="s">
        <v>6</v>
      </c>
      <c r="EA250" t="s">
        <v>6</v>
      </c>
      <c r="EB250" t="s">
        <v>6</v>
      </c>
      <c r="EC250" t="s">
        <v>6</v>
      </c>
      <c r="EE250">
        <v>54938783</v>
      </c>
      <c r="EF250">
        <v>22</v>
      </c>
      <c r="EG250" t="s">
        <v>57</v>
      </c>
      <c r="EH250">
        <v>0</v>
      </c>
      <c r="EI250" t="s">
        <v>6</v>
      </c>
      <c r="EJ250">
        <v>1</v>
      </c>
      <c r="EK250">
        <v>500003</v>
      </c>
      <c r="EL250" t="s">
        <v>58</v>
      </c>
      <c r="EM250" t="s">
        <v>59</v>
      </c>
      <c r="EO250" t="s">
        <v>6</v>
      </c>
      <c r="EQ250">
        <v>0</v>
      </c>
      <c r="ER250">
        <v>4929.3500000000004</v>
      </c>
      <c r="ES250">
        <v>691.67</v>
      </c>
      <c r="ET250">
        <v>0</v>
      </c>
      <c r="EU250">
        <v>0</v>
      </c>
      <c r="EV250">
        <v>0</v>
      </c>
      <c r="EW250">
        <v>0</v>
      </c>
      <c r="EX250">
        <v>0</v>
      </c>
      <c r="EZ250">
        <v>5</v>
      </c>
      <c r="FC250">
        <v>0</v>
      </c>
      <c r="FD250">
        <v>18</v>
      </c>
      <c r="FF250">
        <v>4929.3500000000004</v>
      </c>
      <c r="FQ250">
        <v>0</v>
      </c>
      <c r="FR250">
        <f t="shared" si="296"/>
        <v>0</v>
      </c>
      <c r="FS250">
        <v>0</v>
      </c>
      <c r="FX250">
        <v>0</v>
      </c>
      <c r="FY250">
        <v>0</v>
      </c>
      <c r="GA250" t="s">
        <v>340</v>
      </c>
      <c r="GD250">
        <v>1</v>
      </c>
      <c r="GF250">
        <v>2111049581</v>
      </c>
      <c r="GG250">
        <v>2</v>
      </c>
      <c r="GH250">
        <v>3</v>
      </c>
      <c r="GI250">
        <v>5</v>
      </c>
      <c r="GJ250">
        <v>0</v>
      </c>
      <c r="GK250">
        <v>0</v>
      </c>
      <c r="GL250">
        <f t="shared" si="297"/>
        <v>0</v>
      </c>
      <c r="GM250">
        <f t="shared" si="298"/>
        <v>21</v>
      </c>
      <c r="GN250">
        <f t="shared" si="299"/>
        <v>21</v>
      </c>
      <c r="GO250">
        <f t="shared" si="300"/>
        <v>0</v>
      </c>
      <c r="GP250">
        <f t="shared" si="301"/>
        <v>0</v>
      </c>
      <c r="GR250">
        <v>1</v>
      </c>
      <c r="GS250">
        <v>1</v>
      </c>
      <c r="GT250">
        <v>0</v>
      </c>
      <c r="GU250" t="s">
        <v>6</v>
      </c>
      <c r="GV250">
        <f t="shared" si="302"/>
        <v>0</v>
      </c>
      <c r="GW250">
        <v>1</v>
      </c>
      <c r="GX250">
        <f t="shared" si="303"/>
        <v>0</v>
      </c>
      <c r="HA250">
        <v>0</v>
      </c>
      <c r="HB250">
        <v>0</v>
      </c>
      <c r="HC250">
        <f t="shared" si="304"/>
        <v>0</v>
      </c>
      <c r="HE250" t="s">
        <v>39</v>
      </c>
      <c r="HF250" t="s">
        <v>40</v>
      </c>
      <c r="HM250" t="s">
        <v>6</v>
      </c>
      <c r="HN250" t="s">
        <v>6</v>
      </c>
      <c r="HO250" t="s">
        <v>6</v>
      </c>
      <c r="HP250" t="s">
        <v>6</v>
      </c>
      <c r="HQ250" t="s">
        <v>6</v>
      </c>
      <c r="IF250">
        <v>-1</v>
      </c>
      <c r="IK250">
        <v>0</v>
      </c>
    </row>
    <row r="251" spans="1:255" x14ac:dyDescent="0.2">
      <c r="A251" s="2">
        <v>17</v>
      </c>
      <c r="B251" s="2">
        <v>1</v>
      </c>
      <c r="C251" s="2">
        <f>ROW(SmtRes!A312)</f>
        <v>312</v>
      </c>
      <c r="D251" s="2">
        <f>ROW(EtalonRes!A235)</f>
        <v>235</v>
      </c>
      <c r="E251" s="2" t="s">
        <v>354</v>
      </c>
      <c r="F251" s="2" t="s">
        <v>355</v>
      </c>
      <c r="G251" s="2" t="s">
        <v>356</v>
      </c>
      <c r="H251" s="2" t="s">
        <v>49</v>
      </c>
      <c r="I251" s="2">
        <f>'2.Лок.смета.и.Акт'!E43</f>
        <v>3.32E-2</v>
      </c>
      <c r="J251" s="2">
        <v>0</v>
      </c>
      <c r="K251" s="2">
        <v>0.1328</v>
      </c>
      <c r="L251" s="2"/>
      <c r="M251" s="2"/>
      <c r="N251" s="2"/>
      <c r="O251" s="2">
        <f t="shared" si="273"/>
        <v>28</v>
      </c>
      <c r="P251" s="2">
        <f t="shared" si="274"/>
        <v>0</v>
      </c>
      <c r="Q251" s="2">
        <f t="shared" si="275"/>
        <v>3</v>
      </c>
      <c r="R251" s="2">
        <f t="shared" si="276"/>
        <v>0</v>
      </c>
      <c r="S251" s="2">
        <f t="shared" si="277"/>
        <v>25</v>
      </c>
      <c r="T251" s="2">
        <f t="shared" si="278"/>
        <v>0</v>
      </c>
      <c r="U251" s="2">
        <f t="shared" si="279"/>
        <v>3.1586646000000003</v>
      </c>
      <c r="V251" s="2">
        <f t="shared" si="280"/>
        <v>2.5285120000000005E-2</v>
      </c>
      <c r="W251" s="2">
        <f t="shared" si="281"/>
        <v>0</v>
      </c>
      <c r="X251" s="2">
        <f t="shared" si="282"/>
        <v>30</v>
      </c>
      <c r="Y251" s="2">
        <f t="shared" si="283"/>
        <v>19</v>
      </c>
      <c r="Z251" s="2"/>
      <c r="AA251" s="2">
        <v>86326987</v>
      </c>
      <c r="AB251" s="2">
        <f t="shared" si="284"/>
        <v>864.46</v>
      </c>
      <c r="AC251" s="2">
        <f>ROUND((ES251+(SUM(SmtRes!BC305:'SmtRes'!BC312)+SUM(EtalonRes!AL229:'EtalonRes'!AL235))),2)</f>
        <v>0</v>
      </c>
      <c r="AD251" s="2">
        <f>ROUND(((((ET251*1.12)+(SUM(SmtRes!BD305:'SmtRes'!BD312)+SUM(EtalonRes!AM229:'EtalonRes'!AM235)))-((EU251*1.12)+(SUM(SmtRes!BE305:'SmtRes'!BE312)+SUM(EtalonRes!AN229:'EtalonRes'!AN235))))+AE251),2)</f>
        <v>102.38</v>
      </c>
      <c r="AE251" s="2">
        <f>ROUND(((EU251*1.12)+(SUM(SmtRes!BE305:'SmtRes'!BE312)+SUM(EtalonRes!AN229:'EtalonRes'!AN235))),2)</f>
        <v>10.36</v>
      </c>
      <c r="AF251" s="2">
        <f>ROUND(((EV251*1.05)),2)</f>
        <v>762.08</v>
      </c>
      <c r="AG251" s="2">
        <f t="shared" si="285"/>
        <v>0</v>
      </c>
      <c r="AH251" s="2">
        <f>((EW251*1.05))</f>
        <v>95.140500000000003</v>
      </c>
      <c r="AI251" s="2">
        <f>((EX251*1.12))</f>
        <v>0.76160000000000017</v>
      </c>
      <c r="AJ251" s="2">
        <f t="shared" si="286"/>
        <v>0</v>
      </c>
      <c r="AK251" s="2">
        <v>6866.66</v>
      </c>
      <c r="AL251" s="2">
        <v>6063.35</v>
      </c>
      <c r="AM251" s="2">
        <v>77.52</v>
      </c>
      <c r="AN251" s="2">
        <v>9.25</v>
      </c>
      <c r="AO251" s="2">
        <v>725.79</v>
      </c>
      <c r="AP251" s="2">
        <v>0</v>
      </c>
      <c r="AQ251" s="2">
        <v>90.61</v>
      </c>
      <c r="AR251" s="2">
        <v>0.68</v>
      </c>
      <c r="AS251" s="2">
        <v>0</v>
      </c>
      <c r="AT251" s="2">
        <v>120</v>
      </c>
      <c r="AU251" s="2">
        <v>77</v>
      </c>
      <c r="AV251" s="2">
        <v>1</v>
      </c>
      <c r="AW251" s="2">
        <v>1</v>
      </c>
      <c r="AX251" s="2"/>
      <c r="AY251" s="2"/>
      <c r="AZ251" s="2">
        <v>1</v>
      </c>
      <c r="BA251" s="2">
        <v>1</v>
      </c>
      <c r="BB251" s="2">
        <v>1</v>
      </c>
      <c r="BC251" s="2">
        <v>1</v>
      </c>
      <c r="BD251" s="2" t="s">
        <v>6</v>
      </c>
      <c r="BE251" s="2" t="s">
        <v>6</v>
      </c>
      <c r="BF251" s="2" t="s">
        <v>6</v>
      </c>
      <c r="BG251" s="2" t="s">
        <v>6</v>
      </c>
      <c r="BH251" s="2">
        <v>0</v>
      </c>
      <c r="BI251" s="2">
        <v>1</v>
      </c>
      <c r="BJ251" s="2" t="s">
        <v>357</v>
      </c>
      <c r="BK251" s="2"/>
      <c r="BL251" s="2"/>
      <c r="BM251" s="2">
        <v>6002</v>
      </c>
      <c r="BN251" s="2">
        <v>0</v>
      </c>
      <c r="BO251" s="2" t="s">
        <v>6</v>
      </c>
      <c r="BP251" s="2">
        <v>0</v>
      </c>
      <c r="BQ251" s="2">
        <v>1</v>
      </c>
      <c r="BR251" s="2">
        <v>0</v>
      </c>
      <c r="BS251" s="2">
        <v>1</v>
      </c>
      <c r="BT251" s="2">
        <v>1</v>
      </c>
      <c r="BU251" s="2">
        <v>1</v>
      </c>
      <c r="BV251" s="2">
        <v>1</v>
      </c>
      <c r="BW251" s="2">
        <v>1</v>
      </c>
      <c r="BX251" s="2">
        <v>1</v>
      </c>
      <c r="BY251" s="2" t="s">
        <v>6</v>
      </c>
      <c r="BZ251" s="2">
        <v>120</v>
      </c>
      <c r="CA251" s="2">
        <v>77</v>
      </c>
      <c r="CB251" s="2" t="s">
        <v>6</v>
      </c>
      <c r="CC251" s="2"/>
      <c r="CD251" s="2"/>
      <c r="CE251" s="2">
        <v>0</v>
      </c>
      <c r="CF251" s="2">
        <v>0</v>
      </c>
      <c r="CG251" s="2">
        <v>0</v>
      </c>
      <c r="CH251" s="2"/>
      <c r="CI251" s="2"/>
      <c r="CJ251" s="2"/>
      <c r="CK251" s="2"/>
      <c r="CL251" s="2"/>
      <c r="CM251" s="2">
        <v>0</v>
      </c>
      <c r="CN251" s="2" t="s">
        <v>23</v>
      </c>
      <c r="CO251" s="2">
        <v>0</v>
      </c>
      <c r="CP251" s="2">
        <f t="shared" si="287"/>
        <v>28</v>
      </c>
      <c r="CQ251" s="2">
        <f t="shared" si="288"/>
        <v>0</v>
      </c>
      <c r="CR251" s="2">
        <f t="shared" si="289"/>
        <v>102.38</v>
      </c>
      <c r="CS251" s="2">
        <f t="shared" si="290"/>
        <v>10.36</v>
      </c>
      <c r="CT251" s="2">
        <f t="shared" si="291"/>
        <v>762.08</v>
      </c>
      <c r="CU251" s="2">
        <f t="shared" si="292"/>
        <v>0</v>
      </c>
      <c r="CV251" s="2">
        <f t="shared" si="293"/>
        <v>95.140500000000003</v>
      </c>
      <c r="CW251" s="2">
        <f t="shared" si="294"/>
        <v>0.76160000000000017</v>
      </c>
      <c r="CX251" s="2">
        <f t="shared" si="295"/>
        <v>0</v>
      </c>
      <c r="CY251" s="2">
        <f>(((S251+(R251*IF(0,0,1)))*AT251)/100)</f>
        <v>30</v>
      </c>
      <c r="CZ251" s="2">
        <f>(((S251+(R251*IF(0,0,1)))*AU251)/100)</f>
        <v>19.25</v>
      </c>
      <c r="DA251" s="2"/>
      <c r="DB251" s="2"/>
      <c r="DC251" s="2" t="s">
        <v>6</v>
      </c>
      <c r="DD251" s="2" t="s">
        <v>6</v>
      </c>
      <c r="DE251" s="2" t="s">
        <v>24</v>
      </c>
      <c r="DF251" s="2" t="s">
        <v>24</v>
      </c>
      <c r="DG251" s="2" t="s">
        <v>25</v>
      </c>
      <c r="DH251" s="2" t="s">
        <v>6</v>
      </c>
      <c r="DI251" s="2" t="s">
        <v>25</v>
      </c>
      <c r="DJ251" s="2" t="s">
        <v>24</v>
      </c>
      <c r="DK251" s="2" t="s">
        <v>6</v>
      </c>
      <c r="DL251" s="2" t="s">
        <v>6</v>
      </c>
      <c r="DM251" s="2" t="s">
        <v>6</v>
      </c>
      <c r="DN251" s="2">
        <v>0</v>
      </c>
      <c r="DO251" s="2">
        <v>0</v>
      </c>
      <c r="DP251" s="2">
        <v>1</v>
      </c>
      <c r="DQ251" s="2">
        <v>1</v>
      </c>
      <c r="DR251" s="2"/>
      <c r="DS251" s="2"/>
      <c r="DT251" s="2"/>
      <c r="DU251" s="2">
        <v>1013</v>
      </c>
      <c r="DV251" s="2" t="s">
        <v>49</v>
      </c>
      <c r="DW251" s="2" t="s">
        <v>49</v>
      </c>
      <c r="DX251" s="2">
        <v>1</v>
      </c>
      <c r="DY251" s="2"/>
      <c r="DZ251" s="2" t="s">
        <v>6</v>
      </c>
      <c r="EA251" s="2" t="s">
        <v>6</v>
      </c>
      <c r="EB251" s="2" t="s">
        <v>6</v>
      </c>
      <c r="EC251" s="2" t="s">
        <v>6</v>
      </c>
      <c r="ED251" s="2"/>
      <c r="EE251" s="2">
        <v>54938592</v>
      </c>
      <c r="EF251" s="2">
        <v>1</v>
      </c>
      <c r="EG251" s="2" t="s">
        <v>26</v>
      </c>
      <c r="EH251" s="2">
        <v>0</v>
      </c>
      <c r="EI251" s="2" t="s">
        <v>6</v>
      </c>
      <c r="EJ251" s="2">
        <v>1</v>
      </c>
      <c r="EK251" s="2">
        <v>6002</v>
      </c>
      <c r="EL251" s="2" t="s">
        <v>27</v>
      </c>
      <c r="EM251" s="2" t="s">
        <v>28</v>
      </c>
      <c r="EN251" s="2"/>
      <c r="EO251" s="2" t="s">
        <v>29</v>
      </c>
      <c r="EP251" s="2"/>
      <c r="EQ251" s="2">
        <v>2097152</v>
      </c>
      <c r="ER251" s="2">
        <v>6866.66</v>
      </c>
      <c r="ES251" s="2">
        <v>6063.35</v>
      </c>
      <c r="ET251" s="2">
        <v>77.52</v>
      </c>
      <c r="EU251" s="2">
        <v>9.25</v>
      </c>
      <c r="EV251" s="2">
        <v>725.79</v>
      </c>
      <c r="EW251" s="2">
        <v>90.61</v>
      </c>
      <c r="EX251" s="2">
        <v>0.68</v>
      </c>
      <c r="EY251" s="2">
        <v>1</v>
      </c>
      <c r="EZ251" s="2"/>
      <c r="FA251" s="2"/>
      <c r="FB251" s="2"/>
      <c r="FC251" s="2"/>
      <c r="FD251" s="2"/>
      <c r="FE251" s="2"/>
      <c r="FF251" s="2"/>
      <c r="FG251" s="2"/>
      <c r="FH251" s="2"/>
      <c r="FI251" s="2"/>
      <c r="FJ251" s="2"/>
      <c r="FK251" s="2"/>
      <c r="FL251" s="2"/>
      <c r="FM251" s="2"/>
      <c r="FN251" s="2"/>
      <c r="FO251" s="2"/>
      <c r="FP251" s="2"/>
      <c r="FQ251" s="2">
        <v>0</v>
      </c>
      <c r="FR251" s="2">
        <f t="shared" si="296"/>
        <v>0</v>
      </c>
      <c r="FS251" s="2">
        <v>0</v>
      </c>
      <c r="FT251" s="2"/>
      <c r="FU251" s="2"/>
      <c r="FV251" s="2"/>
      <c r="FW251" s="2"/>
      <c r="FX251" s="2">
        <v>120</v>
      </c>
      <c r="FY251" s="2">
        <v>77</v>
      </c>
      <c r="FZ251" s="2"/>
      <c r="GA251" s="2" t="s">
        <v>6</v>
      </c>
      <c r="GB251" s="2"/>
      <c r="GC251" s="2"/>
      <c r="GD251" s="2">
        <v>1</v>
      </c>
      <c r="GE251" s="2"/>
      <c r="GF251" s="2">
        <v>1071660367</v>
      </c>
      <c r="GG251" s="2">
        <v>2</v>
      </c>
      <c r="GH251" s="2">
        <v>1</v>
      </c>
      <c r="GI251" s="2">
        <v>-2</v>
      </c>
      <c r="GJ251" s="2">
        <v>0</v>
      </c>
      <c r="GK251" s="2">
        <v>0</v>
      </c>
      <c r="GL251" s="2">
        <f t="shared" si="297"/>
        <v>0</v>
      </c>
      <c r="GM251" s="2">
        <f t="shared" si="298"/>
        <v>77</v>
      </c>
      <c r="GN251" s="2">
        <f t="shared" si="299"/>
        <v>77</v>
      </c>
      <c r="GO251" s="2">
        <f t="shared" si="300"/>
        <v>0</v>
      </c>
      <c r="GP251" s="2">
        <f t="shared" si="301"/>
        <v>0</v>
      </c>
      <c r="GQ251" s="2"/>
      <c r="GR251" s="2">
        <v>0</v>
      </c>
      <c r="GS251" s="2">
        <v>3</v>
      </c>
      <c r="GT251" s="2">
        <v>0</v>
      </c>
      <c r="GU251" s="2" t="s">
        <v>6</v>
      </c>
      <c r="GV251" s="2">
        <f t="shared" si="302"/>
        <v>0</v>
      </c>
      <c r="GW251" s="2">
        <v>1</v>
      </c>
      <c r="GX251" s="2">
        <f t="shared" si="303"/>
        <v>0</v>
      </c>
      <c r="GY251" s="2"/>
      <c r="GZ251" s="2"/>
      <c r="HA251" s="2">
        <v>0</v>
      </c>
      <c r="HB251" s="2">
        <v>0</v>
      </c>
      <c r="HC251" s="2">
        <f t="shared" si="304"/>
        <v>0</v>
      </c>
      <c r="HD251" s="2"/>
      <c r="HE251" s="2" t="s">
        <v>6</v>
      </c>
      <c r="HF251" s="2" t="s">
        <v>6</v>
      </c>
      <c r="HG251" s="2"/>
      <c r="HH251" s="2"/>
      <c r="HI251" s="2"/>
      <c r="HJ251" s="2"/>
      <c r="HK251" s="2"/>
      <c r="HL251" s="2"/>
      <c r="HM251" s="2" t="s">
        <v>6</v>
      </c>
      <c r="HN251" s="2" t="s">
        <v>6</v>
      </c>
      <c r="HO251" s="2" t="s">
        <v>6</v>
      </c>
      <c r="HP251" s="2" t="s">
        <v>6</v>
      </c>
      <c r="HQ251" s="2" t="s">
        <v>6</v>
      </c>
      <c r="HR251" s="2"/>
      <c r="HS251" s="2"/>
      <c r="HT251" s="2"/>
      <c r="HU251" s="2"/>
      <c r="HV251" s="2"/>
      <c r="HW251" s="2"/>
      <c r="HX251" s="2"/>
      <c r="HY251" s="2"/>
      <c r="HZ251" s="2"/>
      <c r="IA251" s="2"/>
      <c r="IB251" s="2"/>
      <c r="IC251" s="2"/>
      <c r="ID251" s="2"/>
      <c r="IE251" s="2"/>
      <c r="IF251" s="2">
        <v>-1</v>
      </c>
      <c r="IG251" s="2"/>
      <c r="IH251" s="2"/>
      <c r="II251" s="2"/>
      <c r="IJ251" s="2"/>
      <c r="IK251" s="2">
        <v>0</v>
      </c>
      <c r="IL251" s="2"/>
      <c r="IM251" s="2"/>
      <c r="IN251" s="2"/>
      <c r="IO251" s="2"/>
      <c r="IP251" s="2"/>
      <c r="IQ251" s="2"/>
      <c r="IR251" s="2"/>
      <c r="IS251" s="2"/>
      <c r="IT251" s="2"/>
      <c r="IU251" s="2"/>
    </row>
    <row r="252" spans="1:255" x14ac:dyDescent="0.2">
      <c r="A252">
        <v>17</v>
      </c>
      <c r="B252">
        <v>1</v>
      </c>
      <c r="C252">
        <f>ROW(SmtRes!A320)</f>
        <v>320</v>
      </c>
      <c r="D252">
        <f>ROW(EtalonRes!A242)</f>
        <v>242</v>
      </c>
      <c r="E252" t="s">
        <v>354</v>
      </c>
      <c r="F252" t="s">
        <v>355</v>
      </c>
      <c r="G252" t="s">
        <v>356</v>
      </c>
      <c r="H252" t="s">
        <v>49</v>
      </c>
      <c r="I252">
        <f>'2.Лок.смета.и.Акт'!E43</f>
        <v>3.32E-2</v>
      </c>
      <c r="J252">
        <v>0</v>
      </c>
      <c r="K252">
        <v>0.1328</v>
      </c>
      <c r="O252">
        <f t="shared" si="273"/>
        <v>669</v>
      </c>
      <c r="P252">
        <f t="shared" si="274"/>
        <v>0</v>
      </c>
      <c r="Q252">
        <f t="shared" si="275"/>
        <v>27</v>
      </c>
      <c r="R252">
        <f t="shared" si="276"/>
        <v>7</v>
      </c>
      <c r="S252">
        <f t="shared" si="277"/>
        <v>642</v>
      </c>
      <c r="T252">
        <f t="shared" si="278"/>
        <v>0</v>
      </c>
      <c r="U252" t="e">
        <f t="shared" si="279"/>
        <v>#REF!</v>
      </c>
      <c r="V252">
        <f t="shared" si="280"/>
        <v>2.5285120000000005E-2</v>
      </c>
      <c r="W252">
        <f t="shared" si="281"/>
        <v>0</v>
      </c>
      <c r="X252" t="e">
        <f t="shared" si="282"/>
        <v>#REF!</v>
      </c>
      <c r="Y252" t="e">
        <f t="shared" si="283"/>
        <v>#REF!</v>
      </c>
      <c r="AA252">
        <v>86326988</v>
      </c>
      <c r="AB252">
        <f t="shared" si="284"/>
        <v>864.46</v>
      </c>
      <c r="AC252">
        <f>ROUND((ES252+(SUM(SmtRes!BC313:'SmtRes'!BC320)+SUM(EtalonRes!AL236:'EtalonRes'!AL242))),2)</f>
        <v>0</v>
      </c>
      <c r="AD252">
        <f>ROUND(((((ET252*1.12)+(SUM(SmtRes!BD313:'SmtRes'!BD320)+SUM(EtalonRes!AM236:'EtalonRes'!AM242)))-((EU252*1.12)+(SUM(SmtRes!BE313:'SmtRes'!BE320)+SUM(EtalonRes!AN236:'EtalonRes'!AN242))))+AE252),2)</f>
        <v>102.38</v>
      </c>
      <c r="AE252">
        <f>ROUND(((EU252*1.12)+(SUM(SmtRes!BE313:'SmtRes'!BE320)+SUM(EtalonRes!AN236:'EtalonRes'!AN242))),2)</f>
        <v>10.36</v>
      </c>
      <c r="AF252">
        <f>ROUND(((EV252*1.05)),2)</f>
        <v>762.08</v>
      </c>
      <c r="AG252">
        <f t="shared" si="285"/>
        <v>0</v>
      </c>
      <c r="AH252" t="e">
        <f>((EW252*1.05))</f>
        <v>#REF!</v>
      </c>
      <c r="AI252">
        <f>((EX252*1.12))</f>
        <v>0.76160000000000017</v>
      </c>
      <c r="AJ252">
        <f t="shared" si="286"/>
        <v>0</v>
      </c>
      <c r="AK252">
        <f>AL252+AM252+AO252</f>
        <v>6866.6600000000008</v>
      </c>
      <c r="AL252">
        <v>6063.35</v>
      </c>
      <c r="AM252" s="75">
        <f>'1.Лок.смета.и.Акт'!F438</f>
        <v>77.52</v>
      </c>
      <c r="AN252" s="75">
        <f>'1.Лок.смета.и.Акт'!F439</f>
        <v>9.25</v>
      </c>
      <c r="AO252" s="75">
        <f>'1.Лок.смета.и.Акт'!F437</f>
        <v>725.79</v>
      </c>
      <c r="AP252">
        <v>0</v>
      </c>
      <c r="AQ252" t="e">
        <f>'2.Лок.смета.и.Акт'!#REF!</f>
        <v>#REF!</v>
      </c>
      <c r="AR252">
        <v>0.68</v>
      </c>
      <c r="AS252">
        <v>0</v>
      </c>
      <c r="AT252">
        <v>114</v>
      </c>
      <c r="AU252">
        <v>65</v>
      </c>
      <c r="AV252">
        <v>1</v>
      </c>
      <c r="AW252">
        <v>1</v>
      </c>
      <c r="AZ252">
        <v>1</v>
      </c>
      <c r="BA252">
        <f>'1.Лок.смета.и.Акт'!J437</f>
        <v>25.36</v>
      </c>
      <c r="BB252">
        <f>'1.Лок.смета.и.Акт'!J438</f>
        <v>7.84</v>
      </c>
      <c r="BC252">
        <v>7.56</v>
      </c>
      <c r="BD252" t="s">
        <v>6</v>
      </c>
      <c r="BE252" t="s">
        <v>6</v>
      </c>
      <c r="BF252" t="s">
        <v>6</v>
      </c>
      <c r="BG252" t="s">
        <v>6</v>
      </c>
      <c r="BH252">
        <v>0</v>
      </c>
      <c r="BI252">
        <v>1</v>
      </c>
      <c r="BJ252" t="s">
        <v>357</v>
      </c>
      <c r="BM252">
        <v>6002</v>
      </c>
      <c r="BN252">
        <v>0</v>
      </c>
      <c r="BO252" t="s">
        <v>355</v>
      </c>
      <c r="BP252">
        <v>1</v>
      </c>
      <c r="BQ252">
        <v>1</v>
      </c>
      <c r="BR252">
        <v>0</v>
      </c>
      <c r="BS252">
        <f>'1.Лок.смета.и.Акт'!J439</f>
        <v>19.8</v>
      </c>
      <c r="BT252">
        <v>1</v>
      </c>
      <c r="BU252">
        <v>1</v>
      </c>
      <c r="BV252">
        <v>1</v>
      </c>
      <c r="BW252">
        <v>1</v>
      </c>
      <c r="BX252">
        <v>1</v>
      </c>
      <c r="BY252" t="s">
        <v>6</v>
      </c>
      <c r="BZ252" t="e">
        <f>'2.Лок.смета.и.Акт'!#REF!</f>
        <v>#REF!</v>
      </c>
      <c r="CA252" t="e">
        <f>'2.Лок.смета.и.Акт'!#REF!</f>
        <v>#REF!</v>
      </c>
      <c r="CB252" t="s">
        <v>6</v>
      </c>
      <c r="CE252">
        <v>0</v>
      </c>
      <c r="CF252">
        <v>0</v>
      </c>
      <c r="CG252">
        <v>0</v>
      </c>
      <c r="CM252">
        <v>0</v>
      </c>
      <c r="CN252" t="s">
        <v>23</v>
      </c>
      <c r="CO252">
        <v>0</v>
      </c>
      <c r="CP252">
        <f t="shared" si="287"/>
        <v>669</v>
      </c>
      <c r="CQ252">
        <f t="shared" si="288"/>
        <v>0</v>
      </c>
      <c r="CR252">
        <f t="shared" si="289"/>
        <v>802.65919999999994</v>
      </c>
      <c r="CS252">
        <f t="shared" si="290"/>
        <v>205.12799999999999</v>
      </c>
      <c r="CT252">
        <f t="shared" si="291"/>
        <v>19326.3488</v>
      </c>
      <c r="CU252">
        <f t="shared" si="292"/>
        <v>0</v>
      </c>
      <c r="CV252" t="e">
        <f t="shared" si="293"/>
        <v>#REF!</v>
      </c>
      <c r="CW252">
        <f t="shared" si="294"/>
        <v>0.76160000000000017</v>
      </c>
      <c r="CX252">
        <f t="shared" si="295"/>
        <v>0</v>
      </c>
      <c r="CY252" t="e">
        <f>(S252+R252)*(BZ252/100)</f>
        <v>#REF!</v>
      </c>
      <c r="CZ252" t="e">
        <f>(S252+R252)*(CA252/100)</f>
        <v>#REF!</v>
      </c>
      <c r="DC252" t="s">
        <v>6</v>
      </c>
      <c r="DD252" t="s">
        <v>6</v>
      </c>
      <c r="DE252" t="s">
        <v>24</v>
      </c>
      <c r="DF252" t="s">
        <v>24</v>
      </c>
      <c r="DG252" t="s">
        <v>25</v>
      </c>
      <c r="DH252" t="s">
        <v>6</v>
      </c>
      <c r="DI252" t="s">
        <v>25</v>
      </c>
      <c r="DJ252" t="s">
        <v>24</v>
      </c>
      <c r="DK252" t="s">
        <v>6</v>
      </c>
      <c r="DL252" t="s">
        <v>6</v>
      </c>
      <c r="DM252" t="s">
        <v>6</v>
      </c>
      <c r="DN252">
        <f>'1.Лок.смета.и.Акт'!E440</f>
        <v>120</v>
      </c>
      <c r="DO252">
        <f>'1.Лок.смета.и.Акт'!E441</f>
        <v>77</v>
      </c>
      <c r="DP252">
        <v>1</v>
      </c>
      <c r="DQ252">
        <v>1</v>
      </c>
      <c r="DU252">
        <v>1013</v>
      </c>
      <c r="DV252" t="s">
        <v>49</v>
      </c>
      <c r="DW252" t="str">
        <f>'2.Лок.смета.и.Акт'!D43</f>
        <v>1 т арматуры, закладных деталей</v>
      </c>
      <c r="DX252">
        <v>1</v>
      </c>
      <c r="DZ252" t="s">
        <v>6</v>
      </c>
      <c r="EA252" t="s">
        <v>6</v>
      </c>
      <c r="EB252" t="s">
        <v>6</v>
      </c>
      <c r="EC252" t="s">
        <v>6</v>
      </c>
      <c r="EE252">
        <v>54938592</v>
      </c>
      <c r="EF252">
        <v>1</v>
      </c>
      <c r="EG252" t="s">
        <v>26</v>
      </c>
      <c r="EH252">
        <v>0</v>
      </c>
      <c r="EI252" t="s">
        <v>6</v>
      </c>
      <c r="EJ252">
        <v>1</v>
      </c>
      <c r="EK252">
        <v>6002</v>
      </c>
      <c r="EL252" t="s">
        <v>27</v>
      </c>
      <c r="EM252" t="s">
        <v>28</v>
      </c>
      <c r="EO252" t="s">
        <v>29</v>
      </c>
      <c r="EQ252">
        <v>2097152</v>
      </c>
      <c r="ER252">
        <f>ES252+ET252+EV252</f>
        <v>6866.6600000000008</v>
      </c>
      <c r="ES252">
        <v>6063.35</v>
      </c>
      <c r="ET252" s="75">
        <f>'1.Лок.смета.и.Акт'!F438</f>
        <v>77.52</v>
      </c>
      <c r="EU252" s="75">
        <f>'1.Лок.смета.и.Акт'!F439</f>
        <v>9.25</v>
      </c>
      <c r="EV252" s="75">
        <f>'1.Лок.смета.и.Акт'!F437</f>
        <v>725.79</v>
      </c>
      <c r="EW252" t="e">
        <f>'2.Лок.смета.и.Акт'!#REF!</f>
        <v>#REF!</v>
      </c>
      <c r="EX252">
        <v>0.68</v>
      </c>
      <c r="EY252">
        <v>1</v>
      </c>
      <c r="FQ252">
        <v>0</v>
      </c>
      <c r="FR252">
        <f t="shared" si="296"/>
        <v>0</v>
      </c>
      <c r="FS252">
        <v>0</v>
      </c>
      <c r="FX252">
        <v>120</v>
      </c>
      <c r="FY252">
        <v>77</v>
      </c>
      <c r="GA252" t="s">
        <v>6</v>
      </c>
      <c r="GD252">
        <v>1</v>
      </c>
      <c r="GF252">
        <v>1071660367</v>
      </c>
      <c r="GG252">
        <v>2</v>
      </c>
      <c r="GH252">
        <v>1</v>
      </c>
      <c r="GI252">
        <v>2</v>
      </c>
      <c r="GJ252">
        <v>0</v>
      </c>
      <c r="GK252">
        <v>0</v>
      </c>
      <c r="GL252">
        <f t="shared" si="297"/>
        <v>0</v>
      </c>
      <c r="GM252" t="e">
        <f t="shared" si="298"/>
        <v>#REF!</v>
      </c>
      <c r="GN252" t="e">
        <f t="shared" si="299"/>
        <v>#REF!</v>
      </c>
      <c r="GO252">
        <f t="shared" si="300"/>
        <v>0</v>
      </c>
      <c r="GP252">
        <f t="shared" si="301"/>
        <v>0</v>
      </c>
      <c r="GR252">
        <v>0</v>
      </c>
      <c r="GS252">
        <v>3</v>
      </c>
      <c r="GT252">
        <v>0</v>
      </c>
      <c r="GU252" t="s">
        <v>6</v>
      </c>
      <c r="GV252">
        <f t="shared" si="302"/>
        <v>0</v>
      </c>
      <c r="GW252">
        <v>1015.2</v>
      </c>
      <c r="GX252">
        <f t="shared" si="303"/>
        <v>0</v>
      </c>
      <c r="HA252">
        <v>0</v>
      </c>
      <c r="HB252">
        <v>0</v>
      </c>
      <c r="HC252">
        <f t="shared" si="304"/>
        <v>0</v>
      </c>
      <c r="HE252" t="s">
        <v>6</v>
      </c>
      <c r="HF252" t="s">
        <v>6</v>
      </c>
      <c r="HM252" t="s">
        <v>6</v>
      </c>
      <c r="HN252" t="s">
        <v>6</v>
      </c>
      <c r="HO252" t="s">
        <v>6</v>
      </c>
      <c r="HP252" t="s">
        <v>6</v>
      </c>
      <c r="HQ252" t="s">
        <v>6</v>
      </c>
      <c r="IF252">
        <v>-1</v>
      </c>
      <c r="IK252">
        <v>0</v>
      </c>
    </row>
    <row r="253" spans="1:255" x14ac:dyDescent="0.2">
      <c r="A253" s="2">
        <v>18</v>
      </c>
      <c r="B253" s="2">
        <v>1</v>
      </c>
      <c r="C253" s="2">
        <v>310</v>
      </c>
      <c r="D253" s="2"/>
      <c r="E253" s="2" t="s">
        <v>358</v>
      </c>
      <c r="F253" s="2" t="s">
        <v>316</v>
      </c>
      <c r="G253" s="2" t="s">
        <v>317</v>
      </c>
      <c r="H253" s="2" t="s">
        <v>33</v>
      </c>
      <c r="I253" s="2">
        <f>I251*J253</f>
        <v>1.9924999999999999E-4</v>
      </c>
      <c r="J253" s="226">
        <f>'5.Ведомость_списания'!F121</f>
        <v>6.0015060240963848E-3</v>
      </c>
      <c r="K253" s="2">
        <v>6.0000000000000001E-3</v>
      </c>
      <c r="L253" s="2"/>
      <c r="M253" s="2"/>
      <c r="N253" s="2"/>
      <c r="O253" s="2">
        <f t="shared" si="273"/>
        <v>2</v>
      </c>
      <c r="P253" s="2">
        <f t="shared" si="274"/>
        <v>2</v>
      </c>
      <c r="Q253" s="2">
        <f t="shared" si="275"/>
        <v>0</v>
      </c>
      <c r="R253" s="2">
        <f t="shared" si="276"/>
        <v>0</v>
      </c>
      <c r="S253" s="2">
        <f t="shared" si="277"/>
        <v>0</v>
      </c>
      <c r="T253" s="2">
        <f t="shared" si="278"/>
        <v>0</v>
      </c>
      <c r="U253" s="2">
        <f t="shared" si="279"/>
        <v>0</v>
      </c>
      <c r="V253" s="2">
        <f t="shared" si="280"/>
        <v>0</v>
      </c>
      <c r="W253" s="2">
        <f t="shared" si="281"/>
        <v>0</v>
      </c>
      <c r="X253" s="2">
        <f t="shared" si="282"/>
        <v>0</v>
      </c>
      <c r="Y253" s="2">
        <f t="shared" si="283"/>
        <v>0</v>
      </c>
      <c r="Z253" s="2"/>
      <c r="AA253" s="2">
        <v>86326987</v>
      </c>
      <c r="AB253" s="2">
        <f t="shared" si="284"/>
        <v>10559.12</v>
      </c>
      <c r="AC253" s="2">
        <f t="shared" ref="AC253:AC258" si="305">ROUND((ES253),2)</f>
        <v>10559.12</v>
      </c>
      <c r="AD253" s="2">
        <f t="shared" ref="AD253:AD258" si="306">ROUND((((ET253)-(EU253))+AE253),2)</f>
        <v>0</v>
      </c>
      <c r="AE253" s="2">
        <f t="shared" ref="AE253:AF258" si="307">ROUND((EU253),2)</f>
        <v>0</v>
      </c>
      <c r="AF253" s="2">
        <f t="shared" si="307"/>
        <v>0</v>
      </c>
      <c r="AG253" s="2">
        <f t="shared" si="285"/>
        <v>0</v>
      </c>
      <c r="AH253" s="2">
        <f t="shared" ref="AH253:AI258" si="308">(EW253)</f>
        <v>0</v>
      </c>
      <c r="AI253" s="2">
        <f t="shared" si="308"/>
        <v>0</v>
      </c>
      <c r="AJ253" s="2">
        <f t="shared" si="286"/>
        <v>22.28</v>
      </c>
      <c r="AK253" s="2">
        <v>10559.12</v>
      </c>
      <c r="AL253" s="110">
        <f>'1.Лок.смета.и.Акт'!F443</f>
        <v>10559.12</v>
      </c>
      <c r="AM253" s="2">
        <v>0</v>
      </c>
      <c r="AN253" s="2">
        <v>0</v>
      </c>
      <c r="AO253" s="2">
        <v>0</v>
      </c>
      <c r="AP253" s="2">
        <v>0</v>
      </c>
      <c r="AQ253" s="2">
        <v>0</v>
      </c>
      <c r="AR253" s="2">
        <v>0</v>
      </c>
      <c r="AS253" s="2">
        <v>22.28</v>
      </c>
      <c r="AT253" s="2">
        <v>0</v>
      </c>
      <c r="AU253" s="2">
        <v>0</v>
      </c>
      <c r="AV253" s="2">
        <v>1</v>
      </c>
      <c r="AW253" s="2">
        <v>1</v>
      </c>
      <c r="AX253" s="2"/>
      <c r="AY253" s="2"/>
      <c r="AZ253" s="2">
        <v>1</v>
      </c>
      <c r="BA253" s="2">
        <v>1</v>
      </c>
      <c r="BB253" s="2">
        <v>1</v>
      </c>
      <c r="BC253" s="2">
        <v>1</v>
      </c>
      <c r="BD253" s="2" t="s">
        <v>6</v>
      </c>
      <c r="BE253" s="2" t="s">
        <v>6</v>
      </c>
      <c r="BF253" s="2" t="s">
        <v>6</v>
      </c>
      <c r="BG253" s="2" t="s">
        <v>6</v>
      </c>
      <c r="BH253" s="2">
        <v>3</v>
      </c>
      <c r="BI253" s="2">
        <v>1</v>
      </c>
      <c r="BJ253" s="2" t="s">
        <v>318</v>
      </c>
      <c r="BK253" s="2"/>
      <c r="BL253" s="2"/>
      <c r="BM253" s="2">
        <v>500001</v>
      </c>
      <c r="BN253" s="2">
        <v>0</v>
      </c>
      <c r="BO253" s="2" t="s">
        <v>6</v>
      </c>
      <c r="BP253" s="2">
        <v>0</v>
      </c>
      <c r="BQ253" s="2">
        <v>20</v>
      </c>
      <c r="BR253" s="2">
        <v>0</v>
      </c>
      <c r="BS253" s="2">
        <v>1</v>
      </c>
      <c r="BT253" s="2">
        <v>1</v>
      </c>
      <c r="BU253" s="2">
        <v>1</v>
      </c>
      <c r="BV253" s="2">
        <v>1</v>
      </c>
      <c r="BW253" s="2">
        <v>1</v>
      </c>
      <c r="BX253" s="2">
        <v>1</v>
      </c>
      <c r="BY253" s="2" t="s">
        <v>6</v>
      </c>
      <c r="BZ253" s="2">
        <v>0</v>
      </c>
      <c r="CA253" s="2">
        <v>0</v>
      </c>
      <c r="CB253" s="2" t="s">
        <v>6</v>
      </c>
      <c r="CC253" s="2"/>
      <c r="CD253" s="2"/>
      <c r="CE253" s="2">
        <v>0</v>
      </c>
      <c r="CF253" s="2">
        <v>0</v>
      </c>
      <c r="CG253" s="2">
        <v>0</v>
      </c>
      <c r="CH253" s="2"/>
      <c r="CI253" s="2"/>
      <c r="CJ253" s="2"/>
      <c r="CK253" s="2"/>
      <c r="CL253" s="2"/>
      <c r="CM253" s="2">
        <v>0</v>
      </c>
      <c r="CN253" s="2" t="s">
        <v>6</v>
      </c>
      <c r="CO253" s="2">
        <v>0</v>
      </c>
      <c r="CP253" s="2">
        <f t="shared" si="287"/>
        <v>2</v>
      </c>
      <c r="CQ253" s="2">
        <f t="shared" si="288"/>
        <v>10559.12</v>
      </c>
      <c r="CR253" s="2">
        <f t="shared" si="289"/>
        <v>0</v>
      </c>
      <c r="CS253" s="2">
        <f t="shared" si="290"/>
        <v>0</v>
      </c>
      <c r="CT253" s="2">
        <f t="shared" si="291"/>
        <v>0</v>
      </c>
      <c r="CU253" s="2">
        <f t="shared" si="292"/>
        <v>0</v>
      </c>
      <c r="CV253" s="2">
        <f t="shared" si="293"/>
        <v>0</v>
      </c>
      <c r="CW253" s="2">
        <f t="shared" si="294"/>
        <v>0</v>
      </c>
      <c r="CX253" s="2">
        <f t="shared" si="295"/>
        <v>22.28</v>
      </c>
      <c r="CY253" s="2">
        <f>(((S253+(R253*IF(0,0,1)))*AT253)/100)</f>
        <v>0</v>
      </c>
      <c r="CZ253" s="2">
        <f>(((S253+(R253*IF(0,0,1)))*AU253)/100)</f>
        <v>0</v>
      </c>
      <c r="DA253" s="2"/>
      <c r="DB253" s="2"/>
      <c r="DC253" s="2" t="s">
        <v>6</v>
      </c>
      <c r="DD253" s="2" t="s">
        <v>6</v>
      </c>
      <c r="DE253" s="2" t="s">
        <v>6</v>
      </c>
      <c r="DF253" s="2" t="s">
        <v>6</v>
      </c>
      <c r="DG253" s="2" t="s">
        <v>6</v>
      </c>
      <c r="DH253" s="2" t="s">
        <v>6</v>
      </c>
      <c r="DI253" s="2" t="s">
        <v>6</v>
      </c>
      <c r="DJ253" s="2" t="s">
        <v>6</v>
      </c>
      <c r="DK253" s="2" t="s">
        <v>6</v>
      </c>
      <c r="DL253" s="2" t="s">
        <v>6</v>
      </c>
      <c r="DM253" s="2" t="s">
        <v>6</v>
      </c>
      <c r="DN253" s="2">
        <v>0</v>
      </c>
      <c r="DO253" s="2">
        <v>0</v>
      </c>
      <c r="DP253" s="2">
        <v>1</v>
      </c>
      <c r="DQ253" s="2">
        <v>1</v>
      </c>
      <c r="DR253" s="2"/>
      <c r="DS253" s="2"/>
      <c r="DT253" s="2"/>
      <c r="DU253" s="2">
        <v>1009</v>
      </c>
      <c r="DV253" s="2" t="s">
        <v>33</v>
      </c>
      <c r="DW253" s="2" t="s">
        <v>33</v>
      </c>
      <c r="DX253" s="2">
        <v>1000</v>
      </c>
      <c r="DY253" s="2"/>
      <c r="DZ253" s="2" t="s">
        <v>6</v>
      </c>
      <c r="EA253" s="2" t="s">
        <v>6</v>
      </c>
      <c r="EB253" s="2" t="s">
        <v>6</v>
      </c>
      <c r="EC253" s="2" t="s">
        <v>6</v>
      </c>
      <c r="ED253" s="2"/>
      <c r="EE253" s="2">
        <v>54938781</v>
      </c>
      <c r="EF253" s="2">
        <v>20</v>
      </c>
      <c r="EG253" s="2" t="s">
        <v>35</v>
      </c>
      <c r="EH253" s="2">
        <v>0</v>
      </c>
      <c r="EI253" s="2" t="s">
        <v>6</v>
      </c>
      <c r="EJ253" s="2">
        <v>1</v>
      </c>
      <c r="EK253" s="2">
        <v>500001</v>
      </c>
      <c r="EL253" s="2" t="s">
        <v>36</v>
      </c>
      <c r="EM253" s="2" t="s">
        <v>37</v>
      </c>
      <c r="EN253" s="2"/>
      <c r="EO253" s="2" t="s">
        <v>6</v>
      </c>
      <c r="EP253" s="2"/>
      <c r="EQ253" s="2">
        <v>0</v>
      </c>
      <c r="ER253" s="2">
        <v>10559.12</v>
      </c>
      <c r="ES253" s="110">
        <f>'1.Лок.смета.и.Акт'!F443</f>
        <v>10559.12</v>
      </c>
      <c r="ET253" s="2">
        <v>0</v>
      </c>
      <c r="EU253" s="2">
        <v>0</v>
      </c>
      <c r="EV253" s="2">
        <v>0</v>
      </c>
      <c r="EW253" s="2">
        <v>0</v>
      </c>
      <c r="EX253" s="2">
        <v>0</v>
      </c>
      <c r="EY253" s="2"/>
      <c r="EZ253" s="2"/>
      <c r="FA253" s="2"/>
      <c r="FB253" s="2"/>
      <c r="FC253" s="2"/>
      <c r="FD253" s="2"/>
      <c r="FE253" s="2"/>
      <c r="FF253" s="2"/>
      <c r="FG253" s="2"/>
      <c r="FH253" s="2"/>
      <c r="FI253" s="2"/>
      <c r="FJ253" s="2"/>
      <c r="FK253" s="2"/>
      <c r="FL253" s="2"/>
      <c r="FM253" s="2"/>
      <c r="FN253" s="2"/>
      <c r="FO253" s="2"/>
      <c r="FP253" s="2"/>
      <c r="FQ253" s="2">
        <v>0</v>
      </c>
      <c r="FR253" s="2">
        <f t="shared" si="296"/>
        <v>0</v>
      </c>
      <c r="FS253" s="2">
        <v>0</v>
      </c>
      <c r="FT253" s="2"/>
      <c r="FU253" s="2"/>
      <c r="FV253" s="2"/>
      <c r="FW253" s="2"/>
      <c r="FX253" s="2">
        <v>0</v>
      </c>
      <c r="FY253" s="2">
        <v>0</v>
      </c>
      <c r="FZ253" s="2"/>
      <c r="GA253" s="2" t="s">
        <v>6</v>
      </c>
      <c r="GB253" s="2"/>
      <c r="GC253" s="2"/>
      <c r="GD253" s="2">
        <v>1</v>
      </c>
      <c r="GE253" s="2"/>
      <c r="GF253" s="2">
        <v>1988624183</v>
      </c>
      <c r="GG253" s="2">
        <v>2</v>
      </c>
      <c r="GH253" s="2">
        <v>0</v>
      </c>
      <c r="GI253" s="2">
        <v>-2</v>
      </c>
      <c r="GJ253" s="2">
        <v>0</v>
      </c>
      <c r="GK253" s="2">
        <v>0</v>
      </c>
      <c r="GL253" s="2">
        <f t="shared" si="297"/>
        <v>0</v>
      </c>
      <c r="GM253" s="2">
        <f t="shared" si="298"/>
        <v>2</v>
      </c>
      <c r="GN253" s="2">
        <f t="shared" si="299"/>
        <v>2</v>
      </c>
      <c r="GO253" s="2">
        <f t="shared" si="300"/>
        <v>0</v>
      </c>
      <c r="GP253" s="2">
        <f t="shared" si="301"/>
        <v>0</v>
      </c>
      <c r="GQ253" s="2"/>
      <c r="GR253" s="2">
        <v>0</v>
      </c>
      <c r="GS253" s="2">
        <v>3</v>
      </c>
      <c r="GT253" s="2">
        <v>0</v>
      </c>
      <c r="GU253" s="2" t="s">
        <v>6</v>
      </c>
      <c r="GV253" s="2">
        <f t="shared" si="302"/>
        <v>0</v>
      </c>
      <c r="GW253" s="2">
        <v>1</v>
      </c>
      <c r="GX253" s="2">
        <f t="shared" si="303"/>
        <v>0</v>
      </c>
      <c r="GY253" s="2"/>
      <c r="GZ253" s="2"/>
      <c r="HA253" s="2">
        <v>0</v>
      </c>
      <c r="HB253" s="2">
        <v>0</v>
      </c>
      <c r="HC253" s="2">
        <f t="shared" si="304"/>
        <v>0</v>
      </c>
      <c r="HD253" s="2"/>
      <c r="HE253" s="2" t="s">
        <v>6</v>
      </c>
      <c r="HF253" s="2" t="s">
        <v>6</v>
      </c>
      <c r="HG253" s="2"/>
      <c r="HH253" s="2"/>
      <c r="HI253" s="2"/>
      <c r="HJ253" s="2"/>
      <c r="HK253" s="2"/>
      <c r="HL253" s="2"/>
      <c r="HM253" s="2" t="s">
        <v>6</v>
      </c>
      <c r="HN253" s="2" t="s">
        <v>6</v>
      </c>
      <c r="HO253" s="2" t="s">
        <v>6</v>
      </c>
      <c r="HP253" s="2" t="s">
        <v>6</v>
      </c>
      <c r="HQ253" s="2" t="s">
        <v>6</v>
      </c>
      <c r="HR253" s="2"/>
      <c r="HS253" s="2"/>
      <c r="HT253" s="2"/>
      <c r="HU253" s="2"/>
      <c r="HV253" s="2"/>
      <c r="HW253" s="2"/>
      <c r="HX253" s="2"/>
      <c r="HY253" s="2"/>
      <c r="HZ253" s="2"/>
      <c r="IA253" s="2"/>
      <c r="IB253" s="2"/>
      <c r="IC253" s="2"/>
      <c r="ID253" s="2"/>
      <c r="IE253" s="2"/>
      <c r="IF253" s="2">
        <v>-1</v>
      </c>
      <c r="IG253" s="2"/>
      <c r="IH253" s="2"/>
      <c r="II253" s="2"/>
      <c r="IJ253" s="2"/>
      <c r="IK253" s="2">
        <v>0</v>
      </c>
      <c r="IL253" s="2"/>
      <c r="IM253" s="2"/>
      <c r="IN253" s="2"/>
      <c r="IO253" s="2"/>
      <c r="IP253" s="2"/>
      <c r="IQ253" s="2"/>
      <c r="IR253" s="2"/>
      <c r="IS253" s="2"/>
      <c r="IT253" s="2"/>
      <c r="IU253" s="2"/>
    </row>
    <row r="254" spans="1:255" x14ac:dyDescent="0.2">
      <c r="A254">
        <v>18</v>
      </c>
      <c r="B254">
        <v>1</v>
      </c>
      <c r="C254">
        <v>318</v>
      </c>
      <c r="E254" t="s">
        <v>358</v>
      </c>
      <c r="F254" t="e">
        <f>'2.Лок.смета.и.Акт'!#REF!</f>
        <v>#REF!</v>
      </c>
      <c r="G254" t="s">
        <v>317</v>
      </c>
      <c r="H254" t="s">
        <v>33</v>
      </c>
      <c r="I254">
        <f>I252*J254</f>
        <v>1.9924999999999999E-4</v>
      </c>
      <c r="J254">
        <v>6.0015060240963848E-3</v>
      </c>
      <c r="K254">
        <v>6.0000000000000001E-3</v>
      </c>
      <c r="O254">
        <f t="shared" si="273"/>
        <v>20</v>
      </c>
      <c r="P254">
        <f t="shared" si="274"/>
        <v>20</v>
      </c>
      <c r="Q254">
        <f t="shared" si="275"/>
        <v>0</v>
      </c>
      <c r="R254">
        <f t="shared" si="276"/>
        <v>0</v>
      </c>
      <c r="S254">
        <f t="shared" si="277"/>
        <v>0</v>
      </c>
      <c r="T254">
        <f t="shared" si="278"/>
        <v>0</v>
      </c>
      <c r="U254">
        <f t="shared" si="279"/>
        <v>0</v>
      </c>
      <c r="V254">
        <f t="shared" si="280"/>
        <v>0</v>
      </c>
      <c r="W254">
        <f t="shared" si="281"/>
        <v>0</v>
      </c>
      <c r="X254">
        <f t="shared" si="282"/>
        <v>0</v>
      </c>
      <c r="Y254">
        <f t="shared" si="283"/>
        <v>0</v>
      </c>
      <c r="AA254">
        <v>86326988</v>
      </c>
      <c r="AB254">
        <f t="shared" si="284"/>
        <v>13505.55</v>
      </c>
      <c r="AC254">
        <f t="shared" si="305"/>
        <v>13505.55</v>
      </c>
      <c r="AD254">
        <f t="shared" si="306"/>
        <v>0</v>
      </c>
      <c r="AE254">
        <f t="shared" si="307"/>
        <v>0</v>
      </c>
      <c r="AF254">
        <f t="shared" si="307"/>
        <v>0</v>
      </c>
      <c r="AG254">
        <f t="shared" si="285"/>
        <v>0</v>
      </c>
      <c r="AH254">
        <f t="shared" si="308"/>
        <v>0</v>
      </c>
      <c r="AI254">
        <f t="shared" si="308"/>
        <v>0</v>
      </c>
      <c r="AJ254">
        <f t="shared" si="286"/>
        <v>22.28</v>
      </c>
      <c r="AK254">
        <v>13505.55</v>
      </c>
      <c r="AL254">
        <v>13505.55</v>
      </c>
      <c r="AM254">
        <v>0</v>
      </c>
      <c r="AN254">
        <v>0</v>
      </c>
      <c r="AO254">
        <v>0</v>
      </c>
      <c r="AP254">
        <v>0</v>
      </c>
      <c r="AQ254">
        <v>0</v>
      </c>
      <c r="AR254">
        <v>0</v>
      </c>
      <c r="AS254">
        <v>22.28</v>
      </c>
      <c r="AT254">
        <v>0</v>
      </c>
      <c r="AU254">
        <v>0</v>
      </c>
      <c r="AV254">
        <v>1</v>
      </c>
      <c r="AW254">
        <v>1</v>
      </c>
      <c r="AZ254">
        <v>1</v>
      </c>
      <c r="BA254">
        <v>1</v>
      </c>
      <c r="BB254">
        <v>1</v>
      </c>
      <c r="BC254">
        <v>7.56</v>
      </c>
      <c r="BD254" t="s">
        <v>6</v>
      </c>
      <c r="BE254" t="s">
        <v>6</v>
      </c>
      <c r="BF254" t="s">
        <v>6</v>
      </c>
      <c r="BG254" t="s">
        <v>6</v>
      </c>
      <c r="BH254">
        <v>3</v>
      </c>
      <c r="BI254">
        <v>1</v>
      </c>
      <c r="BJ254" t="s">
        <v>318</v>
      </c>
      <c r="BM254">
        <v>500001</v>
      </c>
      <c r="BN254">
        <v>0</v>
      </c>
      <c r="BO254" t="s">
        <v>6</v>
      </c>
      <c r="BP254">
        <v>0</v>
      </c>
      <c r="BQ254">
        <v>20</v>
      </c>
      <c r="BR254">
        <v>0</v>
      </c>
      <c r="BS254">
        <v>1</v>
      </c>
      <c r="BT254">
        <v>1</v>
      </c>
      <c r="BU254">
        <v>1</v>
      </c>
      <c r="BV254">
        <v>1</v>
      </c>
      <c r="BW254">
        <v>1</v>
      </c>
      <c r="BX254">
        <v>1</v>
      </c>
      <c r="BY254" t="s">
        <v>6</v>
      </c>
      <c r="BZ254">
        <v>0</v>
      </c>
      <c r="CA254">
        <v>0</v>
      </c>
      <c r="CB254" t="s">
        <v>6</v>
      </c>
      <c r="CE254">
        <v>0</v>
      </c>
      <c r="CF254">
        <v>0</v>
      </c>
      <c r="CG254">
        <v>0</v>
      </c>
      <c r="CM254">
        <v>0</v>
      </c>
      <c r="CN254" t="s">
        <v>6</v>
      </c>
      <c r="CO254">
        <v>0</v>
      </c>
      <c r="CP254">
        <f t="shared" si="287"/>
        <v>20</v>
      </c>
      <c r="CQ254">
        <f t="shared" si="288"/>
        <v>102101.95799999998</v>
      </c>
      <c r="CR254">
        <f t="shared" si="289"/>
        <v>0</v>
      </c>
      <c r="CS254">
        <f t="shared" si="290"/>
        <v>0</v>
      </c>
      <c r="CT254">
        <f t="shared" si="291"/>
        <v>0</v>
      </c>
      <c r="CU254">
        <f t="shared" si="292"/>
        <v>0</v>
      </c>
      <c r="CV254">
        <f t="shared" si="293"/>
        <v>0</v>
      </c>
      <c r="CW254">
        <f t="shared" si="294"/>
        <v>0</v>
      </c>
      <c r="CX254">
        <f t="shared" si="295"/>
        <v>22.28</v>
      </c>
      <c r="CY254">
        <f>(S254+R254)*(BZ254/100)</f>
        <v>0</v>
      </c>
      <c r="CZ254">
        <f>(S254+R254)*(CA254/100)</f>
        <v>0</v>
      </c>
      <c r="DC254" t="s">
        <v>6</v>
      </c>
      <c r="DD254" t="s">
        <v>6</v>
      </c>
      <c r="DE254" t="s">
        <v>6</v>
      </c>
      <c r="DF254" t="s">
        <v>6</v>
      </c>
      <c r="DG254" t="s">
        <v>6</v>
      </c>
      <c r="DH254" t="s">
        <v>6</v>
      </c>
      <c r="DI254" t="s">
        <v>6</v>
      </c>
      <c r="DJ254" t="s">
        <v>6</v>
      </c>
      <c r="DK254" t="s">
        <v>6</v>
      </c>
      <c r="DL254" t="s">
        <v>6</v>
      </c>
      <c r="DM254" t="s">
        <v>6</v>
      </c>
      <c r="DN254">
        <v>0</v>
      </c>
      <c r="DO254">
        <v>0</v>
      </c>
      <c r="DP254">
        <v>1</v>
      </c>
      <c r="DQ254">
        <v>1</v>
      </c>
      <c r="DU254">
        <v>1009</v>
      </c>
      <c r="DV254" t="s">
        <v>33</v>
      </c>
      <c r="DW254" t="e">
        <f>'2.Лок.смета.и.Акт'!#REF!</f>
        <v>#REF!</v>
      </c>
      <c r="DX254">
        <v>1000</v>
      </c>
      <c r="DZ254" t="s">
        <v>6</v>
      </c>
      <c r="EA254" t="s">
        <v>6</v>
      </c>
      <c r="EB254" t="s">
        <v>6</v>
      </c>
      <c r="EC254" t="s">
        <v>6</v>
      </c>
      <c r="EE254">
        <v>54938781</v>
      </c>
      <c r="EF254">
        <v>20</v>
      </c>
      <c r="EG254" t="s">
        <v>35</v>
      </c>
      <c r="EH254">
        <v>0</v>
      </c>
      <c r="EI254" t="s">
        <v>6</v>
      </c>
      <c r="EJ254">
        <v>1</v>
      </c>
      <c r="EK254">
        <v>500001</v>
      </c>
      <c r="EL254" t="s">
        <v>36</v>
      </c>
      <c r="EM254" t="s">
        <v>37</v>
      </c>
      <c r="EO254" t="s">
        <v>6</v>
      </c>
      <c r="EQ254">
        <v>0</v>
      </c>
      <c r="ER254">
        <v>96250</v>
      </c>
      <c r="ES254">
        <v>13505.55</v>
      </c>
      <c r="ET254">
        <v>0</v>
      </c>
      <c r="EU254">
        <v>0</v>
      </c>
      <c r="EV254">
        <v>0</v>
      </c>
      <c r="EW254">
        <v>0</v>
      </c>
      <c r="EX254">
        <v>0</v>
      </c>
      <c r="EZ254">
        <v>5</v>
      </c>
      <c r="FC254">
        <v>0</v>
      </c>
      <c r="FD254">
        <v>18</v>
      </c>
      <c r="FF254">
        <v>96250</v>
      </c>
      <c r="FQ254">
        <v>0</v>
      </c>
      <c r="FR254">
        <f t="shared" si="296"/>
        <v>0</v>
      </c>
      <c r="FS254">
        <v>0</v>
      </c>
      <c r="FX254">
        <v>0</v>
      </c>
      <c r="FY254">
        <v>0</v>
      </c>
      <c r="GA254" t="s">
        <v>319</v>
      </c>
      <c r="GD254">
        <v>1</v>
      </c>
      <c r="GF254">
        <v>1988624183</v>
      </c>
      <c r="GG254">
        <v>2</v>
      </c>
      <c r="GH254">
        <v>3</v>
      </c>
      <c r="GI254">
        <v>5</v>
      </c>
      <c r="GJ254">
        <v>0</v>
      </c>
      <c r="GK254">
        <v>0</v>
      </c>
      <c r="GL254">
        <f t="shared" si="297"/>
        <v>0</v>
      </c>
      <c r="GM254">
        <f t="shared" si="298"/>
        <v>20</v>
      </c>
      <c r="GN254">
        <f t="shared" si="299"/>
        <v>20</v>
      </c>
      <c r="GO254">
        <f t="shared" si="300"/>
        <v>0</v>
      </c>
      <c r="GP254">
        <f t="shared" si="301"/>
        <v>0</v>
      </c>
      <c r="GR254">
        <v>1</v>
      </c>
      <c r="GS254">
        <v>1</v>
      </c>
      <c r="GT254">
        <v>0</v>
      </c>
      <c r="GU254" t="s">
        <v>6</v>
      </c>
      <c r="GV254">
        <f t="shared" si="302"/>
        <v>0</v>
      </c>
      <c r="GW254">
        <v>1</v>
      </c>
      <c r="GX254">
        <f t="shared" si="303"/>
        <v>0</v>
      </c>
      <c r="HA254">
        <v>0</v>
      </c>
      <c r="HB254">
        <v>0</v>
      </c>
      <c r="HC254">
        <f t="shared" si="304"/>
        <v>0</v>
      </c>
      <c r="HE254" t="s">
        <v>39</v>
      </c>
      <c r="HF254" t="s">
        <v>40</v>
      </c>
      <c r="HM254" t="s">
        <v>6</v>
      </c>
      <c r="HN254" t="s">
        <v>6</v>
      </c>
      <c r="HO254" t="s">
        <v>6</v>
      </c>
      <c r="HP254" t="s">
        <v>6</v>
      </c>
      <c r="HQ254" t="s">
        <v>6</v>
      </c>
      <c r="IF254">
        <v>-1</v>
      </c>
      <c r="IK254">
        <v>0</v>
      </c>
    </row>
    <row r="255" spans="1:255" x14ac:dyDescent="0.2">
      <c r="A255" s="2">
        <v>18</v>
      </c>
      <c r="B255" s="2">
        <v>1</v>
      </c>
      <c r="C255" s="2">
        <v>311</v>
      </c>
      <c r="D255" s="2"/>
      <c r="E255" s="2" t="s">
        <v>359</v>
      </c>
      <c r="F255" s="2" t="s">
        <v>360</v>
      </c>
      <c r="G255" s="2" t="s">
        <v>361</v>
      </c>
      <c r="H255" s="2" t="s">
        <v>33</v>
      </c>
      <c r="I255" s="2">
        <f>I251*J255</f>
        <v>1.9699999999999999E-2</v>
      </c>
      <c r="J255" s="226">
        <f>'5.Ведомость_списания'!F122</f>
        <v>0.59337349397590355</v>
      </c>
      <c r="K255" s="2">
        <v>0.59337300000000004</v>
      </c>
      <c r="L255" s="2"/>
      <c r="M255" s="2"/>
      <c r="N255" s="2"/>
      <c r="O255" s="2">
        <f t="shared" si="273"/>
        <v>290</v>
      </c>
      <c r="P255" s="2">
        <f t="shared" si="274"/>
        <v>290</v>
      </c>
      <c r="Q255" s="2">
        <f t="shared" si="275"/>
        <v>0</v>
      </c>
      <c r="R255" s="2">
        <f t="shared" si="276"/>
        <v>0</v>
      </c>
      <c r="S255" s="2">
        <f t="shared" si="277"/>
        <v>0</v>
      </c>
      <c r="T255" s="2">
        <f t="shared" si="278"/>
        <v>0</v>
      </c>
      <c r="U255" s="2">
        <f t="shared" si="279"/>
        <v>0</v>
      </c>
      <c r="V255" s="2">
        <f t="shared" si="280"/>
        <v>0</v>
      </c>
      <c r="W255" s="2">
        <f t="shared" si="281"/>
        <v>0</v>
      </c>
      <c r="X255" s="2">
        <f t="shared" si="282"/>
        <v>0</v>
      </c>
      <c r="Y255" s="2">
        <f t="shared" si="283"/>
        <v>0</v>
      </c>
      <c r="Z255" s="2"/>
      <c r="AA255" s="2">
        <v>86326987</v>
      </c>
      <c r="AB255" s="2">
        <f t="shared" si="284"/>
        <v>14744.52</v>
      </c>
      <c r="AC255" s="2">
        <f t="shared" si="305"/>
        <v>14744.52</v>
      </c>
      <c r="AD255" s="2">
        <f t="shared" si="306"/>
        <v>0</v>
      </c>
      <c r="AE255" s="2">
        <f t="shared" si="307"/>
        <v>0</v>
      </c>
      <c r="AF255" s="2">
        <f t="shared" si="307"/>
        <v>0</v>
      </c>
      <c r="AG255" s="2">
        <f t="shared" si="285"/>
        <v>0</v>
      </c>
      <c r="AH255" s="2">
        <f t="shared" si="308"/>
        <v>0</v>
      </c>
      <c r="AI255" s="2">
        <f t="shared" si="308"/>
        <v>0</v>
      </c>
      <c r="AJ255" s="2">
        <f t="shared" si="286"/>
        <v>0</v>
      </c>
      <c r="AK255" s="2">
        <v>14744.52</v>
      </c>
      <c r="AL255" s="110">
        <f>'1.Лок.смета.и.Акт'!F445</f>
        <v>14744.52</v>
      </c>
      <c r="AM255" s="2">
        <v>0</v>
      </c>
      <c r="AN255" s="2">
        <v>0</v>
      </c>
      <c r="AO255" s="2">
        <v>0</v>
      </c>
      <c r="AP255" s="2">
        <v>0</v>
      </c>
      <c r="AQ255" s="2">
        <v>0</v>
      </c>
      <c r="AR255" s="2">
        <v>0</v>
      </c>
      <c r="AS255" s="2">
        <v>0</v>
      </c>
      <c r="AT255" s="2">
        <v>0</v>
      </c>
      <c r="AU255" s="2">
        <v>0</v>
      </c>
      <c r="AV255" s="2">
        <v>1</v>
      </c>
      <c r="AW255" s="2">
        <v>1</v>
      </c>
      <c r="AX255" s="2"/>
      <c r="AY255" s="2"/>
      <c r="AZ255" s="2">
        <v>1</v>
      </c>
      <c r="BA255" s="2">
        <v>1</v>
      </c>
      <c r="BB255" s="2">
        <v>1</v>
      </c>
      <c r="BC255" s="2">
        <v>1</v>
      </c>
      <c r="BD255" s="2" t="s">
        <v>6</v>
      </c>
      <c r="BE255" s="2" t="s">
        <v>6</v>
      </c>
      <c r="BF255" s="2" t="s">
        <v>6</v>
      </c>
      <c r="BG255" s="2" t="s">
        <v>6</v>
      </c>
      <c r="BH255" s="2">
        <v>3</v>
      </c>
      <c r="BI255" s="2">
        <v>1</v>
      </c>
      <c r="BJ255" s="2" t="s">
        <v>362</v>
      </c>
      <c r="BK255" s="2"/>
      <c r="BL255" s="2"/>
      <c r="BM255" s="2">
        <v>500003</v>
      </c>
      <c r="BN255" s="2">
        <v>0</v>
      </c>
      <c r="BO255" s="2" t="s">
        <v>6</v>
      </c>
      <c r="BP255" s="2">
        <v>0</v>
      </c>
      <c r="BQ255" s="2">
        <v>22</v>
      </c>
      <c r="BR255" s="2">
        <v>0</v>
      </c>
      <c r="BS255" s="2">
        <v>1</v>
      </c>
      <c r="BT255" s="2">
        <v>1</v>
      </c>
      <c r="BU255" s="2">
        <v>1</v>
      </c>
      <c r="BV255" s="2">
        <v>1</v>
      </c>
      <c r="BW255" s="2">
        <v>1</v>
      </c>
      <c r="BX255" s="2">
        <v>1</v>
      </c>
      <c r="BY255" s="2" t="s">
        <v>6</v>
      </c>
      <c r="BZ255" s="2">
        <v>0</v>
      </c>
      <c r="CA255" s="2">
        <v>0</v>
      </c>
      <c r="CB255" s="2" t="s">
        <v>6</v>
      </c>
      <c r="CC255" s="2"/>
      <c r="CD255" s="2"/>
      <c r="CE255" s="2">
        <v>0</v>
      </c>
      <c r="CF255" s="2">
        <v>0</v>
      </c>
      <c r="CG255" s="2">
        <v>0</v>
      </c>
      <c r="CH255" s="2"/>
      <c r="CI255" s="2"/>
      <c r="CJ255" s="2"/>
      <c r="CK255" s="2"/>
      <c r="CL255" s="2"/>
      <c r="CM255" s="2">
        <v>0</v>
      </c>
      <c r="CN255" s="2" t="s">
        <v>6</v>
      </c>
      <c r="CO255" s="2">
        <v>0</v>
      </c>
      <c r="CP255" s="2">
        <f t="shared" si="287"/>
        <v>290</v>
      </c>
      <c r="CQ255" s="2">
        <f t="shared" si="288"/>
        <v>14744.52</v>
      </c>
      <c r="CR255" s="2">
        <f t="shared" si="289"/>
        <v>0</v>
      </c>
      <c r="CS255" s="2">
        <f t="shared" si="290"/>
        <v>0</v>
      </c>
      <c r="CT255" s="2">
        <f t="shared" si="291"/>
        <v>0</v>
      </c>
      <c r="CU255" s="2">
        <f t="shared" si="292"/>
        <v>0</v>
      </c>
      <c r="CV255" s="2">
        <f t="shared" si="293"/>
        <v>0</v>
      </c>
      <c r="CW255" s="2">
        <f t="shared" si="294"/>
        <v>0</v>
      </c>
      <c r="CX255" s="2">
        <f t="shared" si="295"/>
        <v>0</v>
      </c>
      <c r="CY255" s="2">
        <f>(((S255+(R255*IF(0,0,1)))*AT255)/100)</f>
        <v>0</v>
      </c>
      <c r="CZ255" s="2">
        <f>(((S255+(R255*IF(0,0,1)))*AU255)/100)</f>
        <v>0</v>
      </c>
      <c r="DA255" s="2"/>
      <c r="DB255" s="2"/>
      <c r="DC255" s="2" t="s">
        <v>6</v>
      </c>
      <c r="DD255" s="2" t="s">
        <v>6</v>
      </c>
      <c r="DE255" s="2" t="s">
        <v>6</v>
      </c>
      <c r="DF255" s="2" t="s">
        <v>6</v>
      </c>
      <c r="DG255" s="2" t="s">
        <v>6</v>
      </c>
      <c r="DH255" s="2" t="s">
        <v>6</v>
      </c>
      <c r="DI255" s="2" t="s">
        <v>6</v>
      </c>
      <c r="DJ255" s="2" t="s">
        <v>6</v>
      </c>
      <c r="DK255" s="2" t="s">
        <v>6</v>
      </c>
      <c r="DL255" s="2" t="s">
        <v>6</v>
      </c>
      <c r="DM255" s="2" t="s">
        <v>6</v>
      </c>
      <c r="DN255" s="2">
        <v>0</v>
      </c>
      <c r="DO255" s="2">
        <v>0</v>
      </c>
      <c r="DP255" s="2">
        <v>1</v>
      </c>
      <c r="DQ255" s="2">
        <v>1</v>
      </c>
      <c r="DR255" s="2"/>
      <c r="DS255" s="2"/>
      <c r="DT255" s="2"/>
      <c r="DU255" s="2">
        <v>1009</v>
      </c>
      <c r="DV255" s="2" t="s">
        <v>33</v>
      </c>
      <c r="DW255" s="2" t="s">
        <v>33</v>
      </c>
      <c r="DX255" s="2">
        <v>1000</v>
      </c>
      <c r="DY255" s="2"/>
      <c r="DZ255" s="2" t="s">
        <v>6</v>
      </c>
      <c r="EA255" s="2" t="s">
        <v>6</v>
      </c>
      <c r="EB255" s="2" t="s">
        <v>6</v>
      </c>
      <c r="EC255" s="2" t="s">
        <v>6</v>
      </c>
      <c r="ED255" s="2"/>
      <c r="EE255" s="2">
        <v>54938783</v>
      </c>
      <c r="EF255" s="2">
        <v>22</v>
      </c>
      <c r="EG255" s="2" t="s">
        <v>57</v>
      </c>
      <c r="EH255" s="2">
        <v>0</v>
      </c>
      <c r="EI255" s="2" t="s">
        <v>6</v>
      </c>
      <c r="EJ255" s="2">
        <v>1</v>
      </c>
      <c r="EK255" s="2">
        <v>500003</v>
      </c>
      <c r="EL255" s="2" t="s">
        <v>58</v>
      </c>
      <c r="EM255" s="2" t="s">
        <v>59</v>
      </c>
      <c r="EN255" s="2"/>
      <c r="EO255" s="2" t="s">
        <v>6</v>
      </c>
      <c r="EP255" s="2"/>
      <c r="EQ255" s="2">
        <v>0</v>
      </c>
      <c r="ER255" s="2">
        <v>14744.52</v>
      </c>
      <c r="ES255" s="110">
        <f>'1.Лок.смета.и.Акт'!F445</f>
        <v>14744.52</v>
      </c>
      <c r="ET255" s="2">
        <v>0</v>
      </c>
      <c r="EU255" s="2">
        <v>0</v>
      </c>
      <c r="EV255" s="2">
        <v>0</v>
      </c>
      <c r="EW255" s="2">
        <v>0</v>
      </c>
      <c r="EX255" s="2">
        <v>0</v>
      </c>
      <c r="EY255" s="2"/>
      <c r="EZ255" s="2"/>
      <c r="FA255" s="2"/>
      <c r="FB255" s="2"/>
      <c r="FC255" s="2"/>
      <c r="FD255" s="2"/>
      <c r="FE255" s="2"/>
      <c r="FF255" s="2"/>
      <c r="FG255" s="2"/>
      <c r="FH255" s="2"/>
      <c r="FI255" s="2"/>
      <c r="FJ255" s="2"/>
      <c r="FK255" s="2"/>
      <c r="FL255" s="2"/>
      <c r="FM255" s="2"/>
      <c r="FN255" s="2"/>
      <c r="FO255" s="2"/>
      <c r="FP255" s="2"/>
      <c r="FQ255" s="2">
        <v>0</v>
      </c>
      <c r="FR255" s="2">
        <f t="shared" si="296"/>
        <v>0</v>
      </c>
      <c r="FS255" s="2">
        <v>0</v>
      </c>
      <c r="FT255" s="2"/>
      <c r="FU255" s="2"/>
      <c r="FV255" s="2"/>
      <c r="FW255" s="2"/>
      <c r="FX255" s="2">
        <v>0</v>
      </c>
      <c r="FY255" s="2">
        <v>0</v>
      </c>
      <c r="FZ255" s="2"/>
      <c r="GA255" s="2" t="s">
        <v>6</v>
      </c>
      <c r="GB255" s="2"/>
      <c r="GC255" s="2"/>
      <c r="GD255" s="2">
        <v>1</v>
      </c>
      <c r="GE255" s="2"/>
      <c r="GF255" s="2">
        <v>1093046587</v>
      </c>
      <c r="GG255" s="2">
        <v>2</v>
      </c>
      <c r="GH255" s="2">
        <v>2</v>
      </c>
      <c r="GI255" s="2">
        <v>-2</v>
      </c>
      <c r="GJ255" s="2">
        <v>0</v>
      </c>
      <c r="GK255" s="2">
        <v>0</v>
      </c>
      <c r="GL255" s="2">
        <f t="shared" si="297"/>
        <v>0</v>
      </c>
      <c r="GM255" s="2">
        <f t="shared" si="298"/>
        <v>290</v>
      </c>
      <c r="GN255" s="2">
        <f t="shared" si="299"/>
        <v>290</v>
      </c>
      <c r="GO255" s="2">
        <f t="shared" si="300"/>
        <v>0</v>
      </c>
      <c r="GP255" s="2">
        <f t="shared" si="301"/>
        <v>0</v>
      </c>
      <c r="GQ255" s="2"/>
      <c r="GR255" s="2">
        <v>0</v>
      </c>
      <c r="GS255" s="2">
        <v>2</v>
      </c>
      <c r="GT255" s="2">
        <v>0</v>
      </c>
      <c r="GU255" s="2" t="s">
        <v>6</v>
      </c>
      <c r="GV255" s="2">
        <f t="shared" si="302"/>
        <v>0</v>
      </c>
      <c r="GW255" s="2">
        <v>1</v>
      </c>
      <c r="GX255" s="2">
        <f t="shared" si="303"/>
        <v>0</v>
      </c>
      <c r="GY255" s="2"/>
      <c r="GZ255" s="2"/>
      <c r="HA255" s="2">
        <v>0</v>
      </c>
      <c r="HB255" s="2">
        <v>0</v>
      </c>
      <c r="HC255" s="2">
        <f t="shared" si="304"/>
        <v>0</v>
      </c>
      <c r="HD255" s="2"/>
      <c r="HE255" s="2" t="s">
        <v>6</v>
      </c>
      <c r="HF255" s="2" t="s">
        <v>6</v>
      </c>
      <c r="HG255" s="2"/>
      <c r="HH255" s="2"/>
      <c r="HI255" s="2"/>
      <c r="HJ255" s="2"/>
      <c r="HK255" s="2"/>
      <c r="HL255" s="2"/>
      <c r="HM255" s="2" t="s">
        <v>6</v>
      </c>
      <c r="HN255" s="2" t="s">
        <v>6</v>
      </c>
      <c r="HO255" s="2" t="s">
        <v>6</v>
      </c>
      <c r="HP255" s="2" t="s">
        <v>6</v>
      </c>
      <c r="HQ255" s="2" t="s">
        <v>6</v>
      </c>
      <c r="HR255" s="2"/>
      <c r="HS255" s="2"/>
      <c r="HT255" s="2"/>
      <c r="HU255" s="2"/>
      <c r="HV255" s="2"/>
      <c r="HW255" s="2"/>
      <c r="HX255" s="2"/>
      <c r="HY255" s="2"/>
      <c r="HZ255" s="2"/>
      <c r="IA255" s="2"/>
      <c r="IB255" s="2"/>
      <c r="IC255" s="2"/>
      <c r="ID255" s="2"/>
      <c r="IE255" s="2"/>
      <c r="IF255" s="2">
        <v>-1</v>
      </c>
      <c r="IG255" s="2"/>
      <c r="IH255" s="2"/>
      <c r="II255" s="2"/>
      <c r="IJ255" s="2"/>
      <c r="IK255" s="2">
        <v>0</v>
      </c>
      <c r="IL255" s="2"/>
      <c r="IM255" s="2"/>
      <c r="IN255" s="2"/>
      <c r="IO255" s="2"/>
      <c r="IP255" s="2"/>
      <c r="IQ255" s="2"/>
      <c r="IR255" s="2"/>
      <c r="IS255" s="2"/>
      <c r="IT255" s="2"/>
      <c r="IU255" s="2"/>
    </row>
    <row r="256" spans="1:255" x14ac:dyDescent="0.2">
      <c r="A256">
        <v>18</v>
      </c>
      <c r="B256">
        <v>1</v>
      </c>
      <c r="C256">
        <v>319</v>
      </c>
      <c r="E256" t="s">
        <v>359</v>
      </c>
      <c r="F256" t="e">
        <f>'2.Лок.смета.и.Акт'!#REF!</f>
        <v>#REF!</v>
      </c>
      <c r="G256" t="s">
        <v>361</v>
      </c>
      <c r="H256" t="s">
        <v>33</v>
      </c>
      <c r="I256">
        <f>I252*J256</f>
        <v>1.9699999999999999E-2</v>
      </c>
      <c r="J256">
        <v>0.59337349397590355</v>
      </c>
      <c r="K256">
        <v>0.59337300000000004</v>
      </c>
      <c r="O256">
        <f t="shared" si="273"/>
        <v>2301</v>
      </c>
      <c r="P256">
        <f t="shared" si="274"/>
        <v>2301</v>
      </c>
      <c r="Q256">
        <f t="shared" si="275"/>
        <v>0</v>
      </c>
      <c r="R256">
        <f t="shared" si="276"/>
        <v>0</v>
      </c>
      <c r="S256">
        <f t="shared" si="277"/>
        <v>0</v>
      </c>
      <c r="T256">
        <f t="shared" si="278"/>
        <v>0</v>
      </c>
      <c r="U256">
        <f t="shared" si="279"/>
        <v>0</v>
      </c>
      <c r="V256">
        <f t="shared" si="280"/>
        <v>0</v>
      </c>
      <c r="W256">
        <f t="shared" si="281"/>
        <v>0</v>
      </c>
      <c r="X256">
        <f t="shared" si="282"/>
        <v>0</v>
      </c>
      <c r="Y256">
        <f t="shared" si="283"/>
        <v>0</v>
      </c>
      <c r="AA256">
        <v>86326988</v>
      </c>
      <c r="AB256">
        <f t="shared" si="284"/>
        <v>15449.31</v>
      </c>
      <c r="AC256">
        <f t="shared" si="305"/>
        <v>15449.31</v>
      </c>
      <c r="AD256">
        <f t="shared" si="306"/>
        <v>0</v>
      </c>
      <c r="AE256">
        <f t="shared" si="307"/>
        <v>0</v>
      </c>
      <c r="AF256">
        <f t="shared" si="307"/>
        <v>0</v>
      </c>
      <c r="AG256">
        <f t="shared" si="285"/>
        <v>0</v>
      </c>
      <c r="AH256">
        <f t="shared" si="308"/>
        <v>0</v>
      </c>
      <c r="AI256">
        <f t="shared" si="308"/>
        <v>0</v>
      </c>
      <c r="AJ256">
        <f t="shared" si="286"/>
        <v>0</v>
      </c>
      <c r="AK256">
        <v>15449.310000000001</v>
      </c>
      <c r="AL256">
        <v>15449.310000000001</v>
      </c>
      <c r="AM256">
        <v>0</v>
      </c>
      <c r="AN256">
        <v>0</v>
      </c>
      <c r="AO256">
        <v>0</v>
      </c>
      <c r="AP256">
        <v>0</v>
      </c>
      <c r="AQ256">
        <v>0</v>
      </c>
      <c r="AR256">
        <v>0</v>
      </c>
      <c r="AS256">
        <v>0</v>
      </c>
      <c r="AT256">
        <v>0</v>
      </c>
      <c r="AU256">
        <v>0</v>
      </c>
      <c r="AV256">
        <v>1</v>
      </c>
      <c r="AW256">
        <v>1</v>
      </c>
      <c r="AZ256">
        <v>1</v>
      </c>
      <c r="BA256">
        <v>1</v>
      </c>
      <c r="BB256">
        <v>1</v>
      </c>
      <c r="BC256">
        <v>7.56</v>
      </c>
      <c r="BD256" t="s">
        <v>6</v>
      </c>
      <c r="BE256" t="s">
        <v>6</v>
      </c>
      <c r="BF256" t="s">
        <v>6</v>
      </c>
      <c r="BG256" t="s">
        <v>6</v>
      </c>
      <c r="BH256">
        <v>3</v>
      </c>
      <c r="BI256">
        <v>1</v>
      </c>
      <c r="BJ256" t="s">
        <v>362</v>
      </c>
      <c r="BM256">
        <v>500003</v>
      </c>
      <c r="BN256">
        <v>0</v>
      </c>
      <c r="BO256" t="s">
        <v>6</v>
      </c>
      <c r="BP256">
        <v>0</v>
      </c>
      <c r="BQ256">
        <v>22</v>
      </c>
      <c r="BR256">
        <v>0</v>
      </c>
      <c r="BS256">
        <v>1</v>
      </c>
      <c r="BT256">
        <v>1</v>
      </c>
      <c r="BU256">
        <v>1</v>
      </c>
      <c r="BV256">
        <v>1</v>
      </c>
      <c r="BW256">
        <v>1</v>
      </c>
      <c r="BX256">
        <v>1</v>
      </c>
      <c r="BY256" t="s">
        <v>6</v>
      </c>
      <c r="BZ256">
        <v>0</v>
      </c>
      <c r="CA256">
        <v>0</v>
      </c>
      <c r="CB256" t="s">
        <v>6</v>
      </c>
      <c r="CE256">
        <v>0</v>
      </c>
      <c r="CF256">
        <v>0</v>
      </c>
      <c r="CG256">
        <v>0</v>
      </c>
      <c r="CM256">
        <v>0</v>
      </c>
      <c r="CN256" t="s">
        <v>6</v>
      </c>
      <c r="CO256">
        <v>0</v>
      </c>
      <c r="CP256">
        <f t="shared" si="287"/>
        <v>2301</v>
      </c>
      <c r="CQ256">
        <f t="shared" si="288"/>
        <v>116796.7836</v>
      </c>
      <c r="CR256">
        <f t="shared" si="289"/>
        <v>0</v>
      </c>
      <c r="CS256">
        <f t="shared" si="290"/>
        <v>0</v>
      </c>
      <c r="CT256">
        <f t="shared" si="291"/>
        <v>0</v>
      </c>
      <c r="CU256">
        <f t="shared" si="292"/>
        <v>0</v>
      </c>
      <c r="CV256">
        <f t="shared" si="293"/>
        <v>0</v>
      </c>
      <c r="CW256">
        <f t="shared" si="294"/>
        <v>0</v>
      </c>
      <c r="CX256">
        <f t="shared" si="295"/>
        <v>0</v>
      </c>
      <c r="CY256">
        <f>(S256+R256)*(BZ256/100)</f>
        <v>0</v>
      </c>
      <c r="CZ256">
        <f>(S256+R256)*(CA256/100)</f>
        <v>0</v>
      </c>
      <c r="DC256" t="s">
        <v>6</v>
      </c>
      <c r="DD256" t="s">
        <v>6</v>
      </c>
      <c r="DE256" t="s">
        <v>6</v>
      </c>
      <c r="DF256" t="s">
        <v>6</v>
      </c>
      <c r="DG256" t="s">
        <v>6</v>
      </c>
      <c r="DH256" t="s">
        <v>6</v>
      </c>
      <c r="DI256" t="s">
        <v>6</v>
      </c>
      <c r="DJ256" t="s">
        <v>6</v>
      </c>
      <c r="DK256" t="s">
        <v>6</v>
      </c>
      <c r="DL256" t="s">
        <v>6</v>
      </c>
      <c r="DM256" t="s">
        <v>6</v>
      </c>
      <c r="DN256">
        <v>0</v>
      </c>
      <c r="DO256">
        <v>0</v>
      </c>
      <c r="DP256">
        <v>1</v>
      </c>
      <c r="DQ256">
        <v>1</v>
      </c>
      <c r="DU256">
        <v>1009</v>
      </c>
      <c r="DV256" t="s">
        <v>33</v>
      </c>
      <c r="DW256" t="e">
        <f>'2.Лок.смета.и.Акт'!#REF!</f>
        <v>#REF!</v>
      </c>
      <c r="DX256">
        <v>1000</v>
      </c>
      <c r="DZ256" t="s">
        <v>6</v>
      </c>
      <c r="EA256" t="s">
        <v>6</v>
      </c>
      <c r="EB256" t="s">
        <v>6</v>
      </c>
      <c r="EC256" t="s">
        <v>6</v>
      </c>
      <c r="EE256">
        <v>54938783</v>
      </c>
      <c r="EF256">
        <v>22</v>
      </c>
      <c r="EG256" t="s">
        <v>57</v>
      </c>
      <c r="EH256">
        <v>0</v>
      </c>
      <c r="EI256" t="s">
        <v>6</v>
      </c>
      <c r="EJ256">
        <v>1</v>
      </c>
      <c r="EK256">
        <v>500003</v>
      </c>
      <c r="EL256" t="s">
        <v>58</v>
      </c>
      <c r="EM256" t="s">
        <v>59</v>
      </c>
      <c r="EO256" t="s">
        <v>6</v>
      </c>
      <c r="EQ256">
        <v>0</v>
      </c>
      <c r="ER256">
        <v>111468.54</v>
      </c>
      <c r="ES256">
        <v>15449.310000000001</v>
      </c>
      <c r="ET256">
        <v>0</v>
      </c>
      <c r="EU256">
        <v>0</v>
      </c>
      <c r="EV256">
        <v>0</v>
      </c>
      <c r="EW256">
        <v>0</v>
      </c>
      <c r="EX256">
        <v>0</v>
      </c>
      <c r="EZ256">
        <v>5</v>
      </c>
      <c r="FC256">
        <v>0</v>
      </c>
      <c r="FD256">
        <v>18</v>
      </c>
      <c r="FF256">
        <v>111468.54</v>
      </c>
      <c r="FQ256">
        <v>0</v>
      </c>
      <c r="FR256">
        <f t="shared" si="296"/>
        <v>0</v>
      </c>
      <c r="FS256">
        <v>0</v>
      </c>
      <c r="FX256">
        <v>0</v>
      </c>
      <c r="FY256">
        <v>0</v>
      </c>
      <c r="GA256" t="s">
        <v>363</v>
      </c>
      <c r="GD256">
        <v>1</v>
      </c>
      <c r="GF256">
        <v>1093046587</v>
      </c>
      <c r="GG256">
        <v>2</v>
      </c>
      <c r="GH256">
        <v>3</v>
      </c>
      <c r="GI256">
        <v>5</v>
      </c>
      <c r="GJ256">
        <v>0</v>
      </c>
      <c r="GK256">
        <v>0</v>
      </c>
      <c r="GL256">
        <f t="shared" si="297"/>
        <v>0</v>
      </c>
      <c r="GM256">
        <f t="shared" si="298"/>
        <v>2301</v>
      </c>
      <c r="GN256">
        <f t="shared" si="299"/>
        <v>2301</v>
      </c>
      <c r="GO256">
        <f t="shared" si="300"/>
        <v>0</v>
      </c>
      <c r="GP256">
        <f t="shared" si="301"/>
        <v>0</v>
      </c>
      <c r="GR256">
        <v>1</v>
      </c>
      <c r="GS256">
        <v>1</v>
      </c>
      <c r="GT256">
        <v>0</v>
      </c>
      <c r="GU256" t="s">
        <v>6</v>
      </c>
      <c r="GV256">
        <f t="shared" si="302"/>
        <v>0</v>
      </c>
      <c r="GW256">
        <v>1</v>
      </c>
      <c r="GX256">
        <f t="shared" si="303"/>
        <v>0</v>
      </c>
      <c r="HA256">
        <v>0</v>
      </c>
      <c r="HB256">
        <v>0</v>
      </c>
      <c r="HC256">
        <f t="shared" si="304"/>
        <v>0</v>
      </c>
      <c r="HE256" t="s">
        <v>39</v>
      </c>
      <c r="HF256" t="s">
        <v>61</v>
      </c>
      <c r="HM256" t="s">
        <v>6</v>
      </c>
      <c r="HN256" t="s">
        <v>6</v>
      </c>
      <c r="HO256" t="s">
        <v>6</v>
      </c>
      <c r="HP256" t="s">
        <v>6</v>
      </c>
      <c r="HQ256" t="s">
        <v>6</v>
      </c>
      <c r="IF256">
        <v>-1</v>
      </c>
      <c r="IK256">
        <v>0</v>
      </c>
    </row>
    <row r="257" spans="1:255" x14ac:dyDescent="0.2">
      <c r="A257" s="2">
        <v>18</v>
      </c>
      <c r="B257" s="2">
        <v>1</v>
      </c>
      <c r="C257" s="2">
        <v>312</v>
      </c>
      <c r="D257" s="2"/>
      <c r="E257" s="2" t="s">
        <v>364</v>
      </c>
      <c r="F257" s="2" t="s">
        <v>365</v>
      </c>
      <c r="G257" s="2" t="s">
        <v>366</v>
      </c>
      <c r="H257" s="2" t="s">
        <v>33</v>
      </c>
      <c r="I257" s="2">
        <f>I251*J257</f>
        <v>1.35E-2</v>
      </c>
      <c r="J257" s="226">
        <f>'5.Ведомость_списания'!F123</f>
        <v>0.40662650602409639</v>
      </c>
      <c r="K257" s="2">
        <v>0.40662700000000002</v>
      </c>
      <c r="L257" s="2"/>
      <c r="M257" s="2"/>
      <c r="N257" s="2"/>
      <c r="O257" s="2">
        <f t="shared" si="273"/>
        <v>412</v>
      </c>
      <c r="P257" s="2">
        <f t="shared" si="274"/>
        <v>412</v>
      </c>
      <c r="Q257" s="2">
        <f t="shared" si="275"/>
        <v>0</v>
      </c>
      <c r="R257" s="2">
        <f t="shared" si="276"/>
        <v>0</v>
      </c>
      <c r="S257" s="2">
        <f t="shared" si="277"/>
        <v>0</v>
      </c>
      <c r="T257" s="2">
        <f t="shared" si="278"/>
        <v>0</v>
      </c>
      <c r="U257" s="2">
        <f t="shared" si="279"/>
        <v>0</v>
      </c>
      <c r="V257" s="2">
        <f t="shared" si="280"/>
        <v>0</v>
      </c>
      <c r="W257" s="2">
        <f t="shared" si="281"/>
        <v>0</v>
      </c>
      <c r="X257" s="2">
        <f t="shared" si="282"/>
        <v>0</v>
      </c>
      <c r="Y257" s="2">
        <f t="shared" si="283"/>
        <v>0</v>
      </c>
      <c r="Z257" s="2"/>
      <c r="AA257" s="2">
        <v>86326987</v>
      </c>
      <c r="AB257" s="2">
        <f t="shared" si="284"/>
        <v>30529.919999999998</v>
      </c>
      <c r="AC257" s="2">
        <f t="shared" si="305"/>
        <v>30529.919999999998</v>
      </c>
      <c r="AD257" s="2">
        <f t="shared" si="306"/>
        <v>0</v>
      </c>
      <c r="AE257" s="2">
        <f t="shared" si="307"/>
        <v>0</v>
      </c>
      <c r="AF257" s="2">
        <f t="shared" si="307"/>
        <v>0</v>
      </c>
      <c r="AG257" s="2">
        <f t="shared" si="285"/>
        <v>0</v>
      </c>
      <c r="AH257" s="2">
        <f t="shared" si="308"/>
        <v>0</v>
      </c>
      <c r="AI257" s="2">
        <f t="shared" si="308"/>
        <v>0</v>
      </c>
      <c r="AJ257" s="2">
        <f t="shared" si="286"/>
        <v>0</v>
      </c>
      <c r="AK257" s="2">
        <v>30529.920000000002</v>
      </c>
      <c r="AL257" s="110">
        <f>'1.Лок.смета.и.Акт'!F447</f>
        <v>30529.920000000002</v>
      </c>
      <c r="AM257" s="2">
        <v>0</v>
      </c>
      <c r="AN257" s="2">
        <v>0</v>
      </c>
      <c r="AO257" s="2">
        <v>0</v>
      </c>
      <c r="AP257" s="2">
        <v>0</v>
      </c>
      <c r="AQ257" s="2">
        <v>0</v>
      </c>
      <c r="AR257" s="2">
        <v>0</v>
      </c>
      <c r="AS257" s="2">
        <v>0</v>
      </c>
      <c r="AT257" s="2">
        <v>0</v>
      </c>
      <c r="AU257" s="2">
        <v>0</v>
      </c>
      <c r="AV257" s="2">
        <v>1</v>
      </c>
      <c r="AW257" s="2">
        <v>1</v>
      </c>
      <c r="AX257" s="2"/>
      <c r="AY257" s="2"/>
      <c r="AZ257" s="2">
        <v>1</v>
      </c>
      <c r="BA257" s="2">
        <v>1</v>
      </c>
      <c r="BB257" s="2">
        <v>1</v>
      </c>
      <c r="BC257" s="2">
        <v>1</v>
      </c>
      <c r="BD257" s="2" t="s">
        <v>6</v>
      </c>
      <c r="BE257" s="2" t="s">
        <v>6</v>
      </c>
      <c r="BF257" s="2" t="s">
        <v>6</v>
      </c>
      <c r="BG257" s="2" t="s">
        <v>6</v>
      </c>
      <c r="BH257" s="2">
        <v>3</v>
      </c>
      <c r="BI257" s="2">
        <v>1</v>
      </c>
      <c r="BJ257" s="2" t="s">
        <v>362</v>
      </c>
      <c r="BK257" s="2"/>
      <c r="BL257" s="2"/>
      <c r="BM257" s="2">
        <v>500003</v>
      </c>
      <c r="BN257" s="2">
        <v>0</v>
      </c>
      <c r="BO257" s="2" t="s">
        <v>6</v>
      </c>
      <c r="BP257" s="2">
        <v>0</v>
      </c>
      <c r="BQ257" s="2">
        <v>22</v>
      </c>
      <c r="BR257" s="2">
        <v>0</v>
      </c>
      <c r="BS257" s="2">
        <v>1</v>
      </c>
      <c r="BT257" s="2">
        <v>1</v>
      </c>
      <c r="BU257" s="2">
        <v>1</v>
      </c>
      <c r="BV257" s="2">
        <v>1</v>
      </c>
      <c r="BW257" s="2">
        <v>1</v>
      </c>
      <c r="BX257" s="2">
        <v>1</v>
      </c>
      <c r="BY257" s="2" t="s">
        <v>6</v>
      </c>
      <c r="BZ257" s="2">
        <v>0</v>
      </c>
      <c r="CA257" s="2">
        <v>0</v>
      </c>
      <c r="CB257" s="2" t="s">
        <v>6</v>
      </c>
      <c r="CC257" s="2"/>
      <c r="CD257" s="2"/>
      <c r="CE257" s="2">
        <v>0</v>
      </c>
      <c r="CF257" s="2">
        <v>0</v>
      </c>
      <c r="CG257" s="2">
        <v>0</v>
      </c>
      <c r="CH257" s="2"/>
      <c r="CI257" s="2"/>
      <c r="CJ257" s="2"/>
      <c r="CK257" s="2"/>
      <c r="CL257" s="2"/>
      <c r="CM257" s="2">
        <v>0</v>
      </c>
      <c r="CN257" s="2" t="s">
        <v>6</v>
      </c>
      <c r="CO257" s="2">
        <v>0</v>
      </c>
      <c r="CP257" s="2">
        <f t="shared" si="287"/>
        <v>412</v>
      </c>
      <c r="CQ257" s="2">
        <f t="shared" si="288"/>
        <v>30529.919999999998</v>
      </c>
      <c r="CR257" s="2">
        <f t="shared" si="289"/>
        <v>0</v>
      </c>
      <c r="CS257" s="2">
        <f t="shared" si="290"/>
        <v>0</v>
      </c>
      <c r="CT257" s="2">
        <f t="shared" si="291"/>
        <v>0</v>
      </c>
      <c r="CU257" s="2">
        <f t="shared" si="292"/>
        <v>0</v>
      </c>
      <c r="CV257" s="2">
        <f t="shared" si="293"/>
        <v>0</v>
      </c>
      <c r="CW257" s="2">
        <f t="shared" si="294"/>
        <v>0</v>
      </c>
      <c r="CX257" s="2">
        <f t="shared" si="295"/>
        <v>0</v>
      </c>
      <c r="CY257" s="2">
        <f>(((S257+(R257*IF(0,0,1)))*AT257)/100)</f>
        <v>0</v>
      </c>
      <c r="CZ257" s="2">
        <f>(((S257+(R257*IF(0,0,1)))*AU257)/100)</f>
        <v>0</v>
      </c>
      <c r="DA257" s="2"/>
      <c r="DB257" s="2"/>
      <c r="DC257" s="2" t="s">
        <v>6</v>
      </c>
      <c r="DD257" s="2" t="s">
        <v>6</v>
      </c>
      <c r="DE257" s="2" t="s">
        <v>6</v>
      </c>
      <c r="DF257" s="2" t="s">
        <v>6</v>
      </c>
      <c r="DG257" s="2" t="s">
        <v>6</v>
      </c>
      <c r="DH257" s="2" t="s">
        <v>6</v>
      </c>
      <c r="DI257" s="2" t="s">
        <v>6</v>
      </c>
      <c r="DJ257" s="2" t="s">
        <v>6</v>
      </c>
      <c r="DK257" s="2" t="s">
        <v>6</v>
      </c>
      <c r="DL257" s="2" t="s">
        <v>6</v>
      </c>
      <c r="DM257" s="2" t="s">
        <v>6</v>
      </c>
      <c r="DN257" s="2">
        <v>0</v>
      </c>
      <c r="DO257" s="2">
        <v>0</v>
      </c>
      <c r="DP257" s="2">
        <v>1</v>
      </c>
      <c r="DQ257" s="2">
        <v>1</v>
      </c>
      <c r="DR257" s="2"/>
      <c r="DS257" s="2"/>
      <c r="DT257" s="2"/>
      <c r="DU257" s="2">
        <v>1009</v>
      </c>
      <c r="DV257" s="2" t="s">
        <v>33</v>
      </c>
      <c r="DW257" s="2" t="s">
        <v>33</v>
      </c>
      <c r="DX257" s="2">
        <v>1000</v>
      </c>
      <c r="DY257" s="2"/>
      <c r="DZ257" s="2" t="s">
        <v>6</v>
      </c>
      <c r="EA257" s="2" t="s">
        <v>6</v>
      </c>
      <c r="EB257" s="2" t="s">
        <v>6</v>
      </c>
      <c r="EC257" s="2" t="s">
        <v>6</v>
      </c>
      <c r="ED257" s="2"/>
      <c r="EE257" s="2">
        <v>54938783</v>
      </c>
      <c r="EF257" s="2">
        <v>22</v>
      </c>
      <c r="EG257" s="2" t="s">
        <v>57</v>
      </c>
      <c r="EH257" s="2">
        <v>0</v>
      </c>
      <c r="EI257" s="2" t="s">
        <v>6</v>
      </c>
      <c r="EJ257" s="2">
        <v>1</v>
      </c>
      <c r="EK257" s="2">
        <v>500003</v>
      </c>
      <c r="EL257" s="2" t="s">
        <v>58</v>
      </c>
      <c r="EM257" s="2" t="s">
        <v>59</v>
      </c>
      <c r="EN257" s="2"/>
      <c r="EO257" s="2" t="s">
        <v>6</v>
      </c>
      <c r="EP257" s="2"/>
      <c r="EQ257" s="2">
        <v>0</v>
      </c>
      <c r="ER257" s="2">
        <v>14744.52</v>
      </c>
      <c r="ES257" s="110">
        <f>'1.Лок.смета.и.Акт'!F447</f>
        <v>30529.920000000002</v>
      </c>
      <c r="ET257" s="2">
        <v>0</v>
      </c>
      <c r="EU257" s="2">
        <v>0</v>
      </c>
      <c r="EV257" s="2">
        <v>0</v>
      </c>
      <c r="EW257" s="2">
        <v>0</v>
      </c>
      <c r="EX257" s="2">
        <v>0</v>
      </c>
      <c r="EY257" s="2"/>
      <c r="EZ257" s="2"/>
      <c r="FA257" s="2"/>
      <c r="FB257" s="2"/>
      <c r="FC257" s="2"/>
      <c r="FD257" s="2"/>
      <c r="FE257" s="2"/>
      <c r="FF257" s="2"/>
      <c r="FG257" s="2"/>
      <c r="FH257" s="2"/>
      <c r="FI257" s="2"/>
      <c r="FJ257" s="2"/>
      <c r="FK257" s="2"/>
      <c r="FL257" s="2"/>
      <c r="FM257" s="2"/>
      <c r="FN257" s="2"/>
      <c r="FO257" s="2"/>
      <c r="FP257" s="2"/>
      <c r="FQ257" s="2">
        <v>0</v>
      </c>
      <c r="FR257" s="2">
        <f t="shared" si="296"/>
        <v>0</v>
      </c>
      <c r="FS257" s="2">
        <v>0</v>
      </c>
      <c r="FT257" s="2"/>
      <c r="FU257" s="2"/>
      <c r="FV257" s="2"/>
      <c r="FW257" s="2"/>
      <c r="FX257" s="2">
        <v>0</v>
      </c>
      <c r="FY257" s="2">
        <v>0</v>
      </c>
      <c r="FZ257" s="2"/>
      <c r="GA257" s="2" t="s">
        <v>367</v>
      </c>
      <c r="GB257" s="2"/>
      <c r="GC257" s="2"/>
      <c r="GD257" s="2">
        <v>1</v>
      </c>
      <c r="GE257" s="2"/>
      <c r="GF257" s="2">
        <v>-1150752990</v>
      </c>
      <c r="GG257" s="2">
        <v>2</v>
      </c>
      <c r="GH257" s="2">
        <v>4</v>
      </c>
      <c r="GI257" s="2">
        <v>-2</v>
      </c>
      <c r="GJ257" s="2">
        <v>0</v>
      </c>
      <c r="GK257" s="2">
        <v>0</v>
      </c>
      <c r="GL257" s="2">
        <f t="shared" si="297"/>
        <v>0</v>
      </c>
      <c r="GM257" s="2">
        <f t="shared" si="298"/>
        <v>412</v>
      </c>
      <c r="GN257" s="2">
        <f t="shared" si="299"/>
        <v>412</v>
      </c>
      <c r="GO257" s="2">
        <f t="shared" si="300"/>
        <v>0</v>
      </c>
      <c r="GP257" s="2">
        <f t="shared" si="301"/>
        <v>0</v>
      </c>
      <c r="GQ257" s="2"/>
      <c r="GR257" s="2">
        <v>0</v>
      </c>
      <c r="GS257" s="2">
        <v>2</v>
      </c>
      <c r="GT257" s="2">
        <v>0</v>
      </c>
      <c r="GU257" s="2" t="s">
        <v>6</v>
      </c>
      <c r="GV257" s="2">
        <f t="shared" si="302"/>
        <v>0</v>
      </c>
      <c r="GW257" s="2">
        <v>1</v>
      </c>
      <c r="GX257" s="2">
        <f t="shared" si="303"/>
        <v>0</v>
      </c>
      <c r="GY257" s="2"/>
      <c r="GZ257" s="2"/>
      <c r="HA257" s="2">
        <v>0</v>
      </c>
      <c r="HB257" s="2">
        <v>0</v>
      </c>
      <c r="HC257" s="2">
        <f t="shared" si="304"/>
        <v>0</v>
      </c>
      <c r="HD257" s="2"/>
      <c r="HE257" s="2" t="s">
        <v>39</v>
      </c>
      <c r="HF257" s="2" t="s">
        <v>61</v>
      </c>
      <c r="HG257" s="2"/>
      <c r="HH257" s="2"/>
      <c r="HI257" s="2"/>
      <c r="HJ257" s="2"/>
      <c r="HK257" s="2"/>
      <c r="HL257" s="2"/>
      <c r="HM257" s="2" t="s">
        <v>6</v>
      </c>
      <c r="HN257" s="2" t="s">
        <v>6</v>
      </c>
      <c r="HO257" s="2" t="s">
        <v>6</v>
      </c>
      <c r="HP257" s="2" t="s">
        <v>6</v>
      </c>
      <c r="HQ257" s="2" t="s">
        <v>6</v>
      </c>
      <c r="HR257" s="2"/>
      <c r="HS257" s="2"/>
      <c r="HT257" s="2"/>
      <c r="HU257" s="2"/>
      <c r="HV257" s="2"/>
      <c r="HW257" s="2"/>
      <c r="HX257" s="2"/>
      <c r="HY257" s="2"/>
      <c r="HZ257" s="2"/>
      <c r="IA257" s="2"/>
      <c r="IB257" s="2"/>
      <c r="IC257" s="2"/>
      <c r="ID257" s="2"/>
      <c r="IE257" s="2"/>
      <c r="IF257" s="2">
        <v>-1</v>
      </c>
      <c r="IG257" s="2"/>
      <c r="IH257" s="2"/>
      <c r="II257" s="2"/>
      <c r="IJ257" s="2"/>
      <c r="IK257" s="2">
        <v>0</v>
      </c>
      <c r="IL257" s="2"/>
      <c r="IM257" s="2"/>
      <c r="IN257" s="2"/>
      <c r="IO257" s="2"/>
      <c r="IP257" s="2"/>
      <c r="IQ257" s="2"/>
      <c r="IR257" s="2"/>
      <c r="IS257" s="2"/>
      <c r="IT257" s="2"/>
      <c r="IU257" s="2"/>
    </row>
    <row r="258" spans="1:255" x14ac:dyDescent="0.2">
      <c r="A258">
        <v>18</v>
      </c>
      <c r="B258">
        <v>1</v>
      </c>
      <c r="C258">
        <v>320</v>
      </c>
      <c r="E258" t="s">
        <v>364</v>
      </c>
      <c r="F258" t="e">
        <f>'2.Лок.смета.и.Акт'!#REF!</f>
        <v>#REF!</v>
      </c>
      <c r="G258" t="s">
        <v>366</v>
      </c>
      <c r="H258" t="s">
        <v>33</v>
      </c>
      <c r="I258">
        <f>I252*J258</f>
        <v>1.35E-2</v>
      </c>
      <c r="J258">
        <v>0.40662650602409639</v>
      </c>
      <c r="K258">
        <v>0.40662700000000002</v>
      </c>
      <c r="O258">
        <f t="shared" si="273"/>
        <v>3116</v>
      </c>
      <c r="P258">
        <f t="shared" si="274"/>
        <v>3116</v>
      </c>
      <c r="Q258">
        <f t="shared" si="275"/>
        <v>0</v>
      </c>
      <c r="R258">
        <f t="shared" si="276"/>
        <v>0</v>
      </c>
      <c r="S258">
        <f t="shared" si="277"/>
        <v>0</v>
      </c>
      <c r="T258">
        <f t="shared" si="278"/>
        <v>0</v>
      </c>
      <c r="U258">
        <f t="shared" si="279"/>
        <v>0</v>
      </c>
      <c r="V258">
        <f t="shared" si="280"/>
        <v>0</v>
      </c>
      <c r="W258">
        <f t="shared" si="281"/>
        <v>0</v>
      </c>
      <c r="X258">
        <f t="shared" si="282"/>
        <v>0</v>
      </c>
      <c r="Y258">
        <f t="shared" si="283"/>
        <v>0</v>
      </c>
      <c r="AA258">
        <v>86326988</v>
      </c>
      <c r="AB258">
        <f t="shared" si="284"/>
        <v>30529.919999999998</v>
      </c>
      <c r="AC258">
        <f t="shared" si="305"/>
        <v>30529.919999999998</v>
      </c>
      <c r="AD258">
        <f t="shared" si="306"/>
        <v>0</v>
      </c>
      <c r="AE258">
        <f t="shared" si="307"/>
        <v>0</v>
      </c>
      <c r="AF258">
        <f t="shared" si="307"/>
        <v>0</v>
      </c>
      <c r="AG258">
        <f t="shared" si="285"/>
        <v>0</v>
      </c>
      <c r="AH258">
        <f t="shared" si="308"/>
        <v>0</v>
      </c>
      <c r="AI258">
        <f t="shared" si="308"/>
        <v>0</v>
      </c>
      <c r="AJ258">
        <f t="shared" si="286"/>
        <v>0</v>
      </c>
      <c r="AK258">
        <v>30529.920000000002</v>
      </c>
      <c r="AL258">
        <v>30529.920000000002</v>
      </c>
      <c r="AM258">
        <v>0</v>
      </c>
      <c r="AN258">
        <v>0</v>
      </c>
      <c r="AO258">
        <v>0</v>
      </c>
      <c r="AP258">
        <v>0</v>
      </c>
      <c r="AQ258">
        <v>0</v>
      </c>
      <c r="AR258">
        <v>0</v>
      </c>
      <c r="AS258">
        <v>0</v>
      </c>
      <c r="AT258">
        <v>0</v>
      </c>
      <c r="AU258">
        <v>0</v>
      </c>
      <c r="AV258">
        <v>1</v>
      </c>
      <c r="AW258">
        <v>1</v>
      </c>
      <c r="AZ258">
        <v>1</v>
      </c>
      <c r="BA258">
        <v>1</v>
      </c>
      <c r="BB258">
        <v>1</v>
      </c>
      <c r="BC258">
        <v>7.56</v>
      </c>
      <c r="BD258" t="s">
        <v>6</v>
      </c>
      <c r="BE258" t="s">
        <v>6</v>
      </c>
      <c r="BF258" t="s">
        <v>6</v>
      </c>
      <c r="BG258" t="s">
        <v>6</v>
      </c>
      <c r="BH258">
        <v>3</v>
      </c>
      <c r="BI258">
        <v>1</v>
      </c>
      <c r="BJ258" t="s">
        <v>362</v>
      </c>
      <c r="BM258">
        <v>500003</v>
      </c>
      <c r="BN258">
        <v>0</v>
      </c>
      <c r="BO258" t="s">
        <v>6</v>
      </c>
      <c r="BP258">
        <v>0</v>
      </c>
      <c r="BQ258">
        <v>22</v>
      </c>
      <c r="BR258">
        <v>0</v>
      </c>
      <c r="BS258">
        <v>1</v>
      </c>
      <c r="BT258">
        <v>1</v>
      </c>
      <c r="BU258">
        <v>1</v>
      </c>
      <c r="BV258">
        <v>1</v>
      </c>
      <c r="BW258">
        <v>1</v>
      </c>
      <c r="BX258">
        <v>1</v>
      </c>
      <c r="BY258" t="s">
        <v>6</v>
      </c>
      <c r="BZ258">
        <v>0</v>
      </c>
      <c r="CA258">
        <v>0</v>
      </c>
      <c r="CB258" t="s">
        <v>6</v>
      </c>
      <c r="CE258">
        <v>0</v>
      </c>
      <c r="CF258">
        <v>0</v>
      </c>
      <c r="CG258">
        <v>0</v>
      </c>
      <c r="CM258">
        <v>0</v>
      </c>
      <c r="CN258" t="s">
        <v>6</v>
      </c>
      <c r="CO258">
        <v>0</v>
      </c>
      <c r="CP258">
        <f t="shared" si="287"/>
        <v>3116</v>
      </c>
      <c r="CQ258">
        <f t="shared" si="288"/>
        <v>230806.19519999999</v>
      </c>
      <c r="CR258">
        <f t="shared" si="289"/>
        <v>0</v>
      </c>
      <c r="CS258">
        <f t="shared" si="290"/>
        <v>0</v>
      </c>
      <c r="CT258">
        <f t="shared" si="291"/>
        <v>0</v>
      </c>
      <c r="CU258">
        <f t="shared" si="292"/>
        <v>0</v>
      </c>
      <c r="CV258">
        <f t="shared" si="293"/>
        <v>0</v>
      </c>
      <c r="CW258">
        <f t="shared" si="294"/>
        <v>0</v>
      </c>
      <c r="CX258">
        <f t="shared" si="295"/>
        <v>0</v>
      </c>
      <c r="CY258">
        <f>(S258+R258)*(BZ258/100)</f>
        <v>0</v>
      </c>
      <c r="CZ258">
        <f>(S258+R258)*(CA258/100)</f>
        <v>0</v>
      </c>
      <c r="DC258" t="s">
        <v>6</v>
      </c>
      <c r="DD258" t="s">
        <v>6</v>
      </c>
      <c r="DE258" t="s">
        <v>6</v>
      </c>
      <c r="DF258" t="s">
        <v>6</v>
      </c>
      <c r="DG258" t="s">
        <v>6</v>
      </c>
      <c r="DH258" t="s">
        <v>6</v>
      </c>
      <c r="DI258" t="s">
        <v>6</v>
      </c>
      <c r="DJ258" t="s">
        <v>6</v>
      </c>
      <c r="DK258" t="s">
        <v>6</v>
      </c>
      <c r="DL258" t="s">
        <v>6</v>
      </c>
      <c r="DM258" t="s">
        <v>6</v>
      </c>
      <c r="DN258">
        <v>0</v>
      </c>
      <c r="DO258">
        <v>0</v>
      </c>
      <c r="DP258">
        <v>1</v>
      </c>
      <c r="DQ258">
        <v>1</v>
      </c>
      <c r="DU258">
        <v>1009</v>
      </c>
      <c r="DV258" t="s">
        <v>33</v>
      </c>
      <c r="DW258" t="e">
        <f>'2.Лок.смета.и.Акт'!#REF!</f>
        <v>#REF!</v>
      </c>
      <c r="DX258">
        <v>1000</v>
      </c>
      <c r="DZ258" t="s">
        <v>6</v>
      </c>
      <c r="EA258" t="s">
        <v>6</v>
      </c>
      <c r="EB258" t="s">
        <v>6</v>
      </c>
      <c r="EC258" t="s">
        <v>6</v>
      </c>
      <c r="EE258">
        <v>54938783</v>
      </c>
      <c r="EF258">
        <v>22</v>
      </c>
      <c r="EG258" t="s">
        <v>57</v>
      </c>
      <c r="EH258">
        <v>0</v>
      </c>
      <c r="EI258" t="s">
        <v>6</v>
      </c>
      <c r="EJ258">
        <v>1</v>
      </c>
      <c r="EK258">
        <v>500003</v>
      </c>
      <c r="EL258" t="s">
        <v>58</v>
      </c>
      <c r="EM258" t="s">
        <v>59</v>
      </c>
      <c r="EO258" t="s">
        <v>6</v>
      </c>
      <c r="EQ258">
        <v>0</v>
      </c>
      <c r="ER258">
        <v>30529.920000000002</v>
      </c>
      <c r="ES258">
        <v>30529.920000000002</v>
      </c>
      <c r="ET258">
        <v>0</v>
      </c>
      <c r="EU258">
        <v>0</v>
      </c>
      <c r="EV258">
        <v>0</v>
      </c>
      <c r="EW258">
        <v>0</v>
      </c>
      <c r="EX258">
        <v>0</v>
      </c>
      <c r="EZ258">
        <v>5</v>
      </c>
      <c r="FC258">
        <v>0</v>
      </c>
      <c r="FD258">
        <v>18</v>
      </c>
      <c r="FF258">
        <v>220276.93</v>
      </c>
      <c r="FQ258">
        <v>0</v>
      </c>
      <c r="FR258">
        <f t="shared" si="296"/>
        <v>0</v>
      </c>
      <c r="FS258">
        <v>0</v>
      </c>
      <c r="FX258">
        <v>0</v>
      </c>
      <c r="FY258">
        <v>0</v>
      </c>
      <c r="GA258" t="s">
        <v>367</v>
      </c>
      <c r="GD258">
        <v>1</v>
      </c>
      <c r="GF258">
        <v>-1150752990</v>
      </c>
      <c r="GG258">
        <v>2</v>
      </c>
      <c r="GH258">
        <v>3</v>
      </c>
      <c r="GI258">
        <v>5</v>
      </c>
      <c r="GJ258">
        <v>0</v>
      </c>
      <c r="GK258">
        <v>0</v>
      </c>
      <c r="GL258">
        <f t="shared" si="297"/>
        <v>0</v>
      </c>
      <c r="GM258">
        <f t="shared" si="298"/>
        <v>3116</v>
      </c>
      <c r="GN258">
        <f t="shared" si="299"/>
        <v>3116</v>
      </c>
      <c r="GO258">
        <f t="shared" si="300"/>
        <v>0</v>
      </c>
      <c r="GP258">
        <f t="shared" si="301"/>
        <v>0</v>
      </c>
      <c r="GR258">
        <v>1</v>
      </c>
      <c r="GS258">
        <v>1</v>
      </c>
      <c r="GT258">
        <v>0</v>
      </c>
      <c r="GU258" t="s">
        <v>6</v>
      </c>
      <c r="GV258">
        <f t="shared" si="302"/>
        <v>0</v>
      </c>
      <c r="GW258">
        <v>1</v>
      </c>
      <c r="GX258">
        <f t="shared" si="303"/>
        <v>0</v>
      </c>
      <c r="HA258">
        <v>0</v>
      </c>
      <c r="HB258">
        <v>0</v>
      </c>
      <c r="HC258">
        <f t="shared" si="304"/>
        <v>0</v>
      </c>
      <c r="HE258" t="s">
        <v>39</v>
      </c>
      <c r="HF258" t="s">
        <v>61</v>
      </c>
      <c r="HM258" t="s">
        <v>6</v>
      </c>
      <c r="HN258" t="s">
        <v>6</v>
      </c>
      <c r="HO258" t="s">
        <v>6</v>
      </c>
      <c r="HP258" t="s">
        <v>6</v>
      </c>
      <c r="HQ258" t="s">
        <v>6</v>
      </c>
      <c r="IF258">
        <v>-1</v>
      </c>
      <c r="IK258">
        <v>0</v>
      </c>
    </row>
    <row r="259" spans="1:255" x14ac:dyDescent="0.2">
      <c r="A259" s="2">
        <v>17</v>
      </c>
      <c r="B259" s="2">
        <v>1</v>
      </c>
      <c r="C259" s="2">
        <f>ROW(SmtRes!A327)</f>
        <v>327</v>
      </c>
      <c r="D259" s="2">
        <f>ROW(EtalonRes!A249)</f>
        <v>249</v>
      </c>
      <c r="E259" s="2" t="s">
        <v>368</v>
      </c>
      <c r="F259" s="2" t="s">
        <v>369</v>
      </c>
      <c r="G259" s="2" t="s">
        <v>370</v>
      </c>
      <c r="H259" s="2" t="s">
        <v>49</v>
      </c>
      <c r="I259" s="2">
        <f>'2.Лок.смета.и.Акт'!E44</f>
        <v>0.12559999999999999</v>
      </c>
      <c r="J259" s="2">
        <v>0</v>
      </c>
      <c r="K259" s="2">
        <v>0.50239999999999996</v>
      </c>
      <c r="L259" s="2"/>
      <c r="M259" s="2"/>
      <c r="N259" s="2"/>
      <c r="O259" s="2">
        <f t="shared" si="273"/>
        <v>40</v>
      </c>
      <c r="P259" s="2">
        <f t="shared" si="274"/>
        <v>0</v>
      </c>
      <c r="Q259" s="2">
        <f t="shared" si="275"/>
        <v>11</v>
      </c>
      <c r="R259" s="2">
        <f t="shared" si="276"/>
        <v>1</v>
      </c>
      <c r="S259" s="2">
        <f t="shared" si="277"/>
        <v>29</v>
      </c>
      <c r="T259" s="2">
        <f t="shared" si="278"/>
        <v>0</v>
      </c>
      <c r="U259" s="2">
        <f t="shared" si="279"/>
        <v>3.5976863999999997</v>
      </c>
      <c r="V259" s="2">
        <f t="shared" si="280"/>
        <v>7.8776320000000011E-2</v>
      </c>
      <c r="W259" s="2">
        <f t="shared" si="281"/>
        <v>0</v>
      </c>
      <c r="X259" s="2">
        <f t="shared" si="282"/>
        <v>36</v>
      </c>
      <c r="Y259" s="2">
        <f t="shared" si="283"/>
        <v>23</v>
      </c>
      <c r="Z259" s="2"/>
      <c r="AA259" s="2">
        <v>86326987</v>
      </c>
      <c r="AB259" s="2">
        <f t="shared" si="284"/>
        <v>316.27999999999997</v>
      </c>
      <c r="AC259" s="2">
        <f>ROUND((ES259+(SUM(SmtRes!BC321:'SmtRes'!BC327)+SUM(EtalonRes!AL243:'EtalonRes'!AL249))),2)</f>
        <v>0</v>
      </c>
      <c r="AD259" s="2">
        <f>ROUND(((((ET259*1.12)+(SUM(SmtRes!BD321:'SmtRes'!BD327)+SUM(EtalonRes!AM243:'EtalonRes'!AM249)))-((EU259*1.12)+(SUM(SmtRes!BE321:'SmtRes'!BE327)+SUM(EtalonRes!AN243:'EtalonRes'!AN249))))+AE259),2)</f>
        <v>86.84</v>
      </c>
      <c r="AE259" s="2">
        <f>ROUND(((EU259*1.12)+(SUM(SmtRes!BE321:'SmtRes'!BE327)+SUM(EtalonRes!AN243:'EtalonRes'!AN249))),2)</f>
        <v>8.5299999999999994</v>
      </c>
      <c r="AF259" s="2">
        <f>ROUND(((EV259*1.05)),2)</f>
        <v>229.44</v>
      </c>
      <c r="AG259" s="2">
        <f t="shared" si="285"/>
        <v>0</v>
      </c>
      <c r="AH259" s="2">
        <f>((EW259*1.05))</f>
        <v>28.644000000000002</v>
      </c>
      <c r="AI259" s="2">
        <f>((EX259*1.12))</f>
        <v>0.62720000000000009</v>
      </c>
      <c r="AJ259" s="2">
        <f t="shared" si="286"/>
        <v>0</v>
      </c>
      <c r="AK259" s="2">
        <v>6348.38</v>
      </c>
      <c r="AL259" s="2">
        <v>6063.35</v>
      </c>
      <c r="AM259" s="2">
        <v>66.52</v>
      </c>
      <c r="AN259" s="2">
        <v>7.62</v>
      </c>
      <c r="AO259" s="2">
        <v>218.51</v>
      </c>
      <c r="AP259" s="2">
        <v>0</v>
      </c>
      <c r="AQ259" s="2">
        <v>27.28</v>
      </c>
      <c r="AR259" s="2">
        <v>0.56000000000000005</v>
      </c>
      <c r="AS259" s="2">
        <v>0</v>
      </c>
      <c r="AT259" s="2">
        <v>120</v>
      </c>
      <c r="AU259" s="2">
        <v>77</v>
      </c>
      <c r="AV259" s="2">
        <v>1</v>
      </c>
      <c r="AW259" s="2">
        <v>1</v>
      </c>
      <c r="AX259" s="2"/>
      <c r="AY259" s="2"/>
      <c r="AZ259" s="2">
        <v>1</v>
      </c>
      <c r="BA259" s="2">
        <v>1</v>
      </c>
      <c r="BB259" s="2">
        <v>1</v>
      </c>
      <c r="BC259" s="2">
        <v>1</v>
      </c>
      <c r="BD259" s="2" t="s">
        <v>6</v>
      </c>
      <c r="BE259" s="2" t="s">
        <v>6</v>
      </c>
      <c r="BF259" s="2" t="s">
        <v>6</v>
      </c>
      <c r="BG259" s="2" t="s">
        <v>6</v>
      </c>
      <c r="BH259" s="2">
        <v>0</v>
      </c>
      <c r="BI259" s="2">
        <v>1</v>
      </c>
      <c r="BJ259" s="2" t="s">
        <v>371</v>
      </c>
      <c r="BK259" s="2"/>
      <c r="BL259" s="2"/>
      <c r="BM259" s="2">
        <v>6002</v>
      </c>
      <c r="BN259" s="2">
        <v>0</v>
      </c>
      <c r="BO259" s="2" t="s">
        <v>6</v>
      </c>
      <c r="BP259" s="2">
        <v>0</v>
      </c>
      <c r="BQ259" s="2">
        <v>1</v>
      </c>
      <c r="BR259" s="2">
        <v>0</v>
      </c>
      <c r="BS259" s="2">
        <v>1</v>
      </c>
      <c r="BT259" s="2">
        <v>1</v>
      </c>
      <c r="BU259" s="2">
        <v>1</v>
      </c>
      <c r="BV259" s="2">
        <v>1</v>
      </c>
      <c r="BW259" s="2">
        <v>1</v>
      </c>
      <c r="BX259" s="2">
        <v>1</v>
      </c>
      <c r="BY259" s="2" t="s">
        <v>6</v>
      </c>
      <c r="BZ259" s="2">
        <v>120</v>
      </c>
      <c r="CA259" s="2">
        <v>77</v>
      </c>
      <c r="CB259" s="2" t="s">
        <v>6</v>
      </c>
      <c r="CC259" s="2"/>
      <c r="CD259" s="2"/>
      <c r="CE259" s="2">
        <v>0</v>
      </c>
      <c r="CF259" s="2">
        <v>0</v>
      </c>
      <c r="CG259" s="2">
        <v>0</v>
      </c>
      <c r="CH259" s="2"/>
      <c r="CI259" s="2"/>
      <c r="CJ259" s="2"/>
      <c r="CK259" s="2"/>
      <c r="CL259" s="2"/>
      <c r="CM259" s="2">
        <v>0</v>
      </c>
      <c r="CN259" s="2" t="s">
        <v>23</v>
      </c>
      <c r="CO259" s="2">
        <v>0</v>
      </c>
      <c r="CP259" s="2">
        <f t="shared" si="287"/>
        <v>40</v>
      </c>
      <c r="CQ259" s="2">
        <f t="shared" si="288"/>
        <v>0</v>
      </c>
      <c r="CR259" s="2">
        <f t="shared" si="289"/>
        <v>86.84</v>
      </c>
      <c r="CS259" s="2">
        <f t="shared" si="290"/>
        <v>8.5299999999999994</v>
      </c>
      <c r="CT259" s="2">
        <f t="shared" si="291"/>
        <v>229.44</v>
      </c>
      <c r="CU259" s="2">
        <f t="shared" si="292"/>
        <v>0</v>
      </c>
      <c r="CV259" s="2">
        <f t="shared" si="293"/>
        <v>28.644000000000002</v>
      </c>
      <c r="CW259" s="2">
        <f t="shared" si="294"/>
        <v>0.62720000000000009</v>
      </c>
      <c r="CX259" s="2">
        <f t="shared" si="295"/>
        <v>0</v>
      </c>
      <c r="CY259" s="2">
        <f>(((S259+(R259*IF(0,0,1)))*AT259)/100)</f>
        <v>36</v>
      </c>
      <c r="CZ259" s="2">
        <f>(((S259+(R259*IF(0,0,1)))*AU259)/100)</f>
        <v>23.1</v>
      </c>
      <c r="DA259" s="2"/>
      <c r="DB259" s="2"/>
      <c r="DC259" s="2" t="s">
        <v>6</v>
      </c>
      <c r="DD259" s="2" t="s">
        <v>6</v>
      </c>
      <c r="DE259" s="2" t="s">
        <v>24</v>
      </c>
      <c r="DF259" s="2" t="s">
        <v>24</v>
      </c>
      <c r="DG259" s="2" t="s">
        <v>25</v>
      </c>
      <c r="DH259" s="2" t="s">
        <v>6</v>
      </c>
      <c r="DI259" s="2" t="s">
        <v>25</v>
      </c>
      <c r="DJ259" s="2" t="s">
        <v>24</v>
      </c>
      <c r="DK259" s="2" t="s">
        <v>6</v>
      </c>
      <c r="DL259" s="2" t="s">
        <v>6</v>
      </c>
      <c r="DM259" s="2" t="s">
        <v>6</v>
      </c>
      <c r="DN259" s="2">
        <v>0</v>
      </c>
      <c r="DO259" s="2">
        <v>0</v>
      </c>
      <c r="DP259" s="2">
        <v>1</v>
      </c>
      <c r="DQ259" s="2">
        <v>1</v>
      </c>
      <c r="DR259" s="2"/>
      <c r="DS259" s="2"/>
      <c r="DT259" s="2"/>
      <c r="DU259" s="2">
        <v>1013</v>
      </c>
      <c r="DV259" s="2" t="s">
        <v>49</v>
      </c>
      <c r="DW259" s="2" t="s">
        <v>49</v>
      </c>
      <c r="DX259" s="2">
        <v>1</v>
      </c>
      <c r="DY259" s="2"/>
      <c r="DZ259" s="2" t="s">
        <v>6</v>
      </c>
      <c r="EA259" s="2" t="s">
        <v>6</v>
      </c>
      <c r="EB259" s="2" t="s">
        <v>6</v>
      </c>
      <c r="EC259" s="2" t="s">
        <v>6</v>
      </c>
      <c r="ED259" s="2"/>
      <c r="EE259" s="2">
        <v>54938592</v>
      </c>
      <c r="EF259" s="2">
        <v>1</v>
      </c>
      <c r="EG259" s="2" t="s">
        <v>26</v>
      </c>
      <c r="EH259" s="2">
        <v>0</v>
      </c>
      <c r="EI259" s="2" t="s">
        <v>6</v>
      </c>
      <c r="EJ259" s="2">
        <v>1</v>
      </c>
      <c r="EK259" s="2">
        <v>6002</v>
      </c>
      <c r="EL259" s="2" t="s">
        <v>27</v>
      </c>
      <c r="EM259" s="2" t="s">
        <v>28</v>
      </c>
      <c r="EN259" s="2"/>
      <c r="EO259" s="2" t="s">
        <v>29</v>
      </c>
      <c r="EP259" s="2"/>
      <c r="EQ259" s="2">
        <v>2097152</v>
      </c>
      <c r="ER259" s="2">
        <v>6348.38</v>
      </c>
      <c r="ES259" s="2">
        <v>6063.35</v>
      </c>
      <c r="ET259" s="2">
        <v>66.52</v>
      </c>
      <c r="EU259" s="2">
        <v>7.62</v>
      </c>
      <c r="EV259" s="2">
        <v>218.51</v>
      </c>
      <c r="EW259" s="2">
        <v>27.28</v>
      </c>
      <c r="EX259" s="2">
        <v>0.56000000000000005</v>
      </c>
      <c r="EY259" s="2">
        <v>1</v>
      </c>
      <c r="EZ259" s="2"/>
      <c r="FA259" s="2"/>
      <c r="FB259" s="2"/>
      <c r="FC259" s="2"/>
      <c r="FD259" s="2"/>
      <c r="FE259" s="2"/>
      <c r="FF259" s="2"/>
      <c r="FG259" s="2"/>
      <c r="FH259" s="2"/>
      <c r="FI259" s="2"/>
      <c r="FJ259" s="2"/>
      <c r="FK259" s="2"/>
      <c r="FL259" s="2"/>
      <c r="FM259" s="2"/>
      <c r="FN259" s="2"/>
      <c r="FO259" s="2"/>
      <c r="FP259" s="2"/>
      <c r="FQ259" s="2">
        <v>0</v>
      </c>
      <c r="FR259" s="2">
        <f t="shared" si="296"/>
        <v>0</v>
      </c>
      <c r="FS259" s="2">
        <v>0</v>
      </c>
      <c r="FT259" s="2"/>
      <c r="FU259" s="2"/>
      <c r="FV259" s="2"/>
      <c r="FW259" s="2"/>
      <c r="FX259" s="2">
        <v>120</v>
      </c>
      <c r="FY259" s="2">
        <v>77</v>
      </c>
      <c r="FZ259" s="2"/>
      <c r="GA259" s="2" t="s">
        <v>6</v>
      </c>
      <c r="GB259" s="2"/>
      <c r="GC259" s="2"/>
      <c r="GD259" s="2">
        <v>1</v>
      </c>
      <c r="GE259" s="2"/>
      <c r="GF259" s="2">
        <v>-1211872554</v>
      </c>
      <c r="GG259" s="2">
        <v>2</v>
      </c>
      <c r="GH259" s="2">
        <v>1</v>
      </c>
      <c r="GI259" s="2">
        <v>-2</v>
      </c>
      <c r="GJ259" s="2">
        <v>0</v>
      </c>
      <c r="GK259" s="2">
        <v>0</v>
      </c>
      <c r="GL259" s="2">
        <f t="shared" si="297"/>
        <v>0</v>
      </c>
      <c r="GM259" s="2">
        <f t="shared" si="298"/>
        <v>99</v>
      </c>
      <c r="GN259" s="2">
        <f t="shared" si="299"/>
        <v>99</v>
      </c>
      <c r="GO259" s="2">
        <f t="shared" si="300"/>
        <v>0</v>
      </c>
      <c r="GP259" s="2">
        <f t="shared" si="301"/>
        <v>0</v>
      </c>
      <c r="GQ259" s="2"/>
      <c r="GR259" s="2">
        <v>0</v>
      </c>
      <c r="GS259" s="2">
        <v>3</v>
      </c>
      <c r="GT259" s="2">
        <v>0</v>
      </c>
      <c r="GU259" s="2" t="s">
        <v>6</v>
      </c>
      <c r="GV259" s="2">
        <f t="shared" si="302"/>
        <v>0</v>
      </c>
      <c r="GW259" s="2">
        <v>1</v>
      </c>
      <c r="GX259" s="2">
        <f t="shared" si="303"/>
        <v>0</v>
      </c>
      <c r="GY259" s="2"/>
      <c r="GZ259" s="2"/>
      <c r="HA259" s="2">
        <v>0</v>
      </c>
      <c r="HB259" s="2">
        <v>0</v>
      </c>
      <c r="HC259" s="2">
        <f t="shared" si="304"/>
        <v>0</v>
      </c>
      <c r="HD259" s="2"/>
      <c r="HE259" s="2" t="s">
        <v>6</v>
      </c>
      <c r="HF259" s="2" t="s">
        <v>6</v>
      </c>
      <c r="HG259" s="2"/>
      <c r="HH259" s="2"/>
      <c r="HI259" s="2"/>
      <c r="HJ259" s="2"/>
      <c r="HK259" s="2"/>
      <c r="HL259" s="2"/>
      <c r="HM259" s="2" t="s">
        <v>6</v>
      </c>
      <c r="HN259" s="2" t="s">
        <v>6</v>
      </c>
      <c r="HO259" s="2" t="s">
        <v>6</v>
      </c>
      <c r="HP259" s="2" t="s">
        <v>6</v>
      </c>
      <c r="HQ259" s="2" t="s">
        <v>6</v>
      </c>
      <c r="HR259" s="2"/>
      <c r="HS259" s="2"/>
      <c r="HT259" s="2"/>
      <c r="HU259" s="2"/>
      <c r="HV259" s="2"/>
      <c r="HW259" s="2"/>
      <c r="HX259" s="2"/>
      <c r="HY259" s="2"/>
      <c r="HZ259" s="2"/>
      <c r="IA259" s="2"/>
      <c r="IB259" s="2"/>
      <c r="IC259" s="2"/>
      <c r="ID259" s="2"/>
      <c r="IE259" s="2"/>
      <c r="IF259" s="2">
        <v>-1</v>
      </c>
      <c r="IG259" s="2"/>
      <c r="IH259" s="2"/>
      <c r="II259" s="2"/>
      <c r="IJ259" s="2"/>
      <c r="IK259" s="2">
        <v>0</v>
      </c>
      <c r="IL259" s="2"/>
      <c r="IM259" s="2"/>
      <c r="IN259" s="2"/>
      <c r="IO259" s="2"/>
      <c r="IP259" s="2"/>
      <c r="IQ259" s="2"/>
      <c r="IR259" s="2"/>
      <c r="IS259" s="2"/>
      <c r="IT259" s="2"/>
      <c r="IU259" s="2"/>
    </row>
    <row r="260" spans="1:255" x14ac:dyDescent="0.2">
      <c r="A260">
        <v>17</v>
      </c>
      <c r="B260">
        <v>1</v>
      </c>
      <c r="C260">
        <f>ROW(SmtRes!A334)</f>
        <v>334</v>
      </c>
      <c r="D260">
        <f>ROW(EtalonRes!A256)</f>
        <v>256</v>
      </c>
      <c r="E260" t="s">
        <v>368</v>
      </c>
      <c r="F260" t="s">
        <v>369</v>
      </c>
      <c r="G260" t="s">
        <v>370</v>
      </c>
      <c r="H260" t="s">
        <v>49</v>
      </c>
      <c r="I260">
        <f>'2.Лок.смета.и.Акт'!E44</f>
        <v>0.12559999999999999</v>
      </c>
      <c r="J260">
        <v>0</v>
      </c>
      <c r="K260">
        <v>0.50239999999999996</v>
      </c>
      <c r="O260">
        <f t="shared" si="273"/>
        <v>817</v>
      </c>
      <c r="P260">
        <f t="shared" si="274"/>
        <v>0</v>
      </c>
      <c r="Q260">
        <f t="shared" si="275"/>
        <v>86</v>
      </c>
      <c r="R260">
        <f t="shared" si="276"/>
        <v>21</v>
      </c>
      <c r="S260">
        <f t="shared" si="277"/>
        <v>731</v>
      </c>
      <c r="T260">
        <f t="shared" si="278"/>
        <v>0</v>
      </c>
      <c r="U260" t="e">
        <f t="shared" si="279"/>
        <v>#REF!</v>
      </c>
      <c r="V260">
        <f t="shared" si="280"/>
        <v>7.8776320000000011E-2</v>
      </c>
      <c r="W260">
        <f t="shared" si="281"/>
        <v>0</v>
      </c>
      <c r="X260" t="e">
        <f t="shared" si="282"/>
        <v>#REF!</v>
      </c>
      <c r="Y260" t="e">
        <f t="shared" si="283"/>
        <v>#REF!</v>
      </c>
      <c r="AA260">
        <v>86326988</v>
      </c>
      <c r="AB260">
        <f t="shared" si="284"/>
        <v>316.27999999999997</v>
      </c>
      <c r="AC260">
        <f>ROUND((ES260+(SUM(SmtRes!BC328:'SmtRes'!BC334)+SUM(EtalonRes!AL250:'EtalonRes'!AL256))),2)</f>
        <v>0</v>
      </c>
      <c r="AD260">
        <f>ROUND(((((ET260*1.12)+(SUM(SmtRes!BD328:'SmtRes'!BD334)+SUM(EtalonRes!AM250:'EtalonRes'!AM256)))-((EU260*1.12)+(SUM(SmtRes!BE328:'SmtRes'!BE334)+SUM(EtalonRes!AN250:'EtalonRes'!AN256))))+AE260),2)</f>
        <v>86.84</v>
      </c>
      <c r="AE260">
        <f>ROUND(((EU260*1.12)+(SUM(SmtRes!BE328:'SmtRes'!BE334)+SUM(EtalonRes!AN250:'EtalonRes'!AN256))),2)</f>
        <v>8.5299999999999994</v>
      </c>
      <c r="AF260">
        <f>ROUND(((EV260*1.05)),2)</f>
        <v>229.44</v>
      </c>
      <c r="AG260">
        <f t="shared" si="285"/>
        <v>0</v>
      </c>
      <c r="AH260" t="e">
        <f>((EW260*1.05))</f>
        <v>#REF!</v>
      </c>
      <c r="AI260">
        <f>((EX260*1.12))</f>
        <v>0.62720000000000009</v>
      </c>
      <c r="AJ260">
        <f t="shared" si="286"/>
        <v>0</v>
      </c>
      <c r="AK260">
        <f>AL260+AM260+AO260</f>
        <v>6348.380000000001</v>
      </c>
      <c r="AL260">
        <v>6063.35</v>
      </c>
      <c r="AM260" s="75">
        <f>'1.Лок.смета.и.Акт'!F454</f>
        <v>66.52</v>
      </c>
      <c r="AN260" s="75">
        <f>'1.Лок.смета.и.Акт'!F455</f>
        <v>7.62</v>
      </c>
      <c r="AO260" s="75">
        <f>'1.Лок.смета.и.Акт'!F453</f>
        <v>218.51</v>
      </c>
      <c r="AP260">
        <v>0</v>
      </c>
      <c r="AQ260" t="e">
        <f>'2.Лок.смета.и.Акт'!#REF!</f>
        <v>#REF!</v>
      </c>
      <c r="AR260">
        <v>0.56000000000000005</v>
      </c>
      <c r="AS260">
        <v>0</v>
      </c>
      <c r="AT260">
        <v>114</v>
      </c>
      <c r="AU260">
        <v>65</v>
      </c>
      <c r="AV260">
        <v>1</v>
      </c>
      <c r="AW260">
        <v>1</v>
      </c>
      <c r="AZ260">
        <v>1</v>
      </c>
      <c r="BA260">
        <f>'1.Лок.смета.и.Акт'!J453</f>
        <v>25.36</v>
      </c>
      <c r="BB260">
        <f>'1.Лок.смета.и.Акт'!J454</f>
        <v>7.84</v>
      </c>
      <c r="BC260">
        <v>7.56</v>
      </c>
      <c r="BD260" t="s">
        <v>6</v>
      </c>
      <c r="BE260" t="s">
        <v>6</v>
      </c>
      <c r="BF260" t="s">
        <v>6</v>
      </c>
      <c r="BG260" t="s">
        <v>6</v>
      </c>
      <c r="BH260">
        <v>0</v>
      </c>
      <c r="BI260">
        <v>1</v>
      </c>
      <c r="BJ260" t="s">
        <v>371</v>
      </c>
      <c r="BM260">
        <v>6002</v>
      </c>
      <c r="BN260">
        <v>0</v>
      </c>
      <c r="BO260" t="s">
        <v>369</v>
      </c>
      <c r="BP260">
        <v>1</v>
      </c>
      <c r="BQ260">
        <v>1</v>
      </c>
      <c r="BR260">
        <v>0</v>
      </c>
      <c r="BS260">
        <f>'1.Лок.смета.и.Акт'!J455</f>
        <v>19.8</v>
      </c>
      <c r="BT260">
        <v>1</v>
      </c>
      <c r="BU260">
        <v>1</v>
      </c>
      <c r="BV260">
        <v>1</v>
      </c>
      <c r="BW260">
        <v>1</v>
      </c>
      <c r="BX260">
        <v>1</v>
      </c>
      <c r="BY260" t="s">
        <v>6</v>
      </c>
      <c r="BZ260" t="e">
        <f>'2.Лок.смета.и.Акт'!#REF!</f>
        <v>#REF!</v>
      </c>
      <c r="CA260" t="e">
        <f>'2.Лок.смета.и.Акт'!#REF!</f>
        <v>#REF!</v>
      </c>
      <c r="CB260" t="s">
        <v>6</v>
      </c>
      <c r="CE260">
        <v>0</v>
      </c>
      <c r="CF260">
        <v>0</v>
      </c>
      <c r="CG260">
        <v>0</v>
      </c>
      <c r="CM260">
        <v>0</v>
      </c>
      <c r="CN260" t="s">
        <v>23</v>
      </c>
      <c r="CO260">
        <v>0</v>
      </c>
      <c r="CP260">
        <f t="shared" si="287"/>
        <v>817</v>
      </c>
      <c r="CQ260">
        <f t="shared" si="288"/>
        <v>0</v>
      </c>
      <c r="CR260">
        <f t="shared" si="289"/>
        <v>680.82560000000001</v>
      </c>
      <c r="CS260">
        <f t="shared" si="290"/>
        <v>168.89400000000001</v>
      </c>
      <c r="CT260">
        <f t="shared" si="291"/>
        <v>5818.5983999999999</v>
      </c>
      <c r="CU260">
        <f t="shared" si="292"/>
        <v>0</v>
      </c>
      <c r="CV260" t="e">
        <f t="shared" si="293"/>
        <v>#REF!</v>
      </c>
      <c r="CW260">
        <f t="shared" si="294"/>
        <v>0.62720000000000009</v>
      </c>
      <c r="CX260">
        <f t="shared" si="295"/>
        <v>0</v>
      </c>
      <c r="CY260" t="e">
        <f>(S260+R260)*(BZ260/100)</f>
        <v>#REF!</v>
      </c>
      <c r="CZ260" t="e">
        <f>(S260+R260)*(CA260/100)</f>
        <v>#REF!</v>
      </c>
      <c r="DC260" t="s">
        <v>6</v>
      </c>
      <c r="DD260" t="s">
        <v>6</v>
      </c>
      <c r="DE260" t="s">
        <v>24</v>
      </c>
      <c r="DF260" t="s">
        <v>24</v>
      </c>
      <c r="DG260" t="s">
        <v>25</v>
      </c>
      <c r="DH260" t="s">
        <v>6</v>
      </c>
      <c r="DI260" t="s">
        <v>25</v>
      </c>
      <c r="DJ260" t="s">
        <v>24</v>
      </c>
      <c r="DK260" t="s">
        <v>6</v>
      </c>
      <c r="DL260" t="s">
        <v>6</v>
      </c>
      <c r="DM260" t="s">
        <v>6</v>
      </c>
      <c r="DN260">
        <f>'1.Лок.смета.и.Акт'!E456</f>
        <v>120</v>
      </c>
      <c r="DO260">
        <f>'1.Лок.смета.и.Акт'!E457</f>
        <v>77</v>
      </c>
      <c r="DP260">
        <v>1</v>
      </c>
      <c r="DQ260">
        <v>1</v>
      </c>
      <c r="DU260">
        <v>1013</v>
      </c>
      <c r="DV260" t="s">
        <v>49</v>
      </c>
      <c r="DW260" t="str">
        <f>'2.Лок.смета.и.Акт'!D44</f>
        <v>1 т арматуры, закладных деталей</v>
      </c>
      <c r="DX260">
        <v>1</v>
      </c>
      <c r="DZ260" t="s">
        <v>6</v>
      </c>
      <c r="EA260" t="s">
        <v>6</v>
      </c>
      <c r="EB260" t="s">
        <v>6</v>
      </c>
      <c r="EC260" t="s">
        <v>6</v>
      </c>
      <c r="EE260">
        <v>54938592</v>
      </c>
      <c r="EF260">
        <v>1</v>
      </c>
      <c r="EG260" t="s">
        <v>26</v>
      </c>
      <c r="EH260">
        <v>0</v>
      </c>
      <c r="EI260" t="s">
        <v>6</v>
      </c>
      <c r="EJ260">
        <v>1</v>
      </c>
      <c r="EK260">
        <v>6002</v>
      </c>
      <c r="EL260" t="s">
        <v>27</v>
      </c>
      <c r="EM260" t="s">
        <v>28</v>
      </c>
      <c r="EO260" t="s">
        <v>29</v>
      </c>
      <c r="EQ260">
        <v>2097152</v>
      </c>
      <c r="ER260">
        <f>ES260+ET260+EV260</f>
        <v>6348.380000000001</v>
      </c>
      <c r="ES260">
        <v>6063.35</v>
      </c>
      <c r="ET260" s="75">
        <f>'1.Лок.смета.и.Акт'!F454</f>
        <v>66.52</v>
      </c>
      <c r="EU260" s="75">
        <f>'1.Лок.смета.и.Акт'!F455</f>
        <v>7.62</v>
      </c>
      <c r="EV260" s="75">
        <f>'1.Лок.смета.и.Акт'!F453</f>
        <v>218.51</v>
      </c>
      <c r="EW260" t="e">
        <f>'2.Лок.смета.и.Акт'!#REF!</f>
        <v>#REF!</v>
      </c>
      <c r="EX260">
        <v>0.56000000000000005</v>
      </c>
      <c r="EY260">
        <v>1</v>
      </c>
      <c r="FQ260">
        <v>0</v>
      </c>
      <c r="FR260">
        <f t="shared" si="296"/>
        <v>0</v>
      </c>
      <c r="FS260">
        <v>0</v>
      </c>
      <c r="FX260">
        <v>120</v>
      </c>
      <c r="FY260">
        <v>77</v>
      </c>
      <c r="GA260" t="s">
        <v>6</v>
      </c>
      <c r="GD260">
        <v>1</v>
      </c>
      <c r="GF260">
        <v>-1211872554</v>
      </c>
      <c r="GG260">
        <v>2</v>
      </c>
      <c r="GH260">
        <v>1</v>
      </c>
      <c r="GI260">
        <v>2</v>
      </c>
      <c r="GJ260">
        <v>0</v>
      </c>
      <c r="GK260">
        <v>0</v>
      </c>
      <c r="GL260">
        <f t="shared" si="297"/>
        <v>0</v>
      </c>
      <c r="GM260" t="e">
        <f t="shared" si="298"/>
        <v>#REF!</v>
      </c>
      <c r="GN260" t="e">
        <f t="shared" si="299"/>
        <v>#REF!</v>
      </c>
      <c r="GO260">
        <f t="shared" si="300"/>
        <v>0</v>
      </c>
      <c r="GP260">
        <f t="shared" si="301"/>
        <v>0</v>
      </c>
      <c r="GR260">
        <v>0</v>
      </c>
      <c r="GS260">
        <v>3</v>
      </c>
      <c r="GT260">
        <v>0</v>
      </c>
      <c r="GU260" t="s">
        <v>6</v>
      </c>
      <c r="GV260">
        <f t="shared" si="302"/>
        <v>0</v>
      </c>
      <c r="GW260">
        <v>1015.2</v>
      </c>
      <c r="GX260">
        <f t="shared" si="303"/>
        <v>0</v>
      </c>
      <c r="HA260">
        <v>0</v>
      </c>
      <c r="HB260">
        <v>0</v>
      </c>
      <c r="HC260">
        <f t="shared" si="304"/>
        <v>0</v>
      </c>
      <c r="HE260" t="s">
        <v>6</v>
      </c>
      <c r="HF260" t="s">
        <v>6</v>
      </c>
      <c r="HM260" t="s">
        <v>6</v>
      </c>
      <c r="HN260" t="s">
        <v>6</v>
      </c>
      <c r="HO260" t="s">
        <v>6</v>
      </c>
      <c r="HP260" t="s">
        <v>6</v>
      </c>
      <c r="HQ260" t="s">
        <v>6</v>
      </c>
      <c r="IF260">
        <v>-1</v>
      </c>
      <c r="IK260">
        <v>0</v>
      </c>
    </row>
    <row r="261" spans="1:255" x14ac:dyDescent="0.2">
      <c r="A261" s="2">
        <v>18</v>
      </c>
      <c r="B261" s="2">
        <v>1</v>
      </c>
      <c r="C261" s="2">
        <v>326</v>
      </c>
      <c r="D261" s="2"/>
      <c r="E261" s="2" t="s">
        <v>372</v>
      </c>
      <c r="F261" s="2" t="s">
        <v>316</v>
      </c>
      <c r="G261" s="2" t="s">
        <v>317</v>
      </c>
      <c r="H261" s="2" t="s">
        <v>33</v>
      </c>
      <c r="I261" s="2">
        <f>I259*J261</f>
        <v>7.5350000000000005E-4</v>
      </c>
      <c r="J261" s="226">
        <f>'5.Ведомость_списания'!F125</f>
        <v>5.9992038216560521E-3</v>
      </c>
      <c r="K261" s="2">
        <v>6.0000000000000001E-3</v>
      </c>
      <c r="L261" s="2"/>
      <c r="M261" s="2"/>
      <c r="N261" s="2"/>
      <c r="O261" s="2">
        <f t="shared" si="273"/>
        <v>8</v>
      </c>
      <c r="P261" s="2">
        <f t="shared" si="274"/>
        <v>8</v>
      </c>
      <c r="Q261" s="2">
        <f t="shared" si="275"/>
        <v>0</v>
      </c>
      <c r="R261" s="2">
        <f t="shared" si="276"/>
        <v>0</v>
      </c>
      <c r="S261" s="2">
        <f t="shared" si="277"/>
        <v>0</v>
      </c>
      <c r="T261" s="2">
        <f t="shared" si="278"/>
        <v>0</v>
      </c>
      <c r="U261" s="2">
        <f t="shared" si="279"/>
        <v>0</v>
      </c>
      <c r="V261" s="2">
        <f t="shared" si="280"/>
        <v>0</v>
      </c>
      <c r="W261" s="2">
        <f t="shared" si="281"/>
        <v>0</v>
      </c>
      <c r="X261" s="2">
        <f t="shared" si="282"/>
        <v>0</v>
      </c>
      <c r="Y261" s="2">
        <f t="shared" si="283"/>
        <v>0</v>
      </c>
      <c r="Z261" s="2"/>
      <c r="AA261" s="2">
        <v>86326987</v>
      </c>
      <c r="AB261" s="2">
        <f t="shared" si="284"/>
        <v>10559.12</v>
      </c>
      <c r="AC261" s="2">
        <f>ROUND((ES261),2)</f>
        <v>10559.12</v>
      </c>
      <c r="AD261" s="2">
        <f>ROUND((((ET261)-(EU261))+AE261),2)</f>
        <v>0</v>
      </c>
      <c r="AE261" s="2">
        <f t="shared" ref="AE261:AF264" si="309">ROUND((EU261),2)</f>
        <v>0</v>
      </c>
      <c r="AF261" s="2">
        <f t="shared" si="309"/>
        <v>0</v>
      </c>
      <c r="AG261" s="2">
        <f t="shared" si="285"/>
        <v>0</v>
      </c>
      <c r="AH261" s="2">
        <f t="shared" ref="AH261:AI264" si="310">(EW261)</f>
        <v>0</v>
      </c>
      <c r="AI261" s="2">
        <f t="shared" si="310"/>
        <v>0</v>
      </c>
      <c r="AJ261" s="2">
        <f t="shared" si="286"/>
        <v>22.28</v>
      </c>
      <c r="AK261" s="2">
        <v>10559.12</v>
      </c>
      <c r="AL261" s="110">
        <f>'1.Лок.смета.и.Акт'!F459</f>
        <v>10559.12</v>
      </c>
      <c r="AM261" s="2">
        <v>0</v>
      </c>
      <c r="AN261" s="2">
        <v>0</v>
      </c>
      <c r="AO261" s="2">
        <v>0</v>
      </c>
      <c r="AP261" s="2">
        <v>0</v>
      </c>
      <c r="AQ261" s="2">
        <v>0</v>
      </c>
      <c r="AR261" s="2">
        <v>0</v>
      </c>
      <c r="AS261" s="2">
        <v>22.28</v>
      </c>
      <c r="AT261" s="2">
        <v>0</v>
      </c>
      <c r="AU261" s="2">
        <v>0</v>
      </c>
      <c r="AV261" s="2">
        <v>1</v>
      </c>
      <c r="AW261" s="2">
        <v>1</v>
      </c>
      <c r="AX261" s="2"/>
      <c r="AY261" s="2"/>
      <c r="AZ261" s="2">
        <v>1</v>
      </c>
      <c r="BA261" s="2">
        <v>1</v>
      </c>
      <c r="BB261" s="2">
        <v>1</v>
      </c>
      <c r="BC261" s="2">
        <v>1</v>
      </c>
      <c r="BD261" s="2" t="s">
        <v>6</v>
      </c>
      <c r="BE261" s="2" t="s">
        <v>6</v>
      </c>
      <c r="BF261" s="2" t="s">
        <v>6</v>
      </c>
      <c r="BG261" s="2" t="s">
        <v>6</v>
      </c>
      <c r="BH261" s="2">
        <v>3</v>
      </c>
      <c r="BI261" s="2">
        <v>1</v>
      </c>
      <c r="BJ261" s="2" t="s">
        <v>318</v>
      </c>
      <c r="BK261" s="2"/>
      <c r="BL261" s="2"/>
      <c r="BM261" s="2">
        <v>500001</v>
      </c>
      <c r="BN261" s="2">
        <v>0</v>
      </c>
      <c r="BO261" s="2" t="s">
        <v>6</v>
      </c>
      <c r="BP261" s="2">
        <v>0</v>
      </c>
      <c r="BQ261" s="2">
        <v>20</v>
      </c>
      <c r="BR261" s="2">
        <v>0</v>
      </c>
      <c r="BS261" s="2">
        <v>1</v>
      </c>
      <c r="BT261" s="2">
        <v>1</v>
      </c>
      <c r="BU261" s="2">
        <v>1</v>
      </c>
      <c r="BV261" s="2">
        <v>1</v>
      </c>
      <c r="BW261" s="2">
        <v>1</v>
      </c>
      <c r="BX261" s="2">
        <v>1</v>
      </c>
      <c r="BY261" s="2" t="s">
        <v>6</v>
      </c>
      <c r="BZ261" s="2">
        <v>0</v>
      </c>
      <c r="CA261" s="2">
        <v>0</v>
      </c>
      <c r="CB261" s="2" t="s">
        <v>6</v>
      </c>
      <c r="CC261" s="2"/>
      <c r="CD261" s="2"/>
      <c r="CE261" s="2">
        <v>0</v>
      </c>
      <c r="CF261" s="2">
        <v>0</v>
      </c>
      <c r="CG261" s="2">
        <v>0</v>
      </c>
      <c r="CH261" s="2"/>
      <c r="CI261" s="2"/>
      <c r="CJ261" s="2"/>
      <c r="CK261" s="2"/>
      <c r="CL261" s="2"/>
      <c r="CM261" s="2">
        <v>0</v>
      </c>
      <c r="CN261" s="2" t="s">
        <v>6</v>
      </c>
      <c r="CO261" s="2">
        <v>0</v>
      </c>
      <c r="CP261" s="2">
        <f t="shared" si="287"/>
        <v>8</v>
      </c>
      <c r="CQ261" s="2">
        <f t="shared" si="288"/>
        <v>10559.12</v>
      </c>
      <c r="CR261" s="2">
        <f t="shared" si="289"/>
        <v>0</v>
      </c>
      <c r="CS261" s="2">
        <f t="shared" si="290"/>
        <v>0</v>
      </c>
      <c r="CT261" s="2">
        <f t="shared" si="291"/>
        <v>0</v>
      </c>
      <c r="CU261" s="2">
        <f t="shared" si="292"/>
        <v>0</v>
      </c>
      <c r="CV261" s="2">
        <f t="shared" si="293"/>
        <v>0</v>
      </c>
      <c r="CW261" s="2">
        <f t="shared" si="294"/>
        <v>0</v>
      </c>
      <c r="CX261" s="2">
        <f t="shared" si="295"/>
        <v>22.28</v>
      </c>
      <c r="CY261" s="2">
        <f>(((S261+(R261*IF(0,0,1)))*AT261)/100)</f>
        <v>0</v>
      </c>
      <c r="CZ261" s="2">
        <f>(((S261+(R261*IF(0,0,1)))*AU261)/100)</f>
        <v>0</v>
      </c>
      <c r="DA261" s="2"/>
      <c r="DB261" s="2"/>
      <c r="DC261" s="2" t="s">
        <v>6</v>
      </c>
      <c r="DD261" s="2" t="s">
        <v>6</v>
      </c>
      <c r="DE261" s="2" t="s">
        <v>6</v>
      </c>
      <c r="DF261" s="2" t="s">
        <v>6</v>
      </c>
      <c r="DG261" s="2" t="s">
        <v>6</v>
      </c>
      <c r="DH261" s="2" t="s">
        <v>6</v>
      </c>
      <c r="DI261" s="2" t="s">
        <v>6</v>
      </c>
      <c r="DJ261" s="2" t="s">
        <v>6</v>
      </c>
      <c r="DK261" s="2" t="s">
        <v>6</v>
      </c>
      <c r="DL261" s="2" t="s">
        <v>6</v>
      </c>
      <c r="DM261" s="2" t="s">
        <v>6</v>
      </c>
      <c r="DN261" s="2">
        <v>0</v>
      </c>
      <c r="DO261" s="2">
        <v>0</v>
      </c>
      <c r="DP261" s="2">
        <v>1</v>
      </c>
      <c r="DQ261" s="2">
        <v>1</v>
      </c>
      <c r="DR261" s="2"/>
      <c r="DS261" s="2"/>
      <c r="DT261" s="2"/>
      <c r="DU261" s="2">
        <v>1009</v>
      </c>
      <c r="DV261" s="2" t="s">
        <v>33</v>
      </c>
      <c r="DW261" s="2" t="s">
        <v>33</v>
      </c>
      <c r="DX261" s="2">
        <v>1000</v>
      </c>
      <c r="DY261" s="2"/>
      <c r="DZ261" s="2" t="s">
        <v>6</v>
      </c>
      <c r="EA261" s="2" t="s">
        <v>6</v>
      </c>
      <c r="EB261" s="2" t="s">
        <v>6</v>
      </c>
      <c r="EC261" s="2" t="s">
        <v>6</v>
      </c>
      <c r="ED261" s="2"/>
      <c r="EE261" s="2">
        <v>54938781</v>
      </c>
      <c r="EF261" s="2">
        <v>20</v>
      </c>
      <c r="EG261" s="2" t="s">
        <v>35</v>
      </c>
      <c r="EH261" s="2">
        <v>0</v>
      </c>
      <c r="EI261" s="2" t="s">
        <v>6</v>
      </c>
      <c r="EJ261" s="2">
        <v>1</v>
      </c>
      <c r="EK261" s="2">
        <v>500001</v>
      </c>
      <c r="EL261" s="2" t="s">
        <v>36</v>
      </c>
      <c r="EM261" s="2" t="s">
        <v>37</v>
      </c>
      <c r="EN261" s="2"/>
      <c r="EO261" s="2" t="s">
        <v>6</v>
      </c>
      <c r="EP261" s="2"/>
      <c r="EQ261" s="2">
        <v>0</v>
      </c>
      <c r="ER261" s="2">
        <v>10559.12</v>
      </c>
      <c r="ES261" s="110">
        <f>'1.Лок.смета.и.Акт'!F459</f>
        <v>10559.12</v>
      </c>
      <c r="ET261" s="2">
        <v>0</v>
      </c>
      <c r="EU261" s="2">
        <v>0</v>
      </c>
      <c r="EV261" s="2">
        <v>0</v>
      </c>
      <c r="EW261" s="2">
        <v>0</v>
      </c>
      <c r="EX261" s="2">
        <v>0</v>
      </c>
      <c r="EY261" s="2"/>
      <c r="EZ261" s="2"/>
      <c r="FA261" s="2"/>
      <c r="FB261" s="2"/>
      <c r="FC261" s="2"/>
      <c r="FD261" s="2"/>
      <c r="FE261" s="2"/>
      <c r="FF261" s="2"/>
      <c r="FG261" s="2"/>
      <c r="FH261" s="2"/>
      <c r="FI261" s="2"/>
      <c r="FJ261" s="2"/>
      <c r="FK261" s="2"/>
      <c r="FL261" s="2"/>
      <c r="FM261" s="2"/>
      <c r="FN261" s="2"/>
      <c r="FO261" s="2"/>
      <c r="FP261" s="2"/>
      <c r="FQ261" s="2">
        <v>0</v>
      </c>
      <c r="FR261" s="2">
        <f t="shared" si="296"/>
        <v>0</v>
      </c>
      <c r="FS261" s="2">
        <v>0</v>
      </c>
      <c r="FT261" s="2"/>
      <c r="FU261" s="2"/>
      <c r="FV261" s="2"/>
      <c r="FW261" s="2"/>
      <c r="FX261" s="2">
        <v>0</v>
      </c>
      <c r="FY261" s="2">
        <v>0</v>
      </c>
      <c r="FZ261" s="2"/>
      <c r="GA261" s="2" t="s">
        <v>6</v>
      </c>
      <c r="GB261" s="2"/>
      <c r="GC261" s="2"/>
      <c r="GD261" s="2">
        <v>1</v>
      </c>
      <c r="GE261" s="2"/>
      <c r="GF261" s="2">
        <v>1988624183</v>
      </c>
      <c r="GG261" s="2">
        <v>2</v>
      </c>
      <c r="GH261" s="2">
        <v>0</v>
      </c>
      <c r="GI261" s="2">
        <v>-2</v>
      </c>
      <c r="GJ261" s="2">
        <v>0</v>
      </c>
      <c r="GK261" s="2">
        <v>0</v>
      </c>
      <c r="GL261" s="2">
        <f t="shared" si="297"/>
        <v>0</v>
      </c>
      <c r="GM261" s="2">
        <f t="shared" si="298"/>
        <v>8</v>
      </c>
      <c r="GN261" s="2">
        <f t="shared" si="299"/>
        <v>8</v>
      </c>
      <c r="GO261" s="2">
        <f t="shared" si="300"/>
        <v>0</v>
      </c>
      <c r="GP261" s="2">
        <f t="shared" si="301"/>
        <v>0</v>
      </c>
      <c r="GQ261" s="2"/>
      <c r="GR261" s="2">
        <v>0</v>
      </c>
      <c r="GS261" s="2">
        <v>3</v>
      </c>
      <c r="GT261" s="2">
        <v>0</v>
      </c>
      <c r="GU261" s="2" t="s">
        <v>6</v>
      </c>
      <c r="GV261" s="2">
        <f t="shared" si="302"/>
        <v>0</v>
      </c>
      <c r="GW261" s="2">
        <v>1</v>
      </c>
      <c r="GX261" s="2">
        <f t="shared" si="303"/>
        <v>0</v>
      </c>
      <c r="GY261" s="2"/>
      <c r="GZ261" s="2"/>
      <c r="HA261" s="2">
        <v>0</v>
      </c>
      <c r="HB261" s="2">
        <v>0</v>
      </c>
      <c r="HC261" s="2">
        <f t="shared" si="304"/>
        <v>0</v>
      </c>
      <c r="HD261" s="2"/>
      <c r="HE261" s="2" t="s">
        <v>6</v>
      </c>
      <c r="HF261" s="2" t="s">
        <v>6</v>
      </c>
      <c r="HG261" s="2"/>
      <c r="HH261" s="2"/>
      <c r="HI261" s="2"/>
      <c r="HJ261" s="2"/>
      <c r="HK261" s="2"/>
      <c r="HL261" s="2"/>
      <c r="HM261" s="2" t="s">
        <v>6</v>
      </c>
      <c r="HN261" s="2" t="s">
        <v>6</v>
      </c>
      <c r="HO261" s="2" t="s">
        <v>6</v>
      </c>
      <c r="HP261" s="2" t="s">
        <v>6</v>
      </c>
      <c r="HQ261" s="2" t="s">
        <v>6</v>
      </c>
      <c r="HR261" s="2"/>
      <c r="HS261" s="2"/>
      <c r="HT261" s="2"/>
      <c r="HU261" s="2"/>
      <c r="HV261" s="2"/>
      <c r="HW261" s="2"/>
      <c r="HX261" s="2"/>
      <c r="HY261" s="2"/>
      <c r="HZ261" s="2"/>
      <c r="IA261" s="2"/>
      <c r="IB261" s="2"/>
      <c r="IC261" s="2"/>
      <c r="ID261" s="2"/>
      <c r="IE261" s="2"/>
      <c r="IF261" s="2">
        <v>-1</v>
      </c>
      <c r="IG261" s="2"/>
      <c r="IH261" s="2"/>
      <c r="II261" s="2"/>
      <c r="IJ261" s="2"/>
      <c r="IK261" s="2">
        <v>0</v>
      </c>
      <c r="IL261" s="2"/>
      <c r="IM261" s="2"/>
      <c r="IN261" s="2"/>
      <c r="IO261" s="2"/>
      <c r="IP261" s="2"/>
      <c r="IQ261" s="2"/>
      <c r="IR261" s="2"/>
      <c r="IS261" s="2"/>
      <c r="IT261" s="2"/>
      <c r="IU261" s="2"/>
    </row>
    <row r="262" spans="1:255" x14ac:dyDescent="0.2">
      <c r="A262">
        <v>18</v>
      </c>
      <c r="B262">
        <v>1</v>
      </c>
      <c r="C262">
        <v>333</v>
      </c>
      <c r="E262" t="s">
        <v>372</v>
      </c>
      <c r="F262" t="e">
        <f>'2.Лок.смета.и.Акт'!#REF!</f>
        <v>#REF!</v>
      </c>
      <c r="G262" t="s">
        <v>317</v>
      </c>
      <c r="H262" t="s">
        <v>33</v>
      </c>
      <c r="I262">
        <f>I260*J262</f>
        <v>7.5350000000000005E-4</v>
      </c>
      <c r="J262">
        <v>5.9992038216560521E-3</v>
      </c>
      <c r="K262">
        <v>6.0000000000000001E-3</v>
      </c>
      <c r="O262">
        <f t="shared" si="273"/>
        <v>77</v>
      </c>
      <c r="P262">
        <f t="shared" si="274"/>
        <v>77</v>
      </c>
      <c r="Q262">
        <f t="shared" si="275"/>
        <v>0</v>
      </c>
      <c r="R262">
        <f t="shared" si="276"/>
        <v>0</v>
      </c>
      <c r="S262">
        <f t="shared" si="277"/>
        <v>0</v>
      </c>
      <c r="T262">
        <f t="shared" si="278"/>
        <v>0</v>
      </c>
      <c r="U262">
        <f t="shared" si="279"/>
        <v>0</v>
      </c>
      <c r="V262">
        <f t="shared" si="280"/>
        <v>0</v>
      </c>
      <c r="W262">
        <f t="shared" si="281"/>
        <v>0</v>
      </c>
      <c r="X262">
        <f t="shared" si="282"/>
        <v>0</v>
      </c>
      <c r="Y262">
        <f t="shared" si="283"/>
        <v>0</v>
      </c>
      <c r="AA262">
        <v>86326988</v>
      </c>
      <c r="AB262">
        <f t="shared" si="284"/>
        <v>13505.55</v>
      </c>
      <c r="AC262">
        <f>ROUND((ES262),2)</f>
        <v>13505.55</v>
      </c>
      <c r="AD262">
        <f>ROUND((((ET262)-(EU262))+AE262),2)</f>
        <v>0</v>
      </c>
      <c r="AE262">
        <f t="shared" si="309"/>
        <v>0</v>
      </c>
      <c r="AF262">
        <f t="shared" si="309"/>
        <v>0</v>
      </c>
      <c r="AG262">
        <f t="shared" si="285"/>
        <v>0</v>
      </c>
      <c r="AH262">
        <f t="shared" si="310"/>
        <v>0</v>
      </c>
      <c r="AI262">
        <f t="shared" si="310"/>
        <v>0</v>
      </c>
      <c r="AJ262">
        <f t="shared" si="286"/>
        <v>22.28</v>
      </c>
      <c r="AK262">
        <v>13505.55</v>
      </c>
      <c r="AL262">
        <v>13505.55</v>
      </c>
      <c r="AM262">
        <v>0</v>
      </c>
      <c r="AN262">
        <v>0</v>
      </c>
      <c r="AO262">
        <v>0</v>
      </c>
      <c r="AP262">
        <v>0</v>
      </c>
      <c r="AQ262">
        <v>0</v>
      </c>
      <c r="AR262">
        <v>0</v>
      </c>
      <c r="AS262">
        <v>22.28</v>
      </c>
      <c r="AT262">
        <v>0</v>
      </c>
      <c r="AU262">
        <v>0</v>
      </c>
      <c r="AV262">
        <v>1</v>
      </c>
      <c r="AW262">
        <v>1</v>
      </c>
      <c r="AZ262">
        <v>1</v>
      </c>
      <c r="BA262">
        <v>1</v>
      </c>
      <c r="BB262">
        <v>1</v>
      </c>
      <c r="BC262">
        <v>7.56</v>
      </c>
      <c r="BD262" t="s">
        <v>6</v>
      </c>
      <c r="BE262" t="s">
        <v>6</v>
      </c>
      <c r="BF262" t="s">
        <v>6</v>
      </c>
      <c r="BG262" t="s">
        <v>6</v>
      </c>
      <c r="BH262">
        <v>3</v>
      </c>
      <c r="BI262">
        <v>1</v>
      </c>
      <c r="BJ262" t="s">
        <v>318</v>
      </c>
      <c r="BM262">
        <v>500001</v>
      </c>
      <c r="BN262">
        <v>0</v>
      </c>
      <c r="BO262" t="s">
        <v>6</v>
      </c>
      <c r="BP262">
        <v>0</v>
      </c>
      <c r="BQ262">
        <v>20</v>
      </c>
      <c r="BR262">
        <v>0</v>
      </c>
      <c r="BS262">
        <v>1</v>
      </c>
      <c r="BT262">
        <v>1</v>
      </c>
      <c r="BU262">
        <v>1</v>
      </c>
      <c r="BV262">
        <v>1</v>
      </c>
      <c r="BW262">
        <v>1</v>
      </c>
      <c r="BX262">
        <v>1</v>
      </c>
      <c r="BY262" t="s">
        <v>6</v>
      </c>
      <c r="BZ262">
        <v>0</v>
      </c>
      <c r="CA262">
        <v>0</v>
      </c>
      <c r="CB262" t="s">
        <v>6</v>
      </c>
      <c r="CE262">
        <v>0</v>
      </c>
      <c r="CF262">
        <v>0</v>
      </c>
      <c r="CG262">
        <v>0</v>
      </c>
      <c r="CM262">
        <v>0</v>
      </c>
      <c r="CN262" t="s">
        <v>6</v>
      </c>
      <c r="CO262">
        <v>0</v>
      </c>
      <c r="CP262">
        <f t="shared" si="287"/>
        <v>77</v>
      </c>
      <c r="CQ262">
        <f t="shared" si="288"/>
        <v>102101.95799999998</v>
      </c>
      <c r="CR262">
        <f t="shared" si="289"/>
        <v>0</v>
      </c>
      <c r="CS262">
        <f t="shared" si="290"/>
        <v>0</v>
      </c>
      <c r="CT262">
        <f t="shared" si="291"/>
        <v>0</v>
      </c>
      <c r="CU262">
        <f t="shared" si="292"/>
        <v>0</v>
      </c>
      <c r="CV262">
        <f t="shared" si="293"/>
        <v>0</v>
      </c>
      <c r="CW262">
        <f t="shared" si="294"/>
        <v>0</v>
      </c>
      <c r="CX262">
        <f t="shared" si="295"/>
        <v>22.28</v>
      </c>
      <c r="CY262">
        <f>(S262+R262)*(BZ262/100)</f>
        <v>0</v>
      </c>
      <c r="CZ262">
        <f>(S262+R262)*(CA262/100)</f>
        <v>0</v>
      </c>
      <c r="DC262" t="s">
        <v>6</v>
      </c>
      <c r="DD262" t="s">
        <v>6</v>
      </c>
      <c r="DE262" t="s">
        <v>6</v>
      </c>
      <c r="DF262" t="s">
        <v>6</v>
      </c>
      <c r="DG262" t="s">
        <v>6</v>
      </c>
      <c r="DH262" t="s">
        <v>6</v>
      </c>
      <c r="DI262" t="s">
        <v>6</v>
      </c>
      <c r="DJ262" t="s">
        <v>6</v>
      </c>
      <c r="DK262" t="s">
        <v>6</v>
      </c>
      <c r="DL262" t="s">
        <v>6</v>
      </c>
      <c r="DM262" t="s">
        <v>6</v>
      </c>
      <c r="DN262">
        <v>0</v>
      </c>
      <c r="DO262">
        <v>0</v>
      </c>
      <c r="DP262">
        <v>1</v>
      </c>
      <c r="DQ262">
        <v>1</v>
      </c>
      <c r="DU262">
        <v>1009</v>
      </c>
      <c r="DV262" t="s">
        <v>33</v>
      </c>
      <c r="DW262" t="e">
        <f>'2.Лок.смета.и.Акт'!#REF!</f>
        <v>#REF!</v>
      </c>
      <c r="DX262">
        <v>1000</v>
      </c>
      <c r="DZ262" t="s">
        <v>6</v>
      </c>
      <c r="EA262" t="s">
        <v>6</v>
      </c>
      <c r="EB262" t="s">
        <v>6</v>
      </c>
      <c r="EC262" t="s">
        <v>6</v>
      </c>
      <c r="EE262">
        <v>54938781</v>
      </c>
      <c r="EF262">
        <v>20</v>
      </c>
      <c r="EG262" t="s">
        <v>35</v>
      </c>
      <c r="EH262">
        <v>0</v>
      </c>
      <c r="EI262" t="s">
        <v>6</v>
      </c>
      <c r="EJ262">
        <v>1</v>
      </c>
      <c r="EK262">
        <v>500001</v>
      </c>
      <c r="EL262" t="s">
        <v>36</v>
      </c>
      <c r="EM262" t="s">
        <v>37</v>
      </c>
      <c r="EO262" t="s">
        <v>6</v>
      </c>
      <c r="EQ262">
        <v>0</v>
      </c>
      <c r="ER262">
        <v>96250</v>
      </c>
      <c r="ES262">
        <v>13505.55</v>
      </c>
      <c r="ET262">
        <v>0</v>
      </c>
      <c r="EU262">
        <v>0</v>
      </c>
      <c r="EV262">
        <v>0</v>
      </c>
      <c r="EW262">
        <v>0</v>
      </c>
      <c r="EX262">
        <v>0</v>
      </c>
      <c r="EZ262">
        <v>5</v>
      </c>
      <c r="FC262">
        <v>0</v>
      </c>
      <c r="FD262">
        <v>18</v>
      </c>
      <c r="FF262">
        <v>96250</v>
      </c>
      <c r="FQ262">
        <v>0</v>
      </c>
      <c r="FR262">
        <f t="shared" si="296"/>
        <v>0</v>
      </c>
      <c r="FS262">
        <v>0</v>
      </c>
      <c r="FX262">
        <v>0</v>
      </c>
      <c r="FY262">
        <v>0</v>
      </c>
      <c r="GA262" t="s">
        <v>319</v>
      </c>
      <c r="GD262">
        <v>1</v>
      </c>
      <c r="GF262">
        <v>1988624183</v>
      </c>
      <c r="GG262">
        <v>2</v>
      </c>
      <c r="GH262">
        <v>3</v>
      </c>
      <c r="GI262">
        <v>5</v>
      </c>
      <c r="GJ262">
        <v>0</v>
      </c>
      <c r="GK262">
        <v>0</v>
      </c>
      <c r="GL262">
        <f t="shared" si="297"/>
        <v>0</v>
      </c>
      <c r="GM262">
        <f t="shared" si="298"/>
        <v>77</v>
      </c>
      <c r="GN262">
        <f t="shared" si="299"/>
        <v>77</v>
      </c>
      <c r="GO262">
        <f t="shared" si="300"/>
        <v>0</v>
      </c>
      <c r="GP262">
        <f t="shared" si="301"/>
        <v>0</v>
      </c>
      <c r="GR262">
        <v>1</v>
      </c>
      <c r="GS262">
        <v>1</v>
      </c>
      <c r="GT262">
        <v>0</v>
      </c>
      <c r="GU262" t="s">
        <v>6</v>
      </c>
      <c r="GV262">
        <f t="shared" si="302"/>
        <v>0</v>
      </c>
      <c r="GW262">
        <v>1</v>
      </c>
      <c r="GX262">
        <f t="shared" si="303"/>
        <v>0</v>
      </c>
      <c r="HA262">
        <v>0</v>
      </c>
      <c r="HB262">
        <v>0</v>
      </c>
      <c r="HC262">
        <f t="shared" si="304"/>
        <v>0</v>
      </c>
      <c r="HE262" t="s">
        <v>39</v>
      </c>
      <c r="HF262" t="s">
        <v>40</v>
      </c>
      <c r="HM262" t="s">
        <v>6</v>
      </c>
      <c r="HN262" t="s">
        <v>6</v>
      </c>
      <c r="HO262" t="s">
        <v>6</v>
      </c>
      <c r="HP262" t="s">
        <v>6</v>
      </c>
      <c r="HQ262" t="s">
        <v>6</v>
      </c>
      <c r="IF262">
        <v>-1</v>
      </c>
      <c r="IK262">
        <v>0</v>
      </c>
    </row>
    <row r="263" spans="1:255" x14ac:dyDescent="0.2">
      <c r="A263" s="2">
        <v>18</v>
      </c>
      <c r="B263" s="2">
        <v>1</v>
      </c>
      <c r="C263" s="2">
        <v>327</v>
      </c>
      <c r="D263" s="2"/>
      <c r="E263" s="2" t="s">
        <v>373</v>
      </c>
      <c r="F263" s="2" t="s">
        <v>360</v>
      </c>
      <c r="G263" s="2" t="s">
        <v>361</v>
      </c>
      <c r="H263" s="2" t="s">
        <v>33</v>
      </c>
      <c r="I263" s="2">
        <f>I259*J263</f>
        <v>0.12559999999999999</v>
      </c>
      <c r="J263" s="226">
        <f>'5.Ведомость_списания'!F126</f>
        <v>1</v>
      </c>
      <c r="K263" s="2">
        <v>1</v>
      </c>
      <c r="L263" s="2"/>
      <c r="M263" s="2"/>
      <c r="N263" s="2"/>
      <c r="O263" s="2">
        <f t="shared" si="273"/>
        <v>1852</v>
      </c>
      <c r="P263" s="2">
        <f t="shared" si="274"/>
        <v>1852</v>
      </c>
      <c r="Q263" s="2">
        <f t="shared" si="275"/>
        <v>0</v>
      </c>
      <c r="R263" s="2">
        <f t="shared" si="276"/>
        <v>0</v>
      </c>
      <c r="S263" s="2">
        <f t="shared" si="277"/>
        <v>0</v>
      </c>
      <c r="T263" s="2">
        <f t="shared" si="278"/>
        <v>0</v>
      </c>
      <c r="U263" s="2">
        <f t="shared" si="279"/>
        <v>0</v>
      </c>
      <c r="V263" s="2">
        <f t="shared" si="280"/>
        <v>0</v>
      </c>
      <c r="W263" s="2">
        <f t="shared" si="281"/>
        <v>0</v>
      </c>
      <c r="X263" s="2">
        <f t="shared" si="282"/>
        <v>0</v>
      </c>
      <c r="Y263" s="2">
        <f t="shared" si="283"/>
        <v>0</v>
      </c>
      <c r="Z263" s="2"/>
      <c r="AA263" s="2">
        <v>86326987</v>
      </c>
      <c r="AB263" s="2">
        <f t="shared" si="284"/>
        <v>14744.52</v>
      </c>
      <c r="AC263" s="2">
        <f>ROUND((ES263),2)</f>
        <v>14744.52</v>
      </c>
      <c r="AD263" s="2">
        <f>ROUND((((ET263)-(EU263))+AE263),2)</f>
        <v>0</v>
      </c>
      <c r="AE263" s="2">
        <f t="shared" si="309"/>
        <v>0</v>
      </c>
      <c r="AF263" s="2">
        <f t="shared" si="309"/>
        <v>0</v>
      </c>
      <c r="AG263" s="2">
        <f t="shared" si="285"/>
        <v>0</v>
      </c>
      <c r="AH263" s="2">
        <f t="shared" si="310"/>
        <v>0</v>
      </c>
      <c r="AI263" s="2">
        <f t="shared" si="310"/>
        <v>0</v>
      </c>
      <c r="AJ263" s="2">
        <f t="shared" si="286"/>
        <v>0</v>
      </c>
      <c r="AK263" s="2">
        <v>14744.52</v>
      </c>
      <c r="AL263" s="110">
        <f>'1.Лок.смета.и.Акт'!F461</f>
        <v>14744.52</v>
      </c>
      <c r="AM263" s="2">
        <v>0</v>
      </c>
      <c r="AN263" s="2">
        <v>0</v>
      </c>
      <c r="AO263" s="2">
        <v>0</v>
      </c>
      <c r="AP263" s="2">
        <v>0</v>
      </c>
      <c r="AQ263" s="2">
        <v>0</v>
      </c>
      <c r="AR263" s="2">
        <v>0</v>
      </c>
      <c r="AS263" s="2">
        <v>0</v>
      </c>
      <c r="AT263" s="2">
        <v>0</v>
      </c>
      <c r="AU263" s="2">
        <v>0</v>
      </c>
      <c r="AV263" s="2">
        <v>1</v>
      </c>
      <c r="AW263" s="2">
        <v>1</v>
      </c>
      <c r="AX263" s="2"/>
      <c r="AY263" s="2"/>
      <c r="AZ263" s="2">
        <v>1</v>
      </c>
      <c r="BA263" s="2">
        <v>1</v>
      </c>
      <c r="BB263" s="2">
        <v>1</v>
      </c>
      <c r="BC263" s="2">
        <v>1</v>
      </c>
      <c r="BD263" s="2" t="s">
        <v>6</v>
      </c>
      <c r="BE263" s="2" t="s">
        <v>6</v>
      </c>
      <c r="BF263" s="2" t="s">
        <v>6</v>
      </c>
      <c r="BG263" s="2" t="s">
        <v>6</v>
      </c>
      <c r="BH263" s="2">
        <v>3</v>
      </c>
      <c r="BI263" s="2">
        <v>1</v>
      </c>
      <c r="BJ263" s="2" t="s">
        <v>362</v>
      </c>
      <c r="BK263" s="2"/>
      <c r="BL263" s="2"/>
      <c r="BM263" s="2">
        <v>500003</v>
      </c>
      <c r="BN263" s="2">
        <v>0</v>
      </c>
      <c r="BO263" s="2" t="s">
        <v>6</v>
      </c>
      <c r="BP263" s="2">
        <v>0</v>
      </c>
      <c r="BQ263" s="2">
        <v>22</v>
      </c>
      <c r="BR263" s="2">
        <v>0</v>
      </c>
      <c r="BS263" s="2">
        <v>1</v>
      </c>
      <c r="BT263" s="2">
        <v>1</v>
      </c>
      <c r="BU263" s="2">
        <v>1</v>
      </c>
      <c r="BV263" s="2">
        <v>1</v>
      </c>
      <c r="BW263" s="2">
        <v>1</v>
      </c>
      <c r="BX263" s="2">
        <v>1</v>
      </c>
      <c r="BY263" s="2" t="s">
        <v>6</v>
      </c>
      <c r="BZ263" s="2">
        <v>0</v>
      </c>
      <c r="CA263" s="2">
        <v>0</v>
      </c>
      <c r="CB263" s="2" t="s">
        <v>6</v>
      </c>
      <c r="CC263" s="2"/>
      <c r="CD263" s="2"/>
      <c r="CE263" s="2">
        <v>0</v>
      </c>
      <c r="CF263" s="2">
        <v>0</v>
      </c>
      <c r="CG263" s="2">
        <v>0</v>
      </c>
      <c r="CH263" s="2"/>
      <c r="CI263" s="2"/>
      <c r="CJ263" s="2"/>
      <c r="CK263" s="2"/>
      <c r="CL263" s="2"/>
      <c r="CM263" s="2">
        <v>0</v>
      </c>
      <c r="CN263" s="2" t="s">
        <v>6</v>
      </c>
      <c r="CO263" s="2">
        <v>0</v>
      </c>
      <c r="CP263" s="2">
        <f t="shared" si="287"/>
        <v>1852</v>
      </c>
      <c r="CQ263" s="2">
        <f t="shared" si="288"/>
        <v>14744.52</v>
      </c>
      <c r="CR263" s="2">
        <f t="shared" si="289"/>
        <v>0</v>
      </c>
      <c r="CS263" s="2">
        <f t="shared" si="290"/>
        <v>0</v>
      </c>
      <c r="CT263" s="2">
        <f t="shared" si="291"/>
        <v>0</v>
      </c>
      <c r="CU263" s="2">
        <f t="shared" si="292"/>
        <v>0</v>
      </c>
      <c r="CV263" s="2">
        <f t="shared" si="293"/>
        <v>0</v>
      </c>
      <c r="CW263" s="2">
        <f t="shared" si="294"/>
        <v>0</v>
      </c>
      <c r="CX263" s="2">
        <f t="shared" si="295"/>
        <v>0</v>
      </c>
      <c r="CY263" s="2">
        <f>(((S263+(R263*IF(0,0,1)))*AT263)/100)</f>
        <v>0</v>
      </c>
      <c r="CZ263" s="2">
        <f>(((S263+(R263*IF(0,0,1)))*AU263)/100)</f>
        <v>0</v>
      </c>
      <c r="DA263" s="2"/>
      <c r="DB263" s="2"/>
      <c r="DC263" s="2" t="s">
        <v>6</v>
      </c>
      <c r="DD263" s="2" t="s">
        <v>6</v>
      </c>
      <c r="DE263" s="2" t="s">
        <v>6</v>
      </c>
      <c r="DF263" s="2" t="s">
        <v>6</v>
      </c>
      <c r="DG263" s="2" t="s">
        <v>6</v>
      </c>
      <c r="DH263" s="2" t="s">
        <v>6</v>
      </c>
      <c r="DI263" s="2" t="s">
        <v>6</v>
      </c>
      <c r="DJ263" s="2" t="s">
        <v>6</v>
      </c>
      <c r="DK263" s="2" t="s">
        <v>6</v>
      </c>
      <c r="DL263" s="2" t="s">
        <v>6</v>
      </c>
      <c r="DM263" s="2" t="s">
        <v>6</v>
      </c>
      <c r="DN263" s="2">
        <v>0</v>
      </c>
      <c r="DO263" s="2">
        <v>0</v>
      </c>
      <c r="DP263" s="2">
        <v>1</v>
      </c>
      <c r="DQ263" s="2">
        <v>1</v>
      </c>
      <c r="DR263" s="2"/>
      <c r="DS263" s="2"/>
      <c r="DT263" s="2"/>
      <c r="DU263" s="2">
        <v>1009</v>
      </c>
      <c r="DV263" s="2" t="s">
        <v>33</v>
      </c>
      <c r="DW263" s="2" t="s">
        <v>33</v>
      </c>
      <c r="DX263" s="2">
        <v>1000</v>
      </c>
      <c r="DY263" s="2"/>
      <c r="DZ263" s="2" t="s">
        <v>6</v>
      </c>
      <c r="EA263" s="2" t="s">
        <v>6</v>
      </c>
      <c r="EB263" s="2" t="s">
        <v>6</v>
      </c>
      <c r="EC263" s="2" t="s">
        <v>6</v>
      </c>
      <c r="ED263" s="2"/>
      <c r="EE263" s="2">
        <v>54938783</v>
      </c>
      <c r="EF263" s="2">
        <v>22</v>
      </c>
      <c r="EG263" s="2" t="s">
        <v>57</v>
      </c>
      <c r="EH263" s="2">
        <v>0</v>
      </c>
      <c r="EI263" s="2" t="s">
        <v>6</v>
      </c>
      <c r="EJ263" s="2">
        <v>1</v>
      </c>
      <c r="EK263" s="2">
        <v>500003</v>
      </c>
      <c r="EL263" s="2" t="s">
        <v>58</v>
      </c>
      <c r="EM263" s="2" t="s">
        <v>59</v>
      </c>
      <c r="EN263" s="2"/>
      <c r="EO263" s="2" t="s">
        <v>6</v>
      </c>
      <c r="EP263" s="2"/>
      <c r="EQ263" s="2">
        <v>0</v>
      </c>
      <c r="ER263" s="2">
        <v>14744.52</v>
      </c>
      <c r="ES263" s="110">
        <f>'1.Лок.смета.и.Акт'!F461</f>
        <v>14744.52</v>
      </c>
      <c r="ET263" s="2">
        <v>0</v>
      </c>
      <c r="EU263" s="2">
        <v>0</v>
      </c>
      <c r="EV263" s="2">
        <v>0</v>
      </c>
      <c r="EW263" s="2">
        <v>0</v>
      </c>
      <c r="EX263" s="2">
        <v>0</v>
      </c>
      <c r="EY263" s="2"/>
      <c r="EZ263" s="2"/>
      <c r="FA263" s="2"/>
      <c r="FB263" s="2"/>
      <c r="FC263" s="2"/>
      <c r="FD263" s="2"/>
      <c r="FE263" s="2"/>
      <c r="FF263" s="2"/>
      <c r="FG263" s="2"/>
      <c r="FH263" s="2"/>
      <c r="FI263" s="2"/>
      <c r="FJ263" s="2"/>
      <c r="FK263" s="2"/>
      <c r="FL263" s="2"/>
      <c r="FM263" s="2"/>
      <c r="FN263" s="2"/>
      <c r="FO263" s="2"/>
      <c r="FP263" s="2"/>
      <c r="FQ263" s="2">
        <v>0</v>
      </c>
      <c r="FR263" s="2">
        <f t="shared" si="296"/>
        <v>0</v>
      </c>
      <c r="FS263" s="2">
        <v>0</v>
      </c>
      <c r="FT263" s="2"/>
      <c r="FU263" s="2"/>
      <c r="FV263" s="2"/>
      <c r="FW263" s="2"/>
      <c r="FX263" s="2">
        <v>0</v>
      </c>
      <c r="FY263" s="2">
        <v>0</v>
      </c>
      <c r="FZ263" s="2"/>
      <c r="GA263" s="2" t="s">
        <v>6</v>
      </c>
      <c r="GB263" s="2"/>
      <c r="GC263" s="2"/>
      <c r="GD263" s="2">
        <v>1</v>
      </c>
      <c r="GE263" s="2"/>
      <c r="GF263" s="2">
        <v>1093046587</v>
      </c>
      <c r="GG263" s="2">
        <v>2</v>
      </c>
      <c r="GH263" s="2">
        <v>2</v>
      </c>
      <c r="GI263" s="2">
        <v>-2</v>
      </c>
      <c r="GJ263" s="2">
        <v>0</v>
      </c>
      <c r="GK263" s="2">
        <v>0</v>
      </c>
      <c r="GL263" s="2">
        <f t="shared" si="297"/>
        <v>0</v>
      </c>
      <c r="GM263" s="2">
        <f t="shared" si="298"/>
        <v>1852</v>
      </c>
      <c r="GN263" s="2">
        <f t="shared" si="299"/>
        <v>1852</v>
      </c>
      <c r="GO263" s="2">
        <f t="shared" si="300"/>
        <v>0</v>
      </c>
      <c r="GP263" s="2">
        <f t="shared" si="301"/>
        <v>0</v>
      </c>
      <c r="GQ263" s="2"/>
      <c r="GR263" s="2">
        <v>0</v>
      </c>
      <c r="GS263" s="2">
        <v>2</v>
      </c>
      <c r="GT263" s="2">
        <v>0</v>
      </c>
      <c r="GU263" s="2" t="s">
        <v>6</v>
      </c>
      <c r="GV263" s="2">
        <f t="shared" si="302"/>
        <v>0</v>
      </c>
      <c r="GW263" s="2">
        <v>1</v>
      </c>
      <c r="GX263" s="2">
        <f t="shared" si="303"/>
        <v>0</v>
      </c>
      <c r="GY263" s="2"/>
      <c r="GZ263" s="2"/>
      <c r="HA263" s="2">
        <v>0</v>
      </c>
      <c r="HB263" s="2">
        <v>0</v>
      </c>
      <c r="HC263" s="2">
        <f t="shared" si="304"/>
        <v>0</v>
      </c>
      <c r="HD263" s="2"/>
      <c r="HE263" s="2" t="s">
        <v>6</v>
      </c>
      <c r="HF263" s="2" t="s">
        <v>6</v>
      </c>
      <c r="HG263" s="2"/>
      <c r="HH263" s="2"/>
      <c r="HI263" s="2"/>
      <c r="HJ263" s="2"/>
      <c r="HK263" s="2"/>
      <c r="HL263" s="2"/>
      <c r="HM263" s="2" t="s">
        <v>6</v>
      </c>
      <c r="HN263" s="2" t="s">
        <v>6</v>
      </c>
      <c r="HO263" s="2" t="s">
        <v>6</v>
      </c>
      <c r="HP263" s="2" t="s">
        <v>6</v>
      </c>
      <c r="HQ263" s="2" t="s">
        <v>6</v>
      </c>
      <c r="HR263" s="2"/>
      <c r="HS263" s="2"/>
      <c r="HT263" s="2"/>
      <c r="HU263" s="2"/>
      <c r="HV263" s="2"/>
      <c r="HW263" s="2"/>
      <c r="HX263" s="2"/>
      <c r="HY263" s="2"/>
      <c r="HZ263" s="2"/>
      <c r="IA263" s="2"/>
      <c r="IB263" s="2"/>
      <c r="IC263" s="2"/>
      <c r="ID263" s="2"/>
      <c r="IE263" s="2"/>
      <c r="IF263" s="2">
        <v>-1</v>
      </c>
      <c r="IG263" s="2"/>
      <c r="IH263" s="2"/>
      <c r="II263" s="2"/>
      <c r="IJ263" s="2"/>
      <c r="IK263" s="2">
        <v>0</v>
      </c>
      <c r="IL263" s="2"/>
      <c r="IM263" s="2"/>
      <c r="IN263" s="2"/>
      <c r="IO263" s="2"/>
      <c r="IP263" s="2"/>
      <c r="IQ263" s="2"/>
      <c r="IR263" s="2"/>
      <c r="IS263" s="2"/>
      <c r="IT263" s="2"/>
      <c r="IU263" s="2"/>
    </row>
    <row r="264" spans="1:255" x14ac:dyDescent="0.2">
      <c r="A264">
        <v>18</v>
      </c>
      <c r="B264">
        <v>1</v>
      </c>
      <c r="C264">
        <v>334</v>
      </c>
      <c r="E264" t="s">
        <v>373</v>
      </c>
      <c r="F264" t="e">
        <f>'2.Лок.смета.и.Акт'!#REF!</f>
        <v>#REF!</v>
      </c>
      <c r="G264" t="s">
        <v>361</v>
      </c>
      <c r="H264" t="s">
        <v>33</v>
      </c>
      <c r="I264">
        <f>I260*J264</f>
        <v>0.12559999999999999</v>
      </c>
      <c r="J264">
        <v>1</v>
      </c>
      <c r="K264">
        <v>1</v>
      </c>
      <c r="O264">
        <f t="shared" si="273"/>
        <v>14670</v>
      </c>
      <c r="P264">
        <f t="shared" si="274"/>
        <v>14670</v>
      </c>
      <c r="Q264">
        <f t="shared" si="275"/>
        <v>0</v>
      </c>
      <c r="R264">
        <f t="shared" si="276"/>
        <v>0</v>
      </c>
      <c r="S264">
        <f t="shared" si="277"/>
        <v>0</v>
      </c>
      <c r="T264">
        <f t="shared" si="278"/>
        <v>0</v>
      </c>
      <c r="U264">
        <f t="shared" si="279"/>
        <v>0</v>
      </c>
      <c r="V264">
        <f t="shared" si="280"/>
        <v>0</v>
      </c>
      <c r="W264">
        <f t="shared" si="281"/>
        <v>0</v>
      </c>
      <c r="X264">
        <f t="shared" si="282"/>
        <v>0</v>
      </c>
      <c r="Y264">
        <f t="shared" si="283"/>
        <v>0</v>
      </c>
      <c r="AA264">
        <v>86326988</v>
      </c>
      <c r="AB264">
        <f t="shared" si="284"/>
        <v>15449.31</v>
      </c>
      <c r="AC264">
        <f>ROUND((ES264),2)</f>
        <v>15449.31</v>
      </c>
      <c r="AD264">
        <f>ROUND((((ET264)-(EU264))+AE264),2)</f>
        <v>0</v>
      </c>
      <c r="AE264">
        <f t="shared" si="309"/>
        <v>0</v>
      </c>
      <c r="AF264">
        <f t="shared" si="309"/>
        <v>0</v>
      </c>
      <c r="AG264">
        <f t="shared" si="285"/>
        <v>0</v>
      </c>
      <c r="AH264">
        <f t="shared" si="310"/>
        <v>0</v>
      </c>
      <c r="AI264">
        <f t="shared" si="310"/>
        <v>0</v>
      </c>
      <c r="AJ264">
        <f t="shared" si="286"/>
        <v>0</v>
      </c>
      <c r="AK264">
        <v>15449.310000000001</v>
      </c>
      <c r="AL264">
        <v>15449.310000000001</v>
      </c>
      <c r="AM264">
        <v>0</v>
      </c>
      <c r="AN264">
        <v>0</v>
      </c>
      <c r="AO264">
        <v>0</v>
      </c>
      <c r="AP264">
        <v>0</v>
      </c>
      <c r="AQ264">
        <v>0</v>
      </c>
      <c r="AR264">
        <v>0</v>
      </c>
      <c r="AS264">
        <v>0</v>
      </c>
      <c r="AT264">
        <v>0</v>
      </c>
      <c r="AU264">
        <v>0</v>
      </c>
      <c r="AV264">
        <v>1</v>
      </c>
      <c r="AW264">
        <v>1</v>
      </c>
      <c r="AZ264">
        <v>1</v>
      </c>
      <c r="BA264">
        <v>1</v>
      </c>
      <c r="BB264">
        <v>1</v>
      </c>
      <c r="BC264">
        <v>7.56</v>
      </c>
      <c r="BD264" t="s">
        <v>6</v>
      </c>
      <c r="BE264" t="s">
        <v>6</v>
      </c>
      <c r="BF264" t="s">
        <v>6</v>
      </c>
      <c r="BG264" t="s">
        <v>6</v>
      </c>
      <c r="BH264">
        <v>3</v>
      </c>
      <c r="BI264">
        <v>1</v>
      </c>
      <c r="BJ264" t="s">
        <v>362</v>
      </c>
      <c r="BM264">
        <v>500003</v>
      </c>
      <c r="BN264">
        <v>0</v>
      </c>
      <c r="BO264" t="s">
        <v>6</v>
      </c>
      <c r="BP264">
        <v>0</v>
      </c>
      <c r="BQ264">
        <v>22</v>
      </c>
      <c r="BR264">
        <v>0</v>
      </c>
      <c r="BS264">
        <v>1</v>
      </c>
      <c r="BT264">
        <v>1</v>
      </c>
      <c r="BU264">
        <v>1</v>
      </c>
      <c r="BV264">
        <v>1</v>
      </c>
      <c r="BW264">
        <v>1</v>
      </c>
      <c r="BX264">
        <v>1</v>
      </c>
      <c r="BY264" t="s">
        <v>6</v>
      </c>
      <c r="BZ264">
        <v>0</v>
      </c>
      <c r="CA264">
        <v>0</v>
      </c>
      <c r="CB264" t="s">
        <v>6</v>
      </c>
      <c r="CE264">
        <v>0</v>
      </c>
      <c r="CF264">
        <v>0</v>
      </c>
      <c r="CG264">
        <v>0</v>
      </c>
      <c r="CM264">
        <v>0</v>
      </c>
      <c r="CN264" t="s">
        <v>6</v>
      </c>
      <c r="CO264">
        <v>0</v>
      </c>
      <c r="CP264">
        <f t="shared" si="287"/>
        <v>14670</v>
      </c>
      <c r="CQ264">
        <f t="shared" si="288"/>
        <v>116796.7836</v>
      </c>
      <c r="CR264">
        <f t="shared" si="289"/>
        <v>0</v>
      </c>
      <c r="CS264">
        <f t="shared" si="290"/>
        <v>0</v>
      </c>
      <c r="CT264">
        <f t="shared" si="291"/>
        <v>0</v>
      </c>
      <c r="CU264">
        <f t="shared" si="292"/>
        <v>0</v>
      </c>
      <c r="CV264">
        <f t="shared" si="293"/>
        <v>0</v>
      </c>
      <c r="CW264">
        <f t="shared" si="294"/>
        <v>0</v>
      </c>
      <c r="CX264">
        <f t="shared" si="295"/>
        <v>0</v>
      </c>
      <c r="CY264">
        <f>(S264+R264)*(BZ264/100)</f>
        <v>0</v>
      </c>
      <c r="CZ264">
        <f>(S264+R264)*(CA264/100)</f>
        <v>0</v>
      </c>
      <c r="DC264" t="s">
        <v>6</v>
      </c>
      <c r="DD264" t="s">
        <v>6</v>
      </c>
      <c r="DE264" t="s">
        <v>6</v>
      </c>
      <c r="DF264" t="s">
        <v>6</v>
      </c>
      <c r="DG264" t="s">
        <v>6</v>
      </c>
      <c r="DH264" t="s">
        <v>6</v>
      </c>
      <c r="DI264" t="s">
        <v>6</v>
      </c>
      <c r="DJ264" t="s">
        <v>6</v>
      </c>
      <c r="DK264" t="s">
        <v>6</v>
      </c>
      <c r="DL264" t="s">
        <v>6</v>
      </c>
      <c r="DM264" t="s">
        <v>6</v>
      </c>
      <c r="DN264">
        <v>0</v>
      </c>
      <c r="DO264">
        <v>0</v>
      </c>
      <c r="DP264">
        <v>1</v>
      </c>
      <c r="DQ264">
        <v>1</v>
      </c>
      <c r="DU264">
        <v>1009</v>
      </c>
      <c r="DV264" t="s">
        <v>33</v>
      </c>
      <c r="DW264" t="e">
        <f>'2.Лок.смета.и.Акт'!#REF!</f>
        <v>#REF!</v>
      </c>
      <c r="DX264">
        <v>1000</v>
      </c>
      <c r="DZ264" t="s">
        <v>6</v>
      </c>
      <c r="EA264" t="s">
        <v>6</v>
      </c>
      <c r="EB264" t="s">
        <v>6</v>
      </c>
      <c r="EC264" t="s">
        <v>6</v>
      </c>
      <c r="EE264">
        <v>54938783</v>
      </c>
      <c r="EF264">
        <v>22</v>
      </c>
      <c r="EG264" t="s">
        <v>57</v>
      </c>
      <c r="EH264">
        <v>0</v>
      </c>
      <c r="EI264" t="s">
        <v>6</v>
      </c>
      <c r="EJ264">
        <v>1</v>
      </c>
      <c r="EK264">
        <v>500003</v>
      </c>
      <c r="EL264" t="s">
        <v>58</v>
      </c>
      <c r="EM264" t="s">
        <v>59</v>
      </c>
      <c r="EO264" t="s">
        <v>6</v>
      </c>
      <c r="EQ264">
        <v>0</v>
      </c>
      <c r="ER264">
        <v>111468.54</v>
      </c>
      <c r="ES264">
        <v>15449.310000000001</v>
      </c>
      <c r="ET264">
        <v>0</v>
      </c>
      <c r="EU264">
        <v>0</v>
      </c>
      <c r="EV264">
        <v>0</v>
      </c>
      <c r="EW264">
        <v>0</v>
      </c>
      <c r="EX264">
        <v>0</v>
      </c>
      <c r="EZ264">
        <v>5</v>
      </c>
      <c r="FC264">
        <v>0</v>
      </c>
      <c r="FD264">
        <v>18</v>
      </c>
      <c r="FF264">
        <v>111468.54</v>
      </c>
      <c r="FQ264">
        <v>0</v>
      </c>
      <c r="FR264">
        <f t="shared" si="296"/>
        <v>0</v>
      </c>
      <c r="FS264">
        <v>0</v>
      </c>
      <c r="FX264">
        <v>0</v>
      </c>
      <c r="FY264">
        <v>0</v>
      </c>
      <c r="GA264" t="s">
        <v>363</v>
      </c>
      <c r="GD264">
        <v>1</v>
      </c>
      <c r="GF264">
        <v>1093046587</v>
      </c>
      <c r="GG264">
        <v>2</v>
      </c>
      <c r="GH264">
        <v>3</v>
      </c>
      <c r="GI264">
        <v>5</v>
      </c>
      <c r="GJ264">
        <v>0</v>
      </c>
      <c r="GK264">
        <v>0</v>
      </c>
      <c r="GL264">
        <f t="shared" si="297"/>
        <v>0</v>
      </c>
      <c r="GM264">
        <f t="shared" si="298"/>
        <v>14670</v>
      </c>
      <c r="GN264">
        <f t="shared" si="299"/>
        <v>14670</v>
      </c>
      <c r="GO264">
        <f t="shared" si="300"/>
        <v>0</v>
      </c>
      <c r="GP264">
        <f t="shared" si="301"/>
        <v>0</v>
      </c>
      <c r="GR264">
        <v>1</v>
      </c>
      <c r="GS264">
        <v>1</v>
      </c>
      <c r="GT264">
        <v>0</v>
      </c>
      <c r="GU264" t="s">
        <v>6</v>
      </c>
      <c r="GV264">
        <f t="shared" si="302"/>
        <v>0</v>
      </c>
      <c r="GW264">
        <v>1</v>
      </c>
      <c r="GX264">
        <f t="shared" si="303"/>
        <v>0</v>
      </c>
      <c r="HA264">
        <v>0</v>
      </c>
      <c r="HB264">
        <v>0</v>
      </c>
      <c r="HC264">
        <f t="shared" si="304"/>
        <v>0</v>
      </c>
      <c r="HE264" t="s">
        <v>39</v>
      </c>
      <c r="HF264" t="s">
        <v>61</v>
      </c>
      <c r="HM264" t="s">
        <v>6</v>
      </c>
      <c r="HN264" t="s">
        <v>6</v>
      </c>
      <c r="HO264" t="s">
        <v>6</v>
      </c>
      <c r="HP264" t="s">
        <v>6</v>
      </c>
      <c r="HQ264" t="s">
        <v>6</v>
      </c>
      <c r="IF264">
        <v>-1</v>
      </c>
      <c r="IK264">
        <v>0</v>
      </c>
    </row>
    <row r="265" spans="1:255" x14ac:dyDescent="0.2">
      <c r="A265" s="2">
        <v>17</v>
      </c>
      <c r="B265" s="2">
        <v>1</v>
      </c>
      <c r="C265" s="2">
        <f>ROW(SmtRes!A342)</f>
        <v>342</v>
      </c>
      <c r="D265" s="2">
        <f>ROW(EtalonRes!A264)</f>
        <v>264</v>
      </c>
      <c r="E265" s="2" t="s">
        <v>374</v>
      </c>
      <c r="F265" s="2" t="s">
        <v>375</v>
      </c>
      <c r="G265" s="2" t="s">
        <v>376</v>
      </c>
      <c r="H265" s="2" t="s">
        <v>377</v>
      </c>
      <c r="I265" s="2" t="e">
        <f>'2.Лок.смета.и.Акт'!#REF!</f>
        <v>#REF!</v>
      </c>
      <c r="J265" s="2">
        <v>0</v>
      </c>
      <c r="K265" s="2">
        <v>0.26</v>
      </c>
      <c r="L265" s="2"/>
      <c r="M265" s="2"/>
      <c r="N265" s="2"/>
      <c r="O265" s="2" t="e">
        <f t="shared" si="273"/>
        <v>#REF!</v>
      </c>
      <c r="P265" s="2" t="e">
        <f t="shared" si="274"/>
        <v>#REF!</v>
      </c>
      <c r="Q265" s="2" t="e">
        <f t="shared" si="275"/>
        <v>#REF!</v>
      </c>
      <c r="R265" s="2" t="e">
        <f t="shared" si="276"/>
        <v>#REF!</v>
      </c>
      <c r="S265" s="2" t="e">
        <f t="shared" si="277"/>
        <v>#REF!</v>
      </c>
      <c r="T265" s="2" t="e">
        <f t="shared" si="278"/>
        <v>#REF!</v>
      </c>
      <c r="U265" s="2" t="e">
        <f t="shared" si="279"/>
        <v>#REF!</v>
      </c>
      <c r="V265" s="2" t="e">
        <f t="shared" si="280"/>
        <v>#REF!</v>
      </c>
      <c r="W265" s="2" t="e">
        <f t="shared" si="281"/>
        <v>#REF!</v>
      </c>
      <c r="X265" s="2" t="e">
        <f t="shared" si="282"/>
        <v>#REF!</v>
      </c>
      <c r="Y265" s="2" t="e">
        <f t="shared" si="283"/>
        <v>#REF!</v>
      </c>
      <c r="Z265" s="2"/>
      <c r="AA265" s="2">
        <v>86326987</v>
      </c>
      <c r="AB265" s="2">
        <f t="shared" si="284"/>
        <v>82.63</v>
      </c>
      <c r="AC265" s="2">
        <f>ROUND(((ES265*2)+(SUM(SmtRes!BC335:'SmtRes'!BC342)+SUM(EtalonRes!AL257:'EtalonRes'!AL264))),2)</f>
        <v>0.01</v>
      </c>
      <c r="AD265" s="2">
        <f>ROUND(((((ET265*2))-((EU265*2)))+AE265),2)</f>
        <v>12.54</v>
      </c>
      <c r="AE265" s="2">
        <f>ROUND(((EU265*2)),2)</f>
        <v>0.2</v>
      </c>
      <c r="AF265" s="2">
        <f>ROUND(((EV265*2)),2)</f>
        <v>70.08</v>
      </c>
      <c r="AG265" s="2">
        <f t="shared" si="285"/>
        <v>0</v>
      </c>
      <c r="AH265" s="2">
        <f>((EW265*2))</f>
        <v>7.66</v>
      </c>
      <c r="AI265" s="2">
        <f>((EX265*2))</f>
        <v>0.02</v>
      </c>
      <c r="AJ265" s="2">
        <f t="shared" si="286"/>
        <v>0</v>
      </c>
      <c r="AK265" s="2">
        <v>321.88</v>
      </c>
      <c r="AL265" s="2">
        <v>280.57</v>
      </c>
      <c r="AM265" s="2">
        <v>6.27</v>
      </c>
      <c r="AN265" s="2">
        <v>0.1</v>
      </c>
      <c r="AO265" s="2">
        <v>35.04</v>
      </c>
      <c r="AP265" s="2">
        <v>0</v>
      </c>
      <c r="AQ265" s="2">
        <v>3.83</v>
      </c>
      <c r="AR265" s="2">
        <v>0.01</v>
      </c>
      <c r="AS265" s="2">
        <v>0</v>
      </c>
      <c r="AT265" s="2">
        <v>90</v>
      </c>
      <c r="AU265" s="2">
        <v>70</v>
      </c>
      <c r="AV265" s="2">
        <v>1</v>
      </c>
      <c r="AW265" s="2">
        <v>1</v>
      </c>
      <c r="AX265" s="2"/>
      <c r="AY265" s="2"/>
      <c r="AZ265" s="2">
        <v>1</v>
      </c>
      <c r="BA265" s="2">
        <v>1</v>
      </c>
      <c r="BB265" s="2">
        <v>1</v>
      </c>
      <c r="BC265" s="2">
        <v>1</v>
      </c>
      <c r="BD265" s="2" t="s">
        <v>6</v>
      </c>
      <c r="BE265" s="2" t="s">
        <v>6</v>
      </c>
      <c r="BF265" s="2" t="s">
        <v>6</v>
      </c>
      <c r="BG265" s="2" t="s">
        <v>6</v>
      </c>
      <c r="BH265" s="2">
        <v>0</v>
      </c>
      <c r="BI265" s="2">
        <v>1</v>
      </c>
      <c r="BJ265" s="2" t="s">
        <v>378</v>
      </c>
      <c r="BK265" s="2"/>
      <c r="BL265" s="2"/>
      <c r="BM265" s="2">
        <v>13001</v>
      </c>
      <c r="BN265" s="2">
        <v>0</v>
      </c>
      <c r="BO265" s="2" t="s">
        <v>6</v>
      </c>
      <c r="BP265" s="2">
        <v>0</v>
      </c>
      <c r="BQ265" s="2">
        <v>1</v>
      </c>
      <c r="BR265" s="2">
        <v>0</v>
      </c>
      <c r="BS265" s="2">
        <v>1</v>
      </c>
      <c r="BT265" s="2">
        <v>1</v>
      </c>
      <c r="BU265" s="2">
        <v>1</v>
      </c>
      <c r="BV265" s="2">
        <v>1</v>
      </c>
      <c r="BW265" s="2">
        <v>1</v>
      </c>
      <c r="BX265" s="2">
        <v>1</v>
      </c>
      <c r="BY265" s="2" t="s">
        <v>6</v>
      </c>
      <c r="BZ265" s="2">
        <v>90</v>
      </c>
      <c r="CA265" s="2">
        <v>70</v>
      </c>
      <c r="CB265" s="2" t="s">
        <v>6</v>
      </c>
      <c r="CC265" s="2"/>
      <c r="CD265" s="2"/>
      <c r="CE265" s="2">
        <v>0</v>
      </c>
      <c r="CF265" s="2">
        <v>0</v>
      </c>
      <c r="CG265" s="2">
        <v>0</v>
      </c>
      <c r="CH265" s="2"/>
      <c r="CI265" s="2"/>
      <c r="CJ265" s="2"/>
      <c r="CK265" s="2"/>
      <c r="CL265" s="2"/>
      <c r="CM265" s="2">
        <v>0</v>
      </c>
      <c r="CN265" s="2" t="s">
        <v>23</v>
      </c>
      <c r="CO265" s="2">
        <v>0</v>
      </c>
      <c r="CP265" s="2" t="e">
        <f t="shared" si="287"/>
        <v>#REF!</v>
      </c>
      <c r="CQ265" s="2">
        <f t="shared" si="288"/>
        <v>0.01</v>
      </c>
      <c r="CR265" s="2">
        <f t="shared" si="289"/>
        <v>12.54</v>
      </c>
      <c r="CS265" s="2">
        <f t="shared" si="290"/>
        <v>0.2</v>
      </c>
      <c r="CT265" s="2">
        <f t="shared" si="291"/>
        <v>70.08</v>
      </c>
      <c r="CU265" s="2">
        <f t="shared" si="292"/>
        <v>0</v>
      </c>
      <c r="CV265" s="2">
        <f t="shared" si="293"/>
        <v>7.66</v>
      </c>
      <c r="CW265" s="2">
        <f t="shared" si="294"/>
        <v>0.02</v>
      </c>
      <c r="CX265" s="2">
        <f t="shared" si="295"/>
        <v>0</v>
      </c>
      <c r="CY265" s="2" t="e">
        <f>(((S265+(R265*IF(0,0,1)))*AT265)/100)</f>
        <v>#REF!</v>
      </c>
      <c r="CZ265" s="2" t="e">
        <f>(((S265+(R265*IF(0,0,1)))*AU265)/100)</f>
        <v>#REF!</v>
      </c>
      <c r="DA265" s="2"/>
      <c r="DB265" s="2"/>
      <c r="DC265" s="2" t="s">
        <v>6</v>
      </c>
      <c r="DD265" s="2" t="s">
        <v>379</v>
      </c>
      <c r="DE265" s="2" t="s">
        <v>379</v>
      </c>
      <c r="DF265" s="2" t="s">
        <v>379</v>
      </c>
      <c r="DG265" s="2" t="s">
        <v>379</v>
      </c>
      <c r="DH265" s="2" t="s">
        <v>6</v>
      </c>
      <c r="DI265" s="2" t="s">
        <v>379</v>
      </c>
      <c r="DJ265" s="2" t="s">
        <v>379</v>
      </c>
      <c r="DK265" s="2" t="s">
        <v>6</v>
      </c>
      <c r="DL265" s="2" t="s">
        <v>6</v>
      </c>
      <c r="DM265" s="2" t="s">
        <v>6</v>
      </c>
      <c r="DN265" s="2">
        <v>0</v>
      </c>
      <c r="DO265" s="2">
        <v>0</v>
      </c>
      <c r="DP265" s="2">
        <v>1</v>
      </c>
      <c r="DQ265" s="2">
        <v>1</v>
      </c>
      <c r="DR265" s="2"/>
      <c r="DS265" s="2"/>
      <c r="DT265" s="2"/>
      <c r="DU265" s="2">
        <v>1005</v>
      </c>
      <c r="DV265" s="2" t="s">
        <v>377</v>
      </c>
      <c r="DW265" s="2" t="s">
        <v>377</v>
      </c>
      <c r="DX265" s="2">
        <v>100</v>
      </c>
      <c r="DY265" s="2"/>
      <c r="DZ265" s="2" t="s">
        <v>6</v>
      </c>
      <c r="EA265" s="2" t="s">
        <v>6</v>
      </c>
      <c r="EB265" s="2" t="s">
        <v>6</v>
      </c>
      <c r="EC265" s="2" t="s">
        <v>6</v>
      </c>
      <c r="ED265" s="2"/>
      <c r="EE265" s="2">
        <v>54938608</v>
      </c>
      <c r="EF265" s="2">
        <v>1</v>
      </c>
      <c r="EG265" s="2" t="s">
        <v>26</v>
      </c>
      <c r="EH265" s="2">
        <v>0</v>
      </c>
      <c r="EI265" s="2" t="s">
        <v>6</v>
      </c>
      <c r="EJ265" s="2">
        <v>1</v>
      </c>
      <c r="EK265" s="2">
        <v>13001</v>
      </c>
      <c r="EL265" s="2" t="s">
        <v>380</v>
      </c>
      <c r="EM265" s="2" t="s">
        <v>381</v>
      </c>
      <c r="EN265" s="2"/>
      <c r="EO265" s="2" t="s">
        <v>29</v>
      </c>
      <c r="EP265" s="2"/>
      <c r="EQ265" s="2">
        <v>2097152</v>
      </c>
      <c r="ER265" s="2">
        <v>321.88</v>
      </c>
      <c r="ES265" s="2">
        <v>280.57</v>
      </c>
      <c r="ET265" s="2">
        <v>6.27</v>
      </c>
      <c r="EU265" s="2">
        <v>0.1</v>
      </c>
      <c r="EV265" s="2">
        <v>35.04</v>
      </c>
      <c r="EW265" s="2">
        <v>3.83</v>
      </c>
      <c r="EX265" s="2">
        <v>0.01</v>
      </c>
      <c r="EY265" s="2">
        <v>1</v>
      </c>
      <c r="EZ265" s="2"/>
      <c r="FA265" s="2"/>
      <c r="FB265" s="2"/>
      <c r="FC265" s="2"/>
      <c r="FD265" s="2"/>
      <c r="FE265" s="2"/>
      <c r="FF265" s="2"/>
      <c r="FG265" s="2"/>
      <c r="FH265" s="2"/>
      <c r="FI265" s="2"/>
      <c r="FJ265" s="2"/>
      <c r="FK265" s="2"/>
      <c r="FL265" s="2"/>
      <c r="FM265" s="2"/>
      <c r="FN265" s="2"/>
      <c r="FO265" s="2"/>
      <c r="FP265" s="2"/>
      <c r="FQ265" s="2">
        <v>0</v>
      </c>
      <c r="FR265" s="2">
        <f t="shared" si="296"/>
        <v>0</v>
      </c>
      <c r="FS265" s="2">
        <v>0</v>
      </c>
      <c r="FT265" s="2"/>
      <c r="FU265" s="2"/>
      <c r="FV265" s="2"/>
      <c r="FW265" s="2"/>
      <c r="FX265" s="2">
        <v>90</v>
      </c>
      <c r="FY265" s="2">
        <v>70</v>
      </c>
      <c r="FZ265" s="2"/>
      <c r="GA265" s="2" t="s">
        <v>6</v>
      </c>
      <c r="GB265" s="2"/>
      <c r="GC265" s="2"/>
      <c r="GD265" s="2">
        <v>1</v>
      </c>
      <c r="GE265" s="2"/>
      <c r="GF265" s="2">
        <v>-479942791</v>
      </c>
      <c r="GG265" s="2">
        <v>2</v>
      </c>
      <c r="GH265" s="2">
        <v>1</v>
      </c>
      <c r="GI265" s="2">
        <v>-2</v>
      </c>
      <c r="GJ265" s="2">
        <v>0</v>
      </c>
      <c r="GK265" s="2">
        <v>0</v>
      </c>
      <c r="GL265" s="2">
        <f t="shared" si="297"/>
        <v>0</v>
      </c>
      <c r="GM265" s="2" t="e">
        <f t="shared" si="298"/>
        <v>#REF!</v>
      </c>
      <c r="GN265" s="2" t="e">
        <f t="shared" si="299"/>
        <v>#REF!</v>
      </c>
      <c r="GO265" s="2">
        <f t="shared" si="300"/>
        <v>0</v>
      </c>
      <c r="GP265" s="2">
        <f t="shared" si="301"/>
        <v>0</v>
      </c>
      <c r="GQ265" s="2"/>
      <c r="GR265" s="2">
        <v>0</v>
      </c>
      <c r="GS265" s="2">
        <v>3</v>
      </c>
      <c r="GT265" s="2">
        <v>0</v>
      </c>
      <c r="GU265" s="2" t="s">
        <v>379</v>
      </c>
      <c r="GV265" s="2">
        <f>ROUND(((GT265*2)),2)</f>
        <v>0</v>
      </c>
      <c r="GW265" s="2">
        <v>1</v>
      </c>
      <c r="GX265" s="2" t="e">
        <f t="shared" si="303"/>
        <v>#REF!</v>
      </c>
      <c r="GY265" s="2"/>
      <c r="GZ265" s="2"/>
      <c r="HA265" s="2">
        <v>0</v>
      </c>
      <c r="HB265" s="2">
        <v>0</v>
      </c>
      <c r="HC265" s="2">
        <f t="shared" si="304"/>
        <v>0</v>
      </c>
      <c r="HD265" s="2"/>
      <c r="HE265" s="2" t="s">
        <v>6</v>
      </c>
      <c r="HF265" s="2" t="s">
        <v>6</v>
      </c>
      <c r="HG265" s="2"/>
      <c r="HH265" s="2"/>
      <c r="HI265" s="2"/>
      <c r="HJ265" s="2"/>
      <c r="HK265" s="2"/>
      <c r="HL265" s="2"/>
      <c r="HM265" s="2" t="s">
        <v>6</v>
      </c>
      <c r="HN265" s="2" t="s">
        <v>6</v>
      </c>
      <c r="HO265" s="2" t="s">
        <v>6</v>
      </c>
      <c r="HP265" s="2" t="s">
        <v>6</v>
      </c>
      <c r="HQ265" s="2" t="s">
        <v>6</v>
      </c>
      <c r="HR265" s="2"/>
      <c r="HS265" s="2"/>
      <c r="HT265" s="2"/>
      <c r="HU265" s="2"/>
      <c r="HV265" s="2"/>
      <c r="HW265" s="2"/>
      <c r="HX265" s="2"/>
      <c r="HY265" s="2"/>
      <c r="HZ265" s="2"/>
      <c r="IA265" s="2"/>
      <c r="IB265" s="2"/>
      <c r="IC265" s="2"/>
      <c r="ID265" s="2"/>
      <c r="IE265" s="2"/>
      <c r="IF265" s="2">
        <v>-1</v>
      </c>
      <c r="IG265" s="2"/>
      <c r="IH265" s="2"/>
      <c r="II265" s="2"/>
      <c r="IJ265" s="2"/>
      <c r="IK265" s="2">
        <v>0</v>
      </c>
      <c r="IL265" s="2"/>
      <c r="IM265" s="2"/>
      <c r="IN265" s="2"/>
      <c r="IO265" s="2"/>
      <c r="IP265" s="2"/>
      <c r="IQ265" s="2"/>
      <c r="IR265" s="2"/>
      <c r="IS265" s="2"/>
      <c r="IT265" s="2"/>
      <c r="IU265" s="2"/>
    </row>
    <row r="266" spans="1:255" x14ac:dyDescent="0.2">
      <c r="A266">
        <v>17</v>
      </c>
      <c r="B266">
        <v>1</v>
      </c>
      <c r="C266">
        <f>ROW(SmtRes!A350)</f>
        <v>350</v>
      </c>
      <c r="D266">
        <f>ROW(EtalonRes!A272)</f>
        <v>272</v>
      </c>
      <c r="E266" t="s">
        <v>374</v>
      </c>
      <c r="F266" t="s">
        <v>375</v>
      </c>
      <c r="G266" t="s">
        <v>376</v>
      </c>
      <c r="H266" t="s">
        <v>377</v>
      </c>
      <c r="I266" t="e">
        <f>'2.Лок.смета.и.Акт'!#REF!</f>
        <v>#REF!</v>
      </c>
      <c r="J266">
        <v>0</v>
      </c>
      <c r="K266">
        <v>0.26</v>
      </c>
      <c r="O266" t="e">
        <f t="shared" si="273"/>
        <v>#REF!</v>
      </c>
      <c r="P266" t="e">
        <f t="shared" si="274"/>
        <v>#REF!</v>
      </c>
      <c r="Q266" t="e">
        <f t="shared" si="275"/>
        <v>#REF!</v>
      </c>
      <c r="R266" t="e">
        <f t="shared" si="276"/>
        <v>#REF!</v>
      </c>
      <c r="S266" t="e">
        <f t="shared" si="277"/>
        <v>#REF!</v>
      </c>
      <c r="T266" t="e">
        <f t="shared" si="278"/>
        <v>#REF!</v>
      </c>
      <c r="U266" t="e">
        <f t="shared" si="279"/>
        <v>#REF!</v>
      </c>
      <c r="V266" t="e">
        <f t="shared" si="280"/>
        <v>#REF!</v>
      </c>
      <c r="W266" t="e">
        <f t="shared" si="281"/>
        <v>#REF!</v>
      </c>
      <c r="X266" t="e">
        <f t="shared" si="282"/>
        <v>#REF!</v>
      </c>
      <c r="Y266" t="e">
        <f t="shared" si="283"/>
        <v>#REF!</v>
      </c>
      <c r="AA266">
        <v>86326988</v>
      </c>
      <c r="AB266">
        <f t="shared" si="284"/>
        <v>82.63</v>
      </c>
      <c r="AC266">
        <f>ROUND(((ES266*2)+(SUM(SmtRes!BC343:'SmtRes'!BC350)+SUM(EtalonRes!AL265:'EtalonRes'!AL272))),2)</f>
        <v>0.01</v>
      </c>
      <c r="AD266">
        <f>ROUND(((((ET266*2))-((EU266*2)))+AE266),2)</f>
        <v>12.54</v>
      </c>
      <c r="AE266">
        <f>ROUND(((EU266*2)),2)</f>
        <v>0.2</v>
      </c>
      <c r="AF266">
        <f>ROUND(((EV266*2)),2)</f>
        <v>70.08</v>
      </c>
      <c r="AG266">
        <f t="shared" si="285"/>
        <v>0</v>
      </c>
      <c r="AH266" t="e">
        <f>((EW266*2))</f>
        <v>#REF!</v>
      </c>
      <c r="AI266">
        <f>((EX266*2))</f>
        <v>0.02</v>
      </c>
      <c r="AJ266">
        <f t="shared" si="286"/>
        <v>0</v>
      </c>
      <c r="AK266">
        <f>AL266+AM266+AO266</f>
        <v>321.88</v>
      </c>
      <c r="AL266" s="75">
        <f>'1.Лок.смета.и.Акт'!F470</f>
        <v>280.57</v>
      </c>
      <c r="AM266" s="75">
        <f>'1.Лок.смета.и.Акт'!F468</f>
        <v>6.27</v>
      </c>
      <c r="AN266" s="75">
        <f>'1.Лок.смета.и.Акт'!F469</f>
        <v>0.1</v>
      </c>
      <c r="AO266" s="75">
        <f>'1.Лок.смета.и.Акт'!F467</f>
        <v>35.04</v>
      </c>
      <c r="AP266">
        <v>0</v>
      </c>
      <c r="AQ266" t="e">
        <f>'2.Лок.смета.и.Акт'!#REF!</f>
        <v>#REF!</v>
      </c>
      <c r="AR266">
        <v>0.01</v>
      </c>
      <c r="AS266">
        <v>0</v>
      </c>
      <c r="AT266">
        <v>86</v>
      </c>
      <c r="AU266">
        <v>60</v>
      </c>
      <c r="AV266">
        <v>1</v>
      </c>
      <c r="AW266">
        <v>1</v>
      </c>
      <c r="AZ266">
        <v>1</v>
      </c>
      <c r="BA266">
        <f>'1.Лок.смета.и.Акт'!J467</f>
        <v>26.95</v>
      </c>
      <c r="BB266">
        <f>'1.Лок.смета.и.Акт'!J468</f>
        <v>9.3000000000000007</v>
      </c>
      <c r="BC266">
        <f>'1.Лок.смета.и.Акт'!J470</f>
        <v>7.56</v>
      </c>
      <c r="BD266" t="s">
        <v>6</v>
      </c>
      <c r="BE266" t="s">
        <v>6</v>
      </c>
      <c r="BF266" t="s">
        <v>6</v>
      </c>
      <c r="BG266" t="s">
        <v>6</v>
      </c>
      <c r="BH266">
        <v>0</v>
      </c>
      <c r="BI266">
        <v>1</v>
      </c>
      <c r="BJ266" t="s">
        <v>378</v>
      </c>
      <c r="BM266">
        <v>13001</v>
      </c>
      <c r="BN266">
        <v>0</v>
      </c>
      <c r="BO266" t="s">
        <v>375</v>
      </c>
      <c r="BP266">
        <v>1</v>
      </c>
      <c r="BQ266">
        <v>1</v>
      </c>
      <c r="BR266">
        <v>0</v>
      </c>
      <c r="BS266">
        <f>'1.Лок.смета.и.Акт'!J469</f>
        <v>19.8</v>
      </c>
      <c r="BT266">
        <v>1</v>
      </c>
      <c r="BU266">
        <v>1</v>
      </c>
      <c r="BV266">
        <v>1</v>
      </c>
      <c r="BW266">
        <v>1</v>
      </c>
      <c r="BX266">
        <v>1</v>
      </c>
      <c r="BY266" t="s">
        <v>6</v>
      </c>
      <c r="BZ266" t="e">
        <f>'2.Лок.смета.и.Акт'!#REF!</f>
        <v>#REF!</v>
      </c>
      <c r="CA266" t="e">
        <f>'2.Лок.смета.и.Акт'!#REF!</f>
        <v>#REF!</v>
      </c>
      <c r="CB266" t="s">
        <v>6</v>
      </c>
      <c r="CE266">
        <v>0</v>
      </c>
      <c r="CF266">
        <v>0</v>
      </c>
      <c r="CG266">
        <v>0</v>
      </c>
      <c r="CM266">
        <v>0</v>
      </c>
      <c r="CN266" t="s">
        <v>23</v>
      </c>
      <c r="CO266">
        <v>0</v>
      </c>
      <c r="CP266" t="e">
        <f t="shared" si="287"/>
        <v>#REF!</v>
      </c>
      <c r="CQ266">
        <f t="shared" si="288"/>
        <v>7.5600000000000001E-2</v>
      </c>
      <c r="CR266">
        <f t="shared" si="289"/>
        <v>116.622</v>
      </c>
      <c r="CS266">
        <f t="shared" si="290"/>
        <v>3.9600000000000004</v>
      </c>
      <c r="CT266">
        <f t="shared" si="291"/>
        <v>1888.6559999999999</v>
      </c>
      <c r="CU266">
        <f t="shared" si="292"/>
        <v>0</v>
      </c>
      <c r="CV266" t="e">
        <f t="shared" si="293"/>
        <v>#REF!</v>
      </c>
      <c r="CW266">
        <f t="shared" si="294"/>
        <v>0.02</v>
      </c>
      <c r="CX266">
        <f t="shared" si="295"/>
        <v>0</v>
      </c>
      <c r="CY266" t="e">
        <f>(S266+R266)*(BZ266/100)</f>
        <v>#REF!</v>
      </c>
      <c r="CZ266" t="e">
        <f>(S266+R266)*(CA266/100)</f>
        <v>#REF!</v>
      </c>
      <c r="DC266" t="s">
        <v>6</v>
      </c>
      <c r="DD266" t="s">
        <v>379</v>
      </c>
      <c r="DE266" t="s">
        <v>379</v>
      </c>
      <c r="DF266" t="s">
        <v>379</v>
      </c>
      <c r="DG266" t="s">
        <v>379</v>
      </c>
      <c r="DH266" t="s">
        <v>6</v>
      </c>
      <c r="DI266" t="s">
        <v>379</v>
      </c>
      <c r="DJ266" t="s">
        <v>379</v>
      </c>
      <c r="DK266" t="s">
        <v>6</v>
      </c>
      <c r="DL266" t="s">
        <v>6</v>
      </c>
      <c r="DM266" t="s">
        <v>6</v>
      </c>
      <c r="DN266">
        <f>'1.Лок.смета.и.Акт'!E471</f>
        <v>90</v>
      </c>
      <c r="DO266">
        <f>'1.Лок.смета.и.Акт'!E472</f>
        <v>70</v>
      </c>
      <c r="DP266">
        <v>1</v>
      </c>
      <c r="DQ266">
        <v>1</v>
      </c>
      <c r="DU266">
        <v>1005</v>
      </c>
      <c r="DV266" t="s">
        <v>377</v>
      </c>
      <c r="DW266" t="e">
        <f>'2.Лок.смета.и.Акт'!#REF!</f>
        <v>#REF!</v>
      </c>
      <c r="DX266">
        <v>100</v>
      </c>
      <c r="DZ266" t="s">
        <v>6</v>
      </c>
      <c r="EA266" t="s">
        <v>6</v>
      </c>
      <c r="EB266" t="s">
        <v>6</v>
      </c>
      <c r="EC266" t="s">
        <v>6</v>
      </c>
      <c r="EE266">
        <v>54938608</v>
      </c>
      <c r="EF266">
        <v>1</v>
      </c>
      <c r="EG266" t="s">
        <v>26</v>
      </c>
      <c r="EH266">
        <v>0</v>
      </c>
      <c r="EI266" t="s">
        <v>6</v>
      </c>
      <c r="EJ266">
        <v>1</v>
      </c>
      <c r="EK266">
        <v>13001</v>
      </c>
      <c r="EL266" t="s">
        <v>380</v>
      </c>
      <c r="EM266" t="s">
        <v>381</v>
      </c>
      <c r="EO266" t="s">
        <v>29</v>
      </c>
      <c r="EQ266">
        <v>2097152</v>
      </c>
      <c r="ER266">
        <f>ES266+ET266+EV266</f>
        <v>321.88</v>
      </c>
      <c r="ES266" s="75">
        <f>'1.Лок.смета.и.Акт'!F470</f>
        <v>280.57</v>
      </c>
      <c r="ET266" s="75">
        <f>'1.Лок.смета.и.Акт'!F468</f>
        <v>6.27</v>
      </c>
      <c r="EU266" s="75">
        <f>'1.Лок.смета.и.Акт'!F469</f>
        <v>0.1</v>
      </c>
      <c r="EV266" s="75">
        <f>'1.Лок.смета.и.Акт'!F467</f>
        <v>35.04</v>
      </c>
      <c r="EW266" t="e">
        <f>'2.Лок.смета.и.Акт'!#REF!</f>
        <v>#REF!</v>
      </c>
      <c r="EX266">
        <v>0.01</v>
      </c>
      <c r="EY266">
        <v>1</v>
      </c>
      <c r="FQ266">
        <v>0</v>
      </c>
      <c r="FR266">
        <f t="shared" si="296"/>
        <v>0</v>
      </c>
      <c r="FS266">
        <v>0</v>
      </c>
      <c r="FX266">
        <v>90</v>
      </c>
      <c r="FY266">
        <v>70</v>
      </c>
      <c r="GA266" t="s">
        <v>6</v>
      </c>
      <c r="GD266">
        <v>1</v>
      </c>
      <c r="GF266">
        <v>-479942791</v>
      </c>
      <c r="GG266">
        <v>2</v>
      </c>
      <c r="GH266">
        <v>1</v>
      </c>
      <c r="GI266">
        <v>2</v>
      </c>
      <c r="GJ266">
        <v>0</v>
      </c>
      <c r="GK266">
        <v>0</v>
      </c>
      <c r="GL266">
        <f t="shared" si="297"/>
        <v>0</v>
      </c>
      <c r="GM266" t="e">
        <f t="shared" si="298"/>
        <v>#REF!</v>
      </c>
      <c r="GN266" t="e">
        <f t="shared" si="299"/>
        <v>#REF!</v>
      </c>
      <c r="GO266">
        <f t="shared" si="300"/>
        <v>0</v>
      </c>
      <c r="GP266">
        <f t="shared" si="301"/>
        <v>0</v>
      </c>
      <c r="GR266">
        <v>0</v>
      </c>
      <c r="GS266">
        <v>3</v>
      </c>
      <c r="GT266">
        <v>0</v>
      </c>
      <c r="GU266" t="s">
        <v>379</v>
      </c>
      <c r="GV266">
        <f>ROUND(((GT266*2)),2)</f>
        <v>0</v>
      </c>
      <c r="GW266">
        <v>1009.3</v>
      </c>
      <c r="GX266" t="e">
        <f t="shared" si="303"/>
        <v>#REF!</v>
      </c>
      <c r="HA266">
        <v>0</v>
      </c>
      <c r="HB266">
        <v>0</v>
      </c>
      <c r="HC266">
        <f t="shared" si="304"/>
        <v>0</v>
      </c>
      <c r="HE266" t="s">
        <v>6</v>
      </c>
      <c r="HF266" t="s">
        <v>6</v>
      </c>
      <c r="HM266" t="s">
        <v>6</v>
      </c>
      <c r="HN266" t="s">
        <v>6</v>
      </c>
      <c r="HO266" t="s">
        <v>6</v>
      </c>
      <c r="HP266" t="s">
        <v>6</v>
      </c>
      <c r="HQ266" t="s">
        <v>6</v>
      </c>
      <c r="IF266">
        <v>-1</v>
      </c>
      <c r="IK266">
        <v>0</v>
      </c>
    </row>
    <row r="267" spans="1:255" x14ac:dyDescent="0.2">
      <c r="A267" s="2">
        <v>18</v>
      </c>
      <c r="B267" s="2">
        <v>1</v>
      </c>
      <c r="C267" s="2">
        <v>341</v>
      </c>
      <c r="D267" s="2"/>
      <c r="E267" s="2" t="s">
        <v>382</v>
      </c>
      <c r="F267" s="2" t="s">
        <v>383</v>
      </c>
      <c r="G267" s="2" t="s">
        <v>384</v>
      </c>
      <c r="H267" s="2" t="s">
        <v>33</v>
      </c>
      <c r="I267" s="2" t="e">
        <f>I265*J267</f>
        <v>#REF!</v>
      </c>
      <c r="J267" s="226">
        <f>'5.Ведомость_списания'!F128</f>
        <v>2.8E-3</v>
      </c>
      <c r="K267" s="2">
        <v>1.4E-3</v>
      </c>
      <c r="L267" s="2"/>
      <c r="M267" s="2"/>
      <c r="N267" s="2"/>
      <c r="O267" s="2" t="e">
        <f t="shared" si="273"/>
        <v>#REF!</v>
      </c>
      <c r="P267" s="2" t="e">
        <f t="shared" si="274"/>
        <v>#REF!</v>
      </c>
      <c r="Q267" s="2" t="e">
        <f t="shared" si="275"/>
        <v>#REF!</v>
      </c>
      <c r="R267" s="2" t="e">
        <f t="shared" si="276"/>
        <v>#REF!</v>
      </c>
      <c r="S267" s="2" t="e">
        <f t="shared" si="277"/>
        <v>#REF!</v>
      </c>
      <c r="T267" s="2" t="e">
        <f t="shared" si="278"/>
        <v>#REF!</v>
      </c>
      <c r="U267" s="2" t="e">
        <f t="shared" si="279"/>
        <v>#REF!</v>
      </c>
      <c r="V267" s="2" t="e">
        <f t="shared" si="280"/>
        <v>#REF!</v>
      </c>
      <c r="W267" s="2" t="e">
        <f t="shared" si="281"/>
        <v>#REF!</v>
      </c>
      <c r="X267" s="2" t="e">
        <f t="shared" si="282"/>
        <v>#REF!</v>
      </c>
      <c r="Y267" s="2" t="e">
        <f t="shared" si="283"/>
        <v>#REF!</v>
      </c>
      <c r="Z267" s="2"/>
      <c r="AA267" s="2">
        <v>86326987</v>
      </c>
      <c r="AB267" s="2">
        <f t="shared" si="284"/>
        <v>6156.33</v>
      </c>
      <c r="AC267" s="2">
        <f t="shared" ref="AC267:AC278" si="311">ROUND((ES267),2)</f>
        <v>6156.33</v>
      </c>
      <c r="AD267" s="2">
        <f t="shared" ref="AD267:AD278" si="312">ROUND((((ET267)-(EU267))+AE267),2)</f>
        <v>0</v>
      </c>
      <c r="AE267" s="2">
        <f t="shared" ref="AE267:AE278" si="313">ROUND((EU267),2)</f>
        <v>0</v>
      </c>
      <c r="AF267" s="2">
        <f t="shared" ref="AF267:AF278" si="314">ROUND((EV267),2)</f>
        <v>0</v>
      </c>
      <c r="AG267" s="2">
        <f t="shared" si="285"/>
        <v>0</v>
      </c>
      <c r="AH267" s="2">
        <f t="shared" ref="AH267:AH278" si="315">(EW267)</f>
        <v>0</v>
      </c>
      <c r="AI267" s="2">
        <f t="shared" ref="AI267:AI278" si="316">(EX267)</f>
        <v>0</v>
      </c>
      <c r="AJ267" s="2">
        <f t="shared" si="286"/>
        <v>0</v>
      </c>
      <c r="AK267" s="2">
        <v>6156.33</v>
      </c>
      <c r="AL267" s="110">
        <f>'1.Лок.смета.и.Акт'!F474</f>
        <v>6156.33</v>
      </c>
      <c r="AM267" s="2">
        <v>0</v>
      </c>
      <c r="AN267" s="2">
        <v>0</v>
      </c>
      <c r="AO267" s="2">
        <v>0</v>
      </c>
      <c r="AP267" s="2">
        <v>0</v>
      </c>
      <c r="AQ267" s="2">
        <v>0</v>
      </c>
      <c r="AR267" s="2">
        <v>0</v>
      </c>
      <c r="AS267" s="2">
        <v>0</v>
      </c>
      <c r="AT267" s="2">
        <v>0</v>
      </c>
      <c r="AU267" s="2">
        <v>0</v>
      </c>
      <c r="AV267" s="2">
        <v>1</v>
      </c>
      <c r="AW267" s="2">
        <v>1</v>
      </c>
      <c r="AX267" s="2"/>
      <c r="AY267" s="2"/>
      <c r="AZ267" s="2">
        <v>1</v>
      </c>
      <c r="BA267" s="2">
        <v>1</v>
      </c>
      <c r="BB267" s="2">
        <v>1</v>
      </c>
      <c r="BC267" s="2">
        <v>1</v>
      </c>
      <c r="BD267" s="2" t="s">
        <v>6</v>
      </c>
      <c r="BE267" s="2" t="s">
        <v>6</v>
      </c>
      <c r="BF267" s="2" t="s">
        <v>6</v>
      </c>
      <c r="BG267" s="2" t="s">
        <v>6</v>
      </c>
      <c r="BH267" s="2">
        <v>3</v>
      </c>
      <c r="BI267" s="2">
        <v>1</v>
      </c>
      <c r="BJ267" s="2" t="s">
        <v>385</v>
      </c>
      <c r="BK267" s="2"/>
      <c r="BL267" s="2"/>
      <c r="BM267" s="2">
        <v>500001</v>
      </c>
      <c r="BN267" s="2">
        <v>0</v>
      </c>
      <c r="BO267" s="2" t="s">
        <v>6</v>
      </c>
      <c r="BP267" s="2">
        <v>0</v>
      </c>
      <c r="BQ267" s="2">
        <v>20</v>
      </c>
      <c r="BR267" s="2">
        <v>0</v>
      </c>
      <c r="BS267" s="2">
        <v>1</v>
      </c>
      <c r="BT267" s="2">
        <v>1</v>
      </c>
      <c r="BU267" s="2">
        <v>1</v>
      </c>
      <c r="BV267" s="2">
        <v>1</v>
      </c>
      <c r="BW267" s="2">
        <v>1</v>
      </c>
      <c r="BX267" s="2">
        <v>1</v>
      </c>
      <c r="BY267" s="2" t="s">
        <v>6</v>
      </c>
      <c r="BZ267" s="2">
        <v>0</v>
      </c>
      <c r="CA267" s="2">
        <v>0</v>
      </c>
      <c r="CB267" s="2" t="s">
        <v>6</v>
      </c>
      <c r="CC267" s="2"/>
      <c r="CD267" s="2"/>
      <c r="CE267" s="2">
        <v>0</v>
      </c>
      <c r="CF267" s="2">
        <v>0</v>
      </c>
      <c r="CG267" s="2">
        <v>0</v>
      </c>
      <c r="CH267" s="2"/>
      <c r="CI267" s="2"/>
      <c r="CJ267" s="2"/>
      <c r="CK267" s="2"/>
      <c r="CL267" s="2"/>
      <c r="CM267" s="2">
        <v>0</v>
      </c>
      <c r="CN267" s="2" t="s">
        <v>23</v>
      </c>
      <c r="CO267" s="2">
        <v>0</v>
      </c>
      <c r="CP267" s="2" t="e">
        <f t="shared" si="287"/>
        <v>#REF!</v>
      </c>
      <c r="CQ267" s="2">
        <f t="shared" si="288"/>
        <v>6156.33</v>
      </c>
      <c r="CR267" s="2">
        <f t="shared" si="289"/>
        <v>0</v>
      </c>
      <c r="CS267" s="2">
        <f t="shared" si="290"/>
        <v>0</v>
      </c>
      <c r="CT267" s="2">
        <f t="shared" si="291"/>
        <v>0</v>
      </c>
      <c r="CU267" s="2">
        <f t="shared" si="292"/>
        <v>0</v>
      </c>
      <c r="CV267" s="2">
        <f t="shared" si="293"/>
        <v>0</v>
      </c>
      <c r="CW267" s="2">
        <f t="shared" si="294"/>
        <v>0</v>
      </c>
      <c r="CX267" s="2">
        <f t="shared" si="295"/>
        <v>0</v>
      </c>
      <c r="CY267" s="2" t="e">
        <f>(((S267+(R267*IF(0,0,1)))*AT267)/100)</f>
        <v>#REF!</v>
      </c>
      <c r="CZ267" s="2" t="e">
        <f>(((S267+(R267*IF(0,0,1)))*AU267)/100)</f>
        <v>#REF!</v>
      </c>
      <c r="DA267" s="2"/>
      <c r="DB267" s="2"/>
      <c r="DC267" s="2" t="s">
        <v>6</v>
      </c>
      <c r="DD267" s="2" t="s">
        <v>6</v>
      </c>
      <c r="DE267" s="2" t="s">
        <v>6</v>
      </c>
      <c r="DF267" s="2" t="s">
        <v>6</v>
      </c>
      <c r="DG267" s="2" t="s">
        <v>6</v>
      </c>
      <c r="DH267" s="2" t="s">
        <v>6</v>
      </c>
      <c r="DI267" s="2" t="s">
        <v>6</v>
      </c>
      <c r="DJ267" s="2" t="s">
        <v>6</v>
      </c>
      <c r="DK267" s="2" t="s">
        <v>6</v>
      </c>
      <c r="DL267" s="2" t="s">
        <v>6</v>
      </c>
      <c r="DM267" s="2" t="s">
        <v>6</v>
      </c>
      <c r="DN267" s="2">
        <v>0</v>
      </c>
      <c r="DO267" s="2">
        <v>0</v>
      </c>
      <c r="DP267" s="2">
        <v>1</v>
      </c>
      <c r="DQ267" s="2">
        <v>1</v>
      </c>
      <c r="DR267" s="2"/>
      <c r="DS267" s="2"/>
      <c r="DT267" s="2"/>
      <c r="DU267" s="2">
        <v>1009</v>
      </c>
      <c r="DV267" s="2" t="s">
        <v>33</v>
      </c>
      <c r="DW267" s="2" t="s">
        <v>33</v>
      </c>
      <c r="DX267" s="2">
        <v>1000</v>
      </c>
      <c r="DY267" s="2"/>
      <c r="DZ267" s="2" t="s">
        <v>6</v>
      </c>
      <c r="EA267" s="2" t="s">
        <v>6</v>
      </c>
      <c r="EB267" s="2" t="s">
        <v>6</v>
      </c>
      <c r="EC267" s="2" t="s">
        <v>6</v>
      </c>
      <c r="ED267" s="2"/>
      <c r="EE267" s="2">
        <v>54938781</v>
      </c>
      <c r="EF267" s="2">
        <v>20</v>
      </c>
      <c r="EG267" s="2" t="s">
        <v>35</v>
      </c>
      <c r="EH267" s="2">
        <v>0</v>
      </c>
      <c r="EI267" s="2" t="s">
        <v>6</v>
      </c>
      <c r="EJ267" s="2">
        <v>1</v>
      </c>
      <c r="EK267" s="2">
        <v>500001</v>
      </c>
      <c r="EL267" s="2" t="s">
        <v>36</v>
      </c>
      <c r="EM267" s="2" t="s">
        <v>37</v>
      </c>
      <c r="EN267" s="2"/>
      <c r="EO267" s="2" t="s">
        <v>29</v>
      </c>
      <c r="EP267" s="2"/>
      <c r="EQ267" s="2">
        <v>0</v>
      </c>
      <c r="ER267" s="2">
        <v>6156.33</v>
      </c>
      <c r="ES267" s="110">
        <f>'1.Лок.смета.и.Акт'!F474</f>
        <v>6156.33</v>
      </c>
      <c r="ET267" s="2">
        <v>0</v>
      </c>
      <c r="EU267" s="2">
        <v>0</v>
      </c>
      <c r="EV267" s="2">
        <v>0</v>
      </c>
      <c r="EW267" s="2">
        <v>0</v>
      </c>
      <c r="EX267" s="2">
        <v>0</v>
      </c>
      <c r="EY267" s="2"/>
      <c r="EZ267" s="2"/>
      <c r="FA267" s="2"/>
      <c r="FB267" s="2"/>
      <c r="FC267" s="2"/>
      <c r="FD267" s="2"/>
      <c r="FE267" s="2"/>
      <c r="FF267" s="2"/>
      <c r="FG267" s="2"/>
      <c r="FH267" s="2"/>
      <c r="FI267" s="2"/>
      <c r="FJ267" s="2"/>
      <c r="FK267" s="2"/>
      <c r="FL267" s="2"/>
      <c r="FM267" s="2"/>
      <c r="FN267" s="2"/>
      <c r="FO267" s="2"/>
      <c r="FP267" s="2"/>
      <c r="FQ267" s="2">
        <v>0</v>
      </c>
      <c r="FR267" s="2">
        <f t="shared" si="296"/>
        <v>0</v>
      </c>
      <c r="FS267" s="2">
        <v>0</v>
      </c>
      <c r="FT267" s="2"/>
      <c r="FU267" s="2"/>
      <c r="FV267" s="2"/>
      <c r="FW267" s="2"/>
      <c r="FX267" s="2">
        <v>0</v>
      </c>
      <c r="FY267" s="2">
        <v>0</v>
      </c>
      <c r="FZ267" s="2"/>
      <c r="GA267" s="2" t="s">
        <v>6</v>
      </c>
      <c r="GB267" s="2"/>
      <c r="GC267" s="2"/>
      <c r="GD267" s="2">
        <v>1</v>
      </c>
      <c r="GE267" s="2"/>
      <c r="GF267" s="2">
        <v>186214095</v>
      </c>
      <c r="GG267" s="2">
        <v>2</v>
      </c>
      <c r="GH267" s="2">
        <v>0</v>
      </c>
      <c r="GI267" s="2">
        <v>-2</v>
      </c>
      <c r="GJ267" s="2">
        <v>0</v>
      </c>
      <c r="GK267" s="2">
        <v>0</v>
      </c>
      <c r="GL267" s="2">
        <f t="shared" si="297"/>
        <v>0</v>
      </c>
      <c r="GM267" s="2" t="e">
        <f t="shared" si="298"/>
        <v>#REF!</v>
      </c>
      <c r="GN267" s="2" t="e">
        <f t="shared" si="299"/>
        <v>#REF!</v>
      </c>
      <c r="GO267" s="2">
        <f t="shared" si="300"/>
        <v>0</v>
      </c>
      <c r="GP267" s="2">
        <f t="shared" si="301"/>
        <v>0</v>
      </c>
      <c r="GQ267" s="2"/>
      <c r="GR267" s="2">
        <v>0</v>
      </c>
      <c r="GS267" s="2">
        <v>3</v>
      </c>
      <c r="GT267" s="2">
        <v>0</v>
      </c>
      <c r="GU267" s="2" t="s">
        <v>6</v>
      </c>
      <c r="GV267" s="2">
        <f t="shared" ref="GV267:GV278" si="317">ROUND((GT267),2)</f>
        <v>0</v>
      </c>
      <c r="GW267" s="2">
        <v>1</v>
      </c>
      <c r="GX267" s="2" t="e">
        <f t="shared" si="303"/>
        <v>#REF!</v>
      </c>
      <c r="GY267" s="2"/>
      <c r="GZ267" s="2"/>
      <c r="HA267" s="2">
        <v>0</v>
      </c>
      <c r="HB267" s="2">
        <v>0</v>
      </c>
      <c r="HC267" s="2">
        <f t="shared" si="304"/>
        <v>0</v>
      </c>
      <c r="HD267" s="2"/>
      <c r="HE267" s="2" t="s">
        <v>6</v>
      </c>
      <c r="HF267" s="2" t="s">
        <v>6</v>
      </c>
      <c r="HG267" s="2"/>
      <c r="HH267" s="2"/>
      <c r="HI267" s="2"/>
      <c r="HJ267" s="2"/>
      <c r="HK267" s="2"/>
      <c r="HL267" s="2"/>
      <c r="HM267" s="2" t="s">
        <v>379</v>
      </c>
      <c r="HN267" s="2" t="s">
        <v>6</v>
      </c>
      <c r="HO267" s="2" t="s">
        <v>6</v>
      </c>
      <c r="HP267" s="2" t="s">
        <v>6</v>
      </c>
      <c r="HQ267" s="2" t="s">
        <v>6</v>
      </c>
      <c r="HR267" s="2"/>
      <c r="HS267" s="2"/>
      <c r="HT267" s="2"/>
      <c r="HU267" s="2"/>
      <c r="HV267" s="2"/>
      <c r="HW267" s="2"/>
      <c r="HX267" s="2"/>
      <c r="HY267" s="2"/>
      <c r="HZ267" s="2"/>
      <c r="IA267" s="2"/>
      <c r="IB267" s="2"/>
      <c r="IC267" s="2"/>
      <c r="ID267" s="2"/>
      <c r="IE267" s="2"/>
      <c r="IF267" s="2">
        <v>-1</v>
      </c>
      <c r="IG267" s="2"/>
      <c r="IH267" s="2"/>
      <c r="II267" s="2"/>
      <c r="IJ267" s="2"/>
      <c r="IK267" s="2">
        <v>0</v>
      </c>
      <c r="IL267" s="2"/>
      <c r="IM267" s="2"/>
      <c r="IN267" s="2"/>
      <c r="IO267" s="2"/>
      <c r="IP267" s="2"/>
      <c r="IQ267" s="2"/>
      <c r="IR267" s="2"/>
      <c r="IS267" s="2"/>
      <c r="IT267" s="2"/>
      <c r="IU267" s="2"/>
    </row>
    <row r="268" spans="1:255" x14ac:dyDescent="0.2">
      <c r="A268">
        <v>18</v>
      </c>
      <c r="B268">
        <v>1</v>
      </c>
      <c r="C268">
        <v>349</v>
      </c>
      <c r="E268" t="s">
        <v>382</v>
      </c>
      <c r="F268" t="e">
        <f>'2.Лок.смета.и.Акт'!#REF!</f>
        <v>#REF!</v>
      </c>
      <c r="G268" t="s">
        <v>384</v>
      </c>
      <c r="H268" t="s">
        <v>33</v>
      </c>
      <c r="I268" t="e">
        <f>I266*J268</f>
        <v>#REF!</v>
      </c>
      <c r="J268">
        <v>2.8E-3</v>
      </c>
      <c r="K268">
        <v>1.4E-3</v>
      </c>
      <c r="O268" t="e">
        <f t="shared" si="273"/>
        <v>#REF!</v>
      </c>
      <c r="P268" t="e">
        <f t="shared" si="274"/>
        <v>#REF!</v>
      </c>
      <c r="Q268" t="e">
        <f t="shared" si="275"/>
        <v>#REF!</v>
      </c>
      <c r="R268" t="e">
        <f t="shared" si="276"/>
        <v>#REF!</v>
      </c>
      <c r="S268" t="e">
        <f t="shared" si="277"/>
        <v>#REF!</v>
      </c>
      <c r="T268" t="e">
        <f t="shared" si="278"/>
        <v>#REF!</v>
      </c>
      <c r="U268" t="e">
        <f t="shared" si="279"/>
        <v>#REF!</v>
      </c>
      <c r="V268" t="e">
        <f t="shared" si="280"/>
        <v>#REF!</v>
      </c>
      <c r="W268" t="e">
        <f t="shared" si="281"/>
        <v>#REF!</v>
      </c>
      <c r="X268" t="e">
        <f t="shared" si="282"/>
        <v>#REF!</v>
      </c>
      <c r="Y268" t="e">
        <f t="shared" si="283"/>
        <v>#REF!</v>
      </c>
      <c r="AA268">
        <v>86326988</v>
      </c>
      <c r="AB268">
        <f t="shared" si="284"/>
        <v>13759.11</v>
      </c>
      <c r="AC268">
        <f t="shared" si="311"/>
        <v>13759.11</v>
      </c>
      <c r="AD268">
        <f t="shared" si="312"/>
        <v>0</v>
      </c>
      <c r="AE268">
        <f t="shared" si="313"/>
        <v>0</v>
      </c>
      <c r="AF268">
        <f t="shared" si="314"/>
        <v>0</v>
      </c>
      <c r="AG268">
        <f t="shared" si="285"/>
        <v>0</v>
      </c>
      <c r="AH268">
        <f t="shared" si="315"/>
        <v>0</v>
      </c>
      <c r="AI268">
        <f t="shared" si="316"/>
        <v>0</v>
      </c>
      <c r="AJ268">
        <f t="shared" si="286"/>
        <v>0</v>
      </c>
      <c r="AK268">
        <v>13759.11</v>
      </c>
      <c r="AL268">
        <v>13759.11</v>
      </c>
      <c r="AM268">
        <v>0</v>
      </c>
      <c r="AN268">
        <v>0</v>
      </c>
      <c r="AO268">
        <v>0</v>
      </c>
      <c r="AP268">
        <v>0</v>
      </c>
      <c r="AQ268">
        <v>0</v>
      </c>
      <c r="AR268">
        <v>0</v>
      </c>
      <c r="AS268">
        <v>0</v>
      </c>
      <c r="AT268">
        <v>0</v>
      </c>
      <c r="AU268">
        <v>0</v>
      </c>
      <c r="AV268">
        <v>1</v>
      </c>
      <c r="AW268">
        <v>1</v>
      </c>
      <c r="AZ268">
        <v>1</v>
      </c>
      <c r="BA268">
        <v>1</v>
      </c>
      <c r="BB268">
        <v>1</v>
      </c>
      <c r="BC268">
        <v>7.56</v>
      </c>
      <c r="BD268" t="s">
        <v>6</v>
      </c>
      <c r="BE268" t="s">
        <v>6</v>
      </c>
      <c r="BF268" t="s">
        <v>6</v>
      </c>
      <c r="BG268" t="s">
        <v>6</v>
      </c>
      <c r="BH268">
        <v>3</v>
      </c>
      <c r="BI268">
        <v>1</v>
      </c>
      <c r="BJ268" t="s">
        <v>385</v>
      </c>
      <c r="BM268">
        <v>500001</v>
      </c>
      <c r="BN268">
        <v>0</v>
      </c>
      <c r="BO268" t="s">
        <v>6</v>
      </c>
      <c r="BP268">
        <v>0</v>
      </c>
      <c r="BQ268">
        <v>20</v>
      </c>
      <c r="BR268">
        <v>0</v>
      </c>
      <c r="BS268">
        <v>1</v>
      </c>
      <c r="BT268">
        <v>1</v>
      </c>
      <c r="BU268">
        <v>1</v>
      </c>
      <c r="BV268">
        <v>1</v>
      </c>
      <c r="BW268">
        <v>1</v>
      </c>
      <c r="BX268">
        <v>1</v>
      </c>
      <c r="BY268" t="s">
        <v>6</v>
      </c>
      <c r="BZ268">
        <v>0</v>
      </c>
      <c r="CA268">
        <v>0</v>
      </c>
      <c r="CB268" t="s">
        <v>6</v>
      </c>
      <c r="CE268">
        <v>0</v>
      </c>
      <c r="CF268">
        <v>0</v>
      </c>
      <c r="CG268">
        <v>0</v>
      </c>
      <c r="CM268">
        <v>0</v>
      </c>
      <c r="CN268" t="s">
        <v>23</v>
      </c>
      <c r="CO268">
        <v>0</v>
      </c>
      <c r="CP268" t="e">
        <f t="shared" si="287"/>
        <v>#REF!</v>
      </c>
      <c r="CQ268">
        <f t="shared" si="288"/>
        <v>104018.8716</v>
      </c>
      <c r="CR268">
        <f t="shared" si="289"/>
        <v>0</v>
      </c>
      <c r="CS268">
        <f t="shared" si="290"/>
        <v>0</v>
      </c>
      <c r="CT268">
        <f t="shared" si="291"/>
        <v>0</v>
      </c>
      <c r="CU268">
        <f t="shared" si="292"/>
        <v>0</v>
      </c>
      <c r="CV268">
        <f t="shared" si="293"/>
        <v>0</v>
      </c>
      <c r="CW268">
        <f t="shared" si="294"/>
        <v>0</v>
      </c>
      <c r="CX268">
        <f t="shared" si="295"/>
        <v>0</v>
      </c>
      <c r="CY268" t="e">
        <f>(S268+R268)*(BZ268/100)</f>
        <v>#REF!</v>
      </c>
      <c r="CZ268" t="e">
        <f>(S268+R268)*(CA268/100)</f>
        <v>#REF!</v>
      </c>
      <c r="DC268" t="s">
        <v>6</v>
      </c>
      <c r="DD268" t="s">
        <v>6</v>
      </c>
      <c r="DE268" t="s">
        <v>6</v>
      </c>
      <c r="DF268" t="s">
        <v>6</v>
      </c>
      <c r="DG268" t="s">
        <v>6</v>
      </c>
      <c r="DH268" t="s">
        <v>6</v>
      </c>
      <c r="DI268" t="s">
        <v>6</v>
      </c>
      <c r="DJ268" t="s">
        <v>6</v>
      </c>
      <c r="DK268" t="s">
        <v>6</v>
      </c>
      <c r="DL268" t="s">
        <v>6</v>
      </c>
      <c r="DM268" t="s">
        <v>6</v>
      </c>
      <c r="DN268">
        <v>0</v>
      </c>
      <c r="DO268">
        <v>0</v>
      </c>
      <c r="DP268">
        <v>1</v>
      </c>
      <c r="DQ268">
        <v>1</v>
      </c>
      <c r="DU268">
        <v>1009</v>
      </c>
      <c r="DV268" t="s">
        <v>33</v>
      </c>
      <c r="DW268" t="e">
        <f>'2.Лок.смета.и.Акт'!#REF!</f>
        <v>#REF!</v>
      </c>
      <c r="DX268">
        <v>1000</v>
      </c>
      <c r="DZ268" t="s">
        <v>6</v>
      </c>
      <c r="EA268" t="s">
        <v>6</v>
      </c>
      <c r="EB268" t="s">
        <v>6</v>
      </c>
      <c r="EC268" t="s">
        <v>6</v>
      </c>
      <c r="EE268">
        <v>54938781</v>
      </c>
      <c r="EF268">
        <v>20</v>
      </c>
      <c r="EG268" t="s">
        <v>35</v>
      </c>
      <c r="EH268">
        <v>0</v>
      </c>
      <c r="EI268" t="s">
        <v>6</v>
      </c>
      <c r="EJ268">
        <v>1</v>
      </c>
      <c r="EK268">
        <v>500001</v>
      </c>
      <c r="EL268" t="s">
        <v>36</v>
      </c>
      <c r="EM268" t="s">
        <v>37</v>
      </c>
      <c r="EO268" t="s">
        <v>29</v>
      </c>
      <c r="EQ268">
        <v>0</v>
      </c>
      <c r="ER268">
        <v>98057</v>
      </c>
      <c r="ES268">
        <v>13759.11</v>
      </c>
      <c r="ET268">
        <v>0</v>
      </c>
      <c r="EU268">
        <v>0</v>
      </c>
      <c r="EV268">
        <v>0</v>
      </c>
      <c r="EW268">
        <v>0</v>
      </c>
      <c r="EX268">
        <v>0</v>
      </c>
      <c r="EZ268">
        <v>5</v>
      </c>
      <c r="FC268">
        <v>0</v>
      </c>
      <c r="FD268">
        <v>18</v>
      </c>
      <c r="FF268">
        <v>98057</v>
      </c>
      <c r="FQ268">
        <v>0</v>
      </c>
      <c r="FR268">
        <f t="shared" si="296"/>
        <v>0</v>
      </c>
      <c r="FS268">
        <v>0</v>
      </c>
      <c r="FX268">
        <v>0</v>
      </c>
      <c r="FY268">
        <v>0</v>
      </c>
      <c r="GA268" t="s">
        <v>386</v>
      </c>
      <c r="GD268">
        <v>1</v>
      </c>
      <c r="GF268">
        <v>186214095</v>
      </c>
      <c r="GG268">
        <v>2</v>
      </c>
      <c r="GH268">
        <v>3</v>
      </c>
      <c r="GI268">
        <v>5</v>
      </c>
      <c r="GJ268">
        <v>0</v>
      </c>
      <c r="GK268">
        <v>0</v>
      </c>
      <c r="GL268">
        <f t="shared" si="297"/>
        <v>0</v>
      </c>
      <c r="GM268" t="e">
        <f t="shared" si="298"/>
        <v>#REF!</v>
      </c>
      <c r="GN268" t="e">
        <f t="shared" si="299"/>
        <v>#REF!</v>
      </c>
      <c r="GO268">
        <f t="shared" si="300"/>
        <v>0</v>
      </c>
      <c r="GP268">
        <f t="shared" si="301"/>
        <v>0</v>
      </c>
      <c r="GR268">
        <v>1</v>
      </c>
      <c r="GS268">
        <v>1</v>
      </c>
      <c r="GT268">
        <v>0</v>
      </c>
      <c r="GU268" t="s">
        <v>6</v>
      </c>
      <c r="GV268">
        <f t="shared" si="317"/>
        <v>0</v>
      </c>
      <c r="GW268">
        <v>1</v>
      </c>
      <c r="GX268" t="e">
        <f t="shared" si="303"/>
        <v>#REF!</v>
      </c>
      <c r="HA268">
        <v>0</v>
      </c>
      <c r="HB268">
        <v>0</v>
      </c>
      <c r="HC268">
        <f t="shared" si="304"/>
        <v>0</v>
      </c>
      <c r="HE268" t="s">
        <v>39</v>
      </c>
      <c r="HF268" t="s">
        <v>40</v>
      </c>
      <c r="HM268" t="s">
        <v>379</v>
      </c>
      <c r="HN268" t="s">
        <v>6</v>
      </c>
      <c r="HO268" t="s">
        <v>6</v>
      </c>
      <c r="HP268" t="s">
        <v>6</v>
      </c>
      <c r="HQ268" t="s">
        <v>6</v>
      </c>
      <c r="IF268">
        <v>-1</v>
      </c>
      <c r="IK268">
        <v>0</v>
      </c>
    </row>
    <row r="269" spans="1:255" x14ac:dyDescent="0.2">
      <c r="A269" s="2">
        <v>18</v>
      </c>
      <c r="B269" s="2">
        <v>1</v>
      </c>
      <c r="C269" s="2">
        <v>342</v>
      </c>
      <c r="D269" s="2"/>
      <c r="E269" s="2" t="s">
        <v>387</v>
      </c>
      <c r="F269" s="2" t="s">
        <v>388</v>
      </c>
      <c r="G269" s="2" t="s">
        <v>389</v>
      </c>
      <c r="H269" s="2" t="s">
        <v>33</v>
      </c>
      <c r="I269" s="2" t="e">
        <f>I265*J269</f>
        <v>#REF!</v>
      </c>
      <c r="J269" s="226">
        <f>'5.Ведомость_списания'!F129</f>
        <v>3.7999999999999999E-2</v>
      </c>
      <c r="K269" s="2">
        <v>1.9E-2</v>
      </c>
      <c r="L269" s="2"/>
      <c r="M269" s="2"/>
      <c r="N269" s="2"/>
      <c r="O269" s="2" t="e">
        <f t="shared" si="273"/>
        <v>#REF!</v>
      </c>
      <c r="P269" s="2" t="e">
        <f t="shared" si="274"/>
        <v>#REF!</v>
      </c>
      <c r="Q269" s="2" t="e">
        <f t="shared" si="275"/>
        <v>#REF!</v>
      </c>
      <c r="R269" s="2" t="e">
        <f t="shared" si="276"/>
        <v>#REF!</v>
      </c>
      <c r="S269" s="2" t="e">
        <f t="shared" si="277"/>
        <v>#REF!</v>
      </c>
      <c r="T269" s="2" t="e">
        <f t="shared" si="278"/>
        <v>#REF!</v>
      </c>
      <c r="U269" s="2" t="e">
        <f t="shared" si="279"/>
        <v>#REF!</v>
      </c>
      <c r="V269" s="2" t="e">
        <f t="shared" si="280"/>
        <v>#REF!</v>
      </c>
      <c r="W269" s="2" t="e">
        <f t="shared" si="281"/>
        <v>#REF!</v>
      </c>
      <c r="X269" s="2" t="e">
        <f t="shared" si="282"/>
        <v>#REF!</v>
      </c>
      <c r="Y269" s="2" t="e">
        <f t="shared" si="283"/>
        <v>#REF!</v>
      </c>
      <c r="Z269" s="2"/>
      <c r="AA269" s="2">
        <v>86326987</v>
      </c>
      <c r="AB269" s="2">
        <f t="shared" si="284"/>
        <v>14313</v>
      </c>
      <c r="AC269" s="2">
        <f t="shared" si="311"/>
        <v>14313</v>
      </c>
      <c r="AD269" s="2">
        <f t="shared" si="312"/>
        <v>0</v>
      </c>
      <c r="AE269" s="2">
        <f t="shared" si="313"/>
        <v>0</v>
      </c>
      <c r="AF269" s="2">
        <f t="shared" si="314"/>
        <v>0</v>
      </c>
      <c r="AG269" s="2">
        <f t="shared" si="285"/>
        <v>0</v>
      </c>
      <c r="AH269" s="2">
        <f t="shared" si="315"/>
        <v>0</v>
      </c>
      <c r="AI269" s="2">
        <f t="shared" si="316"/>
        <v>0</v>
      </c>
      <c r="AJ269" s="2">
        <f t="shared" si="286"/>
        <v>0</v>
      </c>
      <c r="AK269" s="2">
        <v>14313</v>
      </c>
      <c r="AL269" s="110">
        <f>'1.Лок.смета.и.Акт'!F476</f>
        <v>14313</v>
      </c>
      <c r="AM269" s="2">
        <v>0</v>
      </c>
      <c r="AN269" s="2">
        <v>0</v>
      </c>
      <c r="AO269" s="2">
        <v>0</v>
      </c>
      <c r="AP269" s="2">
        <v>0</v>
      </c>
      <c r="AQ269" s="2">
        <v>0</v>
      </c>
      <c r="AR269" s="2">
        <v>0</v>
      </c>
      <c r="AS269" s="2">
        <v>0</v>
      </c>
      <c r="AT269" s="2">
        <v>0</v>
      </c>
      <c r="AU269" s="2">
        <v>0</v>
      </c>
      <c r="AV269" s="2">
        <v>1</v>
      </c>
      <c r="AW269" s="2">
        <v>1</v>
      </c>
      <c r="AX269" s="2"/>
      <c r="AY269" s="2"/>
      <c r="AZ269" s="2">
        <v>1</v>
      </c>
      <c r="BA269" s="2">
        <v>1</v>
      </c>
      <c r="BB269" s="2">
        <v>1</v>
      </c>
      <c r="BC269" s="2">
        <v>1</v>
      </c>
      <c r="BD269" s="2" t="s">
        <v>6</v>
      </c>
      <c r="BE269" s="2" t="s">
        <v>6</v>
      </c>
      <c r="BF269" s="2" t="s">
        <v>6</v>
      </c>
      <c r="BG269" s="2" t="s">
        <v>6</v>
      </c>
      <c r="BH269" s="2">
        <v>3</v>
      </c>
      <c r="BI269" s="2">
        <v>1</v>
      </c>
      <c r="BJ269" s="2" t="s">
        <v>390</v>
      </c>
      <c r="BK269" s="2"/>
      <c r="BL269" s="2"/>
      <c r="BM269" s="2">
        <v>500001</v>
      </c>
      <c r="BN269" s="2">
        <v>0</v>
      </c>
      <c r="BO269" s="2" t="s">
        <v>6</v>
      </c>
      <c r="BP269" s="2">
        <v>0</v>
      </c>
      <c r="BQ269" s="2">
        <v>20</v>
      </c>
      <c r="BR269" s="2">
        <v>0</v>
      </c>
      <c r="BS269" s="2">
        <v>1</v>
      </c>
      <c r="BT269" s="2">
        <v>1</v>
      </c>
      <c r="BU269" s="2">
        <v>1</v>
      </c>
      <c r="BV269" s="2">
        <v>1</v>
      </c>
      <c r="BW269" s="2">
        <v>1</v>
      </c>
      <c r="BX269" s="2">
        <v>1</v>
      </c>
      <c r="BY269" s="2" t="s">
        <v>6</v>
      </c>
      <c r="BZ269" s="2">
        <v>0</v>
      </c>
      <c r="CA269" s="2">
        <v>0</v>
      </c>
      <c r="CB269" s="2" t="s">
        <v>6</v>
      </c>
      <c r="CC269" s="2"/>
      <c r="CD269" s="2"/>
      <c r="CE269" s="2">
        <v>0</v>
      </c>
      <c r="CF269" s="2">
        <v>0</v>
      </c>
      <c r="CG269" s="2">
        <v>0</v>
      </c>
      <c r="CH269" s="2"/>
      <c r="CI269" s="2"/>
      <c r="CJ269" s="2"/>
      <c r="CK269" s="2"/>
      <c r="CL269" s="2"/>
      <c r="CM269" s="2">
        <v>0</v>
      </c>
      <c r="CN269" s="2" t="s">
        <v>23</v>
      </c>
      <c r="CO269" s="2">
        <v>0</v>
      </c>
      <c r="CP269" s="2" t="e">
        <f t="shared" si="287"/>
        <v>#REF!</v>
      </c>
      <c r="CQ269" s="2">
        <f t="shared" si="288"/>
        <v>14313</v>
      </c>
      <c r="CR269" s="2">
        <f t="shared" si="289"/>
        <v>0</v>
      </c>
      <c r="CS269" s="2">
        <f t="shared" si="290"/>
        <v>0</v>
      </c>
      <c r="CT269" s="2">
        <f t="shared" si="291"/>
        <v>0</v>
      </c>
      <c r="CU269" s="2">
        <f t="shared" si="292"/>
        <v>0</v>
      </c>
      <c r="CV269" s="2">
        <f t="shared" si="293"/>
        <v>0</v>
      </c>
      <c r="CW269" s="2">
        <f t="shared" si="294"/>
        <v>0</v>
      </c>
      <c r="CX269" s="2">
        <f t="shared" si="295"/>
        <v>0</v>
      </c>
      <c r="CY269" s="2" t="e">
        <f>(((S269+(R269*IF(0,0,1)))*AT269)/100)</f>
        <v>#REF!</v>
      </c>
      <c r="CZ269" s="2" t="e">
        <f>(((S269+(R269*IF(0,0,1)))*AU269)/100)</f>
        <v>#REF!</v>
      </c>
      <c r="DA269" s="2"/>
      <c r="DB269" s="2"/>
      <c r="DC269" s="2" t="s">
        <v>6</v>
      </c>
      <c r="DD269" s="2" t="s">
        <v>6</v>
      </c>
      <c r="DE269" s="2" t="s">
        <v>6</v>
      </c>
      <c r="DF269" s="2" t="s">
        <v>6</v>
      </c>
      <c r="DG269" s="2" t="s">
        <v>6</v>
      </c>
      <c r="DH269" s="2" t="s">
        <v>6</v>
      </c>
      <c r="DI269" s="2" t="s">
        <v>6</v>
      </c>
      <c r="DJ269" s="2" t="s">
        <v>6</v>
      </c>
      <c r="DK269" s="2" t="s">
        <v>6</v>
      </c>
      <c r="DL269" s="2" t="s">
        <v>6</v>
      </c>
      <c r="DM269" s="2" t="s">
        <v>6</v>
      </c>
      <c r="DN269" s="2">
        <v>0</v>
      </c>
      <c r="DO269" s="2">
        <v>0</v>
      </c>
      <c r="DP269" s="2">
        <v>1</v>
      </c>
      <c r="DQ269" s="2">
        <v>1</v>
      </c>
      <c r="DR269" s="2"/>
      <c r="DS269" s="2"/>
      <c r="DT269" s="2"/>
      <c r="DU269" s="2">
        <v>1009</v>
      </c>
      <c r="DV269" s="2" t="s">
        <v>33</v>
      </c>
      <c r="DW269" s="2" t="s">
        <v>33</v>
      </c>
      <c r="DX269" s="2">
        <v>1000</v>
      </c>
      <c r="DY269" s="2"/>
      <c r="DZ269" s="2" t="s">
        <v>6</v>
      </c>
      <c r="EA269" s="2" t="s">
        <v>6</v>
      </c>
      <c r="EB269" s="2" t="s">
        <v>6</v>
      </c>
      <c r="EC269" s="2" t="s">
        <v>6</v>
      </c>
      <c r="ED269" s="2"/>
      <c r="EE269" s="2">
        <v>54938781</v>
      </c>
      <c r="EF269" s="2">
        <v>20</v>
      </c>
      <c r="EG269" s="2" t="s">
        <v>35</v>
      </c>
      <c r="EH269" s="2">
        <v>0</v>
      </c>
      <c r="EI269" s="2" t="s">
        <v>6</v>
      </c>
      <c r="EJ269" s="2">
        <v>1</v>
      </c>
      <c r="EK269" s="2">
        <v>500001</v>
      </c>
      <c r="EL269" s="2" t="s">
        <v>36</v>
      </c>
      <c r="EM269" s="2" t="s">
        <v>37</v>
      </c>
      <c r="EN269" s="2"/>
      <c r="EO269" s="2" t="s">
        <v>29</v>
      </c>
      <c r="EP269" s="2"/>
      <c r="EQ269" s="2">
        <v>0</v>
      </c>
      <c r="ER269" s="2">
        <v>14313</v>
      </c>
      <c r="ES269" s="110">
        <f>'1.Лок.смета.и.Акт'!F476</f>
        <v>14313</v>
      </c>
      <c r="ET269" s="2">
        <v>0</v>
      </c>
      <c r="EU269" s="2">
        <v>0</v>
      </c>
      <c r="EV269" s="2">
        <v>0</v>
      </c>
      <c r="EW269" s="2">
        <v>0</v>
      </c>
      <c r="EX269" s="2">
        <v>0</v>
      </c>
      <c r="EY269" s="2"/>
      <c r="EZ269" s="2"/>
      <c r="FA269" s="2"/>
      <c r="FB269" s="2"/>
      <c r="FC269" s="2"/>
      <c r="FD269" s="2"/>
      <c r="FE269" s="2"/>
      <c r="FF269" s="2"/>
      <c r="FG269" s="2"/>
      <c r="FH269" s="2"/>
      <c r="FI269" s="2"/>
      <c r="FJ269" s="2"/>
      <c r="FK269" s="2"/>
      <c r="FL269" s="2"/>
      <c r="FM269" s="2"/>
      <c r="FN269" s="2"/>
      <c r="FO269" s="2"/>
      <c r="FP269" s="2"/>
      <c r="FQ269" s="2">
        <v>0</v>
      </c>
      <c r="FR269" s="2">
        <f t="shared" si="296"/>
        <v>0</v>
      </c>
      <c r="FS269" s="2">
        <v>0</v>
      </c>
      <c r="FT269" s="2"/>
      <c r="FU269" s="2"/>
      <c r="FV269" s="2"/>
      <c r="FW269" s="2"/>
      <c r="FX269" s="2">
        <v>0</v>
      </c>
      <c r="FY269" s="2">
        <v>0</v>
      </c>
      <c r="FZ269" s="2"/>
      <c r="GA269" s="2" t="s">
        <v>6</v>
      </c>
      <c r="GB269" s="2"/>
      <c r="GC269" s="2"/>
      <c r="GD269" s="2">
        <v>1</v>
      </c>
      <c r="GE269" s="2"/>
      <c r="GF269" s="2">
        <v>99884446</v>
      </c>
      <c r="GG269" s="2">
        <v>2</v>
      </c>
      <c r="GH269" s="2">
        <v>0</v>
      </c>
      <c r="GI269" s="2">
        <v>-2</v>
      </c>
      <c r="GJ269" s="2">
        <v>0</v>
      </c>
      <c r="GK269" s="2">
        <v>0</v>
      </c>
      <c r="GL269" s="2">
        <f t="shared" si="297"/>
        <v>0</v>
      </c>
      <c r="GM269" s="2" t="e">
        <f t="shared" si="298"/>
        <v>#REF!</v>
      </c>
      <c r="GN269" s="2" t="e">
        <f t="shared" si="299"/>
        <v>#REF!</v>
      </c>
      <c r="GO269" s="2">
        <f t="shared" si="300"/>
        <v>0</v>
      </c>
      <c r="GP269" s="2">
        <f t="shared" si="301"/>
        <v>0</v>
      </c>
      <c r="GQ269" s="2"/>
      <c r="GR269" s="2">
        <v>0</v>
      </c>
      <c r="GS269" s="2">
        <v>3</v>
      </c>
      <c r="GT269" s="2">
        <v>0</v>
      </c>
      <c r="GU269" s="2" t="s">
        <v>6</v>
      </c>
      <c r="GV269" s="2">
        <f t="shared" si="317"/>
        <v>0</v>
      </c>
      <c r="GW269" s="2">
        <v>1</v>
      </c>
      <c r="GX269" s="2" t="e">
        <f t="shared" si="303"/>
        <v>#REF!</v>
      </c>
      <c r="GY269" s="2"/>
      <c r="GZ269" s="2"/>
      <c r="HA269" s="2">
        <v>0</v>
      </c>
      <c r="HB269" s="2">
        <v>0</v>
      </c>
      <c r="HC269" s="2">
        <f t="shared" si="304"/>
        <v>0</v>
      </c>
      <c r="HD269" s="2"/>
      <c r="HE269" s="2" t="s">
        <v>6</v>
      </c>
      <c r="HF269" s="2" t="s">
        <v>6</v>
      </c>
      <c r="HG269" s="2"/>
      <c r="HH269" s="2"/>
      <c r="HI269" s="2"/>
      <c r="HJ269" s="2"/>
      <c r="HK269" s="2"/>
      <c r="HL269" s="2"/>
      <c r="HM269" s="2" t="s">
        <v>379</v>
      </c>
      <c r="HN269" s="2" t="s">
        <v>6</v>
      </c>
      <c r="HO269" s="2" t="s">
        <v>6</v>
      </c>
      <c r="HP269" s="2" t="s">
        <v>6</v>
      </c>
      <c r="HQ269" s="2" t="s">
        <v>6</v>
      </c>
      <c r="HR269" s="2"/>
      <c r="HS269" s="2"/>
      <c r="HT269" s="2"/>
      <c r="HU269" s="2"/>
      <c r="HV269" s="2"/>
      <c r="HW269" s="2"/>
      <c r="HX269" s="2"/>
      <c r="HY269" s="2"/>
      <c r="HZ269" s="2"/>
      <c r="IA269" s="2"/>
      <c r="IB269" s="2"/>
      <c r="IC269" s="2"/>
      <c r="ID269" s="2"/>
      <c r="IE269" s="2"/>
      <c r="IF269" s="2">
        <v>-1</v>
      </c>
      <c r="IG269" s="2"/>
      <c r="IH269" s="2"/>
      <c r="II269" s="2"/>
      <c r="IJ269" s="2"/>
      <c r="IK269" s="2">
        <v>0</v>
      </c>
      <c r="IL269" s="2"/>
      <c r="IM269" s="2"/>
      <c r="IN269" s="2"/>
      <c r="IO269" s="2"/>
      <c r="IP269" s="2"/>
      <c r="IQ269" s="2"/>
      <c r="IR269" s="2"/>
      <c r="IS269" s="2"/>
      <c r="IT269" s="2"/>
      <c r="IU269" s="2"/>
    </row>
    <row r="270" spans="1:255" x14ac:dyDescent="0.2">
      <c r="A270">
        <v>18</v>
      </c>
      <c r="B270">
        <v>1</v>
      </c>
      <c r="C270">
        <v>350</v>
      </c>
      <c r="E270" t="s">
        <v>387</v>
      </c>
      <c r="F270" t="e">
        <f>'2.Лок.смета.и.Акт'!#REF!</f>
        <v>#REF!</v>
      </c>
      <c r="G270" t="s">
        <v>389</v>
      </c>
      <c r="H270" t="s">
        <v>33</v>
      </c>
      <c r="I270" t="e">
        <f>I266*J270</f>
        <v>#REF!</v>
      </c>
      <c r="J270">
        <v>3.7999999999999999E-2</v>
      </c>
      <c r="K270">
        <v>1.9E-2</v>
      </c>
      <c r="O270" t="e">
        <f t="shared" si="273"/>
        <v>#REF!</v>
      </c>
      <c r="P270" t="e">
        <f t="shared" si="274"/>
        <v>#REF!</v>
      </c>
      <c r="Q270" t="e">
        <f t="shared" si="275"/>
        <v>#REF!</v>
      </c>
      <c r="R270" t="e">
        <f t="shared" si="276"/>
        <v>#REF!</v>
      </c>
      <c r="S270" t="e">
        <f t="shared" si="277"/>
        <v>#REF!</v>
      </c>
      <c r="T270" t="e">
        <f t="shared" si="278"/>
        <v>#REF!</v>
      </c>
      <c r="U270" t="e">
        <f t="shared" si="279"/>
        <v>#REF!</v>
      </c>
      <c r="V270" t="e">
        <f t="shared" si="280"/>
        <v>#REF!</v>
      </c>
      <c r="W270" t="e">
        <f t="shared" si="281"/>
        <v>#REF!</v>
      </c>
      <c r="X270" t="e">
        <f t="shared" si="282"/>
        <v>#REF!</v>
      </c>
      <c r="Y270" t="e">
        <f t="shared" si="283"/>
        <v>#REF!</v>
      </c>
      <c r="AA270">
        <v>86326988</v>
      </c>
      <c r="AB270">
        <f t="shared" si="284"/>
        <v>17403.57</v>
      </c>
      <c r="AC270">
        <f t="shared" si="311"/>
        <v>17403.57</v>
      </c>
      <c r="AD270">
        <f t="shared" si="312"/>
        <v>0</v>
      </c>
      <c r="AE270">
        <f t="shared" si="313"/>
        <v>0</v>
      </c>
      <c r="AF270">
        <f t="shared" si="314"/>
        <v>0</v>
      </c>
      <c r="AG270">
        <f t="shared" si="285"/>
        <v>0</v>
      </c>
      <c r="AH270">
        <f t="shared" si="315"/>
        <v>0</v>
      </c>
      <c r="AI270">
        <f t="shared" si="316"/>
        <v>0</v>
      </c>
      <c r="AJ270">
        <f t="shared" si="286"/>
        <v>0</v>
      </c>
      <c r="AK270">
        <v>17403.570000000003</v>
      </c>
      <c r="AL270">
        <v>17403.570000000003</v>
      </c>
      <c r="AM270">
        <v>0</v>
      </c>
      <c r="AN270">
        <v>0</v>
      </c>
      <c r="AO270">
        <v>0</v>
      </c>
      <c r="AP270">
        <v>0</v>
      </c>
      <c r="AQ270">
        <v>0</v>
      </c>
      <c r="AR270">
        <v>0</v>
      </c>
      <c r="AS270">
        <v>0</v>
      </c>
      <c r="AT270">
        <v>0</v>
      </c>
      <c r="AU270">
        <v>0</v>
      </c>
      <c r="AV270">
        <v>1</v>
      </c>
      <c r="AW270">
        <v>1</v>
      </c>
      <c r="AZ270">
        <v>1</v>
      </c>
      <c r="BA270">
        <v>1</v>
      </c>
      <c r="BB270">
        <v>1</v>
      </c>
      <c r="BC270">
        <v>7.56</v>
      </c>
      <c r="BD270" t="s">
        <v>6</v>
      </c>
      <c r="BE270" t="s">
        <v>6</v>
      </c>
      <c r="BF270" t="s">
        <v>6</v>
      </c>
      <c r="BG270" t="s">
        <v>6</v>
      </c>
      <c r="BH270">
        <v>3</v>
      </c>
      <c r="BI270">
        <v>1</v>
      </c>
      <c r="BJ270" t="s">
        <v>390</v>
      </c>
      <c r="BM270">
        <v>500001</v>
      </c>
      <c r="BN270">
        <v>0</v>
      </c>
      <c r="BO270" t="s">
        <v>6</v>
      </c>
      <c r="BP270">
        <v>0</v>
      </c>
      <c r="BQ270">
        <v>20</v>
      </c>
      <c r="BR270">
        <v>0</v>
      </c>
      <c r="BS270">
        <v>1</v>
      </c>
      <c r="BT270">
        <v>1</v>
      </c>
      <c r="BU270">
        <v>1</v>
      </c>
      <c r="BV270">
        <v>1</v>
      </c>
      <c r="BW270">
        <v>1</v>
      </c>
      <c r="BX270">
        <v>1</v>
      </c>
      <c r="BY270" t="s">
        <v>6</v>
      </c>
      <c r="BZ270">
        <v>0</v>
      </c>
      <c r="CA270">
        <v>0</v>
      </c>
      <c r="CB270" t="s">
        <v>6</v>
      </c>
      <c r="CE270">
        <v>0</v>
      </c>
      <c r="CF270">
        <v>0</v>
      </c>
      <c r="CG270">
        <v>0</v>
      </c>
      <c r="CM270">
        <v>0</v>
      </c>
      <c r="CN270" t="s">
        <v>23</v>
      </c>
      <c r="CO270">
        <v>0</v>
      </c>
      <c r="CP270" t="e">
        <f t="shared" si="287"/>
        <v>#REF!</v>
      </c>
      <c r="CQ270">
        <f t="shared" si="288"/>
        <v>131570.98919999998</v>
      </c>
      <c r="CR270">
        <f t="shared" si="289"/>
        <v>0</v>
      </c>
      <c r="CS270">
        <f t="shared" si="290"/>
        <v>0</v>
      </c>
      <c r="CT270">
        <f t="shared" si="291"/>
        <v>0</v>
      </c>
      <c r="CU270">
        <f t="shared" si="292"/>
        <v>0</v>
      </c>
      <c r="CV270">
        <f t="shared" si="293"/>
        <v>0</v>
      </c>
      <c r="CW270">
        <f t="shared" si="294"/>
        <v>0</v>
      </c>
      <c r="CX270">
        <f t="shared" si="295"/>
        <v>0</v>
      </c>
      <c r="CY270" t="e">
        <f>(S270+R270)*(BZ270/100)</f>
        <v>#REF!</v>
      </c>
      <c r="CZ270" t="e">
        <f>(S270+R270)*(CA270/100)</f>
        <v>#REF!</v>
      </c>
      <c r="DC270" t="s">
        <v>6</v>
      </c>
      <c r="DD270" t="s">
        <v>6</v>
      </c>
      <c r="DE270" t="s">
        <v>6</v>
      </c>
      <c r="DF270" t="s">
        <v>6</v>
      </c>
      <c r="DG270" t="s">
        <v>6</v>
      </c>
      <c r="DH270" t="s">
        <v>6</v>
      </c>
      <c r="DI270" t="s">
        <v>6</v>
      </c>
      <c r="DJ270" t="s">
        <v>6</v>
      </c>
      <c r="DK270" t="s">
        <v>6</v>
      </c>
      <c r="DL270" t="s">
        <v>6</v>
      </c>
      <c r="DM270" t="s">
        <v>6</v>
      </c>
      <c r="DN270">
        <v>0</v>
      </c>
      <c r="DO270">
        <v>0</v>
      </c>
      <c r="DP270">
        <v>1</v>
      </c>
      <c r="DQ270">
        <v>1</v>
      </c>
      <c r="DU270">
        <v>1009</v>
      </c>
      <c r="DV270" t="s">
        <v>33</v>
      </c>
      <c r="DW270" t="e">
        <f>'2.Лок.смета.и.Акт'!#REF!</f>
        <v>#REF!</v>
      </c>
      <c r="DX270">
        <v>1000</v>
      </c>
      <c r="DZ270" t="s">
        <v>6</v>
      </c>
      <c r="EA270" t="s">
        <v>6</v>
      </c>
      <c r="EB270" t="s">
        <v>6</v>
      </c>
      <c r="EC270" t="s">
        <v>6</v>
      </c>
      <c r="EE270">
        <v>54938781</v>
      </c>
      <c r="EF270">
        <v>20</v>
      </c>
      <c r="EG270" t="s">
        <v>35</v>
      </c>
      <c r="EH270">
        <v>0</v>
      </c>
      <c r="EI270" t="s">
        <v>6</v>
      </c>
      <c r="EJ270">
        <v>1</v>
      </c>
      <c r="EK270">
        <v>500001</v>
      </c>
      <c r="EL270" t="s">
        <v>36</v>
      </c>
      <c r="EM270" t="s">
        <v>37</v>
      </c>
      <c r="EO270" t="s">
        <v>29</v>
      </c>
      <c r="EQ270">
        <v>0</v>
      </c>
      <c r="ER270">
        <v>124030</v>
      </c>
      <c r="ES270">
        <v>17403.570000000003</v>
      </c>
      <c r="ET270">
        <v>0</v>
      </c>
      <c r="EU270">
        <v>0</v>
      </c>
      <c r="EV270">
        <v>0</v>
      </c>
      <c r="EW270">
        <v>0</v>
      </c>
      <c r="EX270">
        <v>0</v>
      </c>
      <c r="EZ270">
        <v>5</v>
      </c>
      <c r="FC270">
        <v>0</v>
      </c>
      <c r="FD270">
        <v>18</v>
      </c>
      <c r="FF270">
        <v>124030</v>
      </c>
      <c r="FQ270">
        <v>0</v>
      </c>
      <c r="FR270">
        <f t="shared" si="296"/>
        <v>0</v>
      </c>
      <c r="FS270">
        <v>0</v>
      </c>
      <c r="FX270">
        <v>0</v>
      </c>
      <c r="FY270">
        <v>0</v>
      </c>
      <c r="GA270" t="s">
        <v>391</v>
      </c>
      <c r="GD270">
        <v>1</v>
      </c>
      <c r="GF270">
        <v>99884446</v>
      </c>
      <c r="GG270">
        <v>2</v>
      </c>
      <c r="GH270">
        <v>3</v>
      </c>
      <c r="GI270">
        <v>5</v>
      </c>
      <c r="GJ270">
        <v>0</v>
      </c>
      <c r="GK270">
        <v>0</v>
      </c>
      <c r="GL270">
        <f t="shared" si="297"/>
        <v>0</v>
      </c>
      <c r="GM270" t="e">
        <f t="shared" si="298"/>
        <v>#REF!</v>
      </c>
      <c r="GN270" t="e">
        <f t="shared" si="299"/>
        <v>#REF!</v>
      </c>
      <c r="GO270">
        <f t="shared" si="300"/>
        <v>0</v>
      </c>
      <c r="GP270">
        <f t="shared" si="301"/>
        <v>0</v>
      </c>
      <c r="GR270">
        <v>1</v>
      </c>
      <c r="GS270">
        <v>1</v>
      </c>
      <c r="GT270">
        <v>0</v>
      </c>
      <c r="GU270" t="s">
        <v>6</v>
      </c>
      <c r="GV270">
        <f t="shared" si="317"/>
        <v>0</v>
      </c>
      <c r="GW270">
        <v>1</v>
      </c>
      <c r="GX270" t="e">
        <f t="shared" si="303"/>
        <v>#REF!</v>
      </c>
      <c r="HA270">
        <v>0</v>
      </c>
      <c r="HB270">
        <v>0</v>
      </c>
      <c r="HC270">
        <f t="shared" si="304"/>
        <v>0</v>
      </c>
      <c r="HE270" t="s">
        <v>39</v>
      </c>
      <c r="HF270" t="s">
        <v>40</v>
      </c>
      <c r="HM270" t="s">
        <v>379</v>
      </c>
      <c r="HN270" t="s">
        <v>6</v>
      </c>
      <c r="HO270" t="s">
        <v>6</v>
      </c>
      <c r="HP270" t="s">
        <v>6</v>
      </c>
      <c r="HQ270" t="s">
        <v>6</v>
      </c>
      <c r="IF270">
        <v>-1</v>
      </c>
      <c r="IK270">
        <v>0</v>
      </c>
    </row>
    <row r="271" spans="1:255" x14ac:dyDescent="0.2">
      <c r="A271" s="2">
        <v>17</v>
      </c>
      <c r="B271" s="2">
        <v>1</v>
      </c>
      <c r="C271" s="2"/>
      <c r="D271" s="2"/>
      <c r="E271" s="2" t="s">
        <v>392</v>
      </c>
      <c r="F271" s="2" t="s">
        <v>135</v>
      </c>
      <c r="G271" s="2" t="s">
        <v>136</v>
      </c>
      <c r="H271" s="2" t="s">
        <v>137</v>
      </c>
      <c r="I271" s="2" t="e">
        <f>'2.Лок.смета.и.Акт'!#REF!</f>
        <v>#REF!</v>
      </c>
      <c r="J271" s="2">
        <v>0</v>
      </c>
      <c r="K271" s="2">
        <v>90.59</v>
      </c>
      <c r="L271" s="2"/>
      <c r="M271" s="2"/>
      <c r="N271" s="2"/>
      <c r="O271" s="2" t="e">
        <f t="shared" si="273"/>
        <v>#REF!</v>
      </c>
      <c r="P271" s="2" t="e">
        <f t="shared" si="274"/>
        <v>#REF!</v>
      </c>
      <c r="Q271" s="2" t="e">
        <f t="shared" si="275"/>
        <v>#REF!</v>
      </c>
      <c r="R271" s="2" t="e">
        <f t="shared" si="276"/>
        <v>#REF!</v>
      </c>
      <c r="S271" s="2" t="e">
        <f t="shared" si="277"/>
        <v>#REF!</v>
      </c>
      <c r="T271" s="2" t="e">
        <f t="shared" si="278"/>
        <v>#REF!</v>
      </c>
      <c r="U271" s="2" t="e">
        <f t="shared" si="279"/>
        <v>#REF!</v>
      </c>
      <c r="V271" s="2" t="e">
        <f t="shared" si="280"/>
        <v>#REF!</v>
      </c>
      <c r="W271" s="2" t="e">
        <f t="shared" si="281"/>
        <v>#REF!</v>
      </c>
      <c r="X271" s="2" t="e">
        <f t="shared" si="282"/>
        <v>#REF!</v>
      </c>
      <c r="Y271" s="2" t="e">
        <f t="shared" si="283"/>
        <v>#REF!</v>
      </c>
      <c r="Z271" s="2"/>
      <c r="AA271" s="2">
        <v>86326987</v>
      </c>
      <c r="AB271" s="2">
        <f t="shared" si="284"/>
        <v>105.9</v>
      </c>
      <c r="AC271" s="2">
        <f t="shared" si="311"/>
        <v>0</v>
      </c>
      <c r="AD271" s="2">
        <f t="shared" si="312"/>
        <v>105.9</v>
      </c>
      <c r="AE271" s="2">
        <f t="shared" si="313"/>
        <v>11.69</v>
      </c>
      <c r="AF271" s="2">
        <f t="shared" si="314"/>
        <v>0</v>
      </c>
      <c r="AG271" s="2">
        <f t="shared" si="285"/>
        <v>0</v>
      </c>
      <c r="AH271" s="2">
        <f t="shared" si="315"/>
        <v>0</v>
      </c>
      <c r="AI271" s="2">
        <f t="shared" si="316"/>
        <v>1</v>
      </c>
      <c r="AJ271" s="2">
        <f t="shared" si="286"/>
        <v>0</v>
      </c>
      <c r="AK271" s="2">
        <v>105.9</v>
      </c>
      <c r="AL271" s="2">
        <v>0</v>
      </c>
      <c r="AM271" s="2">
        <v>105.9</v>
      </c>
      <c r="AN271" s="2">
        <v>11.69</v>
      </c>
      <c r="AO271" s="2">
        <v>0</v>
      </c>
      <c r="AP271" s="2">
        <v>0</v>
      </c>
      <c r="AQ271" s="2">
        <v>0</v>
      </c>
      <c r="AR271" s="2">
        <v>1</v>
      </c>
      <c r="AS271" s="2">
        <v>0</v>
      </c>
      <c r="AT271" s="2">
        <v>0</v>
      </c>
      <c r="AU271" s="2">
        <v>0</v>
      </c>
      <c r="AV271" s="2">
        <v>1</v>
      </c>
      <c r="AW271" s="2">
        <v>1</v>
      </c>
      <c r="AX271" s="2"/>
      <c r="AY271" s="2"/>
      <c r="AZ271" s="2">
        <v>1</v>
      </c>
      <c r="BA271" s="2">
        <v>1</v>
      </c>
      <c r="BB271" s="2">
        <v>1</v>
      </c>
      <c r="BC271" s="2">
        <v>1</v>
      </c>
      <c r="BD271" s="2" t="s">
        <v>6</v>
      </c>
      <c r="BE271" s="2" t="s">
        <v>6</v>
      </c>
      <c r="BF271" s="2" t="s">
        <v>6</v>
      </c>
      <c r="BG271" s="2" t="s">
        <v>6</v>
      </c>
      <c r="BH271" s="2">
        <v>2</v>
      </c>
      <c r="BI271" s="2">
        <v>1</v>
      </c>
      <c r="BJ271" s="2" t="s">
        <v>138</v>
      </c>
      <c r="BK271" s="2"/>
      <c r="BL271" s="2"/>
      <c r="BM271" s="2">
        <v>400001</v>
      </c>
      <c r="BN271" s="2">
        <v>0</v>
      </c>
      <c r="BO271" s="2" t="s">
        <v>6</v>
      </c>
      <c r="BP271" s="2">
        <v>0</v>
      </c>
      <c r="BQ271" s="2">
        <v>10</v>
      </c>
      <c r="BR271" s="2">
        <v>0</v>
      </c>
      <c r="BS271" s="2">
        <v>1</v>
      </c>
      <c r="BT271" s="2">
        <v>1</v>
      </c>
      <c r="BU271" s="2">
        <v>1</v>
      </c>
      <c r="BV271" s="2">
        <v>1</v>
      </c>
      <c r="BW271" s="2">
        <v>1</v>
      </c>
      <c r="BX271" s="2">
        <v>1</v>
      </c>
      <c r="BY271" s="2" t="s">
        <v>6</v>
      </c>
      <c r="BZ271" s="2">
        <v>0</v>
      </c>
      <c r="CA271" s="2">
        <v>0</v>
      </c>
      <c r="CB271" s="2" t="s">
        <v>6</v>
      </c>
      <c r="CC271" s="2"/>
      <c r="CD271" s="2"/>
      <c r="CE271" s="2">
        <v>0</v>
      </c>
      <c r="CF271" s="2">
        <v>0</v>
      </c>
      <c r="CG271" s="2">
        <v>0</v>
      </c>
      <c r="CH271" s="2"/>
      <c r="CI271" s="2"/>
      <c r="CJ271" s="2"/>
      <c r="CK271" s="2"/>
      <c r="CL271" s="2"/>
      <c r="CM271" s="2">
        <v>0</v>
      </c>
      <c r="CN271" s="2" t="s">
        <v>6</v>
      </c>
      <c r="CO271" s="2">
        <v>0</v>
      </c>
      <c r="CP271" s="2" t="e">
        <f t="shared" si="287"/>
        <v>#REF!</v>
      </c>
      <c r="CQ271" s="2">
        <f t="shared" si="288"/>
        <v>0</v>
      </c>
      <c r="CR271" s="2">
        <f t="shared" si="289"/>
        <v>105.9</v>
      </c>
      <c r="CS271" s="2">
        <f t="shared" si="290"/>
        <v>11.69</v>
      </c>
      <c r="CT271" s="2">
        <f t="shared" si="291"/>
        <v>0</v>
      </c>
      <c r="CU271" s="2">
        <f t="shared" si="292"/>
        <v>0</v>
      </c>
      <c r="CV271" s="2">
        <f t="shared" si="293"/>
        <v>0</v>
      </c>
      <c r="CW271" s="2">
        <f t="shared" si="294"/>
        <v>1</v>
      </c>
      <c r="CX271" s="2">
        <f t="shared" si="295"/>
        <v>0</v>
      </c>
      <c r="CY271" s="2" t="e">
        <f>(((S271+(R271*IF(0,0,1)))*AT271)/100)</f>
        <v>#REF!</v>
      </c>
      <c r="CZ271" s="2" t="e">
        <f>(((S271+(R271*IF(0,0,1)))*AU271)/100)</f>
        <v>#REF!</v>
      </c>
      <c r="DA271" s="2"/>
      <c r="DB271" s="2"/>
      <c r="DC271" s="2" t="s">
        <v>6</v>
      </c>
      <c r="DD271" s="2" t="s">
        <v>6</v>
      </c>
      <c r="DE271" s="2" t="s">
        <v>6</v>
      </c>
      <c r="DF271" s="2" t="s">
        <v>6</v>
      </c>
      <c r="DG271" s="2" t="s">
        <v>6</v>
      </c>
      <c r="DH271" s="2" t="s">
        <v>6</v>
      </c>
      <c r="DI271" s="2" t="s">
        <v>6</v>
      </c>
      <c r="DJ271" s="2" t="s">
        <v>6</v>
      </c>
      <c r="DK271" s="2" t="s">
        <v>6</v>
      </c>
      <c r="DL271" s="2" t="s">
        <v>6</v>
      </c>
      <c r="DM271" s="2" t="s">
        <v>6</v>
      </c>
      <c r="DN271" s="2">
        <v>0</v>
      </c>
      <c r="DO271" s="2">
        <v>0</v>
      </c>
      <c r="DP271" s="2">
        <v>1</v>
      </c>
      <c r="DQ271" s="2">
        <v>1</v>
      </c>
      <c r="DR271" s="2"/>
      <c r="DS271" s="2"/>
      <c r="DT271" s="2"/>
      <c r="DU271" s="2">
        <v>1011</v>
      </c>
      <c r="DV271" s="2" t="s">
        <v>137</v>
      </c>
      <c r="DW271" s="2" t="s">
        <v>137</v>
      </c>
      <c r="DX271" s="2">
        <v>1</v>
      </c>
      <c r="DY271" s="2"/>
      <c r="DZ271" s="2" t="s">
        <v>6</v>
      </c>
      <c r="EA271" s="2" t="s">
        <v>6</v>
      </c>
      <c r="EB271" s="2" t="s">
        <v>6</v>
      </c>
      <c r="EC271" s="2" t="s">
        <v>6</v>
      </c>
      <c r="ED271" s="2"/>
      <c r="EE271" s="2">
        <v>54938780</v>
      </c>
      <c r="EF271" s="2">
        <v>10</v>
      </c>
      <c r="EG271" s="2" t="s">
        <v>139</v>
      </c>
      <c r="EH271" s="2">
        <v>0</v>
      </c>
      <c r="EI271" s="2" t="s">
        <v>6</v>
      </c>
      <c r="EJ271" s="2">
        <v>1</v>
      </c>
      <c r="EK271" s="2">
        <v>400001</v>
      </c>
      <c r="EL271" s="2" t="s">
        <v>140</v>
      </c>
      <c r="EM271" s="2" t="s">
        <v>141</v>
      </c>
      <c r="EN271" s="2"/>
      <c r="EO271" s="2" t="s">
        <v>6</v>
      </c>
      <c r="EP271" s="2"/>
      <c r="EQ271" s="2">
        <v>2097152</v>
      </c>
      <c r="ER271" s="2">
        <v>105.9</v>
      </c>
      <c r="ES271" s="2">
        <v>0</v>
      </c>
      <c r="ET271" s="2">
        <v>105.9</v>
      </c>
      <c r="EU271" s="2">
        <v>11.69</v>
      </c>
      <c r="EV271" s="2">
        <v>0</v>
      </c>
      <c r="EW271" s="2">
        <v>0</v>
      </c>
      <c r="EX271" s="2">
        <v>1</v>
      </c>
      <c r="EY271" s="2">
        <v>0</v>
      </c>
      <c r="EZ271" s="2"/>
      <c r="FA271" s="2"/>
      <c r="FB271" s="2"/>
      <c r="FC271" s="2"/>
      <c r="FD271" s="2"/>
      <c r="FE271" s="2"/>
      <c r="FF271" s="2"/>
      <c r="FG271" s="2"/>
      <c r="FH271" s="2"/>
      <c r="FI271" s="2"/>
      <c r="FJ271" s="2"/>
      <c r="FK271" s="2"/>
      <c r="FL271" s="2"/>
      <c r="FM271" s="2"/>
      <c r="FN271" s="2"/>
      <c r="FO271" s="2"/>
      <c r="FP271" s="2"/>
      <c r="FQ271" s="2">
        <v>0</v>
      </c>
      <c r="FR271" s="2">
        <f t="shared" si="296"/>
        <v>0</v>
      </c>
      <c r="FS271" s="2">
        <v>0</v>
      </c>
      <c r="FT271" s="2"/>
      <c r="FU271" s="2"/>
      <c r="FV271" s="2"/>
      <c r="FW271" s="2"/>
      <c r="FX271" s="2">
        <v>0</v>
      </c>
      <c r="FY271" s="2">
        <v>0</v>
      </c>
      <c r="FZ271" s="2"/>
      <c r="GA271" s="2" t="s">
        <v>6</v>
      </c>
      <c r="GB271" s="2"/>
      <c r="GC271" s="2"/>
      <c r="GD271" s="2">
        <v>1</v>
      </c>
      <c r="GE271" s="2"/>
      <c r="GF271" s="2">
        <v>-450777769</v>
      </c>
      <c r="GG271" s="2">
        <v>2</v>
      </c>
      <c r="GH271" s="2">
        <v>1</v>
      </c>
      <c r="GI271" s="2">
        <v>-2</v>
      </c>
      <c r="GJ271" s="2">
        <v>0</v>
      </c>
      <c r="GK271" s="2">
        <v>0</v>
      </c>
      <c r="GL271" s="2">
        <f t="shared" si="297"/>
        <v>0</v>
      </c>
      <c r="GM271" s="2" t="e">
        <f t="shared" si="298"/>
        <v>#REF!</v>
      </c>
      <c r="GN271" s="2" t="e">
        <f t="shared" si="299"/>
        <v>#REF!</v>
      </c>
      <c r="GO271" s="2">
        <f t="shared" si="300"/>
        <v>0</v>
      </c>
      <c r="GP271" s="2">
        <f t="shared" si="301"/>
        <v>0</v>
      </c>
      <c r="GQ271" s="2"/>
      <c r="GR271" s="2">
        <v>0</v>
      </c>
      <c r="GS271" s="2">
        <v>3</v>
      </c>
      <c r="GT271" s="2">
        <v>0</v>
      </c>
      <c r="GU271" s="2" t="s">
        <v>6</v>
      </c>
      <c r="GV271" s="2">
        <f t="shared" si="317"/>
        <v>0</v>
      </c>
      <c r="GW271" s="2">
        <v>1</v>
      </c>
      <c r="GX271" s="2" t="e">
        <f t="shared" si="303"/>
        <v>#REF!</v>
      </c>
      <c r="GY271" s="2"/>
      <c r="GZ271" s="2"/>
      <c r="HA271" s="2">
        <v>0</v>
      </c>
      <c r="HB271" s="2">
        <v>0</v>
      </c>
      <c r="HC271" s="2">
        <f t="shared" si="304"/>
        <v>0</v>
      </c>
      <c r="HD271" s="2"/>
      <c r="HE271" s="2" t="s">
        <v>6</v>
      </c>
      <c r="HF271" s="2" t="s">
        <v>6</v>
      </c>
      <c r="HG271" s="2"/>
      <c r="HH271" s="2"/>
      <c r="HI271" s="2"/>
      <c r="HJ271" s="2"/>
      <c r="HK271" s="2"/>
      <c r="HL271" s="2"/>
      <c r="HM271" s="2" t="s">
        <v>6</v>
      </c>
      <c r="HN271" s="2" t="s">
        <v>6</v>
      </c>
      <c r="HO271" s="2" t="s">
        <v>6</v>
      </c>
      <c r="HP271" s="2" t="s">
        <v>6</v>
      </c>
      <c r="HQ271" s="2" t="s">
        <v>6</v>
      </c>
      <c r="HR271" s="2"/>
      <c r="HS271" s="2"/>
      <c r="HT271" s="2"/>
      <c r="HU271" s="2"/>
      <c r="HV271" s="2"/>
      <c r="HW271" s="2"/>
      <c r="HX271" s="2"/>
      <c r="HY271" s="2"/>
      <c r="HZ271" s="2"/>
      <c r="IA271" s="2"/>
      <c r="IB271" s="2"/>
      <c r="IC271" s="2"/>
      <c r="ID271" s="2"/>
      <c r="IE271" s="2"/>
      <c r="IF271" s="2">
        <v>-1</v>
      </c>
      <c r="IG271" s="2"/>
      <c r="IH271" s="2"/>
      <c r="II271" s="2"/>
      <c r="IJ271" s="2"/>
      <c r="IK271" s="2">
        <v>0</v>
      </c>
      <c r="IL271" s="2"/>
      <c r="IM271" s="2"/>
      <c r="IN271" s="2"/>
      <c r="IO271" s="2"/>
      <c r="IP271" s="2"/>
      <c r="IQ271" s="2"/>
      <c r="IR271" s="2"/>
      <c r="IS271" s="2"/>
      <c r="IT271" s="2"/>
      <c r="IU271" s="2"/>
    </row>
    <row r="272" spans="1:255" x14ac:dyDescent="0.2">
      <c r="A272">
        <v>17</v>
      </c>
      <c r="B272">
        <v>1</v>
      </c>
      <c r="E272" t="s">
        <v>392</v>
      </c>
      <c r="F272" t="e">
        <f>'2.Лок.смета.и.Акт'!#REF!</f>
        <v>#REF!</v>
      </c>
      <c r="G272" t="s">
        <v>136</v>
      </c>
      <c r="H272" t="s">
        <v>137</v>
      </c>
      <c r="I272" t="e">
        <f>'2.Лок.смета.и.Акт'!#REF!</f>
        <v>#REF!</v>
      </c>
      <c r="J272">
        <v>0</v>
      </c>
      <c r="K272">
        <v>90.59</v>
      </c>
      <c r="O272" t="e">
        <f t="shared" si="273"/>
        <v>#REF!</v>
      </c>
      <c r="P272" t="e">
        <f t="shared" si="274"/>
        <v>#REF!</v>
      </c>
      <c r="Q272" t="e">
        <f t="shared" si="275"/>
        <v>#REF!</v>
      </c>
      <c r="R272" t="e">
        <f t="shared" si="276"/>
        <v>#REF!</v>
      </c>
      <c r="S272" t="e">
        <f t="shared" si="277"/>
        <v>#REF!</v>
      </c>
      <c r="T272" t="e">
        <f t="shared" si="278"/>
        <v>#REF!</v>
      </c>
      <c r="U272" t="e">
        <f t="shared" si="279"/>
        <v>#REF!</v>
      </c>
      <c r="V272" t="e">
        <f t="shared" si="280"/>
        <v>#REF!</v>
      </c>
      <c r="W272" t="e">
        <f t="shared" si="281"/>
        <v>#REF!</v>
      </c>
      <c r="X272" t="e">
        <f t="shared" si="282"/>
        <v>#REF!</v>
      </c>
      <c r="Y272" t="e">
        <f t="shared" si="283"/>
        <v>#REF!</v>
      </c>
      <c r="AA272">
        <v>86326988</v>
      </c>
      <c r="AB272">
        <f t="shared" si="284"/>
        <v>105.9</v>
      </c>
      <c r="AC272">
        <f t="shared" si="311"/>
        <v>0</v>
      </c>
      <c r="AD272">
        <f t="shared" si="312"/>
        <v>105.9</v>
      </c>
      <c r="AE272">
        <f t="shared" si="313"/>
        <v>11.69</v>
      </c>
      <c r="AF272">
        <f t="shared" si="314"/>
        <v>0</v>
      </c>
      <c r="AG272">
        <f t="shared" si="285"/>
        <v>0</v>
      </c>
      <c r="AH272">
        <f t="shared" si="315"/>
        <v>0</v>
      </c>
      <c r="AI272">
        <f t="shared" si="316"/>
        <v>1</v>
      </c>
      <c r="AJ272">
        <f t="shared" si="286"/>
        <v>0</v>
      </c>
      <c r="AK272">
        <v>105.9</v>
      </c>
      <c r="AL272">
        <v>0</v>
      </c>
      <c r="AM272" s="75">
        <f>'1.Лок.смета.и.Акт'!F481</f>
        <v>105.9</v>
      </c>
      <c r="AN272">
        <v>11.69</v>
      </c>
      <c r="AO272">
        <v>0</v>
      </c>
      <c r="AP272">
        <v>0</v>
      </c>
      <c r="AQ272">
        <v>0</v>
      </c>
      <c r="AR272">
        <v>1</v>
      </c>
      <c r="AS272">
        <v>0</v>
      </c>
      <c r="AT272">
        <v>0</v>
      </c>
      <c r="AU272">
        <v>0</v>
      </c>
      <c r="AV272">
        <v>1</v>
      </c>
      <c r="AW272">
        <v>1</v>
      </c>
      <c r="AZ272">
        <v>1</v>
      </c>
      <c r="BA272">
        <v>1</v>
      </c>
      <c r="BB272">
        <f>'1.Лок.смета.и.Акт'!J481</f>
        <v>7.84</v>
      </c>
      <c r="BC272">
        <v>1</v>
      </c>
      <c r="BD272" t="s">
        <v>6</v>
      </c>
      <c r="BE272" t="s">
        <v>6</v>
      </c>
      <c r="BF272" t="s">
        <v>6</v>
      </c>
      <c r="BG272" t="s">
        <v>6</v>
      </c>
      <c r="BH272">
        <v>2</v>
      </c>
      <c r="BI272">
        <v>1</v>
      </c>
      <c r="BJ272" t="s">
        <v>138</v>
      </c>
      <c r="BM272">
        <v>400001</v>
      </c>
      <c r="BN272">
        <v>0</v>
      </c>
      <c r="BO272" t="s">
        <v>135</v>
      </c>
      <c r="BP272">
        <v>1</v>
      </c>
      <c r="BQ272">
        <v>10</v>
      </c>
      <c r="BR272">
        <v>0</v>
      </c>
      <c r="BS272">
        <v>19.8</v>
      </c>
      <c r="BT272">
        <v>1</v>
      </c>
      <c r="BU272">
        <v>1</v>
      </c>
      <c r="BV272">
        <v>1</v>
      </c>
      <c r="BW272">
        <v>1</v>
      </c>
      <c r="BX272">
        <v>1</v>
      </c>
      <c r="BY272" t="s">
        <v>6</v>
      </c>
      <c r="BZ272">
        <v>0</v>
      </c>
      <c r="CA272">
        <v>0</v>
      </c>
      <c r="CB272" t="s">
        <v>6</v>
      </c>
      <c r="CE272">
        <v>0</v>
      </c>
      <c r="CF272">
        <v>0</v>
      </c>
      <c r="CG272">
        <v>0</v>
      </c>
      <c r="CM272">
        <v>0</v>
      </c>
      <c r="CN272" t="s">
        <v>6</v>
      </c>
      <c r="CO272">
        <v>0</v>
      </c>
      <c r="CP272" t="e">
        <f t="shared" si="287"/>
        <v>#REF!</v>
      </c>
      <c r="CQ272">
        <f t="shared" si="288"/>
        <v>0</v>
      </c>
      <c r="CR272">
        <f t="shared" si="289"/>
        <v>830.25600000000009</v>
      </c>
      <c r="CS272">
        <f t="shared" si="290"/>
        <v>231.46199999999999</v>
      </c>
      <c r="CT272">
        <f t="shared" si="291"/>
        <v>0</v>
      </c>
      <c r="CU272">
        <f t="shared" si="292"/>
        <v>0</v>
      </c>
      <c r="CV272">
        <f t="shared" si="293"/>
        <v>0</v>
      </c>
      <c r="CW272">
        <f t="shared" si="294"/>
        <v>1</v>
      </c>
      <c r="CX272">
        <f t="shared" si="295"/>
        <v>0</v>
      </c>
      <c r="CY272" t="e">
        <f>(S272+R272)*(BZ272/100)</f>
        <v>#REF!</v>
      </c>
      <c r="CZ272" t="e">
        <f>(S272+R272)*(CA272/100)</f>
        <v>#REF!</v>
      </c>
      <c r="DC272" t="s">
        <v>6</v>
      </c>
      <c r="DD272" t="s">
        <v>6</v>
      </c>
      <c r="DE272" t="s">
        <v>6</v>
      </c>
      <c r="DF272" t="s">
        <v>6</v>
      </c>
      <c r="DG272" t="s">
        <v>6</v>
      </c>
      <c r="DH272" t="s">
        <v>6</v>
      </c>
      <c r="DI272" t="s">
        <v>6</v>
      </c>
      <c r="DJ272" t="s">
        <v>6</v>
      </c>
      <c r="DK272" t="s">
        <v>6</v>
      </c>
      <c r="DL272" t="s">
        <v>6</v>
      </c>
      <c r="DM272" t="s">
        <v>6</v>
      </c>
      <c r="DN272">
        <v>0</v>
      </c>
      <c r="DO272">
        <v>0</v>
      </c>
      <c r="DP272">
        <v>1</v>
      </c>
      <c r="DQ272">
        <v>1</v>
      </c>
      <c r="DU272">
        <v>1011</v>
      </c>
      <c r="DV272" t="s">
        <v>137</v>
      </c>
      <c r="DW272" t="e">
        <f>'2.Лок.смета.и.Акт'!#REF!</f>
        <v>#REF!</v>
      </c>
      <c r="DX272">
        <v>1</v>
      </c>
      <c r="DZ272" t="s">
        <v>6</v>
      </c>
      <c r="EA272" t="s">
        <v>6</v>
      </c>
      <c r="EB272" t="s">
        <v>6</v>
      </c>
      <c r="EC272" t="s">
        <v>6</v>
      </c>
      <c r="EE272">
        <v>54938780</v>
      </c>
      <c r="EF272">
        <v>10</v>
      </c>
      <c r="EG272" t="s">
        <v>139</v>
      </c>
      <c r="EH272">
        <v>0</v>
      </c>
      <c r="EI272" t="s">
        <v>6</v>
      </c>
      <c r="EJ272">
        <v>1</v>
      </c>
      <c r="EK272">
        <v>400001</v>
      </c>
      <c r="EL272" t="s">
        <v>140</v>
      </c>
      <c r="EM272" t="s">
        <v>141</v>
      </c>
      <c r="EO272" t="s">
        <v>6</v>
      </c>
      <c r="EQ272">
        <v>2097152</v>
      </c>
      <c r="ER272">
        <v>105.9</v>
      </c>
      <c r="ES272">
        <v>0</v>
      </c>
      <c r="ET272" s="75">
        <f>'1.Лок.смета.и.Акт'!F481</f>
        <v>105.9</v>
      </c>
      <c r="EU272">
        <v>11.69</v>
      </c>
      <c r="EV272">
        <v>0</v>
      </c>
      <c r="EW272">
        <v>0</v>
      </c>
      <c r="EX272">
        <v>1</v>
      </c>
      <c r="EY272">
        <v>0</v>
      </c>
      <c r="FQ272">
        <v>0</v>
      </c>
      <c r="FR272">
        <f t="shared" si="296"/>
        <v>0</v>
      </c>
      <c r="FS272">
        <v>0</v>
      </c>
      <c r="FX272">
        <v>0</v>
      </c>
      <c r="FY272">
        <v>0</v>
      </c>
      <c r="GA272" t="s">
        <v>6</v>
      </c>
      <c r="GD272">
        <v>1</v>
      </c>
      <c r="GF272">
        <v>-450777769</v>
      </c>
      <c r="GG272">
        <v>2</v>
      </c>
      <c r="GH272">
        <v>1</v>
      </c>
      <c r="GI272">
        <v>2</v>
      </c>
      <c r="GJ272">
        <v>0</v>
      </c>
      <c r="GK272">
        <v>0</v>
      </c>
      <c r="GL272">
        <f t="shared" si="297"/>
        <v>0</v>
      </c>
      <c r="GM272" t="e">
        <f t="shared" si="298"/>
        <v>#REF!</v>
      </c>
      <c r="GN272" t="e">
        <f t="shared" si="299"/>
        <v>#REF!</v>
      </c>
      <c r="GO272">
        <f t="shared" si="300"/>
        <v>0</v>
      </c>
      <c r="GP272">
        <f t="shared" si="301"/>
        <v>0</v>
      </c>
      <c r="GR272">
        <v>0</v>
      </c>
      <c r="GS272">
        <v>3</v>
      </c>
      <c r="GT272">
        <v>0</v>
      </c>
      <c r="GU272" t="s">
        <v>6</v>
      </c>
      <c r="GV272">
        <f t="shared" si="317"/>
        <v>0</v>
      </c>
      <c r="GW272">
        <v>1</v>
      </c>
      <c r="GX272" t="e">
        <f t="shared" si="303"/>
        <v>#REF!</v>
      </c>
      <c r="HA272">
        <v>0</v>
      </c>
      <c r="HB272">
        <v>0</v>
      </c>
      <c r="HC272">
        <f t="shared" si="304"/>
        <v>0</v>
      </c>
      <c r="HE272" t="s">
        <v>6</v>
      </c>
      <c r="HF272" t="s">
        <v>6</v>
      </c>
      <c r="HM272" t="s">
        <v>6</v>
      </c>
      <c r="HN272" t="s">
        <v>6</v>
      </c>
      <c r="HO272" t="s">
        <v>6</v>
      </c>
      <c r="HP272" t="s">
        <v>6</v>
      </c>
      <c r="HQ272" t="s">
        <v>6</v>
      </c>
      <c r="IF272">
        <v>-1</v>
      </c>
      <c r="IK272">
        <v>0</v>
      </c>
    </row>
    <row r="273" spans="1:255" x14ac:dyDescent="0.2">
      <c r="A273" s="2">
        <v>17</v>
      </c>
      <c r="B273" s="2">
        <v>1</v>
      </c>
      <c r="C273" s="2">
        <f>ROW(SmtRes!A355)</f>
        <v>355</v>
      </c>
      <c r="D273" s="2">
        <f>ROW(EtalonRes!A277)</f>
        <v>277</v>
      </c>
      <c r="E273" s="2" t="s">
        <v>393</v>
      </c>
      <c r="F273" s="2" t="s">
        <v>394</v>
      </c>
      <c r="G273" s="2" t="s">
        <v>395</v>
      </c>
      <c r="H273" s="2" t="s">
        <v>396</v>
      </c>
      <c r="I273" s="2" t="e">
        <f>'2.Лок.смета.и.Акт'!#REF!</f>
        <v>#REF!</v>
      </c>
      <c r="J273" s="2">
        <v>0</v>
      </c>
      <c r="K273" s="2">
        <v>0.04</v>
      </c>
      <c r="L273" s="2"/>
      <c r="M273" s="2"/>
      <c r="N273" s="2"/>
      <c r="O273" s="2" t="e">
        <f t="shared" si="273"/>
        <v>#REF!</v>
      </c>
      <c r="P273" s="2" t="e">
        <f t="shared" si="274"/>
        <v>#REF!</v>
      </c>
      <c r="Q273" s="2" t="e">
        <f t="shared" si="275"/>
        <v>#REF!</v>
      </c>
      <c r="R273" s="2" t="e">
        <f t="shared" si="276"/>
        <v>#REF!</v>
      </c>
      <c r="S273" s="2" t="e">
        <f t="shared" si="277"/>
        <v>#REF!</v>
      </c>
      <c r="T273" s="2" t="e">
        <f t="shared" si="278"/>
        <v>#REF!</v>
      </c>
      <c r="U273" s="2" t="e">
        <f t="shared" si="279"/>
        <v>#REF!</v>
      </c>
      <c r="V273" s="2" t="e">
        <f t="shared" si="280"/>
        <v>#REF!</v>
      </c>
      <c r="W273" s="2" t="e">
        <f t="shared" si="281"/>
        <v>#REF!</v>
      </c>
      <c r="X273" s="2" t="e">
        <f t="shared" si="282"/>
        <v>#REF!</v>
      </c>
      <c r="Y273" s="2" t="e">
        <f t="shared" si="283"/>
        <v>#REF!</v>
      </c>
      <c r="Z273" s="2"/>
      <c r="AA273" s="2">
        <v>86326987</v>
      </c>
      <c r="AB273" s="2">
        <f t="shared" si="284"/>
        <v>93.09</v>
      </c>
      <c r="AC273" s="2">
        <f t="shared" si="311"/>
        <v>0</v>
      </c>
      <c r="AD273" s="2">
        <f t="shared" si="312"/>
        <v>18.27</v>
      </c>
      <c r="AE273" s="2">
        <f t="shared" si="313"/>
        <v>0</v>
      </c>
      <c r="AF273" s="2">
        <f t="shared" si="314"/>
        <v>74.819999999999993</v>
      </c>
      <c r="AG273" s="2">
        <f t="shared" si="285"/>
        <v>0</v>
      </c>
      <c r="AH273" s="2">
        <f t="shared" si="315"/>
        <v>8.6999999999999993</v>
      </c>
      <c r="AI273" s="2">
        <f t="shared" si="316"/>
        <v>0</v>
      </c>
      <c r="AJ273" s="2">
        <f t="shared" si="286"/>
        <v>0</v>
      </c>
      <c r="AK273" s="2">
        <v>93.09</v>
      </c>
      <c r="AL273" s="2">
        <v>0</v>
      </c>
      <c r="AM273" s="2">
        <v>18.27</v>
      </c>
      <c r="AN273" s="2">
        <v>0</v>
      </c>
      <c r="AO273" s="2">
        <v>74.819999999999993</v>
      </c>
      <c r="AP273" s="2">
        <v>0</v>
      </c>
      <c r="AQ273" s="2">
        <v>8.6999999999999993</v>
      </c>
      <c r="AR273" s="2">
        <v>0</v>
      </c>
      <c r="AS273" s="2">
        <v>0</v>
      </c>
      <c r="AT273" s="2">
        <v>110</v>
      </c>
      <c r="AU273" s="2">
        <v>70</v>
      </c>
      <c r="AV273" s="2">
        <v>1</v>
      </c>
      <c r="AW273" s="2">
        <v>1</v>
      </c>
      <c r="AX273" s="2"/>
      <c r="AY273" s="2"/>
      <c r="AZ273" s="2">
        <v>1</v>
      </c>
      <c r="BA273" s="2">
        <v>1</v>
      </c>
      <c r="BB273" s="2">
        <v>1</v>
      </c>
      <c r="BC273" s="2">
        <v>1</v>
      </c>
      <c r="BD273" s="2" t="s">
        <v>6</v>
      </c>
      <c r="BE273" s="2" t="s">
        <v>6</v>
      </c>
      <c r="BF273" s="2" t="s">
        <v>6</v>
      </c>
      <c r="BG273" s="2" t="s">
        <v>6</v>
      </c>
      <c r="BH273" s="2">
        <v>0</v>
      </c>
      <c r="BI273" s="2">
        <v>1</v>
      </c>
      <c r="BJ273" s="2" t="s">
        <v>397</v>
      </c>
      <c r="BK273" s="2"/>
      <c r="BL273" s="2"/>
      <c r="BM273" s="2">
        <v>46001</v>
      </c>
      <c r="BN273" s="2">
        <v>0</v>
      </c>
      <c r="BO273" s="2" t="s">
        <v>6</v>
      </c>
      <c r="BP273" s="2">
        <v>0</v>
      </c>
      <c r="BQ273" s="2">
        <v>9</v>
      </c>
      <c r="BR273" s="2">
        <v>0</v>
      </c>
      <c r="BS273" s="2">
        <v>1</v>
      </c>
      <c r="BT273" s="2">
        <v>1</v>
      </c>
      <c r="BU273" s="2">
        <v>1</v>
      </c>
      <c r="BV273" s="2">
        <v>1</v>
      </c>
      <c r="BW273" s="2">
        <v>1</v>
      </c>
      <c r="BX273" s="2">
        <v>1</v>
      </c>
      <c r="BY273" s="2" t="s">
        <v>6</v>
      </c>
      <c r="BZ273" s="2">
        <v>110</v>
      </c>
      <c r="CA273" s="2">
        <v>70</v>
      </c>
      <c r="CB273" s="2" t="s">
        <v>6</v>
      </c>
      <c r="CC273" s="2"/>
      <c r="CD273" s="2"/>
      <c r="CE273" s="2">
        <v>0</v>
      </c>
      <c r="CF273" s="2">
        <v>0</v>
      </c>
      <c r="CG273" s="2">
        <v>0</v>
      </c>
      <c r="CH273" s="2"/>
      <c r="CI273" s="2"/>
      <c r="CJ273" s="2"/>
      <c r="CK273" s="2"/>
      <c r="CL273" s="2"/>
      <c r="CM273" s="2">
        <v>0</v>
      </c>
      <c r="CN273" s="2" t="s">
        <v>6</v>
      </c>
      <c r="CO273" s="2">
        <v>0</v>
      </c>
      <c r="CP273" s="2" t="e">
        <f t="shared" si="287"/>
        <v>#REF!</v>
      </c>
      <c r="CQ273" s="2">
        <f t="shared" si="288"/>
        <v>0</v>
      </c>
      <c r="CR273" s="2">
        <f t="shared" si="289"/>
        <v>18.27</v>
      </c>
      <c r="CS273" s="2">
        <f t="shared" si="290"/>
        <v>0</v>
      </c>
      <c r="CT273" s="2">
        <f t="shared" si="291"/>
        <v>74.819999999999993</v>
      </c>
      <c r="CU273" s="2">
        <f t="shared" si="292"/>
        <v>0</v>
      </c>
      <c r="CV273" s="2">
        <f t="shared" si="293"/>
        <v>8.6999999999999993</v>
      </c>
      <c r="CW273" s="2">
        <f t="shared" si="294"/>
        <v>0</v>
      </c>
      <c r="CX273" s="2">
        <f t="shared" si="295"/>
        <v>0</v>
      </c>
      <c r="CY273" s="2" t="e">
        <f>(((S273+(R273*IF(0,0,1)))*AT273)/100)</f>
        <v>#REF!</v>
      </c>
      <c r="CZ273" s="2" t="e">
        <f>(((S273+(R273*IF(0,0,1)))*AU273)/100)</f>
        <v>#REF!</v>
      </c>
      <c r="DA273" s="2"/>
      <c r="DB273" s="2"/>
      <c r="DC273" s="2" t="s">
        <v>6</v>
      </c>
      <c r="DD273" s="2" t="s">
        <v>6</v>
      </c>
      <c r="DE273" s="2" t="s">
        <v>6</v>
      </c>
      <c r="DF273" s="2" t="s">
        <v>6</v>
      </c>
      <c r="DG273" s="2" t="s">
        <v>6</v>
      </c>
      <c r="DH273" s="2" t="s">
        <v>6</v>
      </c>
      <c r="DI273" s="2" t="s">
        <v>6</v>
      </c>
      <c r="DJ273" s="2" t="s">
        <v>6</v>
      </c>
      <c r="DK273" s="2" t="s">
        <v>6</v>
      </c>
      <c r="DL273" s="2" t="s">
        <v>6</v>
      </c>
      <c r="DM273" s="2" t="s">
        <v>6</v>
      </c>
      <c r="DN273" s="2">
        <v>0</v>
      </c>
      <c r="DO273" s="2">
        <v>0</v>
      </c>
      <c r="DP273" s="2">
        <v>1</v>
      </c>
      <c r="DQ273" s="2">
        <v>1</v>
      </c>
      <c r="DR273" s="2"/>
      <c r="DS273" s="2"/>
      <c r="DT273" s="2"/>
      <c r="DU273" s="2">
        <v>1010</v>
      </c>
      <c r="DV273" s="2" t="s">
        <v>396</v>
      </c>
      <c r="DW273" s="2" t="s">
        <v>396</v>
      </c>
      <c r="DX273" s="2">
        <v>100</v>
      </c>
      <c r="DY273" s="2"/>
      <c r="DZ273" s="2" t="s">
        <v>6</v>
      </c>
      <c r="EA273" s="2" t="s">
        <v>6</v>
      </c>
      <c r="EB273" s="2" t="s">
        <v>6</v>
      </c>
      <c r="EC273" s="2" t="s">
        <v>6</v>
      </c>
      <c r="ED273" s="2"/>
      <c r="EE273" s="2">
        <v>54938666</v>
      </c>
      <c r="EF273" s="2">
        <v>9</v>
      </c>
      <c r="EG273" s="2" t="s">
        <v>398</v>
      </c>
      <c r="EH273" s="2">
        <v>0</v>
      </c>
      <c r="EI273" s="2" t="s">
        <v>6</v>
      </c>
      <c r="EJ273" s="2">
        <v>1</v>
      </c>
      <c r="EK273" s="2">
        <v>46001</v>
      </c>
      <c r="EL273" s="2" t="s">
        <v>398</v>
      </c>
      <c r="EM273" s="2" t="s">
        <v>399</v>
      </c>
      <c r="EN273" s="2"/>
      <c r="EO273" s="2" t="s">
        <v>6</v>
      </c>
      <c r="EP273" s="2"/>
      <c r="EQ273" s="2">
        <v>2097152</v>
      </c>
      <c r="ER273" s="2">
        <v>93.09</v>
      </c>
      <c r="ES273" s="2">
        <v>0</v>
      </c>
      <c r="ET273" s="2">
        <v>18.27</v>
      </c>
      <c r="EU273" s="2">
        <v>0</v>
      </c>
      <c r="EV273" s="2">
        <v>74.819999999999993</v>
      </c>
      <c r="EW273" s="2">
        <v>8.6999999999999993</v>
      </c>
      <c r="EX273" s="2">
        <v>0</v>
      </c>
      <c r="EY273" s="2">
        <v>0</v>
      </c>
      <c r="EZ273" s="2"/>
      <c r="FA273" s="2"/>
      <c r="FB273" s="2"/>
      <c r="FC273" s="2"/>
      <c r="FD273" s="2"/>
      <c r="FE273" s="2"/>
      <c r="FF273" s="2"/>
      <c r="FG273" s="2"/>
      <c r="FH273" s="2"/>
      <c r="FI273" s="2"/>
      <c r="FJ273" s="2"/>
      <c r="FK273" s="2"/>
      <c r="FL273" s="2"/>
      <c r="FM273" s="2"/>
      <c r="FN273" s="2"/>
      <c r="FO273" s="2"/>
      <c r="FP273" s="2"/>
      <c r="FQ273" s="2">
        <v>0</v>
      </c>
      <c r="FR273" s="2">
        <f t="shared" si="296"/>
        <v>0</v>
      </c>
      <c r="FS273" s="2">
        <v>0</v>
      </c>
      <c r="FT273" s="2"/>
      <c r="FU273" s="2"/>
      <c r="FV273" s="2"/>
      <c r="FW273" s="2"/>
      <c r="FX273" s="2">
        <v>110</v>
      </c>
      <c r="FY273" s="2">
        <v>70</v>
      </c>
      <c r="FZ273" s="2"/>
      <c r="GA273" s="2" t="s">
        <v>6</v>
      </c>
      <c r="GB273" s="2"/>
      <c r="GC273" s="2"/>
      <c r="GD273" s="2">
        <v>1</v>
      </c>
      <c r="GE273" s="2"/>
      <c r="GF273" s="2">
        <v>453859021</v>
      </c>
      <c r="GG273" s="2">
        <v>2</v>
      </c>
      <c r="GH273" s="2">
        <v>1</v>
      </c>
      <c r="GI273" s="2">
        <v>-2</v>
      </c>
      <c r="GJ273" s="2">
        <v>0</v>
      </c>
      <c r="GK273" s="2">
        <v>0</v>
      </c>
      <c r="GL273" s="2">
        <f t="shared" si="297"/>
        <v>0</v>
      </c>
      <c r="GM273" s="2" t="e">
        <f t="shared" si="298"/>
        <v>#REF!</v>
      </c>
      <c r="GN273" s="2" t="e">
        <f t="shared" si="299"/>
        <v>#REF!</v>
      </c>
      <c r="GO273" s="2">
        <f t="shared" si="300"/>
        <v>0</v>
      </c>
      <c r="GP273" s="2">
        <f t="shared" si="301"/>
        <v>0</v>
      </c>
      <c r="GQ273" s="2"/>
      <c r="GR273" s="2">
        <v>0</v>
      </c>
      <c r="GS273" s="2">
        <v>3</v>
      </c>
      <c r="GT273" s="2">
        <v>0</v>
      </c>
      <c r="GU273" s="2" t="s">
        <v>6</v>
      </c>
      <c r="GV273" s="2">
        <f t="shared" si="317"/>
        <v>0</v>
      </c>
      <c r="GW273" s="2">
        <v>1</v>
      </c>
      <c r="GX273" s="2" t="e">
        <f t="shared" si="303"/>
        <v>#REF!</v>
      </c>
      <c r="GY273" s="2"/>
      <c r="GZ273" s="2"/>
      <c r="HA273" s="2">
        <v>0</v>
      </c>
      <c r="HB273" s="2">
        <v>0</v>
      </c>
      <c r="HC273" s="2">
        <f t="shared" si="304"/>
        <v>0</v>
      </c>
      <c r="HD273" s="2"/>
      <c r="HE273" s="2" t="s">
        <v>6</v>
      </c>
      <c r="HF273" s="2" t="s">
        <v>6</v>
      </c>
      <c r="HG273" s="2"/>
      <c r="HH273" s="2"/>
      <c r="HI273" s="2"/>
      <c r="HJ273" s="2"/>
      <c r="HK273" s="2"/>
      <c r="HL273" s="2"/>
      <c r="HM273" s="2" t="s">
        <v>6</v>
      </c>
      <c r="HN273" s="2" t="s">
        <v>6</v>
      </c>
      <c r="HO273" s="2" t="s">
        <v>6</v>
      </c>
      <c r="HP273" s="2" t="s">
        <v>6</v>
      </c>
      <c r="HQ273" s="2" t="s">
        <v>6</v>
      </c>
      <c r="HR273" s="2"/>
      <c r="HS273" s="2"/>
      <c r="HT273" s="2"/>
      <c r="HU273" s="2"/>
      <c r="HV273" s="2"/>
      <c r="HW273" s="2"/>
      <c r="HX273" s="2"/>
      <c r="HY273" s="2"/>
      <c r="HZ273" s="2"/>
      <c r="IA273" s="2"/>
      <c r="IB273" s="2"/>
      <c r="IC273" s="2"/>
      <c r="ID273" s="2"/>
      <c r="IE273" s="2"/>
      <c r="IF273" s="2">
        <v>-1</v>
      </c>
      <c r="IG273" s="2"/>
      <c r="IH273" s="2"/>
      <c r="II273" s="2"/>
      <c r="IJ273" s="2"/>
      <c r="IK273" s="2">
        <v>0</v>
      </c>
      <c r="IL273" s="2"/>
      <c r="IM273" s="2"/>
      <c r="IN273" s="2"/>
      <c r="IO273" s="2"/>
      <c r="IP273" s="2"/>
      <c r="IQ273" s="2"/>
      <c r="IR273" s="2"/>
      <c r="IS273" s="2"/>
      <c r="IT273" s="2"/>
      <c r="IU273" s="2"/>
    </row>
    <row r="274" spans="1:255" x14ac:dyDescent="0.2">
      <c r="A274">
        <v>17</v>
      </c>
      <c r="B274">
        <v>1</v>
      </c>
      <c r="C274">
        <f>ROW(SmtRes!A360)</f>
        <v>360</v>
      </c>
      <c r="D274">
        <f>ROW(EtalonRes!A282)</f>
        <v>282</v>
      </c>
      <c r="E274" t="s">
        <v>393</v>
      </c>
      <c r="F274" t="s">
        <v>394</v>
      </c>
      <c r="G274" t="s">
        <v>395</v>
      </c>
      <c r="H274" t="s">
        <v>396</v>
      </c>
      <c r="I274" t="e">
        <f>'2.Лок.смета.и.Акт'!#REF!</f>
        <v>#REF!</v>
      </c>
      <c r="J274">
        <v>0</v>
      </c>
      <c r="K274">
        <v>0.04</v>
      </c>
      <c r="O274" t="e">
        <f t="shared" si="273"/>
        <v>#REF!</v>
      </c>
      <c r="P274" t="e">
        <f t="shared" si="274"/>
        <v>#REF!</v>
      </c>
      <c r="Q274" t="e">
        <f t="shared" si="275"/>
        <v>#REF!</v>
      </c>
      <c r="R274" t="e">
        <f t="shared" si="276"/>
        <v>#REF!</v>
      </c>
      <c r="S274" t="e">
        <f t="shared" si="277"/>
        <v>#REF!</v>
      </c>
      <c r="T274" t="e">
        <f t="shared" si="278"/>
        <v>#REF!</v>
      </c>
      <c r="U274" t="e">
        <f t="shared" si="279"/>
        <v>#REF!</v>
      </c>
      <c r="V274" t="e">
        <f t="shared" si="280"/>
        <v>#REF!</v>
      </c>
      <c r="W274" t="e">
        <f t="shared" si="281"/>
        <v>#REF!</v>
      </c>
      <c r="X274" t="e">
        <f t="shared" si="282"/>
        <v>#REF!</v>
      </c>
      <c r="Y274" t="e">
        <f t="shared" si="283"/>
        <v>#REF!</v>
      </c>
      <c r="AA274">
        <v>86326988</v>
      </c>
      <c r="AB274">
        <f t="shared" si="284"/>
        <v>93.09</v>
      </c>
      <c r="AC274">
        <f t="shared" si="311"/>
        <v>0</v>
      </c>
      <c r="AD274">
        <f t="shared" si="312"/>
        <v>18.27</v>
      </c>
      <c r="AE274">
        <f t="shared" si="313"/>
        <v>0</v>
      </c>
      <c r="AF274">
        <f t="shared" si="314"/>
        <v>74.819999999999993</v>
      </c>
      <c r="AG274">
        <f t="shared" si="285"/>
        <v>0</v>
      </c>
      <c r="AH274" t="e">
        <f t="shared" si="315"/>
        <v>#REF!</v>
      </c>
      <c r="AI274">
        <f t="shared" si="316"/>
        <v>0</v>
      </c>
      <c r="AJ274">
        <f t="shared" si="286"/>
        <v>0</v>
      </c>
      <c r="AK274">
        <f>AL274+AM274+AO274</f>
        <v>93.089999999999989</v>
      </c>
      <c r="AL274">
        <v>0</v>
      </c>
      <c r="AM274" s="75">
        <f>'1.Лок.смета.и.Акт'!F486</f>
        <v>18.27</v>
      </c>
      <c r="AN274">
        <v>0</v>
      </c>
      <c r="AO274" s="75">
        <f>'1.Лок.смета.и.Акт'!F485</f>
        <v>74.819999999999993</v>
      </c>
      <c r="AP274">
        <v>0</v>
      </c>
      <c r="AQ274" t="e">
        <f>'2.Лок.смета.и.Акт'!#REF!</f>
        <v>#REF!</v>
      </c>
      <c r="AR274">
        <v>0</v>
      </c>
      <c r="AS274">
        <v>0</v>
      </c>
      <c r="AT274">
        <v>105</v>
      </c>
      <c r="AU274">
        <v>60</v>
      </c>
      <c r="AV274">
        <v>1</v>
      </c>
      <c r="AW274">
        <v>1</v>
      </c>
      <c r="AZ274">
        <v>1</v>
      </c>
      <c r="BA274">
        <f>'1.Лок.смета.и.Акт'!J485</f>
        <v>25.36</v>
      </c>
      <c r="BB274">
        <f>'1.Лок.смета.и.Акт'!J486</f>
        <v>7.84</v>
      </c>
      <c r="BC274">
        <v>7.56</v>
      </c>
      <c r="BD274" t="s">
        <v>6</v>
      </c>
      <c r="BE274" t="s">
        <v>6</v>
      </c>
      <c r="BF274" t="s">
        <v>6</v>
      </c>
      <c r="BG274" t="s">
        <v>6</v>
      </c>
      <c r="BH274">
        <v>0</v>
      </c>
      <c r="BI274">
        <v>1</v>
      </c>
      <c r="BJ274" t="s">
        <v>397</v>
      </c>
      <c r="BM274">
        <v>46001</v>
      </c>
      <c r="BN274">
        <v>0</v>
      </c>
      <c r="BO274" t="s">
        <v>394</v>
      </c>
      <c r="BP274">
        <v>1</v>
      </c>
      <c r="BQ274">
        <v>9</v>
      </c>
      <c r="BR274">
        <v>0</v>
      </c>
      <c r="BS274">
        <v>19.8</v>
      </c>
      <c r="BT274">
        <v>1</v>
      </c>
      <c r="BU274">
        <v>1</v>
      </c>
      <c r="BV274">
        <v>1</v>
      </c>
      <c r="BW274">
        <v>1</v>
      </c>
      <c r="BX274">
        <v>1</v>
      </c>
      <c r="BY274" t="s">
        <v>6</v>
      </c>
      <c r="BZ274" t="e">
        <f>'2.Лок.смета.и.Акт'!#REF!</f>
        <v>#REF!</v>
      </c>
      <c r="CA274" t="e">
        <f>'2.Лок.смета.и.Акт'!#REF!</f>
        <v>#REF!</v>
      </c>
      <c r="CB274" t="s">
        <v>6</v>
      </c>
      <c r="CE274">
        <v>0</v>
      </c>
      <c r="CF274">
        <v>0</v>
      </c>
      <c r="CG274">
        <v>0</v>
      </c>
      <c r="CM274">
        <v>0</v>
      </c>
      <c r="CN274" t="s">
        <v>6</v>
      </c>
      <c r="CO274">
        <v>0</v>
      </c>
      <c r="CP274" t="e">
        <f t="shared" si="287"/>
        <v>#REF!</v>
      </c>
      <c r="CQ274">
        <f t="shared" si="288"/>
        <v>0</v>
      </c>
      <c r="CR274">
        <f t="shared" si="289"/>
        <v>143.23679999999999</v>
      </c>
      <c r="CS274">
        <f t="shared" si="290"/>
        <v>0</v>
      </c>
      <c r="CT274">
        <f t="shared" si="291"/>
        <v>1897.4351999999999</v>
      </c>
      <c r="CU274">
        <f t="shared" si="292"/>
        <v>0</v>
      </c>
      <c r="CV274" t="e">
        <f t="shared" si="293"/>
        <v>#REF!</v>
      </c>
      <c r="CW274">
        <f t="shared" si="294"/>
        <v>0</v>
      </c>
      <c r="CX274">
        <f t="shared" si="295"/>
        <v>0</v>
      </c>
      <c r="CY274" t="e">
        <f>(S274+R274)*(BZ274/100)</f>
        <v>#REF!</v>
      </c>
      <c r="CZ274" t="e">
        <f>(S274+R274)*(CA274/100)</f>
        <v>#REF!</v>
      </c>
      <c r="DC274" t="s">
        <v>6</v>
      </c>
      <c r="DD274" t="s">
        <v>6</v>
      </c>
      <c r="DE274" t="s">
        <v>6</v>
      </c>
      <c r="DF274" t="s">
        <v>6</v>
      </c>
      <c r="DG274" t="s">
        <v>6</v>
      </c>
      <c r="DH274" t="s">
        <v>6</v>
      </c>
      <c r="DI274" t="s">
        <v>6</v>
      </c>
      <c r="DJ274" t="s">
        <v>6</v>
      </c>
      <c r="DK274" t="s">
        <v>6</v>
      </c>
      <c r="DL274" t="s">
        <v>6</v>
      </c>
      <c r="DM274" t="s">
        <v>6</v>
      </c>
      <c r="DN274">
        <f>'1.Лок.смета.и.Акт'!E487</f>
        <v>110</v>
      </c>
      <c r="DO274">
        <f>'1.Лок.смета.и.Акт'!E488</f>
        <v>70</v>
      </c>
      <c r="DP274">
        <v>1</v>
      </c>
      <c r="DQ274">
        <v>1</v>
      </c>
      <c r="DU274">
        <v>1010</v>
      </c>
      <c r="DV274" t="s">
        <v>396</v>
      </c>
      <c r="DW274" t="e">
        <f>'2.Лок.смета.и.Акт'!#REF!</f>
        <v>#REF!</v>
      </c>
      <c r="DX274">
        <v>100</v>
      </c>
      <c r="DZ274" t="s">
        <v>6</v>
      </c>
      <c r="EA274" t="s">
        <v>6</v>
      </c>
      <c r="EB274" t="s">
        <v>6</v>
      </c>
      <c r="EC274" t="s">
        <v>6</v>
      </c>
      <c r="EE274">
        <v>54938666</v>
      </c>
      <c r="EF274">
        <v>9</v>
      </c>
      <c r="EG274" t="s">
        <v>398</v>
      </c>
      <c r="EH274">
        <v>0</v>
      </c>
      <c r="EI274" t="s">
        <v>6</v>
      </c>
      <c r="EJ274">
        <v>1</v>
      </c>
      <c r="EK274">
        <v>46001</v>
      </c>
      <c r="EL274" t="s">
        <v>398</v>
      </c>
      <c r="EM274" t="s">
        <v>399</v>
      </c>
      <c r="EO274" t="s">
        <v>6</v>
      </c>
      <c r="EQ274">
        <v>2097152</v>
      </c>
      <c r="ER274">
        <f>ES274+ET274+EV274</f>
        <v>93.089999999999989</v>
      </c>
      <c r="ES274">
        <v>0</v>
      </c>
      <c r="ET274" s="75">
        <f>'1.Лок.смета.и.Акт'!F486</f>
        <v>18.27</v>
      </c>
      <c r="EU274">
        <v>0</v>
      </c>
      <c r="EV274" s="75">
        <f>'1.Лок.смета.и.Акт'!F485</f>
        <v>74.819999999999993</v>
      </c>
      <c r="EW274" t="e">
        <f>'2.Лок.смета.и.Акт'!#REF!</f>
        <v>#REF!</v>
      </c>
      <c r="EX274">
        <v>0</v>
      </c>
      <c r="EY274">
        <v>0</v>
      </c>
      <c r="FQ274">
        <v>0</v>
      </c>
      <c r="FR274">
        <f t="shared" si="296"/>
        <v>0</v>
      </c>
      <c r="FS274">
        <v>0</v>
      </c>
      <c r="FX274">
        <v>110</v>
      </c>
      <c r="FY274">
        <v>70</v>
      </c>
      <c r="GA274" t="s">
        <v>6</v>
      </c>
      <c r="GD274">
        <v>1</v>
      </c>
      <c r="GF274">
        <v>453859021</v>
      </c>
      <c r="GG274">
        <v>2</v>
      </c>
      <c r="GH274">
        <v>1</v>
      </c>
      <c r="GI274">
        <v>2</v>
      </c>
      <c r="GJ274">
        <v>0</v>
      </c>
      <c r="GK274">
        <v>0</v>
      </c>
      <c r="GL274">
        <f t="shared" si="297"/>
        <v>0</v>
      </c>
      <c r="GM274" t="e">
        <f t="shared" si="298"/>
        <v>#REF!</v>
      </c>
      <c r="GN274" t="e">
        <f t="shared" si="299"/>
        <v>#REF!</v>
      </c>
      <c r="GO274">
        <f t="shared" si="300"/>
        <v>0</v>
      </c>
      <c r="GP274">
        <f t="shared" si="301"/>
        <v>0</v>
      </c>
      <c r="GR274">
        <v>0</v>
      </c>
      <c r="GS274">
        <v>3</v>
      </c>
      <c r="GT274">
        <v>0</v>
      </c>
      <c r="GU274" t="s">
        <v>6</v>
      </c>
      <c r="GV274">
        <f t="shared" si="317"/>
        <v>0</v>
      </c>
      <c r="GW274">
        <v>1015.2</v>
      </c>
      <c r="GX274" t="e">
        <f t="shared" si="303"/>
        <v>#REF!</v>
      </c>
      <c r="HA274">
        <v>0</v>
      </c>
      <c r="HB274">
        <v>0</v>
      </c>
      <c r="HC274">
        <f t="shared" si="304"/>
        <v>0</v>
      </c>
      <c r="HE274" t="s">
        <v>6</v>
      </c>
      <c r="HF274" t="s">
        <v>6</v>
      </c>
      <c r="HM274" t="s">
        <v>6</v>
      </c>
      <c r="HN274" t="s">
        <v>6</v>
      </c>
      <c r="HO274" t="s">
        <v>6</v>
      </c>
      <c r="HP274" t="s">
        <v>6</v>
      </c>
      <c r="HQ274" t="s">
        <v>6</v>
      </c>
      <c r="IF274">
        <v>-1</v>
      </c>
      <c r="IK274">
        <v>0</v>
      </c>
    </row>
    <row r="275" spans="1:255" x14ac:dyDescent="0.2">
      <c r="A275" s="2">
        <v>18</v>
      </c>
      <c r="B275" s="2">
        <v>1</v>
      </c>
      <c r="C275" s="2">
        <v>355</v>
      </c>
      <c r="D275" s="2"/>
      <c r="E275" s="2" t="s">
        <v>400</v>
      </c>
      <c r="F275" s="2" t="s">
        <v>401</v>
      </c>
      <c r="G275" s="2" t="s">
        <v>402</v>
      </c>
      <c r="H275" s="2" t="s">
        <v>33</v>
      </c>
      <c r="I275" s="2" t="e">
        <f>I273*J275</f>
        <v>#REF!</v>
      </c>
      <c r="J275" s="226">
        <f>'5.Ведомость_списания'!F131</f>
        <v>3.9E-2</v>
      </c>
      <c r="K275" s="2">
        <v>3.9E-2</v>
      </c>
      <c r="L275" s="2"/>
      <c r="M275" s="2"/>
      <c r="N275" s="2"/>
      <c r="O275" s="2" t="e">
        <f t="shared" si="273"/>
        <v>#REF!</v>
      </c>
      <c r="P275" s="2" t="e">
        <f t="shared" si="274"/>
        <v>#REF!</v>
      </c>
      <c r="Q275" s="2" t="e">
        <f t="shared" si="275"/>
        <v>#REF!</v>
      </c>
      <c r="R275" s="2" t="e">
        <f t="shared" si="276"/>
        <v>#REF!</v>
      </c>
      <c r="S275" s="2" t="e">
        <f t="shared" si="277"/>
        <v>#REF!</v>
      </c>
      <c r="T275" s="2" t="e">
        <f t="shared" si="278"/>
        <v>#REF!</v>
      </c>
      <c r="U275" s="2" t="e">
        <f t="shared" si="279"/>
        <v>#REF!</v>
      </c>
      <c r="V275" s="2" t="e">
        <f t="shared" si="280"/>
        <v>#REF!</v>
      </c>
      <c r="W275" s="2" t="e">
        <f t="shared" si="281"/>
        <v>#REF!</v>
      </c>
      <c r="X275" s="2" t="e">
        <f t="shared" si="282"/>
        <v>#REF!</v>
      </c>
      <c r="Y275" s="2" t="e">
        <f t="shared" si="283"/>
        <v>#REF!</v>
      </c>
      <c r="Z275" s="2"/>
      <c r="AA275" s="2">
        <v>86326987</v>
      </c>
      <c r="AB275" s="2">
        <f t="shared" si="284"/>
        <v>18003.77</v>
      </c>
      <c r="AC275" s="2">
        <f t="shared" si="311"/>
        <v>18003.77</v>
      </c>
      <c r="AD275" s="2">
        <f t="shared" si="312"/>
        <v>0</v>
      </c>
      <c r="AE275" s="2">
        <f t="shared" si="313"/>
        <v>0</v>
      </c>
      <c r="AF275" s="2">
        <f t="shared" si="314"/>
        <v>0</v>
      </c>
      <c r="AG275" s="2">
        <f t="shared" si="285"/>
        <v>0</v>
      </c>
      <c r="AH275" s="2">
        <f t="shared" si="315"/>
        <v>0</v>
      </c>
      <c r="AI275" s="2">
        <f t="shared" si="316"/>
        <v>0</v>
      </c>
      <c r="AJ275" s="2">
        <f t="shared" si="286"/>
        <v>0</v>
      </c>
      <c r="AK275" s="2">
        <v>18003.77</v>
      </c>
      <c r="AL275" s="110">
        <f>'1.Лок.смета.и.Акт'!F490</f>
        <v>18003.77</v>
      </c>
      <c r="AM275" s="2">
        <v>0</v>
      </c>
      <c r="AN275" s="2">
        <v>0</v>
      </c>
      <c r="AO275" s="2">
        <v>0</v>
      </c>
      <c r="AP275" s="2">
        <v>0</v>
      </c>
      <c r="AQ275" s="2">
        <v>0</v>
      </c>
      <c r="AR275" s="2">
        <v>0</v>
      </c>
      <c r="AS275" s="2">
        <v>0</v>
      </c>
      <c r="AT275" s="2">
        <v>0</v>
      </c>
      <c r="AU275" s="2">
        <v>0</v>
      </c>
      <c r="AV275" s="2">
        <v>1</v>
      </c>
      <c r="AW275" s="2">
        <v>1</v>
      </c>
      <c r="AX275" s="2"/>
      <c r="AY275" s="2"/>
      <c r="AZ275" s="2">
        <v>1</v>
      </c>
      <c r="BA275" s="2">
        <v>1</v>
      </c>
      <c r="BB275" s="2">
        <v>1</v>
      </c>
      <c r="BC275" s="2">
        <v>1</v>
      </c>
      <c r="BD275" s="2" t="s">
        <v>6</v>
      </c>
      <c r="BE275" s="2" t="s">
        <v>6</v>
      </c>
      <c r="BF275" s="2" t="s">
        <v>6</v>
      </c>
      <c r="BG275" s="2" t="s">
        <v>6</v>
      </c>
      <c r="BH275" s="2">
        <v>3</v>
      </c>
      <c r="BI275" s="2">
        <v>1</v>
      </c>
      <c r="BJ275" s="2" t="s">
        <v>403</v>
      </c>
      <c r="BK275" s="2"/>
      <c r="BL275" s="2"/>
      <c r="BM275" s="2">
        <v>500003</v>
      </c>
      <c r="BN275" s="2">
        <v>0</v>
      </c>
      <c r="BO275" s="2" t="s">
        <v>6</v>
      </c>
      <c r="BP275" s="2">
        <v>0</v>
      </c>
      <c r="BQ275" s="2">
        <v>22</v>
      </c>
      <c r="BR275" s="2">
        <v>0</v>
      </c>
      <c r="BS275" s="2">
        <v>1</v>
      </c>
      <c r="BT275" s="2">
        <v>1</v>
      </c>
      <c r="BU275" s="2">
        <v>1</v>
      </c>
      <c r="BV275" s="2">
        <v>1</v>
      </c>
      <c r="BW275" s="2">
        <v>1</v>
      </c>
      <c r="BX275" s="2">
        <v>1</v>
      </c>
      <c r="BY275" s="2" t="s">
        <v>6</v>
      </c>
      <c r="BZ275" s="2">
        <v>0</v>
      </c>
      <c r="CA275" s="2">
        <v>0</v>
      </c>
      <c r="CB275" s="2" t="s">
        <v>6</v>
      </c>
      <c r="CC275" s="2"/>
      <c r="CD275" s="2"/>
      <c r="CE275" s="2">
        <v>0</v>
      </c>
      <c r="CF275" s="2">
        <v>0</v>
      </c>
      <c r="CG275" s="2">
        <v>0</v>
      </c>
      <c r="CH275" s="2"/>
      <c r="CI275" s="2"/>
      <c r="CJ275" s="2"/>
      <c r="CK275" s="2"/>
      <c r="CL275" s="2"/>
      <c r="CM275" s="2">
        <v>0</v>
      </c>
      <c r="CN275" s="2" t="s">
        <v>6</v>
      </c>
      <c r="CO275" s="2">
        <v>0</v>
      </c>
      <c r="CP275" s="2" t="e">
        <f t="shared" si="287"/>
        <v>#REF!</v>
      </c>
      <c r="CQ275" s="2">
        <f t="shared" si="288"/>
        <v>18003.77</v>
      </c>
      <c r="CR275" s="2">
        <f t="shared" si="289"/>
        <v>0</v>
      </c>
      <c r="CS275" s="2">
        <f t="shared" si="290"/>
        <v>0</v>
      </c>
      <c r="CT275" s="2">
        <f t="shared" si="291"/>
        <v>0</v>
      </c>
      <c r="CU275" s="2">
        <f t="shared" si="292"/>
        <v>0</v>
      </c>
      <c r="CV275" s="2">
        <f t="shared" si="293"/>
        <v>0</v>
      </c>
      <c r="CW275" s="2">
        <f t="shared" si="294"/>
        <v>0</v>
      </c>
      <c r="CX275" s="2">
        <f t="shared" si="295"/>
        <v>0</v>
      </c>
      <c r="CY275" s="2" t="e">
        <f>(((S275+(R275*IF(0,0,1)))*AT275)/100)</f>
        <v>#REF!</v>
      </c>
      <c r="CZ275" s="2" t="e">
        <f>(((S275+(R275*IF(0,0,1)))*AU275)/100)</f>
        <v>#REF!</v>
      </c>
      <c r="DA275" s="2"/>
      <c r="DB275" s="2"/>
      <c r="DC275" s="2" t="s">
        <v>6</v>
      </c>
      <c r="DD275" s="2" t="s">
        <v>6</v>
      </c>
      <c r="DE275" s="2" t="s">
        <v>6</v>
      </c>
      <c r="DF275" s="2" t="s">
        <v>6</v>
      </c>
      <c r="DG275" s="2" t="s">
        <v>6</v>
      </c>
      <c r="DH275" s="2" t="s">
        <v>6</v>
      </c>
      <c r="DI275" s="2" t="s">
        <v>6</v>
      </c>
      <c r="DJ275" s="2" t="s">
        <v>6</v>
      </c>
      <c r="DK275" s="2" t="s">
        <v>6</v>
      </c>
      <c r="DL275" s="2" t="s">
        <v>6</v>
      </c>
      <c r="DM275" s="2" t="s">
        <v>6</v>
      </c>
      <c r="DN275" s="2">
        <v>0</v>
      </c>
      <c r="DO275" s="2">
        <v>0</v>
      </c>
      <c r="DP275" s="2">
        <v>1</v>
      </c>
      <c r="DQ275" s="2">
        <v>1</v>
      </c>
      <c r="DR275" s="2"/>
      <c r="DS275" s="2"/>
      <c r="DT275" s="2"/>
      <c r="DU275" s="2">
        <v>1009</v>
      </c>
      <c r="DV275" s="2" t="s">
        <v>33</v>
      </c>
      <c r="DW275" s="2" t="s">
        <v>33</v>
      </c>
      <c r="DX275" s="2">
        <v>1000</v>
      </c>
      <c r="DY275" s="2"/>
      <c r="DZ275" s="2" t="s">
        <v>6</v>
      </c>
      <c r="EA275" s="2" t="s">
        <v>6</v>
      </c>
      <c r="EB275" s="2" t="s">
        <v>6</v>
      </c>
      <c r="EC275" s="2" t="s">
        <v>6</v>
      </c>
      <c r="ED275" s="2"/>
      <c r="EE275" s="2">
        <v>54938783</v>
      </c>
      <c r="EF275" s="2">
        <v>22</v>
      </c>
      <c r="EG275" s="2" t="s">
        <v>57</v>
      </c>
      <c r="EH275" s="2">
        <v>0</v>
      </c>
      <c r="EI275" s="2" t="s">
        <v>6</v>
      </c>
      <c r="EJ275" s="2">
        <v>1</v>
      </c>
      <c r="EK275" s="2">
        <v>500003</v>
      </c>
      <c r="EL275" s="2" t="s">
        <v>58</v>
      </c>
      <c r="EM275" s="2" t="s">
        <v>59</v>
      </c>
      <c r="EN275" s="2"/>
      <c r="EO275" s="2" t="s">
        <v>6</v>
      </c>
      <c r="EP275" s="2"/>
      <c r="EQ275" s="2">
        <v>0</v>
      </c>
      <c r="ER275" s="2">
        <v>17182.45</v>
      </c>
      <c r="ES275" s="110">
        <f>'1.Лок.смета.и.Акт'!F490</f>
        <v>18003.77</v>
      </c>
      <c r="ET275" s="2">
        <v>0</v>
      </c>
      <c r="EU275" s="2">
        <v>0</v>
      </c>
      <c r="EV275" s="2">
        <v>0</v>
      </c>
      <c r="EW275" s="2">
        <v>0</v>
      </c>
      <c r="EX275" s="2">
        <v>0</v>
      </c>
      <c r="EY275" s="2"/>
      <c r="EZ275" s="2"/>
      <c r="FA275" s="2"/>
      <c r="FB275" s="2"/>
      <c r="FC275" s="2"/>
      <c r="FD275" s="2"/>
      <c r="FE275" s="2"/>
      <c r="FF275" s="2"/>
      <c r="FG275" s="2"/>
      <c r="FH275" s="2"/>
      <c r="FI275" s="2"/>
      <c r="FJ275" s="2"/>
      <c r="FK275" s="2"/>
      <c r="FL275" s="2"/>
      <c r="FM275" s="2"/>
      <c r="FN275" s="2"/>
      <c r="FO275" s="2"/>
      <c r="FP275" s="2"/>
      <c r="FQ275" s="2">
        <v>0</v>
      </c>
      <c r="FR275" s="2">
        <f t="shared" si="296"/>
        <v>0</v>
      </c>
      <c r="FS275" s="2">
        <v>0</v>
      </c>
      <c r="FT275" s="2"/>
      <c r="FU275" s="2"/>
      <c r="FV275" s="2"/>
      <c r="FW275" s="2"/>
      <c r="FX275" s="2">
        <v>0</v>
      </c>
      <c r="FY275" s="2">
        <v>0</v>
      </c>
      <c r="FZ275" s="2"/>
      <c r="GA275" s="2" t="s">
        <v>6</v>
      </c>
      <c r="GB275" s="2"/>
      <c r="GC275" s="2"/>
      <c r="GD275" s="2">
        <v>1</v>
      </c>
      <c r="GE275" s="2"/>
      <c r="GF275" s="2">
        <v>-1182898848</v>
      </c>
      <c r="GG275" s="2">
        <v>2</v>
      </c>
      <c r="GH275" s="2">
        <v>2</v>
      </c>
      <c r="GI275" s="2">
        <v>-2</v>
      </c>
      <c r="GJ275" s="2">
        <v>0</v>
      </c>
      <c r="GK275" s="2">
        <v>0</v>
      </c>
      <c r="GL275" s="2">
        <f t="shared" si="297"/>
        <v>0</v>
      </c>
      <c r="GM275" s="2" t="e">
        <f t="shared" si="298"/>
        <v>#REF!</v>
      </c>
      <c r="GN275" s="2" t="e">
        <f t="shared" si="299"/>
        <v>#REF!</v>
      </c>
      <c r="GO275" s="2">
        <f t="shared" si="300"/>
        <v>0</v>
      </c>
      <c r="GP275" s="2">
        <f t="shared" si="301"/>
        <v>0</v>
      </c>
      <c r="GQ275" s="2"/>
      <c r="GR275" s="2">
        <v>0</v>
      </c>
      <c r="GS275" s="2">
        <v>2</v>
      </c>
      <c r="GT275" s="2">
        <v>0</v>
      </c>
      <c r="GU275" s="2" t="s">
        <v>6</v>
      </c>
      <c r="GV275" s="2">
        <f t="shared" si="317"/>
        <v>0</v>
      </c>
      <c r="GW275" s="2">
        <v>1</v>
      </c>
      <c r="GX275" s="2" t="e">
        <f t="shared" si="303"/>
        <v>#REF!</v>
      </c>
      <c r="GY275" s="2"/>
      <c r="GZ275" s="2"/>
      <c r="HA275" s="2">
        <v>0</v>
      </c>
      <c r="HB275" s="2">
        <v>0</v>
      </c>
      <c r="HC275" s="2">
        <f t="shared" si="304"/>
        <v>0</v>
      </c>
      <c r="HD275" s="2"/>
      <c r="HE275" s="2" t="s">
        <v>6</v>
      </c>
      <c r="HF275" s="2" t="s">
        <v>6</v>
      </c>
      <c r="HG275" s="2"/>
      <c r="HH275" s="2"/>
      <c r="HI275" s="2"/>
      <c r="HJ275" s="2"/>
      <c r="HK275" s="2"/>
      <c r="HL275" s="2"/>
      <c r="HM275" s="2" t="s">
        <v>6</v>
      </c>
      <c r="HN275" s="2" t="s">
        <v>6</v>
      </c>
      <c r="HO275" s="2" t="s">
        <v>6</v>
      </c>
      <c r="HP275" s="2" t="s">
        <v>6</v>
      </c>
      <c r="HQ275" s="2" t="s">
        <v>6</v>
      </c>
      <c r="HR275" s="2"/>
      <c r="HS275" s="2"/>
      <c r="HT275" s="2"/>
      <c r="HU275" s="2"/>
      <c r="HV275" s="2"/>
      <c r="HW275" s="2"/>
      <c r="HX275" s="2"/>
      <c r="HY275" s="2"/>
      <c r="HZ275" s="2"/>
      <c r="IA275" s="2"/>
      <c r="IB275" s="2"/>
      <c r="IC275" s="2"/>
      <c r="ID275" s="2"/>
      <c r="IE275" s="2"/>
      <c r="IF275" s="2">
        <v>-1</v>
      </c>
      <c r="IG275" s="2"/>
      <c r="IH275" s="2"/>
      <c r="II275" s="2"/>
      <c r="IJ275" s="2"/>
      <c r="IK275" s="2">
        <v>0</v>
      </c>
      <c r="IL275" s="2"/>
      <c r="IM275" s="2"/>
      <c r="IN275" s="2"/>
      <c r="IO275" s="2"/>
      <c r="IP275" s="2"/>
      <c r="IQ275" s="2"/>
      <c r="IR275" s="2"/>
      <c r="IS275" s="2"/>
      <c r="IT275" s="2"/>
      <c r="IU275" s="2"/>
    </row>
    <row r="276" spans="1:255" x14ac:dyDescent="0.2">
      <c r="A276">
        <v>18</v>
      </c>
      <c r="B276">
        <v>1</v>
      </c>
      <c r="C276">
        <v>360</v>
      </c>
      <c r="E276" t="s">
        <v>400</v>
      </c>
      <c r="F276" t="e">
        <f>'2.Лок.смета.и.Акт'!#REF!</f>
        <v>#REF!</v>
      </c>
      <c r="G276" t="s">
        <v>402</v>
      </c>
      <c r="H276" t="s">
        <v>33</v>
      </c>
      <c r="I276" t="e">
        <f>I274*J276</f>
        <v>#REF!</v>
      </c>
      <c r="J276">
        <v>3.9E-2</v>
      </c>
      <c r="K276">
        <v>3.9E-2</v>
      </c>
      <c r="O276" t="e">
        <f t="shared" si="273"/>
        <v>#REF!</v>
      </c>
      <c r="P276" t="e">
        <f t="shared" si="274"/>
        <v>#REF!</v>
      </c>
      <c r="Q276" t="e">
        <f t="shared" si="275"/>
        <v>#REF!</v>
      </c>
      <c r="R276" t="e">
        <f t="shared" si="276"/>
        <v>#REF!</v>
      </c>
      <c r="S276" t="e">
        <f t="shared" si="277"/>
        <v>#REF!</v>
      </c>
      <c r="T276" t="e">
        <f t="shared" si="278"/>
        <v>#REF!</v>
      </c>
      <c r="U276" t="e">
        <f t="shared" si="279"/>
        <v>#REF!</v>
      </c>
      <c r="V276" t="e">
        <f t="shared" si="280"/>
        <v>#REF!</v>
      </c>
      <c r="W276" t="e">
        <f t="shared" si="281"/>
        <v>#REF!</v>
      </c>
      <c r="X276" t="e">
        <f t="shared" si="282"/>
        <v>#REF!</v>
      </c>
      <c r="Y276" t="e">
        <f t="shared" si="283"/>
        <v>#REF!</v>
      </c>
      <c r="AA276">
        <v>86326988</v>
      </c>
      <c r="AB276">
        <f t="shared" si="284"/>
        <v>18003.77</v>
      </c>
      <c r="AC276">
        <f t="shared" si="311"/>
        <v>18003.77</v>
      </c>
      <c r="AD276">
        <f t="shared" si="312"/>
        <v>0</v>
      </c>
      <c r="AE276">
        <f t="shared" si="313"/>
        <v>0</v>
      </c>
      <c r="AF276">
        <f t="shared" si="314"/>
        <v>0</v>
      </c>
      <c r="AG276">
        <f t="shared" si="285"/>
        <v>0</v>
      </c>
      <c r="AH276">
        <f t="shared" si="315"/>
        <v>0</v>
      </c>
      <c r="AI276">
        <f t="shared" si="316"/>
        <v>0</v>
      </c>
      <c r="AJ276">
        <f t="shared" si="286"/>
        <v>0</v>
      </c>
      <c r="AK276">
        <v>18003.77</v>
      </c>
      <c r="AL276">
        <v>18003.77</v>
      </c>
      <c r="AM276">
        <v>0</v>
      </c>
      <c r="AN276">
        <v>0</v>
      </c>
      <c r="AO276">
        <v>0</v>
      </c>
      <c r="AP276">
        <v>0</v>
      </c>
      <c r="AQ276">
        <v>0</v>
      </c>
      <c r="AR276">
        <v>0</v>
      </c>
      <c r="AS276">
        <v>0</v>
      </c>
      <c r="AT276">
        <v>0</v>
      </c>
      <c r="AU276">
        <v>0</v>
      </c>
      <c r="AV276">
        <v>1</v>
      </c>
      <c r="AW276">
        <v>1</v>
      </c>
      <c r="AZ276">
        <v>1</v>
      </c>
      <c r="BA276">
        <v>1</v>
      </c>
      <c r="BB276">
        <v>1</v>
      </c>
      <c r="BC276">
        <v>7.56</v>
      </c>
      <c r="BD276" t="s">
        <v>6</v>
      </c>
      <c r="BE276" t="s">
        <v>6</v>
      </c>
      <c r="BF276" t="s">
        <v>6</v>
      </c>
      <c r="BG276" t="s">
        <v>6</v>
      </c>
      <c r="BH276">
        <v>3</v>
      </c>
      <c r="BI276">
        <v>1</v>
      </c>
      <c r="BJ276" t="s">
        <v>403</v>
      </c>
      <c r="BM276">
        <v>500003</v>
      </c>
      <c r="BN276">
        <v>0</v>
      </c>
      <c r="BO276" t="s">
        <v>6</v>
      </c>
      <c r="BP276">
        <v>0</v>
      </c>
      <c r="BQ276">
        <v>22</v>
      </c>
      <c r="BR276">
        <v>0</v>
      </c>
      <c r="BS276">
        <v>1</v>
      </c>
      <c r="BT276">
        <v>1</v>
      </c>
      <c r="BU276">
        <v>1</v>
      </c>
      <c r="BV276">
        <v>1</v>
      </c>
      <c r="BW276">
        <v>1</v>
      </c>
      <c r="BX276">
        <v>1</v>
      </c>
      <c r="BY276" t="s">
        <v>6</v>
      </c>
      <c r="BZ276">
        <v>0</v>
      </c>
      <c r="CA276">
        <v>0</v>
      </c>
      <c r="CB276" t="s">
        <v>6</v>
      </c>
      <c r="CE276">
        <v>0</v>
      </c>
      <c r="CF276">
        <v>0</v>
      </c>
      <c r="CG276">
        <v>0</v>
      </c>
      <c r="CM276">
        <v>0</v>
      </c>
      <c r="CN276" t="s">
        <v>6</v>
      </c>
      <c r="CO276">
        <v>0</v>
      </c>
      <c r="CP276" t="e">
        <f t="shared" si="287"/>
        <v>#REF!</v>
      </c>
      <c r="CQ276">
        <f t="shared" si="288"/>
        <v>136108.5012</v>
      </c>
      <c r="CR276">
        <f t="shared" si="289"/>
        <v>0</v>
      </c>
      <c r="CS276">
        <f t="shared" si="290"/>
        <v>0</v>
      </c>
      <c r="CT276">
        <f t="shared" si="291"/>
        <v>0</v>
      </c>
      <c r="CU276">
        <f t="shared" si="292"/>
        <v>0</v>
      </c>
      <c r="CV276">
        <f t="shared" si="293"/>
        <v>0</v>
      </c>
      <c r="CW276">
        <f t="shared" si="294"/>
        <v>0</v>
      </c>
      <c r="CX276">
        <f t="shared" si="295"/>
        <v>0</v>
      </c>
      <c r="CY276" t="e">
        <f>(S276+R276)*(BZ276/100)</f>
        <v>#REF!</v>
      </c>
      <c r="CZ276" t="e">
        <f>(S276+R276)*(CA276/100)</f>
        <v>#REF!</v>
      </c>
      <c r="DC276" t="s">
        <v>6</v>
      </c>
      <c r="DD276" t="s">
        <v>6</v>
      </c>
      <c r="DE276" t="s">
        <v>6</v>
      </c>
      <c r="DF276" t="s">
        <v>6</v>
      </c>
      <c r="DG276" t="s">
        <v>6</v>
      </c>
      <c r="DH276" t="s">
        <v>6</v>
      </c>
      <c r="DI276" t="s">
        <v>6</v>
      </c>
      <c r="DJ276" t="s">
        <v>6</v>
      </c>
      <c r="DK276" t="s">
        <v>6</v>
      </c>
      <c r="DL276" t="s">
        <v>6</v>
      </c>
      <c r="DM276" t="s">
        <v>6</v>
      </c>
      <c r="DN276">
        <v>0</v>
      </c>
      <c r="DO276">
        <v>0</v>
      </c>
      <c r="DP276">
        <v>1</v>
      </c>
      <c r="DQ276">
        <v>1</v>
      </c>
      <c r="DU276">
        <v>1009</v>
      </c>
      <c r="DV276" t="s">
        <v>33</v>
      </c>
      <c r="DW276" t="e">
        <f>'2.Лок.смета.и.Акт'!#REF!</f>
        <v>#REF!</v>
      </c>
      <c r="DX276">
        <v>1000</v>
      </c>
      <c r="DZ276" t="s">
        <v>6</v>
      </c>
      <c r="EA276" t="s">
        <v>6</v>
      </c>
      <c r="EB276" t="s">
        <v>6</v>
      </c>
      <c r="EC276" t="s">
        <v>6</v>
      </c>
      <c r="EE276">
        <v>54938783</v>
      </c>
      <c r="EF276">
        <v>22</v>
      </c>
      <c r="EG276" t="s">
        <v>57</v>
      </c>
      <c r="EH276">
        <v>0</v>
      </c>
      <c r="EI276" t="s">
        <v>6</v>
      </c>
      <c r="EJ276">
        <v>1</v>
      </c>
      <c r="EK276">
        <v>500003</v>
      </c>
      <c r="EL276" t="s">
        <v>58</v>
      </c>
      <c r="EM276" t="s">
        <v>59</v>
      </c>
      <c r="EO276" t="s">
        <v>6</v>
      </c>
      <c r="EQ276">
        <v>0</v>
      </c>
      <c r="ER276">
        <v>129899.35</v>
      </c>
      <c r="ES276">
        <v>18003.77</v>
      </c>
      <c r="ET276">
        <v>0</v>
      </c>
      <c r="EU276">
        <v>0</v>
      </c>
      <c r="EV276">
        <v>0</v>
      </c>
      <c r="EW276">
        <v>0</v>
      </c>
      <c r="EX276">
        <v>0</v>
      </c>
      <c r="EZ276">
        <v>5</v>
      </c>
      <c r="FC276">
        <v>0</v>
      </c>
      <c r="FD276">
        <v>18</v>
      </c>
      <c r="FF276">
        <v>129899.35</v>
      </c>
      <c r="FQ276">
        <v>0</v>
      </c>
      <c r="FR276">
        <f t="shared" si="296"/>
        <v>0</v>
      </c>
      <c r="FS276">
        <v>0</v>
      </c>
      <c r="FX276">
        <v>0</v>
      </c>
      <c r="FY276">
        <v>0</v>
      </c>
      <c r="GA276" t="s">
        <v>404</v>
      </c>
      <c r="GD276">
        <v>1</v>
      </c>
      <c r="GF276">
        <v>-1182898848</v>
      </c>
      <c r="GG276">
        <v>2</v>
      </c>
      <c r="GH276">
        <v>3</v>
      </c>
      <c r="GI276">
        <v>5</v>
      </c>
      <c r="GJ276">
        <v>0</v>
      </c>
      <c r="GK276">
        <v>0</v>
      </c>
      <c r="GL276">
        <f t="shared" si="297"/>
        <v>0</v>
      </c>
      <c r="GM276" t="e">
        <f t="shared" si="298"/>
        <v>#REF!</v>
      </c>
      <c r="GN276" t="e">
        <f t="shared" si="299"/>
        <v>#REF!</v>
      </c>
      <c r="GO276">
        <f t="shared" si="300"/>
        <v>0</v>
      </c>
      <c r="GP276">
        <f t="shared" si="301"/>
        <v>0</v>
      </c>
      <c r="GR276">
        <v>1</v>
      </c>
      <c r="GS276">
        <v>1</v>
      </c>
      <c r="GT276">
        <v>0</v>
      </c>
      <c r="GU276" t="s">
        <v>6</v>
      </c>
      <c r="GV276">
        <f t="shared" si="317"/>
        <v>0</v>
      </c>
      <c r="GW276">
        <v>1</v>
      </c>
      <c r="GX276" t="e">
        <f t="shared" si="303"/>
        <v>#REF!</v>
      </c>
      <c r="HA276">
        <v>0</v>
      </c>
      <c r="HB276">
        <v>0</v>
      </c>
      <c r="HC276">
        <f t="shared" si="304"/>
        <v>0</v>
      </c>
      <c r="HE276" t="s">
        <v>39</v>
      </c>
      <c r="HF276" t="s">
        <v>61</v>
      </c>
      <c r="HM276" t="s">
        <v>6</v>
      </c>
      <c r="HN276" t="s">
        <v>6</v>
      </c>
      <c r="HO276" t="s">
        <v>6</v>
      </c>
      <c r="HP276" t="s">
        <v>6</v>
      </c>
      <c r="HQ276" t="s">
        <v>6</v>
      </c>
      <c r="IF276">
        <v>-1</v>
      </c>
      <c r="IK276">
        <v>0</v>
      </c>
    </row>
    <row r="277" spans="1:255" x14ac:dyDescent="0.2">
      <c r="A277" s="2">
        <v>18</v>
      </c>
      <c r="B277" s="2">
        <v>1</v>
      </c>
      <c r="C277" s="2">
        <v>354</v>
      </c>
      <c r="D277" s="2"/>
      <c r="E277" s="2" t="s">
        <v>405</v>
      </c>
      <c r="F277" s="2" t="s">
        <v>406</v>
      </c>
      <c r="G277" s="2" t="s">
        <v>407</v>
      </c>
      <c r="H277" s="2" t="s">
        <v>323</v>
      </c>
      <c r="I277" s="2" t="e">
        <f>I273*J277</f>
        <v>#REF!</v>
      </c>
      <c r="J277" s="226">
        <f>'5.Ведомость_списания'!F132</f>
        <v>7.6666750000000006</v>
      </c>
      <c r="K277" s="2">
        <v>7.6666670000000003</v>
      </c>
      <c r="L277" s="2"/>
      <c r="M277" s="2"/>
      <c r="N277" s="2"/>
      <c r="O277" s="2" t="e">
        <f t="shared" si="273"/>
        <v>#REF!</v>
      </c>
      <c r="P277" s="2" t="e">
        <f t="shared" si="274"/>
        <v>#REF!</v>
      </c>
      <c r="Q277" s="2" t="e">
        <f t="shared" si="275"/>
        <v>#REF!</v>
      </c>
      <c r="R277" s="2" t="e">
        <f t="shared" si="276"/>
        <v>#REF!</v>
      </c>
      <c r="S277" s="2" t="e">
        <f t="shared" si="277"/>
        <v>#REF!</v>
      </c>
      <c r="T277" s="2" t="e">
        <f t="shared" si="278"/>
        <v>#REF!</v>
      </c>
      <c r="U277" s="2" t="e">
        <f t="shared" si="279"/>
        <v>#REF!</v>
      </c>
      <c r="V277" s="2" t="e">
        <f t="shared" si="280"/>
        <v>#REF!</v>
      </c>
      <c r="W277" s="2" t="e">
        <f t="shared" si="281"/>
        <v>#REF!</v>
      </c>
      <c r="X277" s="2" t="e">
        <f t="shared" si="282"/>
        <v>#REF!</v>
      </c>
      <c r="Y277" s="2" t="e">
        <f t="shared" si="283"/>
        <v>#REF!</v>
      </c>
      <c r="Z277" s="2"/>
      <c r="AA277" s="2">
        <v>86326987</v>
      </c>
      <c r="AB277" s="2">
        <f t="shared" si="284"/>
        <v>391.34</v>
      </c>
      <c r="AC277" s="2">
        <f t="shared" si="311"/>
        <v>391.34</v>
      </c>
      <c r="AD277" s="2">
        <f t="shared" si="312"/>
        <v>0</v>
      </c>
      <c r="AE277" s="2">
        <f t="shared" si="313"/>
        <v>0</v>
      </c>
      <c r="AF277" s="2">
        <f t="shared" si="314"/>
        <v>0</v>
      </c>
      <c r="AG277" s="2">
        <f t="shared" si="285"/>
        <v>0</v>
      </c>
      <c r="AH277" s="2">
        <f t="shared" si="315"/>
        <v>0</v>
      </c>
      <c r="AI277" s="2">
        <f t="shared" si="316"/>
        <v>0</v>
      </c>
      <c r="AJ277" s="2">
        <f t="shared" si="286"/>
        <v>0.15</v>
      </c>
      <c r="AK277" s="2">
        <v>391.34</v>
      </c>
      <c r="AL277" s="110">
        <f>'1.Лок.смета.и.Акт'!F492</f>
        <v>391.34</v>
      </c>
      <c r="AM277" s="2">
        <v>0</v>
      </c>
      <c r="AN277" s="2">
        <v>0</v>
      </c>
      <c r="AO277" s="2">
        <v>0</v>
      </c>
      <c r="AP277" s="2">
        <v>0</v>
      </c>
      <c r="AQ277" s="2">
        <v>0</v>
      </c>
      <c r="AR277" s="2">
        <v>0</v>
      </c>
      <c r="AS277" s="2">
        <v>0.15</v>
      </c>
      <c r="AT277" s="2">
        <v>0</v>
      </c>
      <c r="AU277" s="2">
        <v>0</v>
      </c>
      <c r="AV277" s="2">
        <v>1</v>
      </c>
      <c r="AW277" s="2">
        <v>1</v>
      </c>
      <c r="AX277" s="2"/>
      <c r="AY277" s="2"/>
      <c r="AZ277" s="2">
        <v>1</v>
      </c>
      <c r="BA277" s="2">
        <v>1</v>
      </c>
      <c r="BB277" s="2">
        <v>1</v>
      </c>
      <c r="BC277" s="2">
        <v>1</v>
      </c>
      <c r="BD277" s="2" t="s">
        <v>6</v>
      </c>
      <c r="BE277" s="2" t="s">
        <v>6</v>
      </c>
      <c r="BF277" s="2" t="s">
        <v>6</v>
      </c>
      <c r="BG277" s="2" t="s">
        <v>6</v>
      </c>
      <c r="BH277" s="2">
        <v>3</v>
      </c>
      <c r="BI277" s="2">
        <v>2</v>
      </c>
      <c r="BJ277" s="2" t="s">
        <v>408</v>
      </c>
      <c r="BK277" s="2"/>
      <c r="BL277" s="2"/>
      <c r="BM277" s="2">
        <v>500002</v>
      </c>
      <c r="BN277" s="2">
        <v>0</v>
      </c>
      <c r="BO277" s="2" t="s">
        <v>6</v>
      </c>
      <c r="BP277" s="2">
        <v>0</v>
      </c>
      <c r="BQ277" s="2">
        <v>21</v>
      </c>
      <c r="BR277" s="2">
        <v>0</v>
      </c>
      <c r="BS277" s="2">
        <v>1</v>
      </c>
      <c r="BT277" s="2">
        <v>1</v>
      </c>
      <c r="BU277" s="2">
        <v>1</v>
      </c>
      <c r="BV277" s="2">
        <v>1</v>
      </c>
      <c r="BW277" s="2">
        <v>1</v>
      </c>
      <c r="BX277" s="2">
        <v>1</v>
      </c>
      <c r="BY277" s="2" t="s">
        <v>6</v>
      </c>
      <c r="BZ277" s="2">
        <v>0</v>
      </c>
      <c r="CA277" s="2">
        <v>0</v>
      </c>
      <c r="CB277" s="2" t="s">
        <v>6</v>
      </c>
      <c r="CC277" s="2"/>
      <c r="CD277" s="2"/>
      <c r="CE277" s="2">
        <v>0</v>
      </c>
      <c r="CF277" s="2">
        <v>0</v>
      </c>
      <c r="CG277" s="2">
        <v>0</v>
      </c>
      <c r="CH277" s="2"/>
      <c r="CI277" s="2"/>
      <c r="CJ277" s="2"/>
      <c r="CK277" s="2"/>
      <c r="CL277" s="2"/>
      <c r="CM277" s="2">
        <v>0</v>
      </c>
      <c r="CN277" s="2" t="s">
        <v>6</v>
      </c>
      <c r="CO277" s="2">
        <v>0</v>
      </c>
      <c r="CP277" s="2" t="e">
        <f t="shared" si="287"/>
        <v>#REF!</v>
      </c>
      <c r="CQ277" s="2">
        <f t="shared" si="288"/>
        <v>391.34</v>
      </c>
      <c r="CR277" s="2">
        <f t="shared" si="289"/>
        <v>0</v>
      </c>
      <c r="CS277" s="2">
        <f t="shared" si="290"/>
        <v>0</v>
      </c>
      <c r="CT277" s="2">
        <f t="shared" si="291"/>
        <v>0</v>
      </c>
      <c r="CU277" s="2">
        <f t="shared" si="292"/>
        <v>0</v>
      </c>
      <c r="CV277" s="2">
        <f t="shared" si="293"/>
        <v>0</v>
      </c>
      <c r="CW277" s="2">
        <f t="shared" si="294"/>
        <v>0</v>
      </c>
      <c r="CX277" s="2">
        <f t="shared" si="295"/>
        <v>0.15</v>
      </c>
      <c r="CY277" s="2" t="e">
        <f>(((S277+(R277*IF(0,0,1)))*AT277)/100)</f>
        <v>#REF!</v>
      </c>
      <c r="CZ277" s="2" t="e">
        <f>(((S277+(R277*IF(0,0,1)))*AU277)/100)</f>
        <v>#REF!</v>
      </c>
      <c r="DA277" s="2"/>
      <c r="DB277" s="2"/>
      <c r="DC277" s="2" t="s">
        <v>6</v>
      </c>
      <c r="DD277" s="2" t="s">
        <v>6</v>
      </c>
      <c r="DE277" s="2" t="s">
        <v>6</v>
      </c>
      <c r="DF277" s="2" t="s">
        <v>6</v>
      </c>
      <c r="DG277" s="2" t="s">
        <v>6</v>
      </c>
      <c r="DH277" s="2" t="s">
        <v>6</v>
      </c>
      <c r="DI277" s="2" t="s">
        <v>6</v>
      </c>
      <c r="DJ277" s="2" t="s">
        <v>6</v>
      </c>
      <c r="DK277" s="2" t="s">
        <v>6</v>
      </c>
      <c r="DL277" s="2" t="s">
        <v>6</v>
      </c>
      <c r="DM277" s="2" t="s">
        <v>6</v>
      </c>
      <c r="DN277" s="2">
        <v>0</v>
      </c>
      <c r="DO277" s="2">
        <v>0</v>
      </c>
      <c r="DP277" s="2">
        <v>1</v>
      </c>
      <c r="DQ277" s="2">
        <v>1</v>
      </c>
      <c r="DR277" s="2"/>
      <c r="DS277" s="2"/>
      <c r="DT277" s="2"/>
      <c r="DU277" s="2">
        <v>1010</v>
      </c>
      <c r="DV277" s="2" t="s">
        <v>323</v>
      </c>
      <c r="DW277" s="2" t="s">
        <v>325</v>
      </c>
      <c r="DX277" s="2">
        <v>1</v>
      </c>
      <c r="DY277" s="2"/>
      <c r="DZ277" s="2" t="s">
        <v>6</v>
      </c>
      <c r="EA277" s="2" t="s">
        <v>6</v>
      </c>
      <c r="EB277" s="2" t="s">
        <v>6</v>
      </c>
      <c r="EC277" s="2" t="s">
        <v>6</v>
      </c>
      <c r="ED277" s="2"/>
      <c r="EE277" s="2">
        <v>54938782</v>
      </c>
      <c r="EF277" s="2">
        <v>21</v>
      </c>
      <c r="EG277" s="2" t="s">
        <v>96</v>
      </c>
      <c r="EH277" s="2">
        <v>0</v>
      </c>
      <c r="EI277" s="2" t="s">
        <v>6</v>
      </c>
      <c r="EJ277" s="2">
        <v>2</v>
      </c>
      <c r="EK277" s="2">
        <v>500002</v>
      </c>
      <c r="EL277" s="2" t="s">
        <v>97</v>
      </c>
      <c r="EM277" s="2" t="s">
        <v>98</v>
      </c>
      <c r="EN277" s="2"/>
      <c r="EO277" s="2" t="s">
        <v>6</v>
      </c>
      <c r="EP277" s="2"/>
      <c r="EQ277" s="2">
        <v>0</v>
      </c>
      <c r="ER277" s="2">
        <v>391.34</v>
      </c>
      <c r="ES277" s="110">
        <f>'1.Лок.смета.и.Акт'!F492</f>
        <v>391.34</v>
      </c>
      <c r="ET277" s="2">
        <v>0</v>
      </c>
      <c r="EU277" s="2">
        <v>0</v>
      </c>
      <c r="EV277" s="2">
        <v>0</v>
      </c>
      <c r="EW277" s="2">
        <v>0</v>
      </c>
      <c r="EX277" s="2">
        <v>0</v>
      </c>
      <c r="EY277" s="2"/>
      <c r="EZ277" s="2"/>
      <c r="FA277" s="2"/>
      <c r="FB277" s="2"/>
      <c r="FC277" s="2"/>
      <c r="FD277" s="2"/>
      <c r="FE277" s="2"/>
      <c r="FF277" s="2"/>
      <c r="FG277" s="2"/>
      <c r="FH277" s="2"/>
      <c r="FI277" s="2"/>
      <c r="FJ277" s="2"/>
      <c r="FK277" s="2"/>
      <c r="FL277" s="2"/>
      <c r="FM277" s="2"/>
      <c r="FN277" s="2"/>
      <c r="FO277" s="2"/>
      <c r="FP277" s="2"/>
      <c r="FQ277" s="2">
        <v>0</v>
      </c>
      <c r="FR277" s="2">
        <f t="shared" si="296"/>
        <v>0</v>
      </c>
      <c r="FS277" s="2">
        <v>0</v>
      </c>
      <c r="FT277" s="2"/>
      <c r="FU277" s="2"/>
      <c r="FV277" s="2"/>
      <c r="FW277" s="2"/>
      <c r="FX277" s="2">
        <v>0</v>
      </c>
      <c r="FY277" s="2">
        <v>0</v>
      </c>
      <c r="FZ277" s="2"/>
      <c r="GA277" s="2" t="s">
        <v>6</v>
      </c>
      <c r="GB277" s="2"/>
      <c r="GC277" s="2"/>
      <c r="GD277" s="2">
        <v>1</v>
      </c>
      <c r="GE277" s="2"/>
      <c r="GF277" s="2">
        <v>231135007</v>
      </c>
      <c r="GG277" s="2">
        <v>2</v>
      </c>
      <c r="GH277" s="2">
        <v>1</v>
      </c>
      <c r="GI277" s="2">
        <v>-2</v>
      </c>
      <c r="GJ277" s="2">
        <v>0</v>
      </c>
      <c r="GK277" s="2">
        <v>0</v>
      </c>
      <c r="GL277" s="2">
        <f t="shared" si="297"/>
        <v>0</v>
      </c>
      <c r="GM277" s="2" t="e">
        <f t="shared" si="298"/>
        <v>#REF!</v>
      </c>
      <c r="GN277" s="2">
        <f t="shared" si="299"/>
        <v>0</v>
      </c>
      <c r="GO277" s="2" t="e">
        <f t="shared" si="300"/>
        <v>#REF!</v>
      </c>
      <c r="GP277" s="2">
        <f t="shared" si="301"/>
        <v>0</v>
      </c>
      <c r="GQ277" s="2"/>
      <c r="GR277" s="2">
        <v>0</v>
      </c>
      <c r="GS277" s="2">
        <v>3</v>
      </c>
      <c r="GT277" s="2">
        <v>0</v>
      </c>
      <c r="GU277" s="2" t="s">
        <v>6</v>
      </c>
      <c r="GV277" s="2">
        <f t="shared" si="317"/>
        <v>0</v>
      </c>
      <c r="GW277" s="2">
        <v>1</v>
      </c>
      <c r="GX277" s="2" t="e">
        <f t="shared" si="303"/>
        <v>#REF!</v>
      </c>
      <c r="GY277" s="2"/>
      <c r="GZ277" s="2"/>
      <c r="HA277" s="2">
        <v>0</v>
      </c>
      <c r="HB277" s="2">
        <v>0</v>
      </c>
      <c r="HC277" s="2">
        <f t="shared" si="304"/>
        <v>0</v>
      </c>
      <c r="HD277" s="2"/>
      <c r="HE277" s="2" t="s">
        <v>6</v>
      </c>
      <c r="HF277" s="2" t="s">
        <v>6</v>
      </c>
      <c r="HG277" s="2"/>
      <c r="HH277" s="2"/>
      <c r="HI277" s="2"/>
      <c r="HJ277" s="2"/>
      <c r="HK277" s="2"/>
      <c r="HL277" s="2"/>
      <c r="HM277" s="2" t="s">
        <v>6</v>
      </c>
      <c r="HN277" s="2" t="s">
        <v>6</v>
      </c>
      <c r="HO277" s="2" t="s">
        <v>6</v>
      </c>
      <c r="HP277" s="2" t="s">
        <v>6</v>
      </c>
      <c r="HQ277" s="2" t="s">
        <v>6</v>
      </c>
      <c r="HR277" s="2"/>
      <c r="HS277" s="2"/>
      <c r="HT277" s="2"/>
      <c r="HU277" s="2"/>
      <c r="HV277" s="2"/>
      <c r="HW277" s="2"/>
      <c r="HX277" s="2"/>
      <c r="HY277" s="2"/>
      <c r="HZ277" s="2"/>
      <c r="IA277" s="2"/>
      <c r="IB277" s="2"/>
      <c r="IC277" s="2"/>
      <c r="ID277" s="2"/>
      <c r="IE277" s="2"/>
      <c r="IF277" s="2">
        <v>-1</v>
      </c>
      <c r="IG277" s="2"/>
      <c r="IH277" s="2"/>
      <c r="II277" s="2"/>
      <c r="IJ277" s="2"/>
      <c r="IK277" s="2">
        <v>0</v>
      </c>
      <c r="IL277" s="2"/>
      <c r="IM277" s="2"/>
      <c r="IN277" s="2"/>
      <c r="IO277" s="2"/>
      <c r="IP277" s="2"/>
      <c r="IQ277" s="2"/>
      <c r="IR277" s="2"/>
      <c r="IS277" s="2"/>
      <c r="IT277" s="2"/>
      <c r="IU277" s="2"/>
    </row>
    <row r="278" spans="1:255" x14ac:dyDescent="0.2">
      <c r="A278">
        <v>18</v>
      </c>
      <c r="B278">
        <v>1</v>
      </c>
      <c r="C278">
        <v>359</v>
      </c>
      <c r="E278" t="s">
        <v>405</v>
      </c>
      <c r="F278" t="e">
        <f>'2.Лок.смета.и.Акт'!#REF!</f>
        <v>#REF!</v>
      </c>
      <c r="G278" t="s">
        <v>407</v>
      </c>
      <c r="H278" t="s">
        <v>323</v>
      </c>
      <c r="I278" t="e">
        <f>I274*J278</f>
        <v>#REF!</v>
      </c>
      <c r="J278">
        <v>7.6666750000000006</v>
      </c>
      <c r="K278">
        <v>7.6666670000000003</v>
      </c>
      <c r="O278" t="e">
        <f t="shared" si="273"/>
        <v>#REF!</v>
      </c>
      <c r="P278" t="e">
        <f t="shared" si="274"/>
        <v>#REF!</v>
      </c>
      <c r="Q278" t="e">
        <f t="shared" si="275"/>
        <v>#REF!</v>
      </c>
      <c r="R278" t="e">
        <f t="shared" si="276"/>
        <v>#REF!</v>
      </c>
      <c r="S278" t="e">
        <f t="shared" si="277"/>
        <v>#REF!</v>
      </c>
      <c r="T278" t="e">
        <f t="shared" si="278"/>
        <v>#REF!</v>
      </c>
      <c r="U278" t="e">
        <f t="shared" si="279"/>
        <v>#REF!</v>
      </c>
      <c r="V278" t="e">
        <f t="shared" si="280"/>
        <v>#REF!</v>
      </c>
      <c r="W278" t="e">
        <f t="shared" si="281"/>
        <v>#REF!</v>
      </c>
      <c r="X278" t="e">
        <f t="shared" si="282"/>
        <v>#REF!</v>
      </c>
      <c r="Y278" t="e">
        <f t="shared" si="283"/>
        <v>#REF!</v>
      </c>
      <c r="AA278">
        <v>86326988</v>
      </c>
      <c r="AB278">
        <f t="shared" si="284"/>
        <v>311.81</v>
      </c>
      <c r="AC278">
        <f t="shared" si="311"/>
        <v>311.81</v>
      </c>
      <c r="AD278">
        <f t="shared" si="312"/>
        <v>0</v>
      </c>
      <c r="AE278">
        <f t="shared" si="313"/>
        <v>0</v>
      </c>
      <c r="AF278">
        <f t="shared" si="314"/>
        <v>0</v>
      </c>
      <c r="AG278">
        <f t="shared" si="285"/>
        <v>0</v>
      </c>
      <c r="AH278">
        <f t="shared" si="315"/>
        <v>0</v>
      </c>
      <c r="AI278">
        <f t="shared" si="316"/>
        <v>0</v>
      </c>
      <c r="AJ278">
        <f t="shared" si="286"/>
        <v>0.15</v>
      </c>
      <c r="AK278">
        <v>311.81</v>
      </c>
      <c r="AL278">
        <v>311.81</v>
      </c>
      <c r="AM278">
        <v>0</v>
      </c>
      <c r="AN278">
        <v>0</v>
      </c>
      <c r="AO278">
        <v>0</v>
      </c>
      <c r="AP278">
        <v>0</v>
      </c>
      <c r="AQ278">
        <v>0</v>
      </c>
      <c r="AR278">
        <v>0</v>
      </c>
      <c r="AS278">
        <v>0.15</v>
      </c>
      <c r="AT278">
        <v>0</v>
      </c>
      <c r="AU278">
        <v>0</v>
      </c>
      <c r="AV278">
        <v>1</v>
      </c>
      <c r="AW278">
        <v>1</v>
      </c>
      <c r="AZ278">
        <v>1</v>
      </c>
      <c r="BA278">
        <v>1</v>
      </c>
      <c r="BB278">
        <v>1</v>
      </c>
      <c r="BC278">
        <v>7.56</v>
      </c>
      <c r="BD278" t="s">
        <v>6</v>
      </c>
      <c r="BE278" t="s">
        <v>6</v>
      </c>
      <c r="BF278" t="s">
        <v>6</v>
      </c>
      <c r="BG278" t="s">
        <v>6</v>
      </c>
      <c r="BH278">
        <v>3</v>
      </c>
      <c r="BI278">
        <v>2</v>
      </c>
      <c r="BJ278" t="s">
        <v>408</v>
      </c>
      <c r="BM278">
        <v>500002</v>
      </c>
      <c r="BN278">
        <v>0</v>
      </c>
      <c r="BO278" t="s">
        <v>6</v>
      </c>
      <c r="BP278">
        <v>0</v>
      </c>
      <c r="BQ278">
        <v>21</v>
      </c>
      <c r="BR278">
        <v>0</v>
      </c>
      <c r="BS278">
        <v>1</v>
      </c>
      <c r="BT278">
        <v>1</v>
      </c>
      <c r="BU278">
        <v>1</v>
      </c>
      <c r="BV278">
        <v>1</v>
      </c>
      <c r="BW278">
        <v>1</v>
      </c>
      <c r="BX278">
        <v>1</v>
      </c>
      <c r="BY278" t="s">
        <v>6</v>
      </c>
      <c r="BZ278">
        <v>0</v>
      </c>
      <c r="CA278">
        <v>0</v>
      </c>
      <c r="CB278" t="s">
        <v>6</v>
      </c>
      <c r="CE278">
        <v>0</v>
      </c>
      <c r="CF278">
        <v>0</v>
      </c>
      <c r="CG278">
        <v>0</v>
      </c>
      <c r="CM278">
        <v>0</v>
      </c>
      <c r="CN278" t="s">
        <v>6</v>
      </c>
      <c r="CO278">
        <v>0</v>
      </c>
      <c r="CP278" t="e">
        <f t="shared" si="287"/>
        <v>#REF!</v>
      </c>
      <c r="CQ278">
        <f t="shared" si="288"/>
        <v>2357.2835999999998</v>
      </c>
      <c r="CR278">
        <f t="shared" si="289"/>
        <v>0</v>
      </c>
      <c r="CS278">
        <f t="shared" si="290"/>
        <v>0</v>
      </c>
      <c r="CT278">
        <f t="shared" si="291"/>
        <v>0</v>
      </c>
      <c r="CU278">
        <f t="shared" si="292"/>
        <v>0</v>
      </c>
      <c r="CV278">
        <f t="shared" si="293"/>
        <v>0</v>
      </c>
      <c r="CW278">
        <f t="shared" si="294"/>
        <v>0</v>
      </c>
      <c r="CX278">
        <f t="shared" si="295"/>
        <v>0.15</v>
      </c>
      <c r="CY278" t="e">
        <f>(S278+R278)*(BZ278/100)</f>
        <v>#REF!</v>
      </c>
      <c r="CZ278" t="e">
        <f>(S278+R278)*(CA278/100)</f>
        <v>#REF!</v>
      </c>
      <c r="DC278" t="s">
        <v>6</v>
      </c>
      <c r="DD278" t="s">
        <v>6</v>
      </c>
      <c r="DE278" t="s">
        <v>6</v>
      </c>
      <c r="DF278" t="s">
        <v>6</v>
      </c>
      <c r="DG278" t="s">
        <v>6</v>
      </c>
      <c r="DH278" t="s">
        <v>6</v>
      </c>
      <c r="DI278" t="s">
        <v>6</v>
      </c>
      <c r="DJ278" t="s">
        <v>6</v>
      </c>
      <c r="DK278" t="s">
        <v>6</v>
      </c>
      <c r="DL278" t="s">
        <v>6</v>
      </c>
      <c r="DM278" t="s">
        <v>6</v>
      </c>
      <c r="DN278">
        <v>0</v>
      </c>
      <c r="DO278">
        <v>0</v>
      </c>
      <c r="DP278">
        <v>1</v>
      </c>
      <c r="DQ278">
        <v>1</v>
      </c>
      <c r="DU278">
        <v>1010</v>
      </c>
      <c r="DV278" t="s">
        <v>323</v>
      </c>
      <c r="DW278" t="e">
        <f>'2.Лок.смета.и.Акт'!#REF!</f>
        <v>#REF!</v>
      </c>
      <c r="DX278">
        <v>1</v>
      </c>
      <c r="DZ278" t="s">
        <v>6</v>
      </c>
      <c r="EA278" t="s">
        <v>6</v>
      </c>
      <c r="EB278" t="s">
        <v>6</v>
      </c>
      <c r="EC278" t="s">
        <v>6</v>
      </c>
      <c r="EE278">
        <v>54938782</v>
      </c>
      <c r="EF278">
        <v>21</v>
      </c>
      <c r="EG278" t="s">
        <v>96</v>
      </c>
      <c r="EH278">
        <v>0</v>
      </c>
      <c r="EI278" t="s">
        <v>6</v>
      </c>
      <c r="EJ278">
        <v>2</v>
      </c>
      <c r="EK278">
        <v>500002</v>
      </c>
      <c r="EL278" t="s">
        <v>97</v>
      </c>
      <c r="EM278" t="s">
        <v>98</v>
      </c>
      <c r="EO278" t="s">
        <v>6</v>
      </c>
      <c r="EQ278">
        <v>0</v>
      </c>
      <c r="ER278">
        <v>2222.2199999999998</v>
      </c>
      <c r="ES278">
        <v>311.81</v>
      </c>
      <c r="ET278">
        <v>0</v>
      </c>
      <c r="EU278">
        <v>0</v>
      </c>
      <c r="EV278">
        <v>0</v>
      </c>
      <c r="EW278">
        <v>0</v>
      </c>
      <c r="EX278">
        <v>0</v>
      </c>
      <c r="EZ278">
        <v>5</v>
      </c>
      <c r="FC278">
        <v>0</v>
      </c>
      <c r="FD278">
        <v>18</v>
      </c>
      <c r="FF278">
        <v>2222.2199999999998</v>
      </c>
      <c r="FQ278">
        <v>0</v>
      </c>
      <c r="FR278">
        <f t="shared" si="296"/>
        <v>0</v>
      </c>
      <c r="FS278">
        <v>0</v>
      </c>
      <c r="FX278">
        <v>0</v>
      </c>
      <c r="FY278">
        <v>0</v>
      </c>
      <c r="GA278" t="s">
        <v>409</v>
      </c>
      <c r="GD278">
        <v>1</v>
      </c>
      <c r="GF278">
        <v>231135007</v>
      </c>
      <c r="GG278">
        <v>2</v>
      </c>
      <c r="GH278">
        <v>3</v>
      </c>
      <c r="GI278">
        <v>5</v>
      </c>
      <c r="GJ278">
        <v>0</v>
      </c>
      <c r="GK278">
        <v>0</v>
      </c>
      <c r="GL278">
        <f t="shared" si="297"/>
        <v>0</v>
      </c>
      <c r="GM278" t="e">
        <f t="shared" si="298"/>
        <v>#REF!</v>
      </c>
      <c r="GN278">
        <f t="shared" si="299"/>
        <v>0</v>
      </c>
      <c r="GO278" t="e">
        <f t="shared" si="300"/>
        <v>#REF!</v>
      </c>
      <c r="GP278">
        <f t="shared" si="301"/>
        <v>0</v>
      </c>
      <c r="GR278">
        <v>1</v>
      </c>
      <c r="GS278">
        <v>1</v>
      </c>
      <c r="GT278">
        <v>0</v>
      </c>
      <c r="GU278" t="s">
        <v>6</v>
      </c>
      <c r="GV278">
        <f t="shared" si="317"/>
        <v>0</v>
      </c>
      <c r="GW278">
        <v>1</v>
      </c>
      <c r="GX278" t="e">
        <f t="shared" si="303"/>
        <v>#REF!</v>
      </c>
      <c r="HA278">
        <v>0</v>
      </c>
      <c r="HB278">
        <v>0</v>
      </c>
      <c r="HC278">
        <f t="shared" si="304"/>
        <v>0</v>
      </c>
      <c r="HE278" t="s">
        <v>39</v>
      </c>
      <c r="HF278" t="s">
        <v>40</v>
      </c>
      <c r="HM278" t="s">
        <v>6</v>
      </c>
      <c r="HN278" t="s">
        <v>6</v>
      </c>
      <c r="HO278" t="s">
        <v>6</v>
      </c>
      <c r="HP278" t="s">
        <v>6</v>
      </c>
      <c r="HQ278" t="s">
        <v>6</v>
      </c>
      <c r="IF278">
        <v>-1</v>
      </c>
      <c r="IK278">
        <v>0</v>
      </c>
    </row>
    <row r="279" spans="1:255" x14ac:dyDescent="0.2">
      <c r="A279" s="2">
        <v>17</v>
      </c>
      <c r="B279" s="2">
        <v>1</v>
      </c>
      <c r="C279" s="2">
        <f>ROW(SmtRes!A363)</f>
        <v>363</v>
      </c>
      <c r="D279" s="2">
        <f>ROW(EtalonRes!A287)</f>
        <v>287</v>
      </c>
      <c r="E279" s="2" t="s">
        <v>410</v>
      </c>
      <c r="F279" s="2" t="s">
        <v>411</v>
      </c>
      <c r="G279" s="2" t="s">
        <v>412</v>
      </c>
      <c r="H279" s="2" t="s">
        <v>396</v>
      </c>
      <c r="I279" s="2" t="e">
        <f>'2.Лок.смета.и.Акт'!#REF!</f>
        <v>#REF!</v>
      </c>
      <c r="J279" s="2">
        <v>0</v>
      </c>
      <c r="K279" s="2">
        <v>0.04</v>
      </c>
      <c r="L279" s="2"/>
      <c r="M279" s="2"/>
      <c r="N279" s="2"/>
      <c r="O279" s="2" t="e">
        <f t="shared" si="273"/>
        <v>#REF!</v>
      </c>
      <c r="P279" s="2" t="e">
        <f t="shared" si="274"/>
        <v>#REF!</v>
      </c>
      <c r="Q279" s="2" t="e">
        <f t="shared" si="275"/>
        <v>#REF!</v>
      </c>
      <c r="R279" s="2" t="e">
        <f t="shared" si="276"/>
        <v>#REF!</v>
      </c>
      <c r="S279" s="2" t="e">
        <f t="shared" si="277"/>
        <v>#REF!</v>
      </c>
      <c r="T279" s="2" t="e">
        <f t="shared" si="278"/>
        <v>#REF!</v>
      </c>
      <c r="U279" s="2" t="e">
        <f t="shared" si="279"/>
        <v>#REF!</v>
      </c>
      <c r="V279" s="2" t="e">
        <f t="shared" si="280"/>
        <v>#REF!</v>
      </c>
      <c r="W279" s="2" t="e">
        <f t="shared" si="281"/>
        <v>#REF!</v>
      </c>
      <c r="X279" s="2" t="e">
        <f t="shared" si="282"/>
        <v>#REF!</v>
      </c>
      <c r="Y279" s="2" t="e">
        <f t="shared" si="283"/>
        <v>#REF!</v>
      </c>
      <c r="Z279" s="2"/>
      <c r="AA279" s="2">
        <v>86326987</v>
      </c>
      <c r="AB279" s="2">
        <f t="shared" ref="AB279:AB280" si="318">ROUND((AC279+AD279+AF279),2)</f>
        <v>109.38</v>
      </c>
      <c r="AC279" s="2">
        <f>ROUND(((ES279*12.5)),2)</f>
        <v>0</v>
      </c>
      <c r="AD279" s="2">
        <f>ROUND(((((ET279*12.5))-((EU279*12.5)))+AE279),2)</f>
        <v>21.25</v>
      </c>
      <c r="AE279" s="2">
        <f>ROUND(((EU279*12.5)),2)</f>
        <v>0</v>
      </c>
      <c r="AF279" s="2">
        <f>ROUND(((EV279*12.5)),2)</f>
        <v>88.13</v>
      </c>
      <c r="AG279" s="2">
        <f t="shared" si="285"/>
        <v>0</v>
      </c>
      <c r="AH279" s="2">
        <f>((EW279*12.5))</f>
        <v>10.25</v>
      </c>
      <c r="AI279" s="2">
        <f>((EX279*12.5))</f>
        <v>0</v>
      </c>
      <c r="AJ279" s="2">
        <f t="shared" si="286"/>
        <v>0</v>
      </c>
      <c r="AK279" s="2">
        <v>8.75</v>
      </c>
      <c r="AL279" s="2">
        <v>0</v>
      </c>
      <c r="AM279" s="2">
        <v>1.7</v>
      </c>
      <c r="AN279" s="2">
        <v>0</v>
      </c>
      <c r="AO279" s="2">
        <v>7.05</v>
      </c>
      <c r="AP279" s="2">
        <v>0</v>
      </c>
      <c r="AQ279" s="2">
        <v>0.82</v>
      </c>
      <c r="AR279" s="2">
        <v>0</v>
      </c>
      <c r="AS279" s="2">
        <v>0</v>
      </c>
      <c r="AT279" s="2">
        <v>110</v>
      </c>
      <c r="AU279" s="2">
        <v>70</v>
      </c>
      <c r="AV279" s="2">
        <v>1</v>
      </c>
      <c r="AW279" s="2">
        <v>1</v>
      </c>
      <c r="AX279" s="2"/>
      <c r="AY279" s="2"/>
      <c r="AZ279" s="2">
        <v>1</v>
      </c>
      <c r="BA279" s="2">
        <v>1</v>
      </c>
      <c r="BB279" s="2">
        <v>1</v>
      </c>
      <c r="BC279" s="2">
        <v>1</v>
      </c>
      <c r="BD279" s="2" t="s">
        <v>6</v>
      </c>
      <c r="BE279" s="2" t="s">
        <v>6</v>
      </c>
      <c r="BF279" s="2" t="s">
        <v>6</v>
      </c>
      <c r="BG279" s="2" t="s">
        <v>6</v>
      </c>
      <c r="BH279" s="2">
        <v>0</v>
      </c>
      <c r="BI279" s="2">
        <v>1</v>
      </c>
      <c r="BJ279" s="2" t="s">
        <v>413</v>
      </c>
      <c r="BK279" s="2"/>
      <c r="BL279" s="2"/>
      <c r="BM279" s="2">
        <v>46001</v>
      </c>
      <c r="BN279" s="2">
        <v>0</v>
      </c>
      <c r="BO279" s="2" t="s">
        <v>6</v>
      </c>
      <c r="BP279" s="2">
        <v>0</v>
      </c>
      <c r="BQ279" s="2">
        <v>9</v>
      </c>
      <c r="BR279" s="2">
        <v>0</v>
      </c>
      <c r="BS279" s="2">
        <v>1</v>
      </c>
      <c r="BT279" s="2">
        <v>1</v>
      </c>
      <c r="BU279" s="2">
        <v>1</v>
      </c>
      <c r="BV279" s="2">
        <v>1</v>
      </c>
      <c r="BW279" s="2">
        <v>1</v>
      </c>
      <c r="BX279" s="2">
        <v>1</v>
      </c>
      <c r="BY279" s="2" t="s">
        <v>6</v>
      </c>
      <c r="BZ279" s="2">
        <v>110</v>
      </c>
      <c r="CA279" s="2">
        <v>70</v>
      </c>
      <c r="CB279" s="2" t="s">
        <v>6</v>
      </c>
      <c r="CC279" s="2"/>
      <c r="CD279" s="2"/>
      <c r="CE279" s="2">
        <v>0</v>
      </c>
      <c r="CF279" s="2">
        <v>0</v>
      </c>
      <c r="CG279" s="2">
        <v>0</v>
      </c>
      <c r="CH279" s="2"/>
      <c r="CI279" s="2"/>
      <c r="CJ279" s="2"/>
      <c r="CK279" s="2"/>
      <c r="CL279" s="2"/>
      <c r="CM279" s="2">
        <v>0</v>
      </c>
      <c r="CN279" s="2" t="s">
        <v>6</v>
      </c>
      <c r="CO279" s="2">
        <v>0</v>
      </c>
      <c r="CP279" s="2" t="e">
        <f t="shared" si="287"/>
        <v>#REF!</v>
      </c>
      <c r="CQ279" s="2">
        <f t="shared" si="288"/>
        <v>0</v>
      </c>
      <c r="CR279" s="2">
        <f t="shared" si="289"/>
        <v>21.25</v>
      </c>
      <c r="CS279" s="2">
        <f t="shared" si="290"/>
        <v>0</v>
      </c>
      <c r="CT279" s="2">
        <f t="shared" si="291"/>
        <v>88.13</v>
      </c>
      <c r="CU279" s="2">
        <f t="shared" si="292"/>
        <v>0</v>
      </c>
      <c r="CV279" s="2">
        <f t="shared" si="293"/>
        <v>10.25</v>
      </c>
      <c r="CW279" s="2">
        <f t="shared" si="294"/>
        <v>0</v>
      </c>
      <c r="CX279" s="2">
        <f t="shared" si="295"/>
        <v>0</v>
      </c>
      <c r="CY279" s="2" t="e">
        <f>(((S279+(R279*IF(0,0,1)))*AT279)/100)</f>
        <v>#REF!</v>
      </c>
      <c r="CZ279" s="2" t="e">
        <f>(((S279+(R279*IF(0,0,1)))*AU279)/100)</f>
        <v>#REF!</v>
      </c>
      <c r="DA279" s="2"/>
      <c r="DB279" s="2"/>
      <c r="DC279" s="2" t="s">
        <v>6</v>
      </c>
      <c r="DD279" s="2" t="s">
        <v>414</v>
      </c>
      <c r="DE279" s="2" t="s">
        <v>414</v>
      </c>
      <c r="DF279" s="2" t="s">
        <v>414</v>
      </c>
      <c r="DG279" s="2" t="s">
        <v>414</v>
      </c>
      <c r="DH279" s="2" t="s">
        <v>6</v>
      </c>
      <c r="DI279" s="2" t="s">
        <v>414</v>
      </c>
      <c r="DJ279" s="2" t="s">
        <v>414</v>
      </c>
      <c r="DK279" s="2" t="s">
        <v>6</v>
      </c>
      <c r="DL279" s="2" t="s">
        <v>6</v>
      </c>
      <c r="DM279" s="2" t="s">
        <v>6</v>
      </c>
      <c r="DN279" s="2">
        <v>0</v>
      </c>
      <c r="DO279" s="2">
        <v>0</v>
      </c>
      <c r="DP279" s="2">
        <v>1</v>
      </c>
      <c r="DQ279" s="2">
        <v>1</v>
      </c>
      <c r="DR279" s="2"/>
      <c r="DS279" s="2"/>
      <c r="DT279" s="2"/>
      <c r="DU279" s="2">
        <v>1010</v>
      </c>
      <c r="DV279" s="2" t="s">
        <v>396</v>
      </c>
      <c r="DW279" s="2" t="s">
        <v>396</v>
      </c>
      <c r="DX279" s="2">
        <v>100</v>
      </c>
      <c r="DY279" s="2"/>
      <c r="DZ279" s="2" t="s">
        <v>6</v>
      </c>
      <c r="EA279" s="2" t="s">
        <v>6</v>
      </c>
      <c r="EB279" s="2" t="s">
        <v>6</v>
      </c>
      <c r="EC279" s="2" t="s">
        <v>6</v>
      </c>
      <c r="ED279" s="2"/>
      <c r="EE279" s="2">
        <v>54938666</v>
      </c>
      <c r="EF279" s="2">
        <v>9</v>
      </c>
      <c r="EG279" s="2" t="s">
        <v>398</v>
      </c>
      <c r="EH279" s="2">
        <v>0</v>
      </c>
      <c r="EI279" s="2" t="s">
        <v>6</v>
      </c>
      <c r="EJ279" s="2">
        <v>1</v>
      </c>
      <c r="EK279" s="2">
        <v>46001</v>
      </c>
      <c r="EL279" s="2" t="s">
        <v>398</v>
      </c>
      <c r="EM279" s="2" t="s">
        <v>399</v>
      </c>
      <c r="EN279" s="2"/>
      <c r="EO279" s="2" t="s">
        <v>6</v>
      </c>
      <c r="EP279" s="2"/>
      <c r="EQ279" s="2">
        <v>2097152</v>
      </c>
      <c r="ER279" s="2">
        <v>8.75</v>
      </c>
      <c r="ES279" s="2">
        <v>0</v>
      </c>
      <c r="ET279" s="2">
        <v>1.7</v>
      </c>
      <c r="EU279" s="2">
        <v>0</v>
      </c>
      <c r="EV279" s="2">
        <v>7.05</v>
      </c>
      <c r="EW279" s="2">
        <v>0.82</v>
      </c>
      <c r="EX279" s="2">
        <v>0</v>
      </c>
      <c r="EY279" s="2">
        <v>0</v>
      </c>
      <c r="EZ279" s="2"/>
      <c r="FA279" s="2"/>
      <c r="FB279" s="2"/>
      <c r="FC279" s="2"/>
      <c r="FD279" s="2"/>
      <c r="FE279" s="2"/>
      <c r="FF279" s="2"/>
      <c r="FG279" s="2"/>
      <c r="FH279" s="2"/>
      <c r="FI279" s="2"/>
      <c r="FJ279" s="2"/>
      <c r="FK279" s="2"/>
      <c r="FL279" s="2"/>
      <c r="FM279" s="2"/>
      <c r="FN279" s="2"/>
      <c r="FO279" s="2"/>
      <c r="FP279" s="2"/>
      <c r="FQ279" s="2">
        <v>0</v>
      </c>
      <c r="FR279" s="2">
        <f t="shared" si="296"/>
        <v>0</v>
      </c>
      <c r="FS279" s="2">
        <v>0</v>
      </c>
      <c r="FT279" s="2"/>
      <c r="FU279" s="2"/>
      <c r="FV279" s="2"/>
      <c r="FW279" s="2"/>
      <c r="FX279" s="2">
        <v>110</v>
      </c>
      <c r="FY279" s="2">
        <v>70</v>
      </c>
      <c r="FZ279" s="2"/>
      <c r="GA279" s="2" t="s">
        <v>6</v>
      </c>
      <c r="GB279" s="2"/>
      <c r="GC279" s="2"/>
      <c r="GD279" s="2">
        <v>1</v>
      </c>
      <c r="GE279" s="2"/>
      <c r="GF279" s="2">
        <v>1024512293</v>
      </c>
      <c r="GG279" s="2">
        <v>2</v>
      </c>
      <c r="GH279" s="2">
        <v>1</v>
      </c>
      <c r="GI279" s="2">
        <v>-2</v>
      </c>
      <c r="GJ279" s="2">
        <v>0</v>
      </c>
      <c r="GK279" s="2">
        <v>0</v>
      </c>
      <c r="GL279" s="2">
        <f t="shared" si="297"/>
        <v>0</v>
      </c>
      <c r="GM279" s="2" t="e">
        <f t="shared" si="298"/>
        <v>#REF!</v>
      </c>
      <c r="GN279" s="2" t="e">
        <f t="shared" ref="GN279:GN280" si="319">IF(OR(BI279=0,BI279=1),GM279-GX279,0)</f>
        <v>#REF!</v>
      </c>
      <c r="GO279" s="2">
        <f t="shared" si="300"/>
        <v>0</v>
      </c>
      <c r="GP279" s="2">
        <f t="shared" si="301"/>
        <v>0</v>
      </c>
      <c r="GQ279" s="2"/>
      <c r="GR279" s="2">
        <v>0</v>
      </c>
      <c r="GS279" s="2">
        <v>3</v>
      </c>
      <c r="GT279" s="2">
        <v>0</v>
      </c>
      <c r="GU279" s="2" t="s">
        <v>414</v>
      </c>
      <c r="GV279" s="2">
        <f>ROUND(((GT279*12.5)),2)</f>
        <v>0</v>
      </c>
      <c r="GW279" s="2">
        <v>1</v>
      </c>
      <c r="GX279" s="2" t="e">
        <f t="shared" si="303"/>
        <v>#REF!</v>
      </c>
      <c r="GY279" s="2"/>
      <c r="GZ279" s="2"/>
      <c r="HA279" s="2">
        <v>0</v>
      </c>
      <c r="HB279" s="2">
        <v>0</v>
      </c>
      <c r="HC279" s="2">
        <f t="shared" si="304"/>
        <v>0</v>
      </c>
      <c r="HD279" s="2"/>
      <c r="HE279" s="2" t="s">
        <v>6</v>
      </c>
      <c r="HF279" s="2" t="s">
        <v>6</v>
      </c>
      <c r="HG279" s="2"/>
      <c r="HH279" s="2"/>
      <c r="HI279" s="2"/>
      <c r="HJ279" s="2"/>
      <c r="HK279" s="2"/>
      <c r="HL279" s="2"/>
      <c r="HM279" s="2" t="s">
        <v>6</v>
      </c>
      <c r="HN279" s="2" t="s">
        <v>6</v>
      </c>
      <c r="HO279" s="2" t="s">
        <v>6</v>
      </c>
      <c r="HP279" s="2" t="s">
        <v>6</v>
      </c>
      <c r="HQ279" s="2" t="s">
        <v>6</v>
      </c>
      <c r="HR279" s="2"/>
      <c r="HS279" s="2"/>
      <c r="HT279" s="2"/>
      <c r="HU279" s="2"/>
      <c r="HV279" s="2"/>
      <c r="HW279" s="2"/>
      <c r="HX279" s="2"/>
      <c r="HY279" s="2"/>
      <c r="HZ279" s="2"/>
      <c r="IA279" s="2"/>
      <c r="IB279" s="2"/>
      <c r="IC279" s="2"/>
      <c r="ID279" s="2"/>
      <c r="IE279" s="2"/>
      <c r="IF279" s="2">
        <v>-1</v>
      </c>
      <c r="IG279" s="2"/>
      <c r="IH279" s="2"/>
      <c r="II279" s="2"/>
      <c r="IJ279" s="2"/>
      <c r="IK279" s="2">
        <v>0</v>
      </c>
      <c r="IL279" s="2"/>
      <c r="IM279" s="2"/>
      <c r="IN279" s="2"/>
      <c r="IO279" s="2"/>
      <c r="IP279" s="2"/>
      <c r="IQ279" s="2"/>
      <c r="IR279" s="2"/>
      <c r="IS279" s="2"/>
      <c r="IT279" s="2"/>
      <c r="IU279" s="2"/>
    </row>
    <row r="280" spans="1:255" x14ac:dyDescent="0.2">
      <c r="A280">
        <v>17</v>
      </c>
      <c r="B280">
        <v>1</v>
      </c>
      <c r="C280">
        <f>ROW(SmtRes!A366)</f>
        <v>366</v>
      </c>
      <c r="D280">
        <f>ROW(EtalonRes!A292)</f>
        <v>292</v>
      </c>
      <c r="E280" t="s">
        <v>410</v>
      </c>
      <c r="F280" t="s">
        <v>411</v>
      </c>
      <c r="G280" t="s">
        <v>412</v>
      </c>
      <c r="H280" t="s">
        <v>396</v>
      </c>
      <c r="I280" t="e">
        <f>'2.Лок.смета.и.Акт'!#REF!</f>
        <v>#REF!</v>
      </c>
      <c r="J280">
        <v>0</v>
      </c>
      <c r="K280">
        <v>0.04</v>
      </c>
      <c r="O280" t="e">
        <f t="shared" si="273"/>
        <v>#REF!</v>
      </c>
      <c r="P280" t="e">
        <f t="shared" si="274"/>
        <v>#REF!</v>
      </c>
      <c r="Q280" t="e">
        <f t="shared" si="275"/>
        <v>#REF!</v>
      </c>
      <c r="R280" t="e">
        <f t="shared" si="276"/>
        <v>#REF!</v>
      </c>
      <c r="S280" t="e">
        <f t="shared" si="277"/>
        <v>#REF!</v>
      </c>
      <c r="T280" t="e">
        <f t="shared" si="278"/>
        <v>#REF!</v>
      </c>
      <c r="U280" t="e">
        <f t="shared" si="279"/>
        <v>#REF!</v>
      </c>
      <c r="V280" t="e">
        <f t="shared" si="280"/>
        <v>#REF!</v>
      </c>
      <c r="W280" t="e">
        <f t="shared" si="281"/>
        <v>#REF!</v>
      </c>
      <c r="X280" t="e">
        <f t="shared" si="282"/>
        <v>#REF!</v>
      </c>
      <c r="Y280" t="e">
        <f t="shared" si="283"/>
        <v>#REF!</v>
      </c>
      <c r="AA280">
        <v>86326988</v>
      </c>
      <c r="AB280">
        <f t="shared" si="318"/>
        <v>109.38</v>
      </c>
      <c r="AC280">
        <f>ROUND(((ES280*12.5)),2)</f>
        <v>0</v>
      </c>
      <c r="AD280">
        <f>ROUND(((((ET280*12.5))-((EU280*12.5)))+AE280),2)</f>
        <v>21.25</v>
      </c>
      <c r="AE280">
        <f>ROUND(((EU280*12.5)),2)</f>
        <v>0</v>
      </c>
      <c r="AF280">
        <f>ROUND(((EV280*12.5)),2)</f>
        <v>88.13</v>
      </c>
      <c r="AG280">
        <f t="shared" si="285"/>
        <v>0</v>
      </c>
      <c r="AH280" t="e">
        <f>((EW280*12.5))</f>
        <v>#REF!</v>
      </c>
      <c r="AI280">
        <f>((EX280*12.5))</f>
        <v>0</v>
      </c>
      <c r="AJ280">
        <f t="shared" si="286"/>
        <v>0</v>
      </c>
      <c r="AK280">
        <f>AL280+AM280+AO280</f>
        <v>8.75</v>
      </c>
      <c r="AL280">
        <v>0</v>
      </c>
      <c r="AM280" s="75">
        <f>'1.Лок.смета.и.Акт'!F499</f>
        <v>1.7</v>
      </c>
      <c r="AN280">
        <v>0</v>
      </c>
      <c r="AO280" s="75">
        <f>'1.Лок.смета.и.Акт'!F498</f>
        <v>7.05</v>
      </c>
      <c r="AP280">
        <v>0</v>
      </c>
      <c r="AQ280" t="e">
        <f>'2.Лок.смета.и.Акт'!#REF!</f>
        <v>#REF!</v>
      </c>
      <c r="AR280">
        <v>0</v>
      </c>
      <c r="AS280">
        <v>0</v>
      </c>
      <c r="AT280">
        <v>105</v>
      </c>
      <c r="AU280">
        <v>60</v>
      </c>
      <c r="AV280">
        <v>1</v>
      </c>
      <c r="AW280">
        <v>1</v>
      </c>
      <c r="AZ280">
        <v>1</v>
      </c>
      <c r="BA280">
        <f>'1.Лок.смета.и.Акт'!J498</f>
        <v>25.36</v>
      </c>
      <c r="BB280">
        <f>'1.Лок.смета.и.Акт'!J499</f>
        <v>7.84</v>
      </c>
      <c r="BC280">
        <v>7.56</v>
      </c>
      <c r="BD280" t="s">
        <v>6</v>
      </c>
      <c r="BE280" t="s">
        <v>6</v>
      </c>
      <c r="BF280" t="s">
        <v>6</v>
      </c>
      <c r="BG280" t="s">
        <v>6</v>
      </c>
      <c r="BH280">
        <v>0</v>
      </c>
      <c r="BI280">
        <v>1</v>
      </c>
      <c r="BJ280" t="s">
        <v>413</v>
      </c>
      <c r="BM280">
        <v>46001</v>
      </c>
      <c r="BN280">
        <v>0</v>
      </c>
      <c r="BO280" t="s">
        <v>411</v>
      </c>
      <c r="BP280">
        <v>1</v>
      </c>
      <c r="BQ280">
        <v>9</v>
      </c>
      <c r="BR280">
        <v>0</v>
      </c>
      <c r="BS280">
        <v>19.8</v>
      </c>
      <c r="BT280">
        <v>1</v>
      </c>
      <c r="BU280">
        <v>1</v>
      </c>
      <c r="BV280">
        <v>1</v>
      </c>
      <c r="BW280">
        <v>1</v>
      </c>
      <c r="BX280">
        <v>1</v>
      </c>
      <c r="BY280" t="s">
        <v>6</v>
      </c>
      <c r="BZ280" t="e">
        <f>'2.Лок.смета.и.Акт'!#REF!</f>
        <v>#REF!</v>
      </c>
      <c r="CA280" t="e">
        <f>'2.Лок.смета.и.Акт'!#REF!</f>
        <v>#REF!</v>
      </c>
      <c r="CB280" t="s">
        <v>6</v>
      </c>
      <c r="CE280">
        <v>0</v>
      </c>
      <c r="CF280">
        <v>0</v>
      </c>
      <c r="CG280">
        <v>0</v>
      </c>
      <c r="CM280">
        <v>0</v>
      </c>
      <c r="CN280" t="s">
        <v>6</v>
      </c>
      <c r="CO280">
        <v>0</v>
      </c>
      <c r="CP280" t="e">
        <f t="shared" si="287"/>
        <v>#REF!</v>
      </c>
      <c r="CQ280">
        <f t="shared" si="288"/>
        <v>0</v>
      </c>
      <c r="CR280">
        <f t="shared" si="289"/>
        <v>166.6</v>
      </c>
      <c r="CS280">
        <f t="shared" si="290"/>
        <v>0</v>
      </c>
      <c r="CT280">
        <f t="shared" si="291"/>
        <v>2234.9767999999999</v>
      </c>
      <c r="CU280">
        <f t="shared" si="292"/>
        <v>0</v>
      </c>
      <c r="CV280" t="e">
        <f t="shared" si="293"/>
        <v>#REF!</v>
      </c>
      <c r="CW280">
        <f t="shared" si="294"/>
        <v>0</v>
      </c>
      <c r="CX280">
        <f t="shared" si="295"/>
        <v>0</v>
      </c>
      <c r="CY280" t="e">
        <f>(S280+R280)*(BZ280/100)</f>
        <v>#REF!</v>
      </c>
      <c r="CZ280" t="e">
        <f>(S280+R280)*(CA280/100)</f>
        <v>#REF!</v>
      </c>
      <c r="DC280" t="s">
        <v>6</v>
      </c>
      <c r="DD280" t="s">
        <v>414</v>
      </c>
      <c r="DE280" t="s">
        <v>414</v>
      </c>
      <c r="DF280" t="s">
        <v>414</v>
      </c>
      <c r="DG280" t="s">
        <v>414</v>
      </c>
      <c r="DH280" t="s">
        <v>6</v>
      </c>
      <c r="DI280" t="s">
        <v>414</v>
      </c>
      <c r="DJ280" t="s">
        <v>414</v>
      </c>
      <c r="DK280" t="s">
        <v>6</v>
      </c>
      <c r="DL280" t="s">
        <v>6</v>
      </c>
      <c r="DM280" t="s">
        <v>6</v>
      </c>
      <c r="DN280">
        <f>'1.Лок.смета.и.Акт'!E500</f>
        <v>110</v>
      </c>
      <c r="DO280">
        <f>'1.Лок.смета.и.Акт'!E501</f>
        <v>70</v>
      </c>
      <c r="DP280">
        <v>1</v>
      </c>
      <c r="DQ280">
        <v>1</v>
      </c>
      <c r="DU280">
        <v>1010</v>
      </c>
      <c r="DV280" t="s">
        <v>396</v>
      </c>
      <c r="DW280" t="e">
        <f>'2.Лок.смета.и.Акт'!#REF!</f>
        <v>#REF!</v>
      </c>
      <c r="DX280">
        <v>100</v>
      </c>
      <c r="DZ280" t="s">
        <v>6</v>
      </c>
      <c r="EA280" t="s">
        <v>6</v>
      </c>
      <c r="EB280" t="s">
        <v>6</v>
      </c>
      <c r="EC280" t="s">
        <v>6</v>
      </c>
      <c r="EE280">
        <v>54938666</v>
      </c>
      <c r="EF280">
        <v>9</v>
      </c>
      <c r="EG280" t="s">
        <v>398</v>
      </c>
      <c r="EH280">
        <v>0</v>
      </c>
      <c r="EI280" t="s">
        <v>6</v>
      </c>
      <c r="EJ280">
        <v>1</v>
      </c>
      <c r="EK280">
        <v>46001</v>
      </c>
      <c r="EL280" t="s">
        <v>398</v>
      </c>
      <c r="EM280" t="s">
        <v>399</v>
      </c>
      <c r="EO280" t="s">
        <v>6</v>
      </c>
      <c r="EQ280">
        <v>2097152</v>
      </c>
      <c r="ER280">
        <f>ES280+ET280+EV280</f>
        <v>8.75</v>
      </c>
      <c r="ES280">
        <v>0</v>
      </c>
      <c r="ET280" s="75">
        <f>'1.Лок.смета.и.Акт'!F499</f>
        <v>1.7</v>
      </c>
      <c r="EU280">
        <v>0</v>
      </c>
      <c r="EV280" s="75">
        <f>'1.Лок.смета.и.Акт'!F498</f>
        <v>7.05</v>
      </c>
      <c r="EW280" t="e">
        <f>'2.Лок.смета.и.Акт'!#REF!</f>
        <v>#REF!</v>
      </c>
      <c r="EX280">
        <v>0</v>
      </c>
      <c r="EY280">
        <v>0</v>
      </c>
      <c r="FQ280">
        <v>0</v>
      </c>
      <c r="FR280">
        <f t="shared" si="296"/>
        <v>0</v>
      </c>
      <c r="FS280">
        <v>0</v>
      </c>
      <c r="FX280">
        <v>110</v>
      </c>
      <c r="FY280">
        <v>70</v>
      </c>
      <c r="GA280" t="s">
        <v>6</v>
      </c>
      <c r="GD280">
        <v>1</v>
      </c>
      <c r="GF280">
        <v>1024512293</v>
      </c>
      <c r="GG280">
        <v>2</v>
      </c>
      <c r="GH280">
        <v>1</v>
      </c>
      <c r="GI280">
        <v>2</v>
      </c>
      <c r="GJ280">
        <v>0</v>
      </c>
      <c r="GK280">
        <v>0</v>
      </c>
      <c r="GL280">
        <f t="shared" si="297"/>
        <v>0</v>
      </c>
      <c r="GM280" t="e">
        <f t="shared" si="298"/>
        <v>#REF!</v>
      </c>
      <c r="GN280" t="e">
        <f t="shared" si="319"/>
        <v>#REF!</v>
      </c>
      <c r="GO280">
        <f t="shared" si="300"/>
        <v>0</v>
      </c>
      <c r="GP280">
        <f t="shared" si="301"/>
        <v>0</v>
      </c>
      <c r="GR280">
        <v>0</v>
      </c>
      <c r="GS280">
        <v>3</v>
      </c>
      <c r="GT280">
        <v>0</v>
      </c>
      <c r="GU280" t="s">
        <v>414</v>
      </c>
      <c r="GV280">
        <f>ROUND(((GT280*12.5)),2)</f>
        <v>0</v>
      </c>
      <c r="GW280">
        <v>1015.2</v>
      </c>
      <c r="GX280" t="e">
        <f t="shared" si="303"/>
        <v>#REF!</v>
      </c>
      <c r="HA280">
        <v>0</v>
      </c>
      <c r="HB280">
        <v>0</v>
      </c>
      <c r="HC280">
        <f t="shared" si="304"/>
        <v>0</v>
      </c>
      <c r="HE280" t="s">
        <v>6</v>
      </c>
      <c r="HF280" t="s">
        <v>6</v>
      </c>
      <c r="HM280" t="s">
        <v>6</v>
      </c>
      <c r="HN280" t="s">
        <v>6</v>
      </c>
      <c r="HO280" t="s">
        <v>6</v>
      </c>
      <c r="HP280" t="s">
        <v>6</v>
      </c>
      <c r="HQ280" t="s">
        <v>6</v>
      </c>
      <c r="IF280">
        <v>-1</v>
      </c>
      <c r="IK280">
        <v>0</v>
      </c>
    </row>
    <row r="281" spans="1:255" x14ac:dyDescent="0.2">
      <c r="IF281">
        <v>-1</v>
      </c>
    </row>
    <row r="282" spans="1:255" x14ac:dyDescent="0.2">
      <c r="A282" s="3">
        <v>51</v>
      </c>
      <c r="B282" s="3">
        <f>B115</f>
        <v>1</v>
      </c>
      <c r="C282" s="3">
        <f>A115</f>
        <v>4</v>
      </c>
      <c r="D282" s="3">
        <f>ROW(A115)</f>
        <v>115</v>
      </c>
      <c r="E282" s="3"/>
      <c r="F282" s="3" t="str">
        <f>IF(F115&lt;&gt;"",F115,"")</f>
        <v>Стены монолит 17-20 этажи</v>
      </c>
      <c r="G282" s="3" t="str">
        <f>IF(G115&lt;&gt;"",G115,"")</f>
        <v>Стены монолит 17-20 этажи</v>
      </c>
      <c r="H282" s="3">
        <v>0</v>
      </c>
      <c r="I282" s="3"/>
      <c r="J282" s="3"/>
      <c r="K282" s="3"/>
      <c r="L282" s="3"/>
      <c r="M282" s="3"/>
      <c r="N282" s="3"/>
      <c r="O282" s="3" t="e">
        <f t="shared" ref="O282:T282" si="320">ROUND(AB282,0)</f>
        <v>#REF!</v>
      </c>
      <c r="P282" s="3" t="e">
        <f t="shared" si="320"/>
        <v>#REF!</v>
      </c>
      <c r="Q282" s="3" t="e">
        <f t="shared" si="320"/>
        <v>#REF!</v>
      </c>
      <c r="R282" s="3" t="e">
        <f t="shared" si="320"/>
        <v>#REF!</v>
      </c>
      <c r="S282" s="3" t="e">
        <f t="shared" si="320"/>
        <v>#REF!</v>
      </c>
      <c r="T282" s="3" t="e">
        <f t="shared" si="320"/>
        <v>#REF!</v>
      </c>
      <c r="U282" s="3" t="e">
        <f>AH282</f>
        <v>#REF!</v>
      </c>
      <c r="V282" s="3" t="e">
        <f>AI282</f>
        <v>#REF!</v>
      </c>
      <c r="W282" s="3" t="e">
        <f>ROUND(AJ282,0)</f>
        <v>#REF!</v>
      </c>
      <c r="X282" s="3" t="e">
        <f>ROUND(AK282,0)</f>
        <v>#REF!</v>
      </c>
      <c r="Y282" s="3" t="e">
        <f>ROUND(AL282,0)</f>
        <v>#REF!</v>
      </c>
      <c r="Z282" s="3"/>
      <c r="AA282" s="3"/>
      <c r="AB282" s="3" t="e">
        <f>ROUND(SUMIF(AA119:AA280,"=86326987",O119:O280),0)</f>
        <v>#REF!</v>
      </c>
      <c r="AC282" s="3" t="e">
        <f>ROUND(SUMIF(AA119:AA280,"=86326987",P119:P280),0)</f>
        <v>#REF!</v>
      </c>
      <c r="AD282" s="3" t="e">
        <f>ROUND(SUMIF(AA119:AA280,"=86326987",Q119:Q280),0)</f>
        <v>#REF!</v>
      </c>
      <c r="AE282" s="3" t="e">
        <f>ROUND(SUMIF(AA119:AA280,"=86326987",R119:R280),0)</f>
        <v>#REF!</v>
      </c>
      <c r="AF282" s="3" t="e">
        <f>ROUND(SUMIF(AA119:AA280,"=86326987",S119:S280),0)</f>
        <v>#REF!</v>
      </c>
      <c r="AG282" s="3" t="e">
        <f>ROUND(SUMIF(AA119:AA280,"=86326987",T119:T280),0)</f>
        <v>#REF!</v>
      </c>
      <c r="AH282" s="3" t="e">
        <f>SUMIF(AA119:AA280,"=86326987",U119:U280)</f>
        <v>#REF!</v>
      </c>
      <c r="AI282" s="3" t="e">
        <f>SUMIF(AA119:AA280,"=86326987",V119:V280)</f>
        <v>#REF!</v>
      </c>
      <c r="AJ282" s="3" t="e">
        <f>ROUND(SUMIF(AA119:AA280,"=86326987",W119:W280),0)</f>
        <v>#REF!</v>
      </c>
      <c r="AK282" s="3" t="e">
        <f>ROUND(SUMIF(AA119:AA280,"=86326987",X119:X280),0)</f>
        <v>#REF!</v>
      </c>
      <c r="AL282" s="3" t="e">
        <f>ROUND(SUMIF(AA119:AA280,"=86326987",Y119:Y280),0)</f>
        <v>#REF!</v>
      </c>
      <c r="AM282" s="3"/>
      <c r="AN282" s="3"/>
      <c r="AO282" s="3">
        <f t="shared" ref="AO282:BD282" si="321">ROUND(BX282,0)</f>
        <v>0</v>
      </c>
      <c r="AP282" s="3">
        <f t="shared" si="321"/>
        <v>0</v>
      </c>
      <c r="AQ282" s="3">
        <f t="shared" si="321"/>
        <v>0</v>
      </c>
      <c r="AR282" s="3" t="e">
        <f t="shared" si="321"/>
        <v>#REF!</v>
      </c>
      <c r="AS282" s="3" t="e">
        <f t="shared" si="321"/>
        <v>#REF!</v>
      </c>
      <c r="AT282" s="3" t="e">
        <f t="shared" si="321"/>
        <v>#REF!</v>
      </c>
      <c r="AU282" s="3">
        <f t="shared" si="321"/>
        <v>0</v>
      </c>
      <c r="AV282" s="3" t="e">
        <f t="shared" si="321"/>
        <v>#REF!</v>
      </c>
      <c r="AW282" s="3" t="e">
        <f t="shared" si="321"/>
        <v>#REF!</v>
      </c>
      <c r="AX282" s="3">
        <f t="shared" si="321"/>
        <v>0</v>
      </c>
      <c r="AY282" s="3" t="e">
        <f t="shared" si="321"/>
        <v>#REF!</v>
      </c>
      <c r="AZ282" s="3">
        <f t="shared" si="321"/>
        <v>0</v>
      </c>
      <c r="BA282" s="3" t="e">
        <f t="shared" si="321"/>
        <v>#REF!</v>
      </c>
      <c r="BB282" s="3">
        <f t="shared" si="321"/>
        <v>0</v>
      </c>
      <c r="BC282" s="3">
        <f t="shared" si="321"/>
        <v>0</v>
      </c>
      <c r="BD282" s="3">
        <f t="shared" si="321"/>
        <v>0</v>
      </c>
      <c r="BE282" s="3"/>
      <c r="BF282" s="3"/>
      <c r="BG282" s="3"/>
      <c r="BH282" s="3"/>
      <c r="BI282" s="3"/>
      <c r="BJ282" s="3"/>
      <c r="BK282" s="3"/>
      <c r="BL282" s="3"/>
      <c r="BM282" s="3"/>
      <c r="BN282" s="3"/>
      <c r="BO282" s="3"/>
      <c r="BP282" s="3"/>
      <c r="BQ282" s="3"/>
      <c r="BR282" s="3"/>
      <c r="BS282" s="3"/>
      <c r="BT282" s="3"/>
      <c r="BU282" s="3"/>
      <c r="BV282" s="3"/>
      <c r="BW282" s="3"/>
      <c r="BX282" s="3">
        <f>ROUND(SUMIF(AA119:AA280,"=86326987",FQ119:FQ280),0)</f>
        <v>0</v>
      </c>
      <c r="BY282" s="3">
        <f>ROUND(SUMIF(AA119:AA280,"=86326987",FR119:FR280),0)</f>
        <v>0</v>
      </c>
      <c r="BZ282" s="3">
        <f>ROUND(SUMIF(AA119:AA280,"=86326987",GL119:GL280),0)</f>
        <v>0</v>
      </c>
      <c r="CA282" s="3" t="e">
        <f>ROUND(SUMIF(AA119:AA280,"=86326987",GM119:GM280),0)</f>
        <v>#REF!</v>
      </c>
      <c r="CB282" s="3" t="e">
        <f>ROUND(SUMIF(AA119:AA280,"=86326987",GN119:GN280),0)</f>
        <v>#REF!</v>
      </c>
      <c r="CC282" s="3" t="e">
        <f>ROUND(SUMIF(AA119:AA280,"=86326987",GO119:GO280),0)</f>
        <v>#REF!</v>
      </c>
      <c r="CD282" s="3">
        <f>ROUND(SUMIF(AA119:AA280,"=86326987",GP119:GP280),0)</f>
        <v>0</v>
      </c>
      <c r="CE282" s="3" t="e">
        <f>AC282-BX282</f>
        <v>#REF!</v>
      </c>
      <c r="CF282" s="3" t="e">
        <f>AC282-BY282</f>
        <v>#REF!</v>
      </c>
      <c r="CG282" s="3">
        <f>BX282-BZ282</f>
        <v>0</v>
      </c>
      <c r="CH282" s="3" t="e">
        <f>AC282-BX282-BY282+BZ282</f>
        <v>#REF!</v>
      </c>
      <c r="CI282" s="3">
        <f>BY282-BZ282</f>
        <v>0</v>
      </c>
      <c r="CJ282" s="3" t="e">
        <f>ROUND(SUMIF(AA119:AA280,"=86326987",GX119:GX280),0)</f>
        <v>#REF!</v>
      </c>
      <c r="CK282" s="3">
        <f>ROUND(SUMIF(AA119:AA280,"=86326987",GY119:GY280),0)</f>
        <v>0</v>
      </c>
      <c r="CL282" s="3">
        <f>ROUND(SUMIF(AA119:AA280,"=86326987",GZ119:GZ280),0)</f>
        <v>0</v>
      </c>
      <c r="CM282" s="3">
        <f>ROUND(SUMIF(AA119:AA280,"=86326987",HD119:HD280),0)</f>
        <v>0</v>
      </c>
      <c r="CN282" s="3"/>
      <c r="CO282" s="3"/>
      <c r="CP282" s="3"/>
      <c r="CQ282" s="3"/>
      <c r="CR282" s="3"/>
      <c r="CS282" s="3"/>
      <c r="CT282" s="3"/>
      <c r="CU282" s="3"/>
      <c r="CV282" s="3"/>
      <c r="CW282" s="3"/>
      <c r="CX282" s="3"/>
      <c r="CY282" s="3"/>
      <c r="CZ282" s="3"/>
      <c r="DA282" s="3"/>
      <c r="DB282" s="3"/>
      <c r="DC282" s="3"/>
      <c r="DD282" s="3"/>
      <c r="DE282" s="3"/>
      <c r="DF282" s="3"/>
      <c r="DG282" s="4" t="e">
        <f t="shared" ref="DG282:DL282" si="322">ROUND(DT282,0)</f>
        <v>#REF!</v>
      </c>
      <c r="DH282" s="4" t="e">
        <f t="shared" si="322"/>
        <v>#REF!</v>
      </c>
      <c r="DI282" s="4" t="e">
        <f t="shared" si="322"/>
        <v>#REF!</v>
      </c>
      <c r="DJ282" s="4" t="e">
        <f t="shared" si="322"/>
        <v>#REF!</v>
      </c>
      <c r="DK282" s="4" t="e">
        <f t="shared" si="322"/>
        <v>#REF!</v>
      </c>
      <c r="DL282" s="4" t="e">
        <f t="shared" si="322"/>
        <v>#REF!</v>
      </c>
      <c r="DM282" s="4" t="e">
        <f>DZ282</f>
        <v>#REF!</v>
      </c>
      <c r="DN282" s="4" t="e">
        <f>EA282</f>
        <v>#REF!</v>
      </c>
      <c r="DO282" s="4" t="e">
        <f>ROUND(EB282,0)</f>
        <v>#REF!</v>
      </c>
      <c r="DP282" s="4" t="e">
        <f>ROUND(EC282,0)</f>
        <v>#REF!</v>
      </c>
      <c r="DQ282" s="4" t="e">
        <f>ROUND(ED282,0)</f>
        <v>#REF!</v>
      </c>
      <c r="DR282" s="4"/>
      <c r="DS282" s="4"/>
      <c r="DT282" s="4" t="e">
        <f>ROUND(SUMIF(AA119:AA280,"=86326988",O119:O280),0)</f>
        <v>#REF!</v>
      </c>
      <c r="DU282" s="4" t="e">
        <f>ROUND(SUMIF(AA119:AA280,"=86326988",P119:P280),0)</f>
        <v>#REF!</v>
      </c>
      <c r="DV282" s="4" t="e">
        <f>ROUND(SUMIF(AA119:AA280,"=86326988",Q119:Q280),0)</f>
        <v>#REF!</v>
      </c>
      <c r="DW282" s="4" t="e">
        <f>ROUND(SUMIF(AA119:AA280,"=86326988",R119:R280),0)</f>
        <v>#REF!</v>
      </c>
      <c r="DX282" s="4" t="e">
        <f>ROUND(SUMIF(AA119:AA280,"=86326988",S119:S280),0)</f>
        <v>#REF!</v>
      </c>
      <c r="DY282" s="4" t="e">
        <f>ROUND(SUMIF(AA119:AA280,"=86326988",T119:T280),0)</f>
        <v>#REF!</v>
      </c>
      <c r="DZ282" s="4" t="e">
        <f>SUMIF(AA119:AA280,"=86326988",U119:U280)</f>
        <v>#REF!</v>
      </c>
      <c r="EA282" s="4" t="e">
        <f>SUMIF(AA119:AA280,"=86326988",V119:V280)</f>
        <v>#REF!</v>
      </c>
      <c r="EB282" s="4" t="e">
        <f>ROUND(SUMIF(AA119:AA280,"=86326988",W119:W280),0)</f>
        <v>#REF!</v>
      </c>
      <c r="EC282" s="4" t="e">
        <f>ROUND(SUMIF(AA119:AA280,"=86326988",X119:X280),0)</f>
        <v>#REF!</v>
      </c>
      <c r="ED282" s="4" t="e">
        <f>ROUND(SUMIF(AA119:AA280,"=86326988",Y119:Y280),0)</f>
        <v>#REF!</v>
      </c>
      <c r="EE282" s="4"/>
      <c r="EF282" s="4"/>
      <c r="EG282" s="4">
        <f t="shared" ref="EG282:EV282" si="323">ROUND(FP282,0)</f>
        <v>0</v>
      </c>
      <c r="EH282" s="4">
        <f t="shared" si="323"/>
        <v>0</v>
      </c>
      <c r="EI282" s="4">
        <f t="shared" si="323"/>
        <v>0</v>
      </c>
      <c r="EJ282" s="4" t="e">
        <f t="shared" si="323"/>
        <v>#REF!</v>
      </c>
      <c r="EK282" s="4" t="e">
        <f t="shared" si="323"/>
        <v>#REF!</v>
      </c>
      <c r="EL282" s="4" t="e">
        <f t="shared" si="323"/>
        <v>#REF!</v>
      </c>
      <c r="EM282" s="4">
        <f t="shared" si="323"/>
        <v>0</v>
      </c>
      <c r="EN282" s="4" t="e">
        <f t="shared" si="323"/>
        <v>#REF!</v>
      </c>
      <c r="EO282" s="4" t="e">
        <f t="shared" si="323"/>
        <v>#REF!</v>
      </c>
      <c r="EP282" s="4">
        <f t="shared" si="323"/>
        <v>0</v>
      </c>
      <c r="EQ282" s="4" t="e">
        <f t="shared" si="323"/>
        <v>#REF!</v>
      </c>
      <c r="ER282" s="4">
        <f t="shared" si="323"/>
        <v>0</v>
      </c>
      <c r="ES282" s="4" t="e">
        <f t="shared" si="323"/>
        <v>#REF!</v>
      </c>
      <c r="ET282" s="4">
        <f t="shared" si="323"/>
        <v>0</v>
      </c>
      <c r="EU282" s="4">
        <f t="shared" si="323"/>
        <v>0</v>
      </c>
      <c r="EV282" s="4">
        <f t="shared" si="323"/>
        <v>0</v>
      </c>
      <c r="EW282" s="4"/>
      <c r="EX282" s="4"/>
      <c r="EY282" s="4"/>
      <c r="EZ282" s="4"/>
      <c r="FA282" s="4"/>
      <c r="FB282" s="4"/>
      <c r="FC282" s="4"/>
      <c r="FD282" s="4"/>
      <c r="FE282" s="4"/>
      <c r="FF282" s="4"/>
      <c r="FG282" s="4"/>
      <c r="FH282" s="4"/>
      <c r="FI282" s="4"/>
      <c r="FJ282" s="4"/>
      <c r="FK282" s="4"/>
      <c r="FL282" s="4"/>
      <c r="FM282" s="4"/>
      <c r="FN282" s="4"/>
      <c r="FO282" s="4"/>
      <c r="FP282" s="4">
        <f>ROUND(SUMIF(AA119:AA280,"=86326988",FQ119:FQ280),0)</f>
        <v>0</v>
      </c>
      <c r="FQ282" s="4">
        <f>ROUND(SUMIF(AA119:AA280,"=86326988",FR119:FR280),0)</f>
        <v>0</v>
      </c>
      <c r="FR282" s="4">
        <f>ROUND(SUMIF(AA119:AA280,"=86326988",GL119:GL280),0)</f>
        <v>0</v>
      </c>
      <c r="FS282" s="4" t="e">
        <f>ROUND(SUMIF(AA119:AA280,"=86326988",GM119:GM280),0)</f>
        <v>#REF!</v>
      </c>
      <c r="FT282" s="4" t="e">
        <f>ROUND(SUMIF(AA119:AA280,"=86326988",GN119:GN280),0)</f>
        <v>#REF!</v>
      </c>
      <c r="FU282" s="4" t="e">
        <f>ROUND(SUMIF(AA119:AA280,"=86326988",GO119:GO280),0)</f>
        <v>#REF!</v>
      </c>
      <c r="FV282" s="4">
        <f>ROUND(SUMIF(AA119:AA280,"=86326988",GP119:GP280),0)</f>
        <v>0</v>
      </c>
      <c r="FW282" s="4" t="e">
        <f>DU282-FP282</f>
        <v>#REF!</v>
      </c>
      <c r="FX282" s="4" t="e">
        <f>DU282-FQ282</f>
        <v>#REF!</v>
      </c>
      <c r="FY282" s="4">
        <f>FP282-FR282</f>
        <v>0</v>
      </c>
      <c r="FZ282" s="4" t="e">
        <f>DU282-FP282-FQ282+FR282</f>
        <v>#REF!</v>
      </c>
      <c r="GA282" s="4">
        <f>FQ282-FR282</f>
        <v>0</v>
      </c>
      <c r="GB282" s="4" t="e">
        <f>ROUND(SUMIF(AA119:AA280,"=86326988",GX119:GX280),0)</f>
        <v>#REF!</v>
      </c>
      <c r="GC282" s="4">
        <f>ROUND(SUMIF(AA119:AA280,"=86326988",GY119:GY280),0)</f>
        <v>0</v>
      </c>
      <c r="GD282" s="4">
        <f>ROUND(SUMIF(AA119:AA280,"=86326988",GZ119:GZ280),0)</f>
        <v>0</v>
      </c>
      <c r="GE282" s="4">
        <f>ROUND(SUMIF(AA119:AA280,"=86326988",HD119:HD280),0)</f>
        <v>0</v>
      </c>
      <c r="GF282" s="4"/>
      <c r="GG282" s="4"/>
      <c r="GH282" s="4"/>
      <c r="GI282" s="4"/>
      <c r="GJ282" s="4"/>
      <c r="GK282" s="4"/>
      <c r="GL282" s="4"/>
      <c r="GM282" s="4"/>
      <c r="GN282" s="4"/>
      <c r="GO282" s="4"/>
      <c r="GP282" s="4"/>
      <c r="GQ282" s="4"/>
      <c r="GR282" s="4"/>
      <c r="GS282" s="4"/>
      <c r="GT282" s="4"/>
      <c r="GU282" s="4"/>
      <c r="GV282" s="4"/>
      <c r="GW282" s="4"/>
      <c r="GX282" s="4">
        <v>0</v>
      </c>
      <c r="IF282">
        <v>-1</v>
      </c>
    </row>
    <row r="283" spans="1:255" x14ac:dyDescent="0.2">
      <c r="IF283">
        <v>-1</v>
      </c>
    </row>
    <row r="284" spans="1:255" x14ac:dyDescent="0.2">
      <c r="A284" s="5">
        <v>50</v>
      </c>
      <c r="B284" s="5">
        <v>0</v>
      </c>
      <c r="C284" s="5">
        <v>0</v>
      </c>
      <c r="D284" s="5">
        <v>1</v>
      </c>
      <c r="E284" s="5">
        <v>201</v>
      </c>
      <c r="F284" s="5" t="e">
        <f>ROUND(Source!O282,O284)</f>
        <v>#REF!</v>
      </c>
      <c r="G284" s="5" t="s">
        <v>142</v>
      </c>
      <c r="H284" s="5" t="s">
        <v>143</v>
      </c>
      <c r="I284" s="5"/>
      <c r="J284" s="5"/>
      <c r="K284" s="5">
        <v>201</v>
      </c>
      <c r="L284" s="5">
        <v>1</v>
      </c>
      <c r="M284" s="5">
        <v>3</v>
      </c>
      <c r="N284" s="5" t="s">
        <v>6</v>
      </c>
      <c r="O284" s="5">
        <v>0</v>
      </c>
      <c r="P284" s="5" t="e">
        <f>ROUND(Source!DG282,O284)</f>
        <v>#REF!</v>
      </c>
      <c r="Q284" s="5"/>
      <c r="R284" s="5"/>
      <c r="S284" s="5"/>
      <c r="T284" s="5"/>
      <c r="U284" s="5"/>
      <c r="V284" s="5"/>
      <c r="W284" s="5">
        <v>755353</v>
      </c>
      <c r="X284" s="5">
        <v>1</v>
      </c>
      <c r="Y284" s="5">
        <v>755353</v>
      </c>
      <c r="Z284" s="5">
        <v>8351777</v>
      </c>
      <c r="AA284" s="5">
        <v>1</v>
      </c>
      <c r="AB284" s="5">
        <v>8351777</v>
      </c>
      <c r="IF284">
        <v>-1</v>
      </c>
    </row>
    <row r="285" spans="1:255" x14ac:dyDescent="0.2">
      <c r="A285" s="5">
        <v>50</v>
      </c>
      <c r="B285" s="5">
        <v>0</v>
      </c>
      <c r="C285" s="5">
        <v>0</v>
      </c>
      <c r="D285" s="5">
        <v>1</v>
      </c>
      <c r="E285" s="5">
        <v>202</v>
      </c>
      <c r="F285" s="5" t="e">
        <f>ROUND(Source!P282,O285)</f>
        <v>#REF!</v>
      </c>
      <c r="G285" s="5" t="s">
        <v>144</v>
      </c>
      <c r="H285" s="5" t="s">
        <v>145</v>
      </c>
      <c r="I285" s="5"/>
      <c r="J285" s="5"/>
      <c r="K285" s="5">
        <v>202</v>
      </c>
      <c r="L285" s="5">
        <v>2</v>
      </c>
      <c r="M285" s="5">
        <v>3</v>
      </c>
      <c r="N285" s="5" t="s">
        <v>6</v>
      </c>
      <c r="O285" s="5">
        <v>0</v>
      </c>
      <c r="P285" s="5" t="e">
        <f>ROUND(Source!DH282,O285)</f>
        <v>#REF!</v>
      </c>
      <c r="Q285" s="5"/>
      <c r="R285" s="5"/>
      <c r="S285" s="5"/>
      <c r="T285" s="5"/>
      <c r="U285" s="5"/>
      <c r="V285" s="5"/>
      <c r="W285" s="5">
        <v>563267</v>
      </c>
      <c r="X285" s="5">
        <v>1</v>
      </c>
      <c r="Y285" s="5">
        <v>563267</v>
      </c>
      <c r="Z285" s="5">
        <v>5390573</v>
      </c>
      <c r="AA285" s="5">
        <v>1</v>
      </c>
      <c r="AB285" s="5">
        <v>5390573</v>
      </c>
      <c r="IF285">
        <v>-1</v>
      </c>
    </row>
    <row r="286" spans="1:255" x14ac:dyDescent="0.2">
      <c r="A286" s="5">
        <v>50</v>
      </c>
      <c r="B286" s="5">
        <v>0</v>
      </c>
      <c r="C286" s="5">
        <v>0</v>
      </c>
      <c r="D286" s="5">
        <v>1</v>
      </c>
      <c r="E286" s="5">
        <v>222</v>
      </c>
      <c r="F286" s="5">
        <f>ROUND(Source!AO282,O286)</f>
        <v>0</v>
      </c>
      <c r="G286" s="5" t="s">
        <v>146</v>
      </c>
      <c r="H286" s="5" t="s">
        <v>147</v>
      </c>
      <c r="I286" s="5"/>
      <c r="J286" s="5"/>
      <c r="K286" s="5">
        <v>222</v>
      </c>
      <c r="L286" s="5">
        <v>3</v>
      </c>
      <c r="M286" s="5">
        <v>3</v>
      </c>
      <c r="N286" s="5" t="s">
        <v>6</v>
      </c>
      <c r="O286" s="5">
        <v>0</v>
      </c>
      <c r="P286" s="5">
        <f>ROUND(Source!EG282,O286)</f>
        <v>0</v>
      </c>
      <c r="Q286" s="5"/>
      <c r="R286" s="5"/>
      <c r="S286" s="5"/>
      <c r="T286" s="5"/>
      <c r="U286" s="5"/>
      <c r="V286" s="5"/>
      <c r="W286" s="5">
        <v>0</v>
      </c>
      <c r="X286" s="5">
        <v>1</v>
      </c>
      <c r="Y286" s="5">
        <v>0</v>
      </c>
      <c r="Z286" s="5">
        <v>0</v>
      </c>
      <c r="AA286" s="5">
        <v>1</v>
      </c>
      <c r="AB286" s="5">
        <v>0</v>
      </c>
      <c r="IF286">
        <v>-1</v>
      </c>
    </row>
    <row r="287" spans="1:255" x14ac:dyDescent="0.2">
      <c r="A287" s="5">
        <v>50</v>
      </c>
      <c r="B287" s="5">
        <v>0</v>
      </c>
      <c r="C287" s="5">
        <v>0</v>
      </c>
      <c r="D287" s="5">
        <v>1</v>
      </c>
      <c r="E287" s="5">
        <v>225</v>
      </c>
      <c r="F287" s="5" t="e">
        <f>ROUND(Source!AV282,O287)</f>
        <v>#REF!</v>
      </c>
      <c r="G287" s="5" t="s">
        <v>148</v>
      </c>
      <c r="H287" s="5" t="s">
        <v>149</v>
      </c>
      <c r="I287" s="5"/>
      <c r="J287" s="5"/>
      <c r="K287" s="5">
        <v>225</v>
      </c>
      <c r="L287" s="5">
        <v>4</v>
      </c>
      <c r="M287" s="5">
        <v>3</v>
      </c>
      <c r="N287" s="5" t="s">
        <v>6</v>
      </c>
      <c r="O287" s="5">
        <v>0</v>
      </c>
      <c r="P287" s="5" t="e">
        <f>ROUND(Source!EN282,O287)</f>
        <v>#REF!</v>
      </c>
      <c r="Q287" s="5"/>
      <c r="R287" s="5"/>
      <c r="S287" s="5"/>
      <c r="T287" s="5"/>
      <c r="U287" s="5"/>
      <c r="V287" s="5"/>
      <c r="W287" s="5">
        <v>563267</v>
      </c>
      <c r="X287" s="5">
        <v>1</v>
      </c>
      <c r="Y287" s="5">
        <v>563267</v>
      </c>
      <c r="Z287" s="5">
        <v>5390573</v>
      </c>
      <c r="AA287" s="5">
        <v>1</v>
      </c>
      <c r="AB287" s="5">
        <v>5390573</v>
      </c>
      <c r="IF287">
        <v>-1</v>
      </c>
    </row>
    <row r="288" spans="1:255" x14ac:dyDescent="0.2">
      <c r="A288" s="5">
        <v>50</v>
      </c>
      <c r="B288" s="5">
        <v>0</v>
      </c>
      <c r="C288" s="5">
        <v>0</v>
      </c>
      <c r="D288" s="5">
        <v>1</v>
      </c>
      <c r="E288" s="5">
        <v>226</v>
      </c>
      <c r="F288" s="5" t="e">
        <f>ROUND(Source!AW282,O288)</f>
        <v>#REF!</v>
      </c>
      <c r="G288" s="5" t="s">
        <v>150</v>
      </c>
      <c r="H288" s="5" t="s">
        <v>151</v>
      </c>
      <c r="I288" s="5"/>
      <c r="J288" s="5"/>
      <c r="K288" s="5">
        <v>226</v>
      </c>
      <c r="L288" s="5">
        <v>5</v>
      </c>
      <c r="M288" s="5">
        <v>3</v>
      </c>
      <c r="N288" s="5" t="s">
        <v>6</v>
      </c>
      <c r="O288" s="5">
        <v>0</v>
      </c>
      <c r="P288" s="5" t="e">
        <f>ROUND(Source!EO282,O288)</f>
        <v>#REF!</v>
      </c>
      <c r="Q288" s="5"/>
      <c r="R288" s="5"/>
      <c r="S288" s="5"/>
      <c r="T288" s="5"/>
      <c r="U288" s="5"/>
      <c r="V288" s="5"/>
      <c r="W288" s="5">
        <v>563267</v>
      </c>
      <c r="X288" s="5">
        <v>1</v>
      </c>
      <c r="Y288" s="5">
        <v>563267</v>
      </c>
      <c r="Z288" s="5">
        <v>5390573</v>
      </c>
      <c r="AA288" s="5">
        <v>1</v>
      </c>
      <c r="AB288" s="5">
        <v>5390573</v>
      </c>
      <c r="IF288">
        <v>-1</v>
      </c>
    </row>
    <row r="289" spans="1:240" x14ac:dyDescent="0.2">
      <c r="A289" s="5">
        <v>50</v>
      </c>
      <c r="B289" s="5">
        <v>0</v>
      </c>
      <c r="C289" s="5">
        <v>0</v>
      </c>
      <c r="D289" s="5">
        <v>1</v>
      </c>
      <c r="E289" s="5">
        <v>227</v>
      </c>
      <c r="F289" s="5">
        <f>ROUND(Source!AX282,O289)</f>
        <v>0</v>
      </c>
      <c r="G289" s="5" t="s">
        <v>152</v>
      </c>
      <c r="H289" s="5" t="s">
        <v>153</v>
      </c>
      <c r="I289" s="5"/>
      <c r="J289" s="5"/>
      <c r="K289" s="5">
        <v>227</v>
      </c>
      <c r="L289" s="5">
        <v>6</v>
      </c>
      <c r="M289" s="5">
        <v>3</v>
      </c>
      <c r="N289" s="5" t="s">
        <v>6</v>
      </c>
      <c r="O289" s="5">
        <v>0</v>
      </c>
      <c r="P289" s="5">
        <f>ROUND(Source!EP282,O289)</f>
        <v>0</v>
      </c>
      <c r="Q289" s="5"/>
      <c r="R289" s="5"/>
      <c r="S289" s="5"/>
      <c r="T289" s="5"/>
      <c r="U289" s="5"/>
      <c r="V289" s="5"/>
      <c r="W289" s="5">
        <v>0</v>
      </c>
      <c r="X289" s="5">
        <v>1</v>
      </c>
      <c r="Y289" s="5">
        <v>0</v>
      </c>
      <c r="Z289" s="5">
        <v>0</v>
      </c>
      <c r="AA289" s="5">
        <v>1</v>
      </c>
      <c r="AB289" s="5">
        <v>0</v>
      </c>
      <c r="IF289">
        <v>-1</v>
      </c>
    </row>
    <row r="290" spans="1:240" x14ac:dyDescent="0.2">
      <c r="A290" s="5">
        <v>50</v>
      </c>
      <c r="B290" s="5">
        <v>0</v>
      </c>
      <c r="C290" s="5">
        <v>0</v>
      </c>
      <c r="D290" s="5">
        <v>1</v>
      </c>
      <c r="E290" s="5">
        <v>228</v>
      </c>
      <c r="F290" s="5" t="e">
        <f>ROUND(Source!AY282,O290)</f>
        <v>#REF!</v>
      </c>
      <c r="G290" s="5" t="s">
        <v>154</v>
      </c>
      <c r="H290" s="5" t="s">
        <v>155</v>
      </c>
      <c r="I290" s="5"/>
      <c r="J290" s="5"/>
      <c r="K290" s="5">
        <v>228</v>
      </c>
      <c r="L290" s="5">
        <v>7</v>
      </c>
      <c r="M290" s="5">
        <v>3</v>
      </c>
      <c r="N290" s="5" t="s">
        <v>6</v>
      </c>
      <c r="O290" s="5">
        <v>0</v>
      </c>
      <c r="P290" s="5" t="e">
        <f>ROUND(Source!EQ282,O290)</f>
        <v>#REF!</v>
      </c>
      <c r="Q290" s="5"/>
      <c r="R290" s="5"/>
      <c r="S290" s="5"/>
      <c r="T290" s="5"/>
      <c r="U290" s="5"/>
      <c r="V290" s="5"/>
      <c r="W290" s="5">
        <v>563267</v>
      </c>
      <c r="X290" s="5">
        <v>1</v>
      </c>
      <c r="Y290" s="5">
        <v>563267</v>
      </c>
      <c r="Z290" s="5">
        <v>5390573</v>
      </c>
      <c r="AA290" s="5">
        <v>1</v>
      </c>
      <c r="AB290" s="5">
        <v>5390573</v>
      </c>
      <c r="IF290">
        <v>-1</v>
      </c>
    </row>
    <row r="291" spans="1:240" x14ac:dyDescent="0.2">
      <c r="A291" s="5">
        <v>50</v>
      </c>
      <c r="B291" s="5">
        <v>0</v>
      </c>
      <c r="C291" s="5">
        <v>0</v>
      </c>
      <c r="D291" s="5">
        <v>1</v>
      </c>
      <c r="E291" s="5">
        <v>216</v>
      </c>
      <c r="F291" s="5">
        <f>ROUND(Source!AP282,O291)</f>
        <v>0</v>
      </c>
      <c r="G291" s="5" t="s">
        <v>156</v>
      </c>
      <c r="H291" s="5" t="s">
        <v>157</v>
      </c>
      <c r="I291" s="5"/>
      <c r="J291" s="5"/>
      <c r="K291" s="5">
        <v>216</v>
      </c>
      <c r="L291" s="5">
        <v>8</v>
      </c>
      <c r="M291" s="5">
        <v>3</v>
      </c>
      <c r="N291" s="5" t="s">
        <v>6</v>
      </c>
      <c r="O291" s="5">
        <v>0</v>
      </c>
      <c r="P291" s="5">
        <f>ROUND(Source!EH282,O291)</f>
        <v>0</v>
      </c>
      <c r="Q291" s="5"/>
      <c r="R291" s="5"/>
      <c r="S291" s="5"/>
      <c r="T291" s="5"/>
      <c r="U291" s="5"/>
      <c r="V291" s="5"/>
      <c r="W291" s="5">
        <v>0</v>
      </c>
      <c r="X291" s="5">
        <v>1</v>
      </c>
      <c r="Y291" s="5">
        <v>0</v>
      </c>
      <c r="Z291" s="5">
        <v>0</v>
      </c>
      <c r="AA291" s="5">
        <v>1</v>
      </c>
      <c r="AB291" s="5">
        <v>0</v>
      </c>
      <c r="IF291">
        <v>-1</v>
      </c>
    </row>
    <row r="292" spans="1:240" x14ac:dyDescent="0.2">
      <c r="A292" s="5">
        <v>50</v>
      </c>
      <c r="B292" s="5">
        <v>0</v>
      </c>
      <c r="C292" s="5">
        <v>0</v>
      </c>
      <c r="D292" s="5">
        <v>1</v>
      </c>
      <c r="E292" s="5">
        <v>223</v>
      </c>
      <c r="F292" s="5">
        <f>ROUND(Source!AQ282,O292)</f>
        <v>0</v>
      </c>
      <c r="G292" s="5" t="s">
        <v>158</v>
      </c>
      <c r="H292" s="5" t="s">
        <v>159</v>
      </c>
      <c r="I292" s="5"/>
      <c r="J292" s="5"/>
      <c r="K292" s="5">
        <v>223</v>
      </c>
      <c r="L292" s="5">
        <v>9</v>
      </c>
      <c r="M292" s="5">
        <v>3</v>
      </c>
      <c r="N292" s="5" t="s">
        <v>6</v>
      </c>
      <c r="O292" s="5">
        <v>0</v>
      </c>
      <c r="P292" s="5">
        <f>ROUND(Source!EI282,O292)</f>
        <v>0</v>
      </c>
      <c r="Q292" s="5"/>
      <c r="R292" s="5"/>
      <c r="S292" s="5"/>
      <c r="T292" s="5"/>
      <c r="U292" s="5"/>
      <c r="V292" s="5"/>
      <c r="W292" s="5">
        <v>0</v>
      </c>
      <c r="X292" s="5">
        <v>1</v>
      </c>
      <c r="Y292" s="5">
        <v>0</v>
      </c>
      <c r="Z292" s="5">
        <v>0</v>
      </c>
      <c r="AA292" s="5">
        <v>1</v>
      </c>
      <c r="AB292" s="5">
        <v>0</v>
      </c>
      <c r="IF292">
        <v>-1</v>
      </c>
    </row>
    <row r="293" spans="1:240" x14ac:dyDescent="0.2">
      <c r="A293" s="5">
        <v>50</v>
      </c>
      <c r="B293" s="5">
        <v>0</v>
      </c>
      <c r="C293" s="5">
        <v>0</v>
      </c>
      <c r="D293" s="5">
        <v>1</v>
      </c>
      <c r="E293" s="5">
        <v>229</v>
      </c>
      <c r="F293" s="5">
        <f>ROUND(Source!AZ282,O293)</f>
        <v>0</v>
      </c>
      <c r="G293" s="5" t="s">
        <v>160</v>
      </c>
      <c r="H293" s="5" t="s">
        <v>161</v>
      </c>
      <c r="I293" s="5"/>
      <c r="J293" s="5"/>
      <c r="K293" s="5">
        <v>229</v>
      </c>
      <c r="L293" s="5">
        <v>10</v>
      </c>
      <c r="M293" s="5">
        <v>3</v>
      </c>
      <c r="N293" s="5" t="s">
        <v>6</v>
      </c>
      <c r="O293" s="5">
        <v>0</v>
      </c>
      <c r="P293" s="5">
        <f>ROUND(Source!ER282,O293)</f>
        <v>0</v>
      </c>
      <c r="Q293" s="5"/>
      <c r="R293" s="5"/>
      <c r="S293" s="5"/>
      <c r="T293" s="5"/>
      <c r="U293" s="5"/>
      <c r="V293" s="5"/>
      <c r="W293" s="5">
        <v>0</v>
      </c>
      <c r="X293" s="5">
        <v>1</v>
      </c>
      <c r="Y293" s="5">
        <v>0</v>
      </c>
      <c r="Z293" s="5">
        <v>0</v>
      </c>
      <c r="AA293" s="5">
        <v>1</v>
      </c>
      <c r="AB293" s="5">
        <v>0</v>
      </c>
      <c r="IF293">
        <v>-1</v>
      </c>
    </row>
    <row r="294" spans="1:240" x14ac:dyDescent="0.2">
      <c r="A294" s="5">
        <v>50</v>
      </c>
      <c r="B294" s="5">
        <v>0</v>
      </c>
      <c r="C294" s="5">
        <v>0</v>
      </c>
      <c r="D294" s="5">
        <v>1</v>
      </c>
      <c r="E294" s="5">
        <v>203</v>
      </c>
      <c r="F294" s="5" t="e">
        <f>ROUND(Source!Q282,O294)</f>
        <v>#REF!</v>
      </c>
      <c r="G294" s="5" t="s">
        <v>162</v>
      </c>
      <c r="H294" s="5" t="s">
        <v>163</v>
      </c>
      <c r="I294" s="5"/>
      <c r="J294" s="5"/>
      <c r="K294" s="5">
        <v>203</v>
      </c>
      <c r="L294" s="5">
        <v>11</v>
      </c>
      <c r="M294" s="5">
        <v>3</v>
      </c>
      <c r="N294" s="5" t="s">
        <v>6</v>
      </c>
      <c r="O294" s="5">
        <v>0</v>
      </c>
      <c r="P294" s="5" t="e">
        <f>ROUND(Source!DI282,O294)</f>
        <v>#REF!</v>
      </c>
      <c r="Q294" s="5"/>
      <c r="R294" s="5"/>
      <c r="S294" s="5"/>
      <c r="T294" s="5"/>
      <c r="U294" s="5"/>
      <c r="V294" s="5"/>
      <c r="W294" s="5">
        <v>136052</v>
      </c>
      <c r="X294" s="5">
        <v>1</v>
      </c>
      <c r="Y294" s="5">
        <v>136052</v>
      </c>
      <c r="Z294" s="5">
        <v>1246510</v>
      </c>
      <c r="AA294" s="5">
        <v>1</v>
      </c>
      <c r="AB294" s="5">
        <v>1246510</v>
      </c>
      <c r="IF294">
        <v>-1</v>
      </c>
    </row>
    <row r="295" spans="1:240" x14ac:dyDescent="0.2">
      <c r="A295" s="5">
        <v>50</v>
      </c>
      <c r="B295" s="5">
        <v>0</v>
      </c>
      <c r="C295" s="5">
        <v>0</v>
      </c>
      <c r="D295" s="5">
        <v>1</v>
      </c>
      <c r="E295" s="5">
        <v>231</v>
      </c>
      <c r="F295" s="5">
        <f>ROUND(Source!BB282,O295)</f>
        <v>0</v>
      </c>
      <c r="G295" s="5" t="s">
        <v>164</v>
      </c>
      <c r="H295" s="5" t="s">
        <v>165</v>
      </c>
      <c r="I295" s="5"/>
      <c r="J295" s="5"/>
      <c r="K295" s="5">
        <v>231</v>
      </c>
      <c r="L295" s="5">
        <v>12</v>
      </c>
      <c r="M295" s="5">
        <v>3</v>
      </c>
      <c r="N295" s="5" t="s">
        <v>6</v>
      </c>
      <c r="O295" s="5">
        <v>0</v>
      </c>
      <c r="P295" s="5">
        <f>ROUND(Source!ET282,O295)</f>
        <v>0</v>
      </c>
      <c r="Q295" s="5"/>
      <c r="R295" s="5"/>
      <c r="S295" s="5"/>
      <c r="T295" s="5"/>
      <c r="U295" s="5"/>
      <c r="V295" s="5"/>
      <c r="W295" s="5">
        <v>0</v>
      </c>
      <c r="X295" s="5">
        <v>1</v>
      </c>
      <c r="Y295" s="5">
        <v>0</v>
      </c>
      <c r="Z295" s="5">
        <v>0</v>
      </c>
      <c r="AA295" s="5">
        <v>1</v>
      </c>
      <c r="AB295" s="5">
        <v>0</v>
      </c>
      <c r="IF295">
        <v>-1</v>
      </c>
    </row>
    <row r="296" spans="1:240" x14ac:dyDescent="0.2">
      <c r="A296" s="5">
        <v>50</v>
      </c>
      <c r="B296" s="5">
        <v>0</v>
      </c>
      <c r="C296" s="5">
        <v>0</v>
      </c>
      <c r="D296" s="5">
        <v>1</v>
      </c>
      <c r="E296" s="5">
        <v>204</v>
      </c>
      <c r="F296" s="5" t="e">
        <f>ROUND(Source!R282,O296)</f>
        <v>#REF!</v>
      </c>
      <c r="G296" s="5" t="s">
        <v>166</v>
      </c>
      <c r="H296" s="5" t="s">
        <v>167</v>
      </c>
      <c r="I296" s="5"/>
      <c r="J296" s="5"/>
      <c r="K296" s="5">
        <v>204</v>
      </c>
      <c r="L296" s="5">
        <v>13</v>
      </c>
      <c r="M296" s="5">
        <v>3</v>
      </c>
      <c r="N296" s="5" t="s">
        <v>6</v>
      </c>
      <c r="O296" s="5">
        <v>0</v>
      </c>
      <c r="P296" s="5" t="e">
        <f>ROUND(Source!DJ282,O296)</f>
        <v>#REF!</v>
      </c>
      <c r="Q296" s="5"/>
      <c r="R296" s="5"/>
      <c r="S296" s="5"/>
      <c r="T296" s="5"/>
      <c r="U296" s="5"/>
      <c r="V296" s="5"/>
      <c r="W296" s="5">
        <v>17438</v>
      </c>
      <c r="X296" s="5">
        <v>1</v>
      </c>
      <c r="Y296" s="5">
        <v>17438</v>
      </c>
      <c r="Z296" s="5">
        <v>345253</v>
      </c>
      <c r="AA296" s="5">
        <v>1</v>
      </c>
      <c r="AB296" s="5">
        <v>345253</v>
      </c>
      <c r="IF296">
        <v>-1</v>
      </c>
    </row>
    <row r="297" spans="1:240" x14ac:dyDescent="0.2">
      <c r="A297" s="5">
        <v>50</v>
      </c>
      <c r="B297" s="5">
        <v>0</v>
      </c>
      <c r="C297" s="5">
        <v>0</v>
      </c>
      <c r="D297" s="5">
        <v>1</v>
      </c>
      <c r="E297" s="5">
        <v>205</v>
      </c>
      <c r="F297" s="5" t="e">
        <f>ROUND(Source!S282,O297)</f>
        <v>#REF!</v>
      </c>
      <c r="G297" s="5" t="s">
        <v>168</v>
      </c>
      <c r="H297" s="5" t="s">
        <v>169</v>
      </c>
      <c r="I297" s="5"/>
      <c r="J297" s="5"/>
      <c r="K297" s="5">
        <v>205</v>
      </c>
      <c r="L297" s="5">
        <v>14</v>
      </c>
      <c r="M297" s="5">
        <v>3</v>
      </c>
      <c r="N297" s="5" t="s">
        <v>6</v>
      </c>
      <c r="O297" s="5">
        <v>0</v>
      </c>
      <c r="P297" s="5" t="e">
        <f>ROUND(Source!DK282,O297)</f>
        <v>#REF!</v>
      </c>
      <c r="Q297" s="5"/>
      <c r="R297" s="5"/>
      <c r="S297" s="5"/>
      <c r="T297" s="5"/>
      <c r="U297" s="5"/>
      <c r="V297" s="5"/>
      <c r="W297" s="5">
        <v>56034</v>
      </c>
      <c r="X297" s="5">
        <v>1</v>
      </c>
      <c r="Y297" s="5">
        <v>56034</v>
      </c>
      <c r="Z297" s="5">
        <v>1714694</v>
      </c>
      <c r="AA297" s="5">
        <v>1</v>
      </c>
      <c r="AB297" s="5">
        <v>1714694</v>
      </c>
      <c r="IF297">
        <v>-1</v>
      </c>
    </row>
    <row r="298" spans="1:240" x14ac:dyDescent="0.2">
      <c r="A298" s="5">
        <v>50</v>
      </c>
      <c r="B298" s="5">
        <v>0</v>
      </c>
      <c r="C298" s="5">
        <v>0</v>
      </c>
      <c r="D298" s="5">
        <v>1</v>
      </c>
      <c r="E298" s="5">
        <v>232</v>
      </c>
      <c r="F298" s="5">
        <f>ROUND(Source!BC282,O298)</f>
        <v>0</v>
      </c>
      <c r="G298" s="5" t="s">
        <v>170</v>
      </c>
      <c r="H298" s="5" t="s">
        <v>171</v>
      </c>
      <c r="I298" s="5"/>
      <c r="J298" s="5"/>
      <c r="K298" s="5">
        <v>232</v>
      </c>
      <c r="L298" s="5">
        <v>15</v>
      </c>
      <c r="M298" s="5">
        <v>3</v>
      </c>
      <c r="N298" s="5" t="s">
        <v>6</v>
      </c>
      <c r="O298" s="5">
        <v>0</v>
      </c>
      <c r="P298" s="5">
        <f>ROUND(Source!EU282,O298)</f>
        <v>0</v>
      </c>
      <c r="Q298" s="5"/>
      <c r="R298" s="5"/>
      <c r="S298" s="5"/>
      <c r="T298" s="5"/>
      <c r="U298" s="5"/>
      <c r="V298" s="5"/>
      <c r="W298" s="5">
        <v>0</v>
      </c>
      <c r="X298" s="5">
        <v>1</v>
      </c>
      <c r="Y298" s="5">
        <v>0</v>
      </c>
      <c r="Z298" s="5">
        <v>0</v>
      </c>
      <c r="AA298" s="5">
        <v>1</v>
      </c>
      <c r="AB298" s="5">
        <v>0</v>
      </c>
      <c r="IF298">
        <v>-1</v>
      </c>
    </row>
    <row r="299" spans="1:240" x14ac:dyDescent="0.2">
      <c r="A299" s="5">
        <v>50</v>
      </c>
      <c r="B299" s="5">
        <v>0</v>
      </c>
      <c r="C299" s="5">
        <v>0</v>
      </c>
      <c r="D299" s="5">
        <v>1</v>
      </c>
      <c r="E299" s="5">
        <v>214</v>
      </c>
      <c r="F299" s="5" t="e">
        <f>ROUND(Source!AS282,O299)</f>
        <v>#REF!</v>
      </c>
      <c r="G299" s="5" t="s">
        <v>172</v>
      </c>
      <c r="H299" s="5" t="s">
        <v>173</v>
      </c>
      <c r="I299" s="5"/>
      <c r="J299" s="5"/>
      <c r="K299" s="5">
        <v>214</v>
      </c>
      <c r="L299" s="5">
        <v>16</v>
      </c>
      <c r="M299" s="5">
        <v>3</v>
      </c>
      <c r="N299" s="5" t="s">
        <v>6</v>
      </c>
      <c r="O299" s="5">
        <v>0</v>
      </c>
      <c r="P299" s="5" t="e">
        <f>ROUND(Source!EK282,O299)</f>
        <v>#REF!</v>
      </c>
      <c r="Q299" s="5"/>
      <c r="R299" s="5"/>
      <c r="S299" s="5"/>
      <c r="T299" s="5"/>
      <c r="U299" s="5"/>
      <c r="V299" s="5"/>
      <c r="W299" s="5">
        <v>864748</v>
      </c>
      <c r="X299" s="5">
        <v>1</v>
      </c>
      <c r="Y299" s="5">
        <v>864748</v>
      </c>
      <c r="Z299" s="5">
        <v>11443616</v>
      </c>
      <c r="AA299" s="5">
        <v>1</v>
      </c>
      <c r="AB299" s="5">
        <v>11443616</v>
      </c>
      <c r="IF299">
        <v>-1</v>
      </c>
    </row>
    <row r="300" spans="1:240" x14ac:dyDescent="0.2">
      <c r="A300" s="5">
        <v>50</v>
      </c>
      <c r="B300" s="5">
        <v>0</v>
      </c>
      <c r="C300" s="5">
        <v>0</v>
      </c>
      <c r="D300" s="5">
        <v>1</v>
      </c>
      <c r="E300" s="5">
        <v>215</v>
      </c>
      <c r="F300" s="5" t="e">
        <f>ROUND(Source!AT282,O300)</f>
        <v>#REF!</v>
      </c>
      <c r="G300" s="5" t="s">
        <v>174</v>
      </c>
      <c r="H300" s="5" t="s">
        <v>175</v>
      </c>
      <c r="I300" s="5"/>
      <c r="J300" s="5"/>
      <c r="K300" s="5">
        <v>215</v>
      </c>
      <c r="L300" s="5">
        <v>17</v>
      </c>
      <c r="M300" s="5">
        <v>3</v>
      </c>
      <c r="N300" s="5" t="s">
        <v>6</v>
      </c>
      <c r="O300" s="5">
        <v>0</v>
      </c>
      <c r="P300" s="5" t="e">
        <f>ROUND(Source!EL282,O300)</f>
        <v>#REF!</v>
      </c>
      <c r="Q300" s="5"/>
      <c r="R300" s="5"/>
      <c r="S300" s="5"/>
      <c r="T300" s="5"/>
      <c r="U300" s="5"/>
      <c r="V300" s="5"/>
      <c r="W300" s="5">
        <v>13129</v>
      </c>
      <c r="X300" s="5">
        <v>1</v>
      </c>
      <c r="Y300" s="5">
        <v>13129</v>
      </c>
      <c r="Z300" s="5">
        <v>91620</v>
      </c>
      <c r="AA300" s="5">
        <v>1</v>
      </c>
      <c r="AB300" s="5">
        <v>91620</v>
      </c>
      <c r="IF300">
        <v>-1</v>
      </c>
    </row>
    <row r="301" spans="1:240" x14ac:dyDescent="0.2">
      <c r="A301" s="5">
        <v>50</v>
      </c>
      <c r="B301" s="5">
        <v>0</v>
      </c>
      <c r="C301" s="5">
        <v>0</v>
      </c>
      <c r="D301" s="5">
        <v>1</v>
      </c>
      <c r="E301" s="5">
        <v>217</v>
      </c>
      <c r="F301" s="5">
        <f>ROUND(Source!AU282,O301)</f>
        <v>0</v>
      </c>
      <c r="G301" s="5" t="s">
        <v>176</v>
      </c>
      <c r="H301" s="5" t="s">
        <v>177</v>
      </c>
      <c r="I301" s="5"/>
      <c r="J301" s="5"/>
      <c r="K301" s="5">
        <v>217</v>
      </c>
      <c r="L301" s="5">
        <v>18</v>
      </c>
      <c r="M301" s="5">
        <v>3</v>
      </c>
      <c r="N301" s="5" t="s">
        <v>6</v>
      </c>
      <c r="O301" s="5">
        <v>0</v>
      </c>
      <c r="P301" s="5">
        <f>ROUND(Source!EM282,O301)</f>
        <v>0</v>
      </c>
      <c r="Q301" s="5"/>
      <c r="R301" s="5"/>
      <c r="S301" s="5"/>
      <c r="T301" s="5"/>
      <c r="U301" s="5"/>
      <c r="V301" s="5"/>
      <c r="W301" s="5">
        <v>0</v>
      </c>
      <c r="X301" s="5">
        <v>1</v>
      </c>
      <c r="Y301" s="5">
        <v>0</v>
      </c>
      <c r="Z301" s="5">
        <v>0</v>
      </c>
      <c r="AA301" s="5">
        <v>1</v>
      </c>
      <c r="AB301" s="5">
        <v>0</v>
      </c>
      <c r="IF301">
        <v>-1</v>
      </c>
    </row>
    <row r="302" spans="1:240" x14ac:dyDescent="0.2">
      <c r="A302" s="5">
        <v>50</v>
      </c>
      <c r="B302" s="5">
        <v>0</v>
      </c>
      <c r="C302" s="5">
        <v>0</v>
      </c>
      <c r="D302" s="5">
        <v>1</v>
      </c>
      <c r="E302" s="5">
        <v>230</v>
      </c>
      <c r="F302" s="5" t="e">
        <f>ROUND(Source!BA282,O302)</f>
        <v>#REF!</v>
      </c>
      <c r="G302" s="5" t="s">
        <v>178</v>
      </c>
      <c r="H302" s="5" t="s">
        <v>179</v>
      </c>
      <c r="I302" s="5"/>
      <c r="J302" s="5"/>
      <c r="K302" s="5">
        <v>230</v>
      </c>
      <c r="L302" s="5">
        <v>19</v>
      </c>
      <c r="M302" s="5">
        <v>3</v>
      </c>
      <c r="N302" s="5" t="s">
        <v>6</v>
      </c>
      <c r="O302" s="5">
        <v>0</v>
      </c>
      <c r="P302" s="5" t="e">
        <f>ROUND(Source!ES282,O302)</f>
        <v>#REF!</v>
      </c>
      <c r="Q302" s="5"/>
      <c r="R302" s="5"/>
      <c r="S302" s="5"/>
      <c r="T302" s="5"/>
      <c r="U302" s="5"/>
      <c r="V302" s="5"/>
      <c r="W302" s="5">
        <v>0</v>
      </c>
      <c r="X302" s="5">
        <v>1</v>
      </c>
      <c r="Y302" s="5">
        <v>0</v>
      </c>
      <c r="Z302" s="5">
        <v>0</v>
      </c>
      <c r="AA302" s="5">
        <v>1</v>
      </c>
      <c r="AB302" s="5">
        <v>0</v>
      </c>
      <c r="IF302">
        <v>-1</v>
      </c>
    </row>
    <row r="303" spans="1:240" x14ac:dyDescent="0.2">
      <c r="A303" s="5">
        <v>50</v>
      </c>
      <c r="B303" s="5">
        <v>0</v>
      </c>
      <c r="C303" s="5">
        <v>0</v>
      </c>
      <c r="D303" s="5">
        <v>1</v>
      </c>
      <c r="E303" s="5">
        <v>206</v>
      </c>
      <c r="F303" s="5" t="e">
        <f>ROUND(Source!T282,O303)</f>
        <v>#REF!</v>
      </c>
      <c r="G303" s="5" t="s">
        <v>180</v>
      </c>
      <c r="H303" s="5" t="s">
        <v>181</v>
      </c>
      <c r="I303" s="5"/>
      <c r="J303" s="5"/>
      <c r="K303" s="5">
        <v>206</v>
      </c>
      <c r="L303" s="5">
        <v>20</v>
      </c>
      <c r="M303" s="5">
        <v>3</v>
      </c>
      <c r="N303" s="5" t="s">
        <v>6</v>
      </c>
      <c r="O303" s="5">
        <v>0</v>
      </c>
      <c r="P303" s="5" t="e">
        <f>ROUND(Source!DL282,O303)</f>
        <v>#REF!</v>
      </c>
      <c r="Q303" s="5"/>
      <c r="R303" s="5"/>
      <c r="S303" s="5"/>
      <c r="T303" s="5"/>
      <c r="U303" s="5"/>
      <c r="V303" s="5"/>
      <c r="W303" s="5">
        <v>0</v>
      </c>
      <c r="X303" s="5">
        <v>1</v>
      </c>
      <c r="Y303" s="5">
        <v>0</v>
      </c>
      <c r="Z303" s="5">
        <v>0</v>
      </c>
      <c r="AA303" s="5">
        <v>1</v>
      </c>
      <c r="AB303" s="5">
        <v>0</v>
      </c>
      <c r="IF303">
        <v>-1</v>
      </c>
    </row>
    <row r="304" spans="1:240" x14ac:dyDescent="0.2">
      <c r="A304" s="5">
        <v>50</v>
      </c>
      <c r="B304" s="5">
        <v>0</v>
      </c>
      <c r="C304" s="5">
        <v>0</v>
      </c>
      <c r="D304" s="5">
        <v>1</v>
      </c>
      <c r="E304" s="5">
        <v>207</v>
      </c>
      <c r="F304" s="5" t="e">
        <f>Source!U282</f>
        <v>#REF!</v>
      </c>
      <c r="G304" s="5" t="s">
        <v>182</v>
      </c>
      <c r="H304" s="5" t="s">
        <v>183</v>
      </c>
      <c r="I304" s="5"/>
      <c r="J304" s="5"/>
      <c r="K304" s="5">
        <v>207</v>
      </c>
      <c r="L304" s="5">
        <v>21</v>
      </c>
      <c r="M304" s="5">
        <v>3</v>
      </c>
      <c r="N304" s="5" t="s">
        <v>6</v>
      </c>
      <c r="O304" s="5">
        <v>-1</v>
      </c>
      <c r="P304" s="5" t="e">
        <f>Source!DM282</f>
        <v>#REF!</v>
      </c>
      <c r="Q304" s="5"/>
      <c r="R304" s="5"/>
      <c r="S304" s="5"/>
      <c r="T304" s="5"/>
      <c r="U304" s="5"/>
      <c r="V304" s="5"/>
      <c r="W304" s="5">
        <v>5829.8692382999998</v>
      </c>
      <c r="X304" s="5">
        <v>1</v>
      </c>
      <c r="Y304" s="5">
        <v>5829.8692382999998</v>
      </c>
      <c r="Z304" s="5">
        <v>5829.8692382999998</v>
      </c>
      <c r="AA304" s="5">
        <v>1</v>
      </c>
      <c r="AB304" s="5">
        <v>5829.8692382999998</v>
      </c>
      <c r="IF304">
        <v>-1</v>
      </c>
    </row>
    <row r="305" spans="1:255" x14ac:dyDescent="0.2">
      <c r="A305" s="5">
        <v>50</v>
      </c>
      <c r="B305" s="5">
        <v>0</v>
      </c>
      <c r="C305" s="5">
        <v>0</v>
      </c>
      <c r="D305" s="5">
        <v>1</v>
      </c>
      <c r="E305" s="5">
        <v>208</v>
      </c>
      <c r="F305" s="5" t="e">
        <f>Source!V282</f>
        <v>#REF!</v>
      </c>
      <c r="G305" s="5" t="s">
        <v>184</v>
      </c>
      <c r="H305" s="5" t="s">
        <v>185</v>
      </c>
      <c r="I305" s="5"/>
      <c r="J305" s="5"/>
      <c r="K305" s="5">
        <v>208</v>
      </c>
      <c r="L305" s="5">
        <v>22</v>
      </c>
      <c r="M305" s="5">
        <v>3</v>
      </c>
      <c r="N305" s="5" t="s">
        <v>6</v>
      </c>
      <c r="O305" s="5">
        <v>-1</v>
      </c>
      <c r="P305" s="5" t="e">
        <f>Source!DN282</f>
        <v>#REF!</v>
      </c>
      <c r="Q305" s="5"/>
      <c r="R305" s="5"/>
      <c r="S305" s="5"/>
      <c r="T305" s="5"/>
      <c r="U305" s="5"/>
      <c r="V305" s="5"/>
      <c r="W305" s="5">
        <v>1293.9673561599996</v>
      </c>
      <c r="X305" s="5">
        <v>1</v>
      </c>
      <c r="Y305" s="5">
        <v>1293.9673561599996</v>
      </c>
      <c r="Z305" s="5">
        <v>1293.9673561599996</v>
      </c>
      <c r="AA305" s="5">
        <v>1</v>
      </c>
      <c r="AB305" s="5">
        <v>1293.9673561599996</v>
      </c>
      <c r="IF305">
        <v>-1</v>
      </c>
    </row>
    <row r="306" spans="1:255" x14ac:dyDescent="0.2">
      <c r="A306" s="5">
        <v>50</v>
      </c>
      <c r="B306" s="5">
        <v>0</v>
      </c>
      <c r="C306" s="5">
        <v>0</v>
      </c>
      <c r="D306" s="5">
        <v>1</v>
      </c>
      <c r="E306" s="5">
        <v>209</v>
      </c>
      <c r="F306" s="5" t="e">
        <f>ROUND(Source!W282,O306)</f>
        <v>#REF!</v>
      </c>
      <c r="G306" s="5" t="s">
        <v>186</v>
      </c>
      <c r="H306" s="5" t="s">
        <v>187</v>
      </c>
      <c r="I306" s="5"/>
      <c r="J306" s="5"/>
      <c r="K306" s="5">
        <v>209</v>
      </c>
      <c r="L306" s="5">
        <v>23</v>
      </c>
      <c r="M306" s="5">
        <v>3</v>
      </c>
      <c r="N306" s="5" t="s">
        <v>6</v>
      </c>
      <c r="O306" s="5">
        <v>0</v>
      </c>
      <c r="P306" s="5" t="e">
        <f>ROUND(Source!DO282,O306)</f>
        <v>#REF!</v>
      </c>
      <c r="Q306" s="5"/>
      <c r="R306" s="5"/>
      <c r="S306" s="5"/>
      <c r="T306" s="5"/>
      <c r="U306" s="5"/>
      <c r="V306" s="5"/>
      <c r="W306" s="5">
        <v>50</v>
      </c>
      <c r="X306" s="5">
        <v>1</v>
      </c>
      <c r="Y306" s="5">
        <v>50</v>
      </c>
      <c r="Z306" s="5">
        <v>50</v>
      </c>
      <c r="AA306" s="5">
        <v>1</v>
      </c>
      <c r="AB306" s="5">
        <v>50</v>
      </c>
      <c r="IF306">
        <v>-1</v>
      </c>
    </row>
    <row r="307" spans="1:255" x14ac:dyDescent="0.2">
      <c r="A307" s="5">
        <v>50</v>
      </c>
      <c r="B307" s="5">
        <v>0</v>
      </c>
      <c r="C307" s="5">
        <v>0</v>
      </c>
      <c r="D307" s="5">
        <v>1</v>
      </c>
      <c r="E307" s="5">
        <v>233</v>
      </c>
      <c r="F307" s="5">
        <f>ROUND(Source!BD282,O307)</f>
        <v>0</v>
      </c>
      <c r="G307" s="5" t="s">
        <v>188</v>
      </c>
      <c r="H307" s="5" t="s">
        <v>189</v>
      </c>
      <c r="I307" s="5"/>
      <c r="J307" s="5"/>
      <c r="K307" s="5">
        <v>233</v>
      </c>
      <c r="L307" s="5">
        <v>24</v>
      </c>
      <c r="M307" s="5">
        <v>3</v>
      </c>
      <c r="N307" s="5" t="s">
        <v>6</v>
      </c>
      <c r="O307" s="5">
        <v>0</v>
      </c>
      <c r="P307" s="5">
        <f>ROUND(Source!EV282,O307)</f>
        <v>0</v>
      </c>
      <c r="Q307" s="5"/>
      <c r="R307" s="5"/>
      <c r="S307" s="5"/>
      <c r="T307" s="5"/>
      <c r="U307" s="5"/>
      <c r="V307" s="5"/>
      <c r="W307" s="5">
        <v>0</v>
      </c>
      <c r="X307" s="5">
        <v>1</v>
      </c>
      <c r="Y307" s="5">
        <v>0</v>
      </c>
      <c r="Z307" s="5">
        <v>0</v>
      </c>
      <c r="AA307" s="5">
        <v>1</v>
      </c>
      <c r="AB307" s="5">
        <v>0</v>
      </c>
      <c r="IF307">
        <v>-1</v>
      </c>
    </row>
    <row r="308" spans="1:255" x14ac:dyDescent="0.2">
      <c r="A308" s="5">
        <v>50</v>
      </c>
      <c r="B308" s="5">
        <v>0</v>
      </c>
      <c r="C308" s="5">
        <v>0</v>
      </c>
      <c r="D308" s="5">
        <v>1</v>
      </c>
      <c r="E308" s="5">
        <v>210</v>
      </c>
      <c r="F308" s="5" t="e">
        <f>ROUND(Source!X282,O308)</f>
        <v>#REF!</v>
      </c>
      <c r="G308" s="5" t="s">
        <v>190</v>
      </c>
      <c r="H308" s="5" t="s">
        <v>191</v>
      </c>
      <c r="I308" s="5"/>
      <c r="J308" s="5"/>
      <c r="K308" s="5">
        <v>210</v>
      </c>
      <c r="L308" s="5">
        <v>25</v>
      </c>
      <c r="M308" s="5">
        <v>3</v>
      </c>
      <c r="N308" s="5" t="s">
        <v>6</v>
      </c>
      <c r="O308" s="5">
        <v>0</v>
      </c>
      <c r="P308" s="5" t="e">
        <f>ROUND(Source!DP282,O308)</f>
        <v>#REF!</v>
      </c>
      <c r="Q308" s="5"/>
      <c r="R308" s="5"/>
      <c r="S308" s="5"/>
      <c r="T308" s="5"/>
      <c r="U308" s="5"/>
      <c r="V308" s="5"/>
      <c r="W308" s="5">
        <v>71597</v>
      </c>
      <c r="X308" s="5">
        <v>1</v>
      </c>
      <c r="Y308" s="5">
        <v>71597</v>
      </c>
      <c r="Z308" s="5">
        <v>1958822</v>
      </c>
      <c r="AA308" s="5">
        <v>1</v>
      </c>
      <c r="AB308" s="5">
        <v>1958822</v>
      </c>
      <c r="IF308">
        <v>-1</v>
      </c>
    </row>
    <row r="309" spans="1:255" x14ac:dyDescent="0.2">
      <c r="A309" s="5">
        <v>50</v>
      </c>
      <c r="B309" s="5">
        <v>0</v>
      </c>
      <c r="C309" s="5">
        <v>0</v>
      </c>
      <c r="D309" s="5">
        <v>1</v>
      </c>
      <c r="E309" s="5">
        <v>211</v>
      </c>
      <c r="F309" s="5" t="e">
        <f>ROUND(Source!Y282,O309)</f>
        <v>#REF!</v>
      </c>
      <c r="G309" s="5" t="s">
        <v>192</v>
      </c>
      <c r="H309" s="5" t="s">
        <v>193</v>
      </c>
      <c r="I309" s="5"/>
      <c r="J309" s="5"/>
      <c r="K309" s="5">
        <v>211</v>
      </c>
      <c r="L309" s="5">
        <v>26</v>
      </c>
      <c r="M309" s="5">
        <v>3</v>
      </c>
      <c r="N309" s="5" t="s">
        <v>6</v>
      </c>
      <c r="O309" s="5">
        <v>0</v>
      </c>
      <c r="P309" s="5" t="e">
        <f>ROUND(Source!DQ282,O309)</f>
        <v>#REF!</v>
      </c>
      <c r="Q309" s="5"/>
      <c r="R309" s="5"/>
      <c r="S309" s="5"/>
      <c r="T309" s="5"/>
      <c r="U309" s="5"/>
      <c r="V309" s="5"/>
      <c r="W309" s="5">
        <v>50927</v>
      </c>
      <c r="X309" s="5">
        <v>1</v>
      </c>
      <c r="Y309" s="5">
        <v>50927</v>
      </c>
      <c r="Z309" s="5">
        <v>1224637</v>
      </c>
      <c r="AA309" s="5">
        <v>1</v>
      </c>
      <c r="AB309" s="5">
        <v>1224637</v>
      </c>
      <c r="IF309">
        <v>-1</v>
      </c>
    </row>
    <row r="310" spans="1:255" x14ac:dyDescent="0.2">
      <c r="A310" s="5">
        <v>50</v>
      </c>
      <c r="B310" s="5">
        <v>0</v>
      </c>
      <c r="C310" s="5">
        <v>0</v>
      </c>
      <c r="D310" s="5">
        <v>1</v>
      </c>
      <c r="E310" s="5">
        <v>224</v>
      </c>
      <c r="F310" s="5" t="e">
        <f>ROUND(Source!AR282,O310)</f>
        <v>#REF!</v>
      </c>
      <c r="G310" s="5" t="s">
        <v>194</v>
      </c>
      <c r="H310" s="5" t="s">
        <v>195</v>
      </c>
      <c r="I310" s="5"/>
      <c r="J310" s="5"/>
      <c r="K310" s="5">
        <v>224</v>
      </c>
      <c r="L310" s="5">
        <v>27</v>
      </c>
      <c r="M310" s="5">
        <v>3</v>
      </c>
      <c r="N310" s="5" t="s">
        <v>6</v>
      </c>
      <c r="O310" s="5">
        <v>0</v>
      </c>
      <c r="P310" s="5" t="e">
        <f>ROUND(Source!EJ282,O310)</f>
        <v>#REF!</v>
      </c>
      <c r="Q310" s="5"/>
      <c r="R310" s="5"/>
      <c r="S310" s="5"/>
      <c r="T310" s="5"/>
      <c r="U310" s="5"/>
      <c r="V310" s="5"/>
      <c r="W310" s="5">
        <v>877877</v>
      </c>
      <c r="X310" s="5">
        <v>1</v>
      </c>
      <c r="Y310" s="5">
        <v>877877</v>
      </c>
      <c r="Z310" s="5">
        <v>11535236</v>
      </c>
      <c r="AA310" s="5">
        <v>1</v>
      </c>
      <c r="AB310" s="5">
        <v>11535236</v>
      </c>
      <c r="IF310">
        <v>-1</v>
      </c>
    </row>
    <row r="311" spans="1:255" x14ac:dyDescent="0.2">
      <c r="IF311">
        <v>-1</v>
      </c>
    </row>
    <row r="312" spans="1:255" x14ac:dyDescent="0.2">
      <c r="A312" s="1">
        <v>4</v>
      </c>
      <c r="B312" s="1">
        <v>1</v>
      </c>
      <c r="C312" s="1"/>
      <c r="D312" s="1">
        <f>ROW(A407)</f>
        <v>407</v>
      </c>
      <c r="E312" s="1"/>
      <c r="F312" s="1" t="s">
        <v>415</v>
      </c>
      <c r="G312" s="1" t="s">
        <v>415</v>
      </c>
      <c r="H312" s="1" t="s">
        <v>6</v>
      </c>
      <c r="I312" s="1">
        <v>0</v>
      </c>
      <c r="J312" s="1"/>
      <c r="K312" s="1">
        <v>-1</v>
      </c>
      <c r="L312" s="1"/>
      <c r="M312" s="1" t="s">
        <v>6</v>
      </c>
      <c r="N312" s="1"/>
      <c r="O312" s="1"/>
      <c r="P312" s="1"/>
      <c r="Q312" s="1"/>
      <c r="R312" s="1"/>
      <c r="S312" s="1">
        <v>0</v>
      </c>
      <c r="T312" s="1">
        <v>0</v>
      </c>
      <c r="U312" s="1" t="s">
        <v>6</v>
      </c>
      <c r="V312" s="1">
        <v>0</v>
      </c>
      <c r="W312" s="1"/>
      <c r="X312" s="1"/>
      <c r="Y312" s="1"/>
      <c r="Z312" s="1"/>
      <c r="AA312" s="1"/>
      <c r="AB312" s="1" t="s">
        <v>6</v>
      </c>
      <c r="AC312" s="1" t="s">
        <v>6</v>
      </c>
      <c r="AD312" s="1" t="s">
        <v>6</v>
      </c>
      <c r="AE312" s="1" t="s">
        <v>6</v>
      </c>
      <c r="AF312" s="1" t="s">
        <v>6</v>
      </c>
      <c r="AG312" s="1" t="s">
        <v>6</v>
      </c>
      <c r="AH312" s="1"/>
      <c r="AI312" s="1"/>
      <c r="AJ312" s="1"/>
      <c r="AK312" s="1"/>
      <c r="AL312" s="1"/>
      <c r="AM312" s="1"/>
      <c r="AN312" s="1"/>
      <c r="AO312" s="1"/>
      <c r="AP312" s="1" t="s">
        <v>6</v>
      </c>
      <c r="AQ312" s="1" t="s">
        <v>6</v>
      </c>
      <c r="AR312" s="1" t="s">
        <v>6</v>
      </c>
      <c r="AS312" s="1"/>
      <c r="AT312" s="1"/>
      <c r="AU312" s="1"/>
      <c r="AV312" s="1"/>
      <c r="AW312" s="1"/>
      <c r="AX312" s="1"/>
      <c r="AY312" s="1"/>
      <c r="AZ312" s="1" t="s">
        <v>6</v>
      </c>
      <c r="BA312" s="1"/>
      <c r="BB312" s="1" t="s">
        <v>6</v>
      </c>
      <c r="BC312" s="1" t="s">
        <v>6</v>
      </c>
      <c r="BD312" s="1" t="s">
        <v>6</v>
      </c>
      <c r="BE312" s="1" t="s">
        <v>6</v>
      </c>
      <c r="BF312" s="1" t="s">
        <v>6</v>
      </c>
      <c r="BG312" s="1" t="s">
        <v>6</v>
      </c>
      <c r="BH312" s="1" t="s">
        <v>6</v>
      </c>
      <c r="BI312" s="1" t="s">
        <v>6</v>
      </c>
      <c r="BJ312" s="1" t="s">
        <v>6</v>
      </c>
      <c r="BK312" s="1" t="s">
        <v>6</v>
      </c>
      <c r="BL312" s="1" t="s">
        <v>6</v>
      </c>
      <c r="BM312" s="1" t="s">
        <v>6</v>
      </c>
      <c r="BN312" s="1" t="s">
        <v>6</v>
      </c>
      <c r="BO312" s="1" t="s">
        <v>6</v>
      </c>
      <c r="BP312" s="1" t="s">
        <v>6</v>
      </c>
      <c r="BQ312" s="1"/>
      <c r="BR312" s="1"/>
      <c r="BS312" s="1"/>
      <c r="BT312" s="1"/>
      <c r="BU312" s="1"/>
      <c r="BV312" s="1"/>
      <c r="BW312" s="1"/>
      <c r="BX312" s="1">
        <v>0</v>
      </c>
      <c r="BY312" s="1"/>
      <c r="BZ312" s="1"/>
      <c r="CA312" s="1"/>
      <c r="CB312" s="1"/>
      <c r="CC312" s="1"/>
      <c r="CD312" s="1"/>
      <c r="CE312" s="1"/>
      <c r="CF312" s="1"/>
      <c r="CG312" s="1"/>
      <c r="CH312" s="1"/>
      <c r="CI312" s="1"/>
      <c r="CJ312" s="1">
        <v>0</v>
      </c>
      <c r="IF312">
        <v>-1</v>
      </c>
    </row>
    <row r="313" spans="1:255" x14ac:dyDescent="0.2">
      <c r="IF313">
        <v>-1</v>
      </c>
    </row>
    <row r="314" spans="1:255" x14ac:dyDescent="0.2">
      <c r="A314" s="3">
        <v>52</v>
      </c>
      <c r="B314" s="3">
        <f t="shared" ref="B314:G314" si="324">B407</f>
        <v>1</v>
      </c>
      <c r="C314" s="3">
        <f t="shared" si="324"/>
        <v>4</v>
      </c>
      <c r="D314" s="3">
        <f t="shared" si="324"/>
        <v>312</v>
      </c>
      <c r="E314" s="3">
        <f t="shared" si="324"/>
        <v>0</v>
      </c>
      <c r="F314" s="3" t="str">
        <f t="shared" si="324"/>
        <v>Перекрытие,  балки 17-20 этажи</v>
      </c>
      <c r="G314" s="3" t="str">
        <f t="shared" si="324"/>
        <v>Перекрытие,  балки 17-20 этажи</v>
      </c>
      <c r="H314" s="3"/>
      <c r="I314" s="3"/>
      <c r="J314" s="3"/>
      <c r="K314" s="3"/>
      <c r="L314" s="3"/>
      <c r="M314" s="3"/>
      <c r="N314" s="3"/>
      <c r="O314" s="3" t="e">
        <f t="shared" ref="O314:AT314" si="325">O407</f>
        <v>#REF!</v>
      </c>
      <c r="P314" s="3" t="e">
        <f t="shared" si="325"/>
        <v>#REF!</v>
      </c>
      <c r="Q314" s="3" t="e">
        <f t="shared" si="325"/>
        <v>#REF!</v>
      </c>
      <c r="R314" s="3" t="e">
        <f t="shared" si="325"/>
        <v>#REF!</v>
      </c>
      <c r="S314" s="3" t="e">
        <f t="shared" si="325"/>
        <v>#REF!</v>
      </c>
      <c r="T314" s="3" t="e">
        <f t="shared" si="325"/>
        <v>#REF!</v>
      </c>
      <c r="U314" s="3" t="e">
        <f t="shared" si="325"/>
        <v>#REF!</v>
      </c>
      <c r="V314" s="3" t="e">
        <f t="shared" si="325"/>
        <v>#REF!</v>
      </c>
      <c r="W314" s="3" t="e">
        <f t="shared" si="325"/>
        <v>#REF!</v>
      </c>
      <c r="X314" s="3" t="e">
        <f t="shared" si="325"/>
        <v>#REF!</v>
      </c>
      <c r="Y314" s="3" t="e">
        <f t="shared" si="325"/>
        <v>#REF!</v>
      </c>
      <c r="Z314" s="3">
        <f t="shared" si="325"/>
        <v>0</v>
      </c>
      <c r="AA314" s="3">
        <f t="shared" si="325"/>
        <v>0</v>
      </c>
      <c r="AB314" s="3" t="e">
        <f t="shared" si="325"/>
        <v>#REF!</v>
      </c>
      <c r="AC314" s="3" t="e">
        <f t="shared" si="325"/>
        <v>#REF!</v>
      </c>
      <c r="AD314" s="3" t="e">
        <f t="shared" si="325"/>
        <v>#REF!</v>
      </c>
      <c r="AE314" s="3" t="e">
        <f t="shared" si="325"/>
        <v>#REF!</v>
      </c>
      <c r="AF314" s="3" t="e">
        <f t="shared" si="325"/>
        <v>#REF!</v>
      </c>
      <c r="AG314" s="3" t="e">
        <f t="shared" si="325"/>
        <v>#REF!</v>
      </c>
      <c r="AH314" s="3" t="e">
        <f t="shared" si="325"/>
        <v>#REF!</v>
      </c>
      <c r="AI314" s="3" t="e">
        <f t="shared" si="325"/>
        <v>#REF!</v>
      </c>
      <c r="AJ314" s="3" t="e">
        <f t="shared" si="325"/>
        <v>#REF!</v>
      </c>
      <c r="AK314" s="3" t="e">
        <f t="shared" si="325"/>
        <v>#REF!</v>
      </c>
      <c r="AL314" s="3" t="e">
        <f t="shared" si="325"/>
        <v>#REF!</v>
      </c>
      <c r="AM314" s="3">
        <f t="shared" si="325"/>
        <v>0</v>
      </c>
      <c r="AN314" s="3">
        <f t="shared" si="325"/>
        <v>0</v>
      </c>
      <c r="AO314" s="3">
        <f t="shared" si="325"/>
        <v>0</v>
      </c>
      <c r="AP314" s="3">
        <f t="shared" si="325"/>
        <v>0</v>
      </c>
      <c r="AQ314" s="3">
        <f t="shared" si="325"/>
        <v>0</v>
      </c>
      <c r="AR314" s="3" t="e">
        <f t="shared" si="325"/>
        <v>#REF!</v>
      </c>
      <c r="AS314" s="3" t="e">
        <f t="shared" si="325"/>
        <v>#REF!</v>
      </c>
      <c r="AT314" s="3" t="e">
        <f t="shared" si="325"/>
        <v>#REF!</v>
      </c>
      <c r="AU314" s="3">
        <f t="shared" ref="AU314:BZ314" si="326">AU407</f>
        <v>0</v>
      </c>
      <c r="AV314" s="3" t="e">
        <f t="shared" si="326"/>
        <v>#REF!</v>
      </c>
      <c r="AW314" s="3" t="e">
        <f t="shared" si="326"/>
        <v>#REF!</v>
      </c>
      <c r="AX314" s="3">
        <f t="shared" si="326"/>
        <v>0</v>
      </c>
      <c r="AY314" s="3" t="e">
        <f t="shared" si="326"/>
        <v>#REF!</v>
      </c>
      <c r="AZ314" s="3">
        <f t="shared" si="326"/>
        <v>0</v>
      </c>
      <c r="BA314" s="3" t="e">
        <f t="shared" si="326"/>
        <v>#REF!</v>
      </c>
      <c r="BB314" s="3">
        <f t="shared" si="326"/>
        <v>0</v>
      </c>
      <c r="BC314" s="3">
        <f t="shared" si="326"/>
        <v>0</v>
      </c>
      <c r="BD314" s="3">
        <f t="shared" si="326"/>
        <v>0</v>
      </c>
      <c r="BE314" s="3">
        <f t="shared" si="326"/>
        <v>0</v>
      </c>
      <c r="BF314" s="3">
        <f t="shared" si="326"/>
        <v>0</v>
      </c>
      <c r="BG314" s="3">
        <f t="shared" si="326"/>
        <v>0</v>
      </c>
      <c r="BH314" s="3">
        <f t="shared" si="326"/>
        <v>0</v>
      </c>
      <c r="BI314" s="3">
        <f t="shared" si="326"/>
        <v>0</v>
      </c>
      <c r="BJ314" s="3">
        <f t="shared" si="326"/>
        <v>0</v>
      </c>
      <c r="BK314" s="3">
        <f t="shared" si="326"/>
        <v>0</v>
      </c>
      <c r="BL314" s="3">
        <f t="shared" si="326"/>
        <v>0</v>
      </c>
      <c r="BM314" s="3">
        <f t="shared" si="326"/>
        <v>0</v>
      </c>
      <c r="BN314" s="3">
        <f t="shared" si="326"/>
        <v>0</v>
      </c>
      <c r="BO314" s="3">
        <f t="shared" si="326"/>
        <v>0</v>
      </c>
      <c r="BP314" s="3">
        <f t="shared" si="326"/>
        <v>0</v>
      </c>
      <c r="BQ314" s="3">
        <f t="shared" si="326"/>
        <v>0</v>
      </c>
      <c r="BR314" s="3">
        <f t="shared" si="326"/>
        <v>0</v>
      </c>
      <c r="BS314" s="3">
        <f t="shared" si="326"/>
        <v>0</v>
      </c>
      <c r="BT314" s="3">
        <f t="shared" si="326"/>
        <v>0</v>
      </c>
      <c r="BU314" s="3">
        <f t="shared" si="326"/>
        <v>0</v>
      </c>
      <c r="BV314" s="3">
        <f t="shared" si="326"/>
        <v>0</v>
      </c>
      <c r="BW314" s="3">
        <f t="shared" si="326"/>
        <v>0</v>
      </c>
      <c r="BX314" s="3">
        <f t="shared" si="326"/>
        <v>0</v>
      </c>
      <c r="BY314" s="3">
        <f t="shared" si="326"/>
        <v>0</v>
      </c>
      <c r="BZ314" s="3">
        <f t="shared" si="326"/>
        <v>0</v>
      </c>
      <c r="CA314" s="3" t="e">
        <f t="shared" ref="CA314:DF314" si="327">CA407</f>
        <v>#REF!</v>
      </c>
      <c r="CB314" s="3" t="e">
        <f t="shared" si="327"/>
        <v>#REF!</v>
      </c>
      <c r="CC314" s="3" t="e">
        <f t="shared" si="327"/>
        <v>#REF!</v>
      </c>
      <c r="CD314" s="3">
        <f t="shared" si="327"/>
        <v>0</v>
      </c>
      <c r="CE314" s="3" t="e">
        <f t="shared" si="327"/>
        <v>#REF!</v>
      </c>
      <c r="CF314" s="3" t="e">
        <f t="shared" si="327"/>
        <v>#REF!</v>
      </c>
      <c r="CG314" s="3">
        <f t="shared" si="327"/>
        <v>0</v>
      </c>
      <c r="CH314" s="3" t="e">
        <f t="shared" si="327"/>
        <v>#REF!</v>
      </c>
      <c r="CI314" s="3">
        <f t="shared" si="327"/>
        <v>0</v>
      </c>
      <c r="CJ314" s="3" t="e">
        <f t="shared" si="327"/>
        <v>#REF!</v>
      </c>
      <c r="CK314" s="3">
        <f t="shared" si="327"/>
        <v>0</v>
      </c>
      <c r="CL314" s="3">
        <f t="shared" si="327"/>
        <v>0</v>
      </c>
      <c r="CM314" s="3">
        <f t="shared" si="327"/>
        <v>0</v>
      </c>
      <c r="CN314" s="3">
        <f t="shared" si="327"/>
        <v>0</v>
      </c>
      <c r="CO314" s="3">
        <f t="shared" si="327"/>
        <v>0</v>
      </c>
      <c r="CP314" s="3">
        <f t="shared" si="327"/>
        <v>0</v>
      </c>
      <c r="CQ314" s="3">
        <f t="shared" si="327"/>
        <v>0</v>
      </c>
      <c r="CR314" s="3">
        <f t="shared" si="327"/>
        <v>0</v>
      </c>
      <c r="CS314" s="3">
        <f t="shared" si="327"/>
        <v>0</v>
      </c>
      <c r="CT314" s="3">
        <f t="shared" si="327"/>
        <v>0</v>
      </c>
      <c r="CU314" s="3">
        <f t="shared" si="327"/>
        <v>0</v>
      </c>
      <c r="CV314" s="3">
        <f t="shared" si="327"/>
        <v>0</v>
      </c>
      <c r="CW314" s="3">
        <f t="shared" si="327"/>
        <v>0</v>
      </c>
      <c r="CX314" s="3">
        <f t="shared" si="327"/>
        <v>0</v>
      </c>
      <c r="CY314" s="3">
        <f t="shared" si="327"/>
        <v>0</v>
      </c>
      <c r="CZ314" s="3">
        <f t="shared" si="327"/>
        <v>0</v>
      </c>
      <c r="DA314" s="3">
        <f t="shared" si="327"/>
        <v>0</v>
      </c>
      <c r="DB314" s="3">
        <f t="shared" si="327"/>
        <v>0</v>
      </c>
      <c r="DC314" s="3">
        <f t="shared" si="327"/>
        <v>0</v>
      </c>
      <c r="DD314" s="3">
        <f t="shared" si="327"/>
        <v>0</v>
      </c>
      <c r="DE314" s="3">
        <f t="shared" si="327"/>
        <v>0</v>
      </c>
      <c r="DF314" s="3">
        <f t="shared" si="327"/>
        <v>0</v>
      </c>
      <c r="DG314" s="4" t="e">
        <f t="shared" ref="DG314:EL314" si="328">DG407</f>
        <v>#REF!</v>
      </c>
      <c r="DH314" s="4" t="e">
        <f t="shared" si="328"/>
        <v>#REF!</v>
      </c>
      <c r="DI314" s="4" t="e">
        <f t="shared" si="328"/>
        <v>#REF!</v>
      </c>
      <c r="DJ314" s="4" t="e">
        <f t="shared" si="328"/>
        <v>#REF!</v>
      </c>
      <c r="DK314" s="4" t="e">
        <f t="shared" si="328"/>
        <v>#REF!</v>
      </c>
      <c r="DL314" s="4" t="e">
        <f t="shared" si="328"/>
        <v>#REF!</v>
      </c>
      <c r="DM314" s="4" t="e">
        <f t="shared" si="328"/>
        <v>#REF!</v>
      </c>
      <c r="DN314" s="4" t="e">
        <f t="shared" si="328"/>
        <v>#REF!</v>
      </c>
      <c r="DO314" s="4" t="e">
        <f t="shared" si="328"/>
        <v>#REF!</v>
      </c>
      <c r="DP314" s="4" t="e">
        <f t="shared" si="328"/>
        <v>#REF!</v>
      </c>
      <c r="DQ314" s="4" t="e">
        <f t="shared" si="328"/>
        <v>#REF!</v>
      </c>
      <c r="DR314" s="4">
        <f t="shared" si="328"/>
        <v>0</v>
      </c>
      <c r="DS314" s="4">
        <f t="shared" si="328"/>
        <v>0</v>
      </c>
      <c r="DT314" s="4" t="e">
        <f t="shared" si="328"/>
        <v>#REF!</v>
      </c>
      <c r="DU314" s="4" t="e">
        <f t="shared" si="328"/>
        <v>#REF!</v>
      </c>
      <c r="DV314" s="4" t="e">
        <f t="shared" si="328"/>
        <v>#REF!</v>
      </c>
      <c r="DW314" s="4" t="e">
        <f t="shared" si="328"/>
        <v>#REF!</v>
      </c>
      <c r="DX314" s="4" t="e">
        <f t="shared" si="328"/>
        <v>#REF!</v>
      </c>
      <c r="DY314" s="4" t="e">
        <f t="shared" si="328"/>
        <v>#REF!</v>
      </c>
      <c r="DZ314" s="4" t="e">
        <f t="shared" si="328"/>
        <v>#REF!</v>
      </c>
      <c r="EA314" s="4" t="e">
        <f t="shared" si="328"/>
        <v>#REF!</v>
      </c>
      <c r="EB314" s="4" t="e">
        <f t="shared" si="328"/>
        <v>#REF!</v>
      </c>
      <c r="EC314" s="4" t="e">
        <f t="shared" si="328"/>
        <v>#REF!</v>
      </c>
      <c r="ED314" s="4" t="e">
        <f t="shared" si="328"/>
        <v>#REF!</v>
      </c>
      <c r="EE314" s="4">
        <f t="shared" si="328"/>
        <v>0</v>
      </c>
      <c r="EF314" s="4">
        <f t="shared" si="328"/>
        <v>0</v>
      </c>
      <c r="EG314" s="4">
        <f t="shared" si="328"/>
        <v>0</v>
      </c>
      <c r="EH314" s="4">
        <f t="shared" si="328"/>
        <v>0</v>
      </c>
      <c r="EI314" s="4">
        <f t="shared" si="328"/>
        <v>0</v>
      </c>
      <c r="EJ314" s="4" t="e">
        <f t="shared" si="328"/>
        <v>#REF!</v>
      </c>
      <c r="EK314" s="4" t="e">
        <f t="shared" si="328"/>
        <v>#REF!</v>
      </c>
      <c r="EL314" s="4" t="e">
        <f t="shared" si="328"/>
        <v>#REF!</v>
      </c>
      <c r="EM314" s="4">
        <f t="shared" ref="EM314:FR314" si="329">EM407</f>
        <v>0</v>
      </c>
      <c r="EN314" s="4" t="e">
        <f t="shared" si="329"/>
        <v>#REF!</v>
      </c>
      <c r="EO314" s="4" t="e">
        <f t="shared" si="329"/>
        <v>#REF!</v>
      </c>
      <c r="EP314" s="4">
        <f t="shared" si="329"/>
        <v>0</v>
      </c>
      <c r="EQ314" s="4" t="e">
        <f t="shared" si="329"/>
        <v>#REF!</v>
      </c>
      <c r="ER314" s="4">
        <f t="shared" si="329"/>
        <v>0</v>
      </c>
      <c r="ES314" s="4" t="e">
        <f t="shared" si="329"/>
        <v>#REF!</v>
      </c>
      <c r="ET314" s="4">
        <f t="shared" si="329"/>
        <v>0</v>
      </c>
      <c r="EU314" s="4">
        <f t="shared" si="329"/>
        <v>0</v>
      </c>
      <c r="EV314" s="4">
        <f t="shared" si="329"/>
        <v>0</v>
      </c>
      <c r="EW314" s="4">
        <f t="shared" si="329"/>
        <v>0</v>
      </c>
      <c r="EX314" s="4">
        <f t="shared" si="329"/>
        <v>0</v>
      </c>
      <c r="EY314" s="4">
        <f t="shared" si="329"/>
        <v>0</v>
      </c>
      <c r="EZ314" s="4">
        <f t="shared" si="329"/>
        <v>0</v>
      </c>
      <c r="FA314" s="4">
        <f t="shared" si="329"/>
        <v>0</v>
      </c>
      <c r="FB314" s="4">
        <f t="shared" si="329"/>
        <v>0</v>
      </c>
      <c r="FC314" s="4">
        <f t="shared" si="329"/>
        <v>0</v>
      </c>
      <c r="FD314" s="4">
        <f t="shared" si="329"/>
        <v>0</v>
      </c>
      <c r="FE314" s="4">
        <f t="shared" si="329"/>
        <v>0</v>
      </c>
      <c r="FF314" s="4">
        <f t="shared" si="329"/>
        <v>0</v>
      </c>
      <c r="FG314" s="4">
        <f t="shared" si="329"/>
        <v>0</v>
      </c>
      <c r="FH314" s="4">
        <f t="shared" si="329"/>
        <v>0</v>
      </c>
      <c r="FI314" s="4">
        <f t="shared" si="329"/>
        <v>0</v>
      </c>
      <c r="FJ314" s="4">
        <f t="shared" si="329"/>
        <v>0</v>
      </c>
      <c r="FK314" s="4">
        <f t="shared" si="329"/>
        <v>0</v>
      </c>
      <c r="FL314" s="4">
        <f t="shared" si="329"/>
        <v>0</v>
      </c>
      <c r="FM314" s="4">
        <f t="shared" si="329"/>
        <v>0</v>
      </c>
      <c r="FN314" s="4">
        <f t="shared" si="329"/>
        <v>0</v>
      </c>
      <c r="FO314" s="4">
        <f t="shared" si="329"/>
        <v>0</v>
      </c>
      <c r="FP314" s="4">
        <f t="shared" si="329"/>
        <v>0</v>
      </c>
      <c r="FQ314" s="4">
        <f t="shared" si="329"/>
        <v>0</v>
      </c>
      <c r="FR314" s="4">
        <f t="shared" si="329"/>
        <v>0</v>
      </c>
      <c r="FS314" s="4" t="e">
        <f t="shared" ref="FS314:GX314" si="330">FS407</f>
        <v>#REF!</v>
      </c>
      <c r="FT314" s="4" t="e">
        <f t="shared" si="330"/>
        <v>#REF!</v>
      </c>
      <c r="FU314" s="4" t="e">
        <f t="shared" si="330"/>
        <v>#REF!</v>
      </c>
      <c r="FV314" s="4">
        <f t="shared" si="330"/>
        <v>0</v>
      </c>
      <c r="FW314" s="4" t="e">
        <f t="shared" si="330"/>
        <v>#REF!</v>
      </c>
      <c r="FX314" s="4" t="e">
        <f t="shared" si="330"/>
        <v>#REF!</v>
      </c>
      <c r="FY314" s="4">
        <f t="shared" si="330"/>
        <v>0</v>
      </c>
      <c r="FZ314" s="4" t="e">
        <f t="shared" si="330"/>
        <v>#REF!</v>
      </c>
      <c r="GA314" s="4">
        <f t="shared" si="330"/>
        <v>0</v>
      </c>
      <c r="GB314" s="4" t="e">
        <f t="shared" si="330"/>
        <v>#REF!</v>
      </c>
      <c r="GC314" s="4">
        <f t="shared" si="330"/>
        <v>0</v>
      </c>
      <c r="GD314" s="4">
        <f t="shared" si="330"/>
        <v>0</v>
      </c>
      <c r="GE314" s="4">
        <f t="shared" si="330"/>
        <v>0</v>
      </c>
      <c r="GF314" s="4">
        <f t="shared" si="330"/>
        <v>0</v>
      </c>
      <c r="GG314" s="4">
        <f t="shared" si="330"/>
        <v>0</v>
      </c>
      <c r="GH314" s="4">
        <f t="shared" si="330"/>
        <v>0</v>
      </c>
      <c r="GI314" s="4">
        <f t="shared" si="330"/>
        <v>0</v>
      </c>
      <c r="GJ314" s="4">
        <f t="shared" si="330"/>
        <v>0</v>
      </c>
      <c r="GK314" s="4">
        <f t="shared" si="330"/>
        <v>0</v>
      </c>
      <c r="GL314" s="4">
        <f t="shared" si="330"/>
        <v>0</v>
      </c>
      <c r="GM314" s="4">
        <f t="shared" si="330"/>
        <v>0</v>
      </c>
      <c r="GN314" s="4">
        <f t="shared" si="330"/>
        <v>0</v>
      </c>
      <c r="GO314" s="4">
        <f t="shared" si="330"/>
        <v>0</v>
      </c>
      <c r="GP314" s="4">
        <f t="shared" si="330"/>
        <v>0</v>
      </c>
      <c r="GQ314" s="4">
        <f t="shared" si="330"/>
        <v>0</v>
      </c>
      <c r="GR314" s="4">
        <f t="shared" si="330"/>
        <v>0</v>
      </c>
      <c r="GS314" s="4">
        <f t="shared" si="330"/>
        <v>0</v>
      </c>
      <c r="GT314" s="4">
        <f t="shared" si="330"/>
        <v>0</v>
      </c>
      <c r="GU314" s="4">
        <f t="shared" si="330"/>
        <v>0</v>
      </c>
      <c r="GV314" s="4">
        <f t="shared" si="330"/>
        <v>0</v>
      </c>
      <c r="GW314" s="4">
        <f t="shared" si="330"/>
        <v>0</v>
      </c>
      <c r="GX314" s="4">
        <f t="shared" si="330"/>
        <v>0</v>
      </c>
      <c r="IF314">
        <v>-1</v>
      </c>
    </row>
    <row r="315" spans="1:255" x14ac:dyDescent="0.2">
      <c r="IF315">
        <v>-1</v>
      </c>
    </row>
    <row r="316" spans="1:255" x14ac:dyDescent="0.2">
      <c r="A316" s="2">
        <v>17</v>
      </c>
      <c r="B316" s="2">
        <v>1</v>
      </c>
      <c r="C316" s="2">
        <f>ROW(SmtRes!A375)</f>
        <v>375</v>
      </c>
      <c r="D316" s="2">
        <f>ROW(EtalonRes!A300)</f>
        <v>300</v>
      </c>
      <c r="E316" s="2" t="s">
        <v>416</v>
      </c>
      <c r="F316" s="2" t="s">
        <v>417</v>
      </c>
      <c r="G316" s="2" t="s">
        <v>418</v>
      </c>
      <c r="H316" s="2" t="s">
        <v>21</v>
      </c>
      <c r="I316" s="2">
        <f>'2.Лок.смета.и.Акт'!E48</f>
        <v>52.2</v>
      </c>
      <c r="J316" s="2">
        <v>0</v>
      </c>
      <c r="K316" s="2">
        <v>208.8</v>
      </c>
      <c r="L316" s="2"/>
      <c r="M316" s="2"/>
      <c r="N316" s="2"/>
      <c r="O316" s="2">
        <f t="shared" ref="O316:O347" si="331">ROUND(CP316,0)</f>
        <v>16463</v>
      </c>
      <c r="P316" s="2">
        <f t="shared" ref="P316:P347" si="332">ROUND(CQ316*I316,0)</f>
        <v>0</v>
      </c>
      <c r="Q316" s="2">
        <f t="shared" ref="Q316:Q347" si="333">ROUND(CR316*I316,0)</f>
        <v>13659</v>
      </c>
      <c r="R316" s="2">
        <f t="shared" ref="R316:R347" si="334">ROUND(CS316*I316,0)</f>
        <v>1687</v>
      </c>
      <c r="S316" s="2">
        <f t="shared" ref="S316:S347" si="335">ROUND(CT316*I316,0)</f>
        <v>2804</v>
      </c>
      <c r="T316" s="2">
        <f t="shared" ref="T316:T347" si="336">ROUND(CU316*I316,0)</f>
        <v>0</v>
      </c>
      <c r="U316" s="2">
        <f t="shared" ref="U316:U347" si="337">CV316*I316</f>
        <v>356.26500000000004</v>
      </c>
      <c r="V316" s="2">
        <f t="shared" ref="V316:V347" si="338">CW316*I316</f>
        <v>123.94368000000003</v>
      </c>
      <c r="W316" s="2">
        <f t="shared" ref="W316:W347" si="339">ROUND(CX316*I316,0)</f>
        <v>0</v>
      </c>
      <c r="X316" s="2">
        <f t="shared" ref="X316:X347" si="340">ROUND(CY316,0)</f>
        <v>5389</v>
      </c>
      <c r="Y316" s="2">
        <f t="shared" ref="Y316:Y347" si="341">ROUND(CZ316,0)</f>
        <v>3458</v>
      </c>
      <c r="Z316" s="2"/>
      <c r="AA316" s="2">
        <v>86326987</v>
      </c>
      <c r="AB316" s="2">
        <f t="shared" ref="AB316:AB347" si="342">ROUND((AC316+AD316+AF316),2)</f>
        <v>315.39</v>
      </c>
      <c r="AC316" s="2">
        <f>ROUND((ES316+(SUM(SmtRes!BC367:'SmtRes'!BC375)+SUM(EtalonRes!AL293:'EtalonRes'!AL300))),2)</f>
        <v>0</v>
      </c>
      <c r="AD316" s="2">
        <f>ROUND(((((ET316*1.12)+(SUM(SmtRes!BD367:'SmtRes'!BD375)+SUM(EtalonRes!AM293:'EtalonRes'!AM300)))-((EU316*1.12)+(SUM(SmtRes!BE367:'SmtRes'!BE375)+SUM(EtalonRes!AN293:'EtalonRes'!AN300))))+AE316),2)</f>
        <v>261.67</v>
      </c>
      <c r="AE316" s="2">
        <f>ROUND(((EU316*1.12)+(SUM(SmtRes!BE367:'SmtRes'!BE375)+SUM(EtalonRes!AN293:'EtalonRes'!AN300))),2)</f>
        <v>32.31</v>
      </c>
      <c r="AF316" s="2">
        <f>ROUND(((EV316*1.05)),2)</f>
        <v>53.72</v>
      </c>
      <c r="AG316" s="2">
        <f t="shared" ref="AG316:AG347" si="343">ROUND((AP316),2)</f>
        <v>0</v>
      </c>
      <c r="AH316" s="2">
        <f>((EW316*1.05))</f>
        <v>6.8250000000000002</v>
      </c>
      <c r="AI316" s="2">
        <f>((EX316*1.12))</f>
        <v>2.3744000000000005</v>
      </c>
      <c r="AJ316" s="2">
        <f t="shared" ref="AJ316:AJ347" si="344">(AS316)</f>
        <v>0</v>
      </c>
      <c r="AK316" s="2">
        <v>313.11</v>
      </c>
      <c r="AL316" s="2">
        <v>57.05</v>
      </c>
      <c r="AM316" s="2">
        <v>204.9</v>
      </c>
      <c r="AN316" s="2">
        <v>28.85</v>
      </c>
      <c r="AO316" s="2">
        <v>51.16</v>
      </c>
      <c r="AP316" s="2">
        <v>0</v>
      </c>
      <c r="AQ316" s="2">
        <v>6.5</v>
      </c>
      <c r="AR316" s="2">
        <v>2.12</v>
      </c>
      <c r="AS316" s="2">
        <v>0</v>
      </c>
      <c r="AT316" s="2">
        <v>120</v>
      </c>
      <c r="AU316" s="2">
        <v>77</v>
      </c>
      <c r="AV316" s="2">
        <v>1</v>
      </c>
      <c r="AW316" s="2">
        <v>1</v>
      </c>
      <c r="AX316" s="2"/>
      <c r="AY316" s="2"/>
      <c r="AZ316" s="2">
        <v>1</v>
      </c>
      <c r="BA316" s="2">
        <v>1</v>
      </c>
      <c r="BB316" s="2">
        <v>1</v>
      </c>
      <c r="BC316" s="2">
        <v>1</v>
      </c>
      <c r="BD316" s="2" t="s">
        <v>6</v>
      </c>
      <c r="BE316" s="2" t="s">
        <v>6</v>
      </c>
      <c r="BF316" s="2" t="s">
        <v>6</v>
      </c>
      <c r="BG316" s="2" t="s">
        <v>6</v>
      </c>
      <c r="BH316" s="2">
        <v>0</v>
      </c>
      <c r="BI316" s="2">
        <v>1</v>
      </c>
      <c r="BJ316" s="2" t="s">
        <v>419</v>
      </c>
      <c r="BK316" s="2"/>
      <c r="BL316" s="2"/>
      <c r="BM316" s="2">
        <v>6002</v>
      </c>
      <c r="BN316" s="2">
        <v>0</v>
      </c>
      <c r="BO316" s="2" t="s">
        <v>6</v>
      </c>
      <c r="BP316" s="2">
        <v>0</v>
      </c>
      <c r="BQ316" s="2">
        <v>1</v>
      </c>
      <c r="BR316" s="2">
        <v>0</v>
      </c>
      <c r="BS316" s="2">
        <v>1</v>
      </c>
      <c r="BT316" s="2">
        <v>1</v>
      </c>
      <c r="BU316" s="2">
        <v>1</v>
      </c>
      <c r="BV316" s="2">
        <v>1</v>
      </c>
      <c r="BW316" s="2">
        <v>1</v>
      </c>
      <c r="BX316" s="2">
        <v>1</v>
      </c>
      <c r="BY316" s="2" t="s">
        <v>6</v>
      </c>
      <c r="BZ316" s="2">
        <v>120</v>
      </c>
      <c r="CA316" s="2">
        <v>77</v>
      </c>
      <c r="CB316" s="2" t="s">
        <v>6</v>
      </c>
      <c r="CC316" s="2"/>
      <c r="CD316" s="2"/>
      <c r="CE316" s="2">
        <v>0</v>
      </c>
      <c r="CF316" s="2">
        <v>0</v>
      </c>
      <c r="CG316" s="2">
        <v>0</v>
      </c>
      <c r="CH316" s="2"/>
      <c r="CI316" s="2"/>
      <c r="CJ316" s="2"/>
      <c r="CK316" s="2"/>
      <c r="CL316" s="2"/>
      <c r="CM316" s="2">
        <v>0</v>
      </c>
      <c r="CN316" s="2" t="s">
        <v>23</v>
      </c>
      <c r="CO316" s="2">
        <v>0</v>
      </c>
      <c r="CP316" s="2">
        <f t="shared" ref="CP316:CP347" si="345">(P316+Q316+S316)</f>
        <v>16463</v>
      </c>
      <c r="CQ316" s="2">
        <f t="shared" ref="CQ316:CQ347" si="346">AC316*BC316</f>
        <v>0</v>
      </c>
      <c r="CR316" s="2">
        <f t="shared" ref="CR316:CR347" si="347">AD316*BB316</f>
        <v>261.67</v>
      </c>
      <c r="CS316" s="2">
        <f t="shared" ref="CS316:CS347" si="348">AE316*BS316</f>
        <v>32.31</v>
      </c>
      <c r="CT316" s="2">
        <f t="shared" ref="CT316:CT347" si="349">AF316*BA316</f>
        <v>53.72</v>
      </c>
      <c r="CU316" s="2">
        <f t="shared" ref="CU316:CU347" si="350">AG316</f>
        <v>0</v>
      </c>
      <c r="CV316" s="2">
        <f t="shared" ref="CV316:CV347" si="351">AH316</f>
        <v>6.8250000000000002</v>
      </c>
      <c r="CW316" s="2">
        <f t="shared" ref="CW316:CW347" si="352">AI316</f>
        <v>2.3744000000000005</v>
      </c>
      <c r="CX316" s="2">
        <f t="shared" ref="CX316:CX347" si="353">AJ316</f>
        <v>0</v>
      </c>
      <c r="CY316" s="2">
        <f>(((S316+(R316*IF(0,0,1)))*AT316)/100)</f>
        <v>5389.2</v>
      </c>
      <c r="CZ316" s="2">
        <f>(((S316+(R316*IF(0,0,1)))*AU316)/100)</f>
        <v>3458.07</v>
      </c>
      <c r="DA316" s="2"/>
      <c r="DB316" s="2"/>
      <c r="DC316" s="2" t="s">
        <v>6</v>
      </c>
      <c r="DD316" s="2" t="s">
        <v>6</v>
      </c>
      <c r="DE316" s="2" t="s">
        <v>24</v>
      </c>
      <c r="DF316" s="2" t="s">
        <v>24</v>
      </c>
      <c r="DG316" s="2" t="s">
        <v>25</v>
      </c>
      <c r="DH316" s="2" t="s">
        <v>6</v>
      </c>
      <c r="DI316" s="2" t="s">
        <v>25</v>
      </c>
      <c r="DJ316" s="2" t="s">
        <v>24</v>
      </c>
      <c r="DK316" s="2" t="s">
        <v>6</v>
      </c>
      <c r="DL316" s="2" t="s">
        <v>6</v>
      </c>
      <c r="DM316" s="2" t="s">
        <v>6</v>
      </c>
      <c r="DN316" s="2">
        <v>0</v>
      </c>
      <c r="DO316" s="2">
        <v>0</v>
      </c>
      <c r="DP316" s="2">
        <v>1</v>
      </c>
      <c r="DQ316" s="2">
        <v>1</v>
      </c>
      <c r="DR316" s="2"/>
      <c r="DS316" s="2"/>
      <c r="DT316" s="2"/>
      <c r="DU316" s="2">
        <v>1013</v>
      </c>
      <c r="DV316" s="2" t="s">
        <v>21</v>
      </c>
      <c r="DW316" s="2" t="s">
        <v>21</v>
      </c>
      <c r="DX316" s="2">
        <v>1</v>
      </c>
      <c r="DY316" s="2"/>
      <c r="DZ316" s="2" t="s">
        <v>6</v>
      </c>
      <c r="EA316" s="2" t="s">
        <v>6</v>
      </c>
      <c r="EB316" s="2" t="s">
        <v>6</v>
      </c>
      <c r="EC316" s="2" t="s">
        <v>6</v>
      </c>
      <c r="ED316" s="2"/>
      <c r="EE316" s="2">
        <v>54938592</v>
      </c>
      <c r="EF316" s="2">
        <v>1</v>
      </c>
      <c r="EG316" s="2" t="s">
        <v>26</v>
      </c>
      <c r="EH316" s="2">
        <v>0</v>
      </c>
      <c r="EI316" s="2" t="s">
        <v>6</v>
      </c>
      <c r="EJ316" s="2">
        <v>1</v>
      </c>
      <c r="EK316" s="2">
        <v>6002</v>
      </c>
      <c r="EL316" s="2" t="s">
        <v>27</v>
      </c>
      <c r="EM316" s="2" t="s">
        <v>28</v>
      </c>
      <c r="EN316" s="2"/>
      <c r="EO316" s="2" t="s">
        <v>29</v>
      </c>
      <c r="EP316" s="2"/>
      <c r="EQ316" s="2">
        <v>2228224</v>
      </c>
      <c r="ER316" s="2">
        <v>313.11</v>
      </c>
      <c r="ES316" s="2">
        <v>57.05</v>
      </c>
      <c r="ET316" s="2">
        <v>204.9</v>
      </c>
      <c r="EU316" s="2">
        <v>28.85</v>
      </c>
      <c r="EV316" s="2">
        <v>51.16</v>
      </c>
      <c r="EW316" s="2">
        <v>6.5</v>
      </c>
      <c r="EX316" s="2">
        <v>2.12</v>
      </c>
      <c r="EY316" s="2">
        <v>1</v>
      </c>
      <c r="EZ316" s="2"/>
      <c r="FA316" s="2"/>
      <c r="FB316" s="2"/>
      <c r="FC316" s="2"/>
      <c r="FD316" s="2"/>
      <c r="FE316" s="2"/>
      <c r="FF316" s="2"/>
      <c r="FG316" s="2"/>
      <c r="FH316" s="2"/>
      <c r="FI316" s="2"/>
      <c r="FJ316" s="2"/>
      <c r="FK316" s="2"/>
      <c r="FL316" s="2"/>
      <c r="FM316" s="2"/>
      <c r="FN316" s="2"/>
      <c r="FO316" s="2"/>
      <c r="FP316" s="2"/>
      <c r="FQ316" s="2">
        <v>0</v>
      </c>
      <c r="FR316" s="2">
        <f t="shared" ref="FR316:FR347" si="354">ROUND(IF(BI316=3,GM316,0),0)</f>
        <v>0</v>
      </c>
      <c r="FS316" s="2">
        <v>0</v>
      </c>
      <c r="FT316" s="2"/>
      <c r="FU316" s="2"/>
      <c r="FV316" s="2"/>
      <c r="FW316" s="2"/>
      <c r="FX316" s="2">
        <v>120</v>
      </c>
      <c r="FY316" s="2">
        <v>77</v>
      </c>
      <c r="FZ316" s="2"/>
      <c r="GA316" s="2" t="s">
        <v>6</v>
      </c>
      <c r="GB316" s="2"/>
      <c r="GC316" s="2"/>
      <c r="GD316" s="2">
        <v>1</v>
      </c>
      <c r="GE316" s="2"/>
      <c r="GF316" s="2">
        <v>1591917473</v>
      </c>
      <c r="GG316" s="2">
        <v>2</v>
      </c>
      <c r="GH316" s="2">
        <v>1</v>
      </c>
      <c r="GI316" s="2">
        <v>-2</v>
      </c>
      <c r="GJ316" s="2">
        <v>0</v>
      </c>
      <c r="GK316" s="2">
        <v>0</v>
      </c>
      <c r="GL316" s="2">
        <f t="shared" ref="GL316:GL347" si="355">ROUND(IF(AND(BH316=3,BI316=3,FS316&lt;&gt;0),P316,0),0)</f>
        <v>0</v>
      </c>
      <c r="GM316" s="2">
        <f t="shared" ref="GM316:GM347" si="356">ROUND(O316+X316+Y316,0)+GX316</f>
        <v>25310</v>
      </c>
      <c r="GN316" s="2">
        <f t="shared" ref="GN316:GN347" si="357">IF(OR(BI316=0,BI316=1),GM316-GX316,0)</f>
        <v>25310</v>
      </c>
      <c r="GO316" s="2">
        <f t="shared" ref="GO316:GO347" si="358">IF(BI316=2,GM316-GX316,0)</f>
        <v>0</v>
      </c>
      <c r="GP316" s="2">
        <f t="shared" ref="GP316:GP347" si="359">IF(BI316=4,GM316-GX316,0)</f>
        <v>0</v>
      </c>
      <c r="GQ316" s="2"/>
      <c r="GR316" s="2">
        <v>0</v>
      </c>
      <c r="GS316" s="2">
        <v>3</v>
      </c>
      <c r="GT316" s="2">
        <v>0</v>
      </c>
      <c r="GU316" s="2" t="s">
        <v>6</v>
      </c>
      <c r="GV316" s="2">
        <f t="shared" ref="GV316:GV347" si="360">ROUND((GT316),2)</f>
        <v>0</v>
      </c>
      <c r="GW316" s="2">
        <v>1</v>
      </c>
      <c r="GX316" s="2">
        <f t="shared" ref="GX316:GX347" si="361">ROUND(HC316*I316,0)</f>
        <v>0</v>
      </c>
      <c r="GY316" s="2"/>
      <c r="GZ316" s="2"/>
      <c r="HA316" s="2">
        <v>0</v>
      </c>
      <c r="HB316" s="2">
        <v>0</v>
      </c>
      <c r="HC316" s="2">
        <f t="shared" ref="HC316:HC347" si="362">GV316*GW316</f>
        <v>0</v>
      </c>
      <c r="HD316" s="2"/>
      <c r="HE316" s="2" t="s">
        <v>6</v>
      </c>
      <c r="HF316" s="2" t="s">
        <v>6</v>
      </c>
      <c r="HG316" s="2"/>
      <c r="HH316" s="2"/>
      <c r="HI316" s="2"/>
      <c r="HJ316" s="2"/>
      <c r="HK316" s="2"/>
      <c r="HL316" s="2"/>
      <c r="HM316" s="2" t="s">
        <v>6</v>
      </c>
      <c r="HN316" s="2" t="s">
        <v>6</v>
      </c>
      <c r="HO316" s="2" t="s">
        <v>6</v>
      </c>
      <c r="HP316" s="2" t="s">
        <v>6</v>
      </c>
      <c r="HQ316" s="2" t="s">
        <v>6</v>
      </c>
      <c r="HR316" s="2"/>
      <c r="HS316" s="2"/>
      <c r="HT316" s="2"/>
      <c r="HU316" s="2"/>
      <c r="HV316" s="2"/>
      <c r="HW316" s="2"/>
      <c r="HX316" s="2"/>
      <c r="HY316" s="2"/>
      <c r="HZ316" s="2"/>
      <c r="IA316" s="2"/>
      <c r="IB316" s="2"/>
      <c r="IC316" s="2"/>
      <c r="ID316" s="2"/>
      <c r="IE316" s="2"/>
      <c r="IF316" s="2">
        <v>-1</v>
      </c>
      <c r="IG316" s="2"/>
      <c r="IH316" s="2"/>
      <c r="II316" s="2"/>
      <c r="IJ316" s="2"/>
      <c r="IK316" s="2">
        <v>0</v>
      </c>
      <c r="IL316" s="2"/>
      <c r="IM316" s="2"/>
      <c r="IN316" s="2"/>
      <c r="IO316" s="2"/>
      <c r="IP316" s="2"/>
      <c r="IQ316" s="2"/>
      <c r="IR316" s="2"/>
      <c r="IS316" s="2"/>
      <c r="IT316" s="2"/>
      <c r="IU316" s="2"/>
    </row>
    <row r="317" spans="1:255" x14ac:dyDescent="0.2">
      <c r="A317">
        <v>17</v>
      </c>
      <c r="B317">
        <v>1</v>
      </c>
      <c r="C317">
        <f>ROW(SmtRes!A384)</f>
        <v>384</v>
      </c>
      <c r="D317">
        <f>ROW(EtalonRes!A308)</f>
        <v>308</v>
      </c>
      <c r="E317" t="s">
        <v>416</v>
      </c>
      <c r="F317" t="s">
        <v>417</v>
      </c>
      <c r="G317" t="s">
        <v>418</v>
      </c>
      <c r="H317" t="s">
        <v>21</v>
      </c>
      <c r="I317">
        <f>'2.Лок.смета.и.Акт'!E48</f>
        <v>52.2</v>
      </c>
      <c r="J317">
        <v>0</v>
      </c>
      <c r="K317">
        <v>208.8</v>
      </c>
      <c r="O317">
        <f t="shared" si="331"/>
        <v>228177</v>
      </c>
      <c r="P317">
        <f t="shared" si="332"/>
        <v>0</v>
      </c>
      <c r="Q317">
        <f t="shared" si="333"/>
        <v>127030</v>
      </c>
      <c r="R317">
        <f t="shared" si="334"/>
        <v>33394</v>
      </c>
      <c r="S317">
        <f t="shared" si="335"/>
        <v>101147</v>
      </c>
      <c r="T317">
        <f t="shared" si="336"/>
        <v>0</v>
      </c>
      <c r="U317" t="e">
        <f t="shared" si="337"/>
        <v>#REF!</v>
      </c>
      <c r="V317">
        <f t="shared" si="338"/>
        <v>123.94368000000003</v>
      </c>
      <c r="W317">
        <f t="shared" si="339"/>
        <v>0</v>
      </c>
      <c r="X317" t="e">
        <f t="shared" si="340"/>
        <v>#REF!</v>
      </c>
      <c r="Y317" t="e">
        <f t="shared" si="341"/>
        <v>#REF!</v>
      </c>
      <c r="AA317">
        <v>86326988</v>
      </c>
      <c r="AB317">
        <f t="shared" si="342"/>
        <v>315.39</v>
      </c>
      <c r="AC317">
        <f>ROUND((ES317+(SUM(SmtRes!BC376:'SmtRes'!BC384)+SUM(EtalonRes!AL301:'EtalonRes'!AL308))),2)</f>
        <v>0</v>
      </c>
      <c r="AD317">
        <f>ROUND(((((ET317*1.12)+(SUM(SmtRes!BD376:'SmtRes'!BD384)+SUM(EtalonRes!AM301:'EtalonRes'!AM308)))-((EU317*1.12)+(SUM(SmtRes!BE376:'SmtRes'!BE384)+SUM(EtalonRes!AN301:'EtalonRes'!AN308))))+AE317),2)</f>
        <v>261.67</v>
      </c>
      <c r="AE317">
        <f>ROUND(((EU317*1.12)+(SUM(SmtRes!BE376:'SmtRes'!BE384)+SUM(EtalonRes!AN301:'EtalonRes'!AN308))),2)</f>
        <v>32.31</v>
      </c>
      <c r="AF317">
        <f>ROUND(((EV317*1.05)),2)</f>
        <v>53.72</v>
      </c>
      <c r="AG317">
        <f t="shared" si="343"/>
        <v>0</v>
      </c>
      <c r="AH317" t="e">
        <f>((EW317*1.05))</f>
        <v>#REF!</v>
      </c>
      <c r="AI317">
        <f>((EX317*1.12))</f>
        <v>2.3744000000000005</v>
      </c>
      <c r="AJ317">
        <f t="shared" si="344"/>
        <v>0</v>
      </c>
      <c r="AK317">
        <f>AL317+AM317+AO317</f>
        <v>313.11</v>
      </c>
      <c r="AL317">
        <v>57.05</v>
      </c>
      <c r="AM317" s="75">
        <f>'1.Лок.смета.и.Акт'!F575</f>
        <v>204.9</v>
      </c>
      <c r="AN317" s="75">
        <f>'1.Лок.смета.и.Акт'!F576</f>
        <v>28.85</v>
      </c>
      <c r="AO317" s="75">
        <f>'1.Лок.смета.и.Акт'!F574</f>
        <v>51.16</v>
      </c>
      <c r="AP317">
        <v>0</v>
      </c>
      <c r="AQ317" t="e">
        <f>'2.Лок.смета.и.Акт'!#REF!</f>
        <v>#REF!</v>
      </c>
      <c r="AR317">
        <v>2.12</v>
      </c>
      <c r="AS317">
        <v>0</v>
      </c>
      <c r="AT317">
        <v>114</v>
      </c>
      <c r="AU317">
        <v>65</v>
      </c>
      <c r="AV317">
        <v>1</v>
      </c>
      <c r="AW317">
        <v>1</v>
      </c>
      <c r="AZ317">
        <v>1</v>
      </c>
      <c r="BA317">
        <f>'1.Лок.смета.и.Акт'!J574</f>
        <v>36.07</v>
      </c>
      <c r="BB317">
        <f>'1.Лок.смета.и.Акт'!J575</f>
        <v>9.3000000000000007</v>
      </c>
      <c r="BC317">
        <v>7.56</v>
      </c>
      <c r="BD317" t="s">
        <v>6</v>
      </c>
      <c r="BE317" t="s">
        <v>6</v>
      </c>
      <c r="BF317" t="s">
        <v>6</v>
      </c>
      <c r="BG317" t="s">
        <v>6</v>
      </c>
      <c r="BH317">
        <v>0</v>
      </c>
      <c r="BI317">
        <v>1</v>
      </c>
      <c r="BJ317" t="s">
        <v>419</v>
      </c>
      <c r="BM317">
        <v>6002</v>
      </c>
      <c r="BN317">
        <v>0</v>
      </c>
      <c r="BO317" t="s">
        <v>417</v>
      </c>
      <c r="BP317">
        <v>1</v>
      </c>
      <c r="BQ317">
        <v>1</v>
      </c>
      <c r="BR317">
        <v>0</v>
      </c>
      <c r="BS317">
        <f>'1.Лок.смета.и.Акт'!J576</f>
        <v>19.8</v>
      </c>
      <c r="BT317">
        <v>1</v>
      </c>
      <c r="BU317">
        <v>1</v>
      </c>
      <c r="BV317">
        <v>1</v>
      </c>
      <c r="BW317">
        <v>1</v>
      </c>
      <c r="BX317">
        <v>1</v>
      </c>
      <c r="BY317" t="s">
        <v>6</v>
      </c>
      <c r="BZ317" t="e">
        <f>'2.Лок.смета.и.Акт'!#REF!</f>
        <v>#REF!</v>
      </c>
      <c r="CA317" t="e">
        <f>'2.Лок.смета.и.Акт'!#REF!</f>
        <v>#REF!</v>
      </c>
      <c r="CB317" t="s">
        <v>6</v>
      </c>
      <c r="CE317">
        <v>0</v>
      </c>
      <c r="CF317">
        <v>0</v>
      </c>
      <c r="CG317">
        <v>0</v>
      </c>
      <c r="CM317">
        <v>0</v>
      </c>
      <c r="CN317" t="s">
        <v>23</v>
      </c>
      <c r="CO317">
        <v>0</v>
      </c>
      <c r="CP317">
        <f t="shared" si="345"/>
        <v>228177</v>
      </c>
      <c r="CQ317">
        <f t="shared" si="346"/>
        <v>0</v>
      </c>
      <c r="CR317">
        <f t="shared" si="347"/>
        <v>2433.5310000000004</v>
      </c>
      <c r="CS317">
        <f t="shared" si="348"/>
        <v>639.73800000000006</v>
      </c>
      <c r="CT317">
        <f t="shared" si="349"/>
        <v>1937.6804</v>
      </c>
      <c r="CU317">
        <f t="shared" si="350"/>
        <v>0</v>
      </c>
      <c r="CV317" t="e">
        <f t="shared" si="351"/>
        <v>#REF!</v>
      </c>
      <c r="CW317">
        <f t="shared" si="352"/>
        <v>2.3744000000000005</v>
      </c>
      <c r="CX317">
        <f t="shared" si="353"/>
        <v>0</v>
      </c>
      <c r="CY317" t="e">
        <f>(S317+R317)*(BZ317/100)</f>
        <v>#REF!</v>
      </c>
      <c r="CZ317" t="e">
        <f>(S317+R317)*(CA317/100)</f>
        <v>#REF!</v>
      </c>
      <c r="DC317" t="s">
        <v>6</v>
      </c>
      <c r="DD317" t="s">
        <v>6</v>
      </c>
      <c r="DE317" t="s">
        <v>24</v>
      </c>
      <c r="DF317" t="s">
        <v>24</v>
      </c>
      <c r="DG317" t="s">
        <v>25</v>
      </c>
      <c r="DH317" t="s">
        <v>6</v>
      </c>
      <c r="DI317" t="s">
        <v>25</v>
      </c>
      <c r="DJ317" t="s">
        <v>24</v>
      </c>
      <c r="DK317" t="s">
        <v>6</v>
      </c>
      <c r="DL317" t="s">
        <v>6</v>
      </c>
      <c r="DM317" t="s">
        <v>6</v>
      </c>
      <c r="DN317">
        <f>'1.Лок.смета.и.Акт'!E577</f>
        <v>120</v>
      </c>
      <c r="DO317">
        <f>'1.Лок.смета.и.Акт'!E578</f>
        <v>77</v>
      </c>
      <c r="DP317">
        <v>1</v>
      </c>
      <c r="DQ317">
        <v>1</v>
      </c>
      <c r="DU317">
        <v>1013</v>
      </c>
      <c r="DV317" t="s">
        <v>21</v>
      </c>
      <c r="DW317" t="str">
        <f>'2.Лок.смета.и.Акт'!D48</f>
        <v>10 м2 конструкций</v>
      </c>
      <c r="DX317">
        <v>1</v>
      </c>
      <c r="DZ317" t="s">
        <v>6</v>
      </c>
      <c r="EA317" t="s">
        <v>6</v>
      </c>
      <c r="EB317" t="s">
        <v>6</v>
      </c>
      <c r="EC317" t="s">
        <v>6</v>
      </c>
      <c r="EE317">
        <v>54938592</v>
      </c>
      <c r="EF317">
        <v>1</v>
      </c>
      <c r="EG317" t="s">
        <v>26</v>
      </c>
      <c r="EH317">
        <v>0</v>
      </c>
      <c r="EI317" t="s">
        <v>6</v>
      </c>
      <c r="EJ317">
        <v>1</v>
      </c>
      <c r="EK317">
        <v>6002</v>
      </c>
      <c r="EL317" t="s">
        <v>27</v>
      </c>
      <c r="EM317" t="s">
        <v>28</v>
      </c>
      <c r="EO317" t="s">
        <v>29</v>
      </c>
      <c r="EQ317">
        <v>2228224</v>
      </c>
      <c r="ER317">
        <f>ES317+ET317+EV317</f>
        <v>313.11</v>
      </c>
      <c r="ES317">
        <v>57.05</v>
      </c>
      <c r="ET317" s="75">
        <f>'1.Лок.смета.и.Акт'!F575</f>
        <v>204.9</v>
      </c>
      <c r="EU317" s="75">
        <f>'1.Лок.смета.и.Акт'!F576</f>
        <v>28.85</v>
      </c>
      <c r="EV317" s="75">
        <f>'1.Лок.смета.и.Акт'!F574</f>
        <v>51.16</v>
      </c>
      <c r="EW317" t="e">
        <f>'2.Лок.смета.и.Акт'!#REF!</f>
        <v>#REF!</v>
      </c>
      <c r="EX317">
        <v>2.12</v>
      </c>
      <c r="EY317">
        <v>1</v>
      </c>
      <c r="FQ317">
        <v>0</v>
      </c>
      <c r="FR317">
        <f t="shared" si="354"/>
        <v>0</v>
      </c>
      <c r="FS317">
        <v>0</v>
      </c>
      <c r="FX317">
        <v>120</v>
      </c>
      <c r="FY317">
        <v>77</v>
      </c>
      <c r="GA317" t="s">
        <v>6</v>
      </c>
      <c r="GD317">
        <v>1</v>
      </c>
      <c r="GF317">
        <v>1591917473</v>
      </c>
      <c r="GG317">
        <v>2</v>
      </c>
      <c r="GH317">
        <v>1</v>
      </c>
      <c r="GI317">
        <v>2</v>
      </c>
      <c r="GJ317">
        <v>0</v>
      </c>
      <c r="GK317">
        <v>0</v>
      </c>
      <c r="GL317">
        <f t="shared" si="355"/>
        <v>0</v>
      </c>
      <c r="GM317" t="e">
        <f t="shared" si="356"/>
        <v>#REF!</v>
      </c>
      <c r="GN317" t="e">
        <f t="shared" si="357"/>
        <v>#REF!</v>
      </c>
      <c r="GO317">
        <f t="shared" si="358"/>
        <v>0</v>
      </c>
      <c r="GP317">
        <f t="shared" si="359"/>
        <v>0</v>
      </c>
      <c r="GR317">
        <v>0</v>
      </c>
      <c r="GS317">
        <v>3</v>
      </c>
      <c r="GT317">
        <v>0</v>
      </c>
      <c r="GU317" t="s">
        <v>6</v>
      </c>
      <c r="GV317">
        <f t="shared" si="360"/>
        <v>0</v>
      </c>
      <c r="GW317">
        <v>1003.4</v>
      </c>
      <c r="GX317">
        <f t="shared" si="361"/>
        <v>0</v>
      </c>
      <c r="HA317">
        <v>0</v>
      </c>
      <c r="HB317">
        <v>0</v>
      </c>
      <c r="HC317">
        <f t="shared" si="362"/>
        <v>0</v>
      </c>
      <c r="HE317" t="s">
        <v>6</v>
      </c>
      <c r="HF317" t="s">
        <v>6</v>
      </c>
      <c r="HM317" t="s">
        <v>6</v>
      </c>
      <c r="HN317" t="s">
        <v>6</v>
      </c>
      <c r="HO317" t="s">
        <v>6</v>
      </c>
      <c r="HP317" t="s">
        <v>6</v>
      </c>
      <c r="HQ317" t="s">
        <v>6</v>
      </c>
      <c r="IF317">
        <v>-1</v>
      </c>
      <c r="IK317">
        <v>0</v>
      </c>
    </row>
    <row r="318" spans="1:255" x14ac:dyDescent="0.2">
      <c r="A318" s="2">
        <v>18</v>
      </c>
      <c r="B318" s="2">
        <v>1</v>
      </c>
      <c r="C318" s="2">
        <v>374</v>
      </c>
      <c r="D318" s="2"/>
      <c r="E318" s="2" t="s">
        <v>420</v>
      </c>
      <c r="F318" s="2" t="s">
        <v>421</v>
      </c>
      <c r="G318" s="2" t="s">
        <v>422</v>
      </c>
      <c r="H318" s="2" t="s">
        <v>423</v>
      </c>
      <c r="I318" s="2">
        <f>I316*J318</f>
        <v>6.3684000000000003</v>
      </c>
      <c r="J318" s="226">
        <f>'5.Ведомость_списания'!F136</f>
        <v>0.122</v>
      </c>
      <c r="K318" s="2">
        <v>0.122</v>
      </c>
      <c r="L318" s="2"/>
      <c r="M318" s="2"/>
      <c r="N318" s="2"/>
      <c r="O318" s="2">
        <f t="shared" si="331"/>
        <v>1169</v>
      </c>
      <c r="P318" s="2">
        <f t="shared" si="332"/>
        <v>1169</v>
      </c>
      <c r="Q318" s="2">
        <f t="shared" si="333"/>
        <v>0</v>
      </c>
      <c r="R318" s="2">
        <f t="shared" si="334"/>
        <v>0</v>
      </c>
      <c r="S318" s="2">
        <f t="shared" si="335"/>
        <v>0</v>
      </c>
      <c r="T318" s="2">
        <f t="shared" si="336"/>
        <v>0</v>
      </c>
      <c r="U318" s="2">
        <f t="shared" si="337"/>
        <v>0</v>
      </c>
      <c r="V318" s="2">
        <f t="shared" si="338"/>
        <v>0</v>
      </c>
      <c r="W318" s="2">
        <f t="shared" si="339"/>
        <v>0</v>
      </c>
      <c r="X318" s="2">
        <f t="shared" si="340"/>
        <v>0</v>
      </c>
      <c r="Y318" s="2">
        <f t="shared" si="341"/>
        <v>0</v>
      </c>
      <c r="Z318" s="2"/>
      <c r="AA318" s="2">
        <v>86326987</v>
      </c>
      <c r="AB318" s="2">
        <f t="shared" si="342"/>
        <v>183.59</v>
      </c>
      <c r="AC318" s="2">
        <f t="shared" ref="AC318:AF319" si="363">ROUND((ES318),2)</f>
        <v>183.59</v>
      </c>
      <c r="AD318" s="2">
        <f t="shared" si="363"/>
        <v>0</v>
      </c>
      <c r="AE318" s="2">
        <f t="shared" si="363"/>
        <v>0</v>
      </c>
      <c r="AF318" s="2">
        <f t="shared" si="363"/>
        <v>0</v>
      </c>
      <c r="AG318" s="2">
        <f t="shared" si="343"/>
        <v>0</v>
      </c>
      <c r="AH318" s="2">
        <f t="shared" ref="AH318:AI323" si="364">(EW318)</f>
        <v>0</v>
      </c>
      <c r="AI318" s="2">
        <f t="shared" si="364"/>
        <v>0</v>
      </c>
      <c r="AJ318" s="2">
        <f t="shared" si="344"/>
        <v>0</v>
      </c>
      <c r="AK318" s="2">
        <v>183.59</v>
      </c>
      <c r="AL318" s="110">
        <f>'1.Лок.смета.и.Акт'!F580</f>
        <v>183.59</v>
      </c>
      <c r="AM318" s="2">
        <v>0</v>
      </c>
      <c r="AN318" s="2">
        <v>0</v>
      </c>
      <c r="AO318" s="2">
        <v>0</v>
      </c>
      <c r="AP318" s="2">
        <v>0</v>
      </c>
      <c r="AQ318" s="2">
        <v>0</v>
      </c>
      <c r="AR318" s="2">
        <v>0</v>
      </c>
      <c r="AS318" s="2">
        <v>0</v>
      </c>
      <c r="AT318" s="2">
        <v>0</v>
      </c>
      <c r="AU318" s="2">
        <v>0</v>
      </c>
      <c r="AV318" s="2">
        <v>1</v>
      </c>
      <c r="AW318" s="2">
        <v>1</v>
      </c>
      <c r="AX318" s="2"/>
      <c r="AY318" s="2"/>
      <c r="AZ318" s="2">
        <v>1</v>
      </c>
      <c r="BA318" s="2">
        <v>1</v>
      </c>
      <c r="BB318" s="2">
        <v>1</v>
      </c>
      <c r="BC318" s="2">
        <v>1</v>
      </c>
      <c r="BD318" s="2" t="s">
        <v>6</v>
      </c>
      <c r="BE318" s="2" t="s">
        <v>6</v>
      </c>
      <c r="BF318" s="2" t="s">
        <v>6</v>
      </c>
      <c r="BG318" s="2" t="s">
        <v>6</v>
      </c>
      <c r="BH318" s="2">
        <v>3</v>
      </c>
      <c r="BI318" s="2">
        <v>1</v>
      </c>
      <c r="BJ318" s="2" t="s">
        <v>424</v>
      </c>
      <c r="BK318" s="2"/>
      <c r="BL318" s="2"/>
      <c r="BM318" s="2">
        <v>3101</v>
      </c>
      <c r="BN318" s="2">
        <v>0</v>
      </c>
      <c r="BO318" s="2" t="s">
        <v>6</v>
      </c>
      <c r="BP318" s="2">
        <v>0</v>
      </c>
      <c r="BQ318" s="2">
        <v>0</v>
      </c>
      <c r="BR318" s="2">
        <v>0</v>
      </c>
      <c r="BS318" s="2">
        <v>1</v>
      </c>
      <c r="BT318" s="2">
        <v>1</v>
      </c>
      <c r="BU318" s="2">
        <v>1</v>
      </c>
      <c r="BV318" s="2">
        <v>1</v>
      </c>
      <c r="BW318" s="2">
        <v>1</v>
      </c>
      <c r="BX318" s="2">
        <v>1</v>
      </c>
      <c r="BY318" s="2" t="s">
        <v>6</v>
      </c>
      <c r="BZ318" s="2">
        <v>0</v>
      </c>
      <c r="CA318" s="2">
        <v>0</v>
      </c>
      <c r="CB318" s="2" t="s">
        <v>6</v>
      </c>
      <c r="CC318" s="2"/>
      <c r="CD318" s="2"/>
      <c r="CE318" s="2">
        <v>0</v>
      </c>
      <c r="CF318" s="2">
        <v>0</v>
      </c>
      <c r="CG318" s="2">
        <v>0</v>
      </c>
      <c r="CH318" s="2"/>
      <c r="CI318" s="2"/>
      <c r="CJ318" s="2"/>
      <c r="CK318" s="2"/>
      <c r="CL318" s="2"/>
      <c r="CM318" s="2">
        <v>0</v>
      </c>
      <c r="CN318" s="2" t="s">
        <v>6</v>
      </c>
      <c r="CO318" s="2">
        <v>0</v>
      </c>
      <c r="CP318" s="2">
        <f t="shared" si="345"/>
        <v>1169</v>
      </c>
      <c r="CQ318" s="2">
        <f t="shared" si="346"/>
        <v>183.59</v>
      </c>
      <c r="CR318" s="2">
        <f t="shared" si="347"/>
        <v>0</v>
      </c>
      <c r="CS318" s="2">
        <f t="shared" si="348"/>
        <v>0</v>
      </c>
      <c r="CT318" s="2">
        <f t="shared" si="349"/>
        <v>0</v>
      </c>
      <c r="CU318" s="2">
        <f t="shared" si="350"/>
        <v>0</v>
      </c>
      <c r="CV318" s="2">
        <f t="shared" si="351"/>
        <v>0</v>
      </c>
      <c r="CW318" s="2">
        <f t="shared" si="352"/>
        <v>0</v>
      </c>
      <c r="CX318" s="2">
        <f t="shared" si="353"/>
        <v>0</v>
      </c>
      <c r="CY318" s="2">
        <f>0</f>
        <v>0</v>
      </c>
      <c r="CZ318" s="2">
        <f>0</f>
        <v>0</v>
      </c>
      <c r="DA318" s="2"/>
      <c r="DB318" s="2"/>
      <c r="DC318" s="2" t="s">
        <v>6</v>
      </c>
      <c r="DD318" s="2" t="s">
        <v>6</v>
      </c>
      <c r="DE318" s="2" t="s">
        <v>6</v>
      </c>
      <c r="DF318" s="2" t="s">
        <v>6</v>
      </c>
      <c r="DG318" s="2" t="s">
        <v>6</v>
      </c>
      <c r="DH318" s="2" t="s">
        <v>6</v>
      </c>
      <c r="DI318" s="2" t="s">
        <v>6</v>
      </c>
      <c r="DJ318" s="2" t="s">
        <v>6</v>
      </c>
      <c r="DK318" s="2" t="s">
        <v>6</v>
      </c>
      <c r="DL318" s="2" t="s">
        <v>6</v>
      </c>
      <c r="DM318" s="2" t="s">
        <v>6</v>
      </c>
      <c r="DN318" s="2">
        <v>0</v>
      </c>
      <c r="DO318" s="2">
        <v>0</v>
      </c>
      <c r="DP318" s="2">
        <v>1</v>
      </c>
      <c r="DQ318" s="2">
        <v>1</v>
      </c>
      <c r="DR318" s="2"/>
      <c r="DS318" s="2"/>
      <c r="DT318" s="2"/>
      <c r="DU318" s="2">
        <v>1005</v>
      </c>
      <c r="DV318" s="2" t="s">
        <v>423</v>
      </c>
      <c r="DW318" s="2" t="s">
        <v>423</v>
      </c>
      <c r="DX318" s="2">
        <v>1</v>
      </c>
      <c r="DY318" s="2"/>
      <c r="DZ318" s="2" t="s">
        <v>6</v>
      </c>
      <c r="EA318" s="2" t="s">
        <v>6</v>
      </c>
      <c r="EB318" s="2" t="s">
        <v>6</v>
      </c>
      <c r="EC318" s="2" t="s">
        <v>6</v>
      </c>
      <c r="ED318" s="2"/>
      <c r="EE318" s="2">
        <v>0</v>
      </c>
      <c r="EF318" s="2">
        <v>0</v>
      </c>
      <c r="EG318" s="2" t="s">
        <v>6</v>
      </c>
      <c r="EH318" s="2">
        <v>0</v>
      </c>
      <c r="EI318" s="2" t="s">
        <v>6</v>
      </c>
      <c r="EJ318" s="2">
        <v>0</v>
      </c>
      <c r="EK318" s="2">
        <v>3101</v>
      </c>
      <c r="EL318" s="2" t="s">
        <v>6</v>
      </c>
      <c r="EM318" s="2" t="s">
        <v>6</v>
      </c>
      <c r="EN318" s="2"/>
      <c r="EO318" s="2" t="s">
        <v>6</v>
      </c>
      <c r="EP318" s="2"/>
      <c r="EQ318" s="2">
        <v>0</v>
      </c>
      <c r="ER318" s="2">
        <v>183.59</v>
      </c>
      <c r="ES318" s="110">
        <f>'1.Лок.смета.и.Акт'!F580</f>
        <v>183.59</v>
      </c>
      <c r="ET318" s="2">
        <v>0</v>
      </c>
      <c r="EU318" s="2">
        <v>0</v>
      </c>
      <c r="EV318" s="2">
        <v>0</v>
      </c>
      <c r="EW318" s="2">
        <v>0</v>
      </c>
      <c r="EX318" s="2">
        <v>0</v>
      </c>
      <c r="EY318" s="2"/>
      <c r="EZ318" s="2"/>
      <c r="FA318" s="2"/>
      <c r="FB318" s="2"/>
      <c r="FC318" s="2"/>
      <c r="FD318" s="2"/>
      <c r="FE318" s="2"/>
      <c r="FF318" s="2"/>
      <c r="FG318" s="2"/>
      <c r="FH318" s="2"/>
      <c r="FI318" s="2"/>
      <c r="FJ318" s="2"/>
      <c r="FK318" s="2"/>
      <c r="FL318" s="2"/>
      <c r="FM318" s="2"/>
      <c r="FN318" s="2"/>
      <c r="FO318" s="2"/>
      <c r="FP318" s="2"/>
      <c r="FQ318" s="2">
        <v>0</v>
      </c>
      <c r="FR318" s="2">
        <f t="shared" si="354"/>
        <v>0</v>
      </c>
      <c r="FS318" s="2">
        <v>0</v>
      </c>
      <c r="FT318" s="2"/>
      <c r="FU318" s="2"/>
      <c r="FV318" s="2"/>
      <c r="FW318" s="2"/>
      <c r="FX318" s="2">
        <v>0</v>
      </c>
      <c r="FY318" s="2">
        <v>0</v>
      </c>
      <c r="FZ318" s="2"/>
      <c r="GA318" s="2" t="s">
        <v>6</v>
      </c>
      <c r="GB318" s="2"/>
      <c r="GC318" s="2"/>
      <c r="GD318" s="2">
        <v>1</v>
      </c>
      <c r="GE318" s="2"/>
      <c r="GF318" s="2">
        <v>-1952011524</v>
      </c>
      <c r="GG318" s="2">
        <v>2</v>
      </c>
      <c r="GH318" s="2">
        <v>1</v>
      </c>
      <c r="GI318" s="2">
        <v>-2</v>
      </c>
      <c r="GJ318" s="2">
        <v>0</v>
      </c>
      <c r="GK318" s="2">
        <v>0</v>
      </c>
      <c r="GL318" s="2">
        <f t="shared" si="355"/>
        <v>0</v>
      </c>
      <c r="GM318" s="2">
        <f t="shared" si="356"/>
        <v>1169</v>
      </c>
      <c r="GN318" s="2">
        <f t="shared" si="357"/>
        <v>1169</v>
      </c>
      <c r="GO318" s="2">
        <f t="shared" si="358"/>
        <v>0</v>
      </c>
      <c r="GP318" s="2">
        <f t="shared" si="359"/>
        <v>0</v>
      </c>
      <c r="GQ318" s="2"/>
      <c r="GR318" s="2">
        <v>0</v>
      </c>
      <c r="GS318" s="2">
        <v>3</v>
      </c>
      <c r="GT318" s="2">
        <v>0</v>
      </c>
      <c r="GU318" s="2" t="s">
        <v>6</v>
      </c>
      <c r="GV318" s="2">
        <f t="shared" si="360"/>
        <v>0</v>
      </c>
      <c r="GW318" s="2">
        <v>1</v>
      </c>
      <c r="GX318" s="2">
        <f t="shared" si="361"/>
        <v>0</v>
      </c>
      <c r="GY318" s="2"/>
      <c r="GZ318" s="2"/>
      <c r="HA318" s="2">
        <v>0</v>
      </c>
      <c r="HB318" s="2">
        <v>0</v>
      </c>
      <c r="HC318" s="2">
        <f t="shared" si="362"/>
        <v>0</v>
      </c>
      <c r="HD318" s="2"/>
      <c r="HE318" s="2" t="s">
        <v>6</v>
      </c>
      <c r="HF318" s="2" t="s">
        <v>6</v>
      </c>
      <c r="HG318" s="2"/>
      <c r="HH318" s="2"/>
      <c r="HI318" s="2"/>
      <c r="HJ318" s="2"/>
      <c r="HK318" s="2"/>
      <c r="HL318" s="2"/>
      <c r="HM318" s="2" t="s">
        <v>6</v>
      </c>
      <c r="HN318" s="2" t="s">
        <v>6</v>
      </c>
      <c r="HO318" s="2" t="s">
        <v>6</v>
      </c>
      <c r="HP318" s="2" t="s">
        <v>6</v>
      </c>
      <c r="HQ318" s="2" t="s">
        <v>6</v>
      </c>
      <c r="HR318" s="2"/>
      <c r="HS318" s="2"/>
      <c r="HT318" s="2"/>
      <c r="HU318" s="2"/>
      <c r="HV318" s="2"/>
      <c r="HW318" s="2"/>
      <c r="HX318" s="2"/>
      <c r="HY318" s="2"/>
      <c r="HZ318" s="2"/>
      <c r="IA318" s="2"/>
      <c r="IB318" s="2"/>
      <c r="IC318" s="2"/>
      <c r="ID318" s="2"/>
      <c r="IE318" s="2"/>
      <c r="IF318" s="2">
        <v>-1</v>
      </c>
      <c r="IG318" s="2"/>
      <c r="IH318" s="2"/>
      <c r="II318" s="2"/>
      <c r="IJ318" s="2"/>
      <c r="IK318" s="2">
        <v>0</v>
      </c>
      <c r="IL318" s="2"/>
      <c r="IM318" s="2"/>
      <c r="IN318" s="2"/>
      <c r="IO318" s="2"/>
      <c r="IP318" s="2"/>
      <c r="IQ318" s="2"/>
      <c r="IR318" s="2"/>
      <c r="IS318" s="2"/>
      <c r="IT318" s="2"/>
      <c r="IU318" s="2"/>
    </row>
    <row r="319" spans="1:255" x14ac:dyDescent="0.2">
      <c r="A319">
        <v>18</v>
      </c>
      <c r="B319">
        <v>1</v>
      </c>
      <c r="C319">
        <v>383</v>
      </c>
      <c r="E319" t="s">
        <v>420</v>
      </c>
      <c r="F319" t="e">
        <f>'2.Лок.смета.и.Акт'!#REF!</f>
        <v>#REF!</v>
      </c>
      <c r="G319" t="s">
        <v>422</v>
      </c>
      <c r="H319" t="s">
        <v>423</v>
      </c>
      <c r="I319">
        <f>I317*J319</f>
        <v>6.3684000000000003</v>
      </c>
      <c r="J319">
        <v>0.122</v>
      </c>
      <c r="K319">
        <v>0.122</v>
      </c>
      <c r="O319">
        <f t="shared" si="331"/>
        <v>6587</v>
      </c>
      <c r="P319">
        <f t="shared" si="332"/>
        <v>6587</v>
      </c>
      <c r="Q319">
        <f t="shared" si="333"/>
        <v>0</v>
      </c>
      <c r="R319">
        <f t="shared" si="334"/>
        <v>0</v>
      </c>
      <c r="S319">
        <f t="shared" si="335"/>
        <v>0</v>
      </c>
      <c r="T319">
        <f t="shared" si="336"/>
        <v>0</v>
      </c>
      <c r="U319">
        <f t="shared" si="337"/>
        <v>0</v>
      </c>
      <c r="V319">
        <f t="shared" si="338"/>
        <v>0</v>
      </c>
      <c r="W319">
        <f t="shared" si="339"/>
        <v>0</v>
      </c>
      <c r="X319">
        <f t="shared" si="340"/>
        <v>0</v>
      </c>
      <c r="Y319">
        <f t="shared" si="341"/>
        <v>0</v>
      </c>
      <c r="AA319">
        <v>86326988</v>
      </c>
      <c r="AB319">
        <f t="shared" si="342"/>
        <v>136.81</v>
      </c>
      <c r="AC319">
        <f t="shared" si="363"/>
        <v>136.81</v>
      </c>
      <c r="AD319">
        <f t="shared" si="363"/>
        <v>0</v>
      </c>
      <c r="AE319">
        <f t="shared" si="363"/>
        <v>0</v>
      </c>
      <c r="AF319">
        <f t="shared" si="363"/>
        <v>0</v>
      </c>
      <c r="AG319">
        <f t="shared" si="343"/>
        <v>0</v>
      </c>
      <c r="AH319">
        <f t="shared" si="364"/>
        <v>0</v>
      </c>
      <c r="AI319">
        <f t="shared" si="364"/>
        <v>0</v>
      </c>
      <c r="AJ319">
        <f t="shared" si="344"/>
        <v>0</v>
      </c>
      <c r="AK319">
        <v>136.81</v>
      </c>
      <c r="AL319">
        <v>136.81</v>
      </c>
      <c r="AM319">
        <v>0</v>
      </c>
      <c r="AN319">
        <v>0</v>
      </c>
      <c r="AO319">
        <v>0</v>
      </c>
      <c r="AP319">
        <v>0</v>
      </c>
      <c r="AQ319">
        <v>0</v>
      </c>
      <c r="AR319">
        <v>0</v>
      </c>
      <c r="AS319">
        <v>0</v>
      </c>
      <c r="AT319">
        <v>0</v>
      </c>
      <c r="AU319">
        <v>0</v>
      </c>
      <c r="AV319">
        <v>1</v>
      </c>
      <c r="AW319">
        <v>1</v>
      </c>
      <c r="AZ319">
        <v>1</v>
      </c>
      <c r="BA319">
        <v>1</v>
      </c>
      <c r="BB319">
        <v>1</v>
      </c>
      <c r="BC319">
        <v>7.56</v>
      </c>
      <c r="BD319" t="s">
        <v>6</v>
      </c>
      <c r="BE319" t="s">
        <v>6</v>
      </c>
      <c r="BF319" t="s">
        <v>6</v>
      </c>
      <c r="BG319" t="s">
        <v>6</v>
      </c>
      <c r="BH319">
        <v>3</v>
      </c>
      <c r="BI319">
        <v>1</v>
      </c>
      <c r="BJ319" t="s">
        <v>424</v>
      </c>
      <c r="BM319">
        <v>3101</v>
      </c>
      <c r="BN319">
        <v>0</v>
      </c>
      <c r="BO319" t="s">
        <v>6</v>
      </c>
      <c r="BP319">
        <v>0</v>
      </c>
      <c r="BQ319">
        <v>0</v>
      </c>
      <c r="BR319">
        <v>0</v>
      </c>
      <c r="BS319">
        <v>1</v>
      </c>
      <c r="BT319">
        <v>1</v>
      </c>
      <c r="BU319">
        <v>1</v>
      </c>
      <c r="BV319">
        <v>1</v>
      </c>
      <c r="BW319">
        <v>1</v>
      </c>
      <c r="BX319">
        <v>1</v>
      </c>
      <c r="BY319" t="s">
        <v>6</v>
      </c>
      <c r="BZ319">
        <v>0</v>
      </c>
      <c r="CA319">
        <v>0</v>
      </c>
      <c r="CB319" t="s">
        <v>6</v>
      </c>
      <c r="CE319">
        <v>0</v>
      </c>
      <c r="CF319">
        <v>0</v>
      </c>
      <c r="CG319">
        <v>0</v>
      </c>
      <c r="CM319">
        <v>0</v>
      </c>
      <c r="CN319" t="s">
        <v>6</v>
      </c>
      <c r="CO319">
        <v>0</v>
      </c>
      <c r="CP319">
        <f t="shared" si="345"/>
        <v>6587</v>
      </c>
      <c r="CQ319">
        <f t="shared" si="346"/>
        <v>1034.2836</v>
      </c>
      <c r="CR319">
        <f t="shared" si="347"/>
        <v>0</v>
      </c>
      <c r="CS319">
        <f t="shared" si="348"/>
        <v>0</v>
      </c>
      <c r="CT319">
        <f t="shared" si="349"/>
        <v>0</v>
      </c>
      <c r="CU319">
        <f t="shared" si="350"/>
        <v>0</v>
      </c>
      <c r="CV319">
        <f t="shared" si="351"/>
        <v>0</v>
      </c>
      <c r="CW319">
        <f t="shared" si="352"/>
        <v>0</v>
      </c>
      <c r="CX319">
        <f t="shared" si="353"/>
        <v>0</v>
      </c>
      <c r="CY319">
        <f>(S319+R319)*(BZ319/100)</f>
        <v>0</v>
      </c>
      <c r="CZ319">
        <f>(S319+R319)*(CA319/100)</f>
        <v>0</v>
      </c>
      <c r="DC319" t="s">
        <v>6</v>
      </c>
      <c r="DD319" t="s">
        <v>6</v>
      </c>
      <c r="DE319" t="s">
        <v>6</v>
      </c>
      <c r="DF319" t="s">
        <v>6</v>
      </c>
      <c r="DG319" t="s">
        <v>6</v>
      </c>
      <c r="DH319" t="s">
        <v>6</v>
      </c>
      <c r="DI319" t="s">
        <v>6</v>
      </c>
      <c r="DJ319" t="s">
        <v>6</v>
      </c>
      <c r="DK319" t="s">
        <v>6</v>
      </c>
      <c r="DL319" t="s">
        <v>6</v>
      </c>
      <c r="DM319" t="s">
        <v>6</v>
      </c>
      <c r="DN319">
        <v>0</v>
      </c>
      <c r="DO319">
        <v>0</v>
      </c>
      <c r="DP319">
        <v>1</v>
      </c>
      <c r="DQ319">
        <v>1</v>
      </c>
      <c r="DU319">
        <v>1005</v>
      </c>
      <c r="DV319" t="s">
        <v>423</v>
      </c>
      <c r="DW319" t="e">
        <f>'2.Лок.смета.и.Акт'!#REF!</f>
        <v>#REF!</v>
      </c>
      <c r="DX319">
        <v>1</v>
      </c>
      <c r="DZ319" t="s">
        <v>6</v>
      </c>
      <c r="EA319" t="s">
        <v>6</v>
      </c>
      <c r="EB319" t="s">
        <v>6</v>
      </c>
      <c r="EC319" t="s">
        <v>6</v>
      </c>
      <c r="EE319">
        <v>0</v>
      </c>
      <c r="EF319">
        <v>0</v>
      </c>
      <c r="EG319" t="s">
        <v>6</v>
      </c>
      <c r="EH319">
        <v>0</v>
      </c>
      <c r="EI319" t="s">
        <v>6</v>
      </c>
      <c r="EJ319">
        <v>0</v>
      </c>
      <c r="EK319">
        <v>3101</v>
      </c>
      <c r="EL319" t="s">
        <v>6</v>
      </c>
      <c r="EM319" t="s">
        <v>6</v>
      </c>
      <c r="EO319" t="s">
        <v>6</v>
      </c>
      <c r="EQ319">
        <v>0</v>
      </c>
      <c r="ER319">
        <v>975</v>
      </c>
      <c r="ES319">
        <v>136.81</v>
      </c>
      <c r="ET319">
        <v>0</v>
      </c>
      <c r="EU319">
        <v>0</v>
      </c>
      <c r="EV319">
        <v>0</v>
      </c>
      <c r="EW319">
        <v>0</v>
      </c>
      <c r="EX319">
        <v>0</v>
      </c>
      <c r="EZ319">
        <v>5</v>
      </c>
      <c r="FC319">
        <v>0</v>
      </c>
      <c r="FD319">
        <v>18</v>
      </c>
      <c r="FF319">
        <v>975</v>
      </c>
      <c r="FQ319">
        <v>0</v>
      </c>
      <c r="FR319">
        <f t="shared" si="354"/>
        <v>0</v>
      </c>
      <c r="FS319">
        <v>0</v>
      </c>
      <c r="FX319">
        <v>0</v>
      </c>
      <c r="FY319">
        <v>0</v>
      </c>
      <c r="GA319" t="s">
        <v>425</v>
      </c>
      <c r="GD319">
        <v>1</v>
      </c>
      <c r="GF319">
        <v>-1952011524</v>
      </c>
      <c r="GG319">
        <v>2</v>
      </c>
      <c r="GH319">
        <v>3</v>
      </c>
      <c r="GI319">
        <v>5</v>
      </c>
      <c r="GJ319">
        <v>0</v>
      </c>
      <c r="GK319">
        <v>0</v>
      </c>
      <c r="GL319">
        <f t="shared" si="355"/>
        <v>0</v>
      </c>
      <c r="GM319">
        <f t="shared" si="356"/>
        <v>6587</v>
      </c>
      <c r="GN319">
        <f t="shared" si="357"/>
        <v>6587</v>
      </c>
      <c r="GO319">
        <f t="shared" si="358"/>
        <v>0</v>
      </c>
      <c r="GP319">
        <f t="shared" si="359"/>
        <v>0</v>
      </c>
      <c r="GR319">
        <v>1</v>
      </c>
      <c r="GS319">
        <v>1</v>
      </c>
      <c r="GT319">
        <v>0</v>
      </c>
      <c r="GU319" t="s">
        <v>6</v>
      </c>
      <c r="GV319">
        <f t="shared" si="360"/>
        <v>0</v>
      </c>
      <c r="GW319">
        <v>1</v>
      </c>
      <c r="GX319">
        <f t="shared" si="361"/>
        <v>0</v>
      </c>
      <c r="HA319">
        <v>0</v>
      </c>
      <c r="HB319">
        <v>0</v>
      </c>
      <c r="HC319">
        <f t="shared" si="362"/>
        <v>0</v>
      </c>
      <c r="HE319" t="s">
        <v>39</v>
      </c>
      <c r="HF319" t="s">
        <v>40</v>
      </c>
      <c r="HM319" t="s">
        <v>6</v>
      </c>
      <c r="HN319" t="s">
        <v>6</v>
      </c>
      <c r="HO319" t="s">
        <v>6</v>
      </c>
      <c r="HP319" t="s">
        <v>6</v>
      </c>
      <c r="HQ319" t="s">
        <v>6</v>
      </c>
      <c r="IF319">
        <v>-1</v>
      </c>
      <c r="IK319">
        <v>0</v>
      </c>
    </row>
    <row r="320" spans="1:255" x14ac:dyDescent="0.2">
      <c r="A320" s="2">
        <v>18</v>
      </c>
      <c r="B320" s="2">
        <v>1</v>
      </c>
      <c r="C320" s="2">
        <v>373</v>
      </c>
      <c r="D320" s="2"/>
      <c r="E320" s="2" t="s">
        <v>426</v>
      </c>
      <c r="F320" s="2" t="s">
        <v>31</v>
      </c>
      <c r="G320" s="2" t="s">
        <v>32</v>
      </c>
      <c r="H320" s="2" t="s">
        <v>33</v>
      </c>
      <c r="I320" s="2">
        <f>I316*J320</f>
        <v>1.3833E-2</v>
      </c>
      <c r="J320" s="226">
        <f>'5.Ведомость_списания'!F137</f>
        <v>2.6499999999999999E-4</v>
      </c>
      <c r="K320" s="2">
        <v>2.6499999999999999E-4</v>
      </c>
      <c r="L320" s="2"/>
      <c r="M320" s="2"/>
      <c r="N320" s="2"/>
      <c r="O320" s="2">
        <f t="shared" si="331"/>
        <v>117</v>
      </c>
      <c r="P320" s="2">
        <f t="shared" si="332"/>
        <v>117</v>
      </c>
      <c r="Q320" s="2">
        <f t="shared" si="333"/>
        <v>0</v>
      </c>
      <c r="R320" s="2">
        <f t="shared" si="334"/>
        <v>0</v>
      </c>
      <c r="S320" s="2">
        <f t="shared" si="335"/>
        <v>0</v>
      </c>
      <c r="T320" s="2">
        <f t="shared" si="336"/>
        <v>0</v>
      </c>
      <c r="U320" s="2">
        <f t="shared" si="337"/>
        <v>0</v>
      </c>
      <c r="V320" s="2">
        <f t="shared" si="338"/>
        <v>0</v>
      </c>
      <c r="W320" s="2">
        <f t="shared" si="339"/>
        <v>0</v>
      </c>
      <c r="X320" s="2">
        <f t="shared" si="340"/>
        <v>0</v>
      </c>
      <c r="Y320" s="2">
        <f t="shared" si="341"/>
        <v>0</v>
      </c>
      <c r="Z320" s="2"/>
      <c r="AA320" s="2">
        <v>86326987</v>
      </c>
      <c r="AB320" s="2">
        <f t="shared" si="342"/>
        <v>8475</v>
      </c>
      <c r="AC320" s="2">
        <f>ROUND((ES320),2)</f>
        <v>8475</v>
      </c>
      <c r="AD320" s="2">
        <f>ROUND((((ET320)-(EU320))+AE320),2)</f>
        <v>0</v>
      </c>
      <c r="AE320" s="2">
        <f t="shared" ref="AE320:AF323" si="365">ROUND((EU320),2)</f>
        <v>0</v>
      </c>
      <c r="AF320" s="2">
        <f t="shared" si="365"/>
        <v>0</v>
      </c>
      <c r="AG320" s="2">
        <f t="shared" si="343"/>
        <v>0</v>
      </c>
      <c r="AH320" s="2">
        <f t="shared" si="364"/>
        <v>0</v>
      </c>
      <c r="AI320" s="2">
        <f t="shared" si="364"/>
        <v>0</v>
      </c>
      <c r="AJ320" s="2">
        <f t="shared" si="344"/>
        <v>28.41</v>
      </c>
      <c r="AK320" s="2">
        <v>8475</v>
      </c>
      <c r="AL320" s="110">
        <f>'1.Лок.смета.и.Акт'!F582</f>
        <v>8475</v>
      </c>
      <c r="AM320" s="2">
        <v>0</v>
      </c>
      <c r="AN320" s="2">
        <v>0</v>
      </c>
      <c r="AO320" s="2">
        <v>0</v>
      </c>
      <c r="AP320" s="2">
        <v>0</v>
      </c>
      <c r="AQ320" s="2">
        <v>0</v>
      </c>
      <c r="AR320" s="2">
        <v>0</v>
      </c>
      <c r="AS320" s="2">
        <v>28.41</v>
      </c>
      <c r="AT320" s="2">
        <v>0</v>
      </c>
      <c r="AU320" s="2">
        <v>0</v>
      </c>
      <c r="AV320" s="2">
        <v>1</v>
      </c>
      <c r="AW320" s="2">
        <v>1</v>
      </c>
      <c r="AX320" s="2"/>
      <c r="AY320" s="2"/>
      <c r="AZ320" s="2">
        <v>1</v>
      </c>
      <c r="BA320" s="2">
        <v>1</v>
      </c>
      <c r="BB320" s="2">
        <v>1</v>
      </c>
      <c r="BC320" s="2">
        <v>1</v>
      </c>
      <c r="BD320" s="2" t="s">
        <v>6</v>
      </c>
      <c r="BE320" s="2" t="s">
        <v>6</v>
      </c>
      <c r="BF320" s="2" t="s">
        <v>6</v>
      </c>
      <c r="BG320" s="2" t="s">
        <v>6</v>
      </c>
      <c r="BH320" s="2">
        <v>3</v>
      </c>
      <c r="BI320" s="2">
        <v>1</v>
      </c>
      <c r="BJ320" s="2" t="s">
        <v>34</v>
      </c>
      <c r="BK320" s="2"/>
      <c r="BL320" s="2"/>
      <c r="BM320" s="2">
        <v>500001</v>
      </c>
      <c r="BN320" s="2">
        <v>0</v>
      </c>
      <c r="BO320" s="2" t="s">
        <v>6</v>
      </c>
      <c r="BP320" s="2">
        <v>0</v>
      </c>
      <c r="BQ320" s="2">
        <v>20</v>
      </c>
      <c r="BR320" s="2">
        <v>0</v>
      </c>
      <c r="BS320" s="2">
        <v>1</v>
      </c>
      <c r="BT320" s="2">
        <v>1</v>
      </c>
      <c r="BU320" s="2">
        <v>1</v>
      </c>
      <c r="BV320" s="2">
        <v>1</v>
      </c>
      <c r="BW320" s="2">
        <v>1</v>
      </c>
      <c r="BX320" s="2">
        <v>1</v>
      </c>
      <c r="BY320" s="2" t="s">
        <v>6</v>
      </c>
      <c r="BZ320" s="2">
        <v>0</v>
      </c>
      <c r="CA320" s="2">
        <v>0</v>
      </c>
      <c r="CB320" s="2" t="s">
        <v>6</v>
      </c>
      <c r="CC320" s="2"/>
      <c r="CD320" s="2"/>
      <c r="CE320" s="2">
        <v>0</v>
      </c>
      <c r="CF320" s="2">
        <v>0</v>
      </c>
      <c r="CG320" s="2">
        <v>0</v>
      </c>
      <c r="CH320" s="2"/>
      <c r="CI320" s="2"/>
      <c r="CJ320" s="2"/>
      <c r="CK320" s="2"/>
      <c r="CL320" s="2"/>
      <c r="CM320" s="2">
        <v>0</v>
      </c>
      <c r="CN320" s="2" t="s">
        <v>6</v>
      </c>
      <c r="CO320" s="2">
        <v>0</v>
      </c>
      <c r="CP320" s="2">
        <f t="shared" si="345"/>
        <v>117</v>
      </c>
      <c r="CQ320" s="2">
        <f t="shared" si="346"/>
        <v>8475</v>
      </c>
      <c r="CR320" s="2">
        <f t="shared" si="347"/>
        <v>0</v>
      </c>
      <c r="CS320" s="2">
        <f t="shared" si="348"/>
        <v>0</v>
      </c>
      <c r="CT320" s="2">
        <f t="shared" si="349"/>
        <v>0</v>
      </c>
      <c r="CU320" s="2">
        <f t="shared" si="350"/>
        <v>0</v>
      </c>
      <c r="CV320" s="2">
        <f t="shared" si="351"/>
        <v>0</v>
      </c>
      <c r="CW320" s="2">
        <f t="shared" si="352"/>
        <v>0</v>
      </c>
      <c r="CX320" s="2">
        <f t="shared" si="353"/>
        <v>28.41</v>
      </c>
      <c r="CY320" s="2">
        <f>(((S320+(R320*IF(0,0,1)))*AT320)/100)</f>
        <v>0</v>
      </c>
      <c r="CZ320" s="2">
        <f>(((S320+(R320*IF(0,0,1)))*AU320)/100)</f>
        <v>0</v>
      </c>
      <c r="DA320" s="2"/>
      <c r="DB320" s="2"/>
      <c r="DC320" s="2" t="s">
        <v>6</v>
      </c>
      <c r="DD320" s="2" t="s">
        <v>6</v>
      </c>
      <c r="DE320" s="2" t="s">
        <v>6</v>
      </c>
      <c r="DF320" s="2" t="s">
        <v>6</v>
      </c>
      <c r="DG320" s="2" t="s">
        <v>6</v>
      </c>
      <c r="DH320" s="2" t="s">
        <v>6</v>
      </c>
      <c r="DI320" s="2" t="s">
        <v>6</v>
      </c>
      <c r="DJ320" s="2" t="s">
        <v>6</v>
      </c>
      <c r="DK320" s="2" t="s">
        <v>6</v>
      </c>
      <c r="DL320" s="2" t="s">
        <v>6</v>
      </c>
      <c r="DM320" s="2" t="s">
        <v>6</v>
      </c>
      <c r="DN320" s="2">
        <v>0</v>
      </c>
      <c r="DO320" s="2">
        <v>0</v>
      </c>
      <c r="DP320" s="2">
        <v>1</v>
      </c>
      <c r="DQ320" s="2">
        <v>1</v>
      </c>
      <c r="DR320" s="2"/>
      <c r="DS320" s="2"/>
      <c r="DT320" s="2"/>
      <c r="DU320" s="2">
        <v>1009</v>
      </c>
      <c r="DV320" s="2" t="s">
        <v>33</v>
      </c>
      <c r="DW320" s="2" t="s">
        <v>33</v>
      </c>
      <c r="DX320" s="2">
        <v>1000</v>
      </c>
      <c r="DY320" s="2"/>
      <c r="DZ320" s="2" t="s">
        <v>6</v>
      </c>
      <c r="EA320" s="2" t="s">
        <v>6</v>
      </c>
      <c r="EB320" s="2" t="s">
        <v>6</v>
      </c>
      <c r="EC320" s="2" t="s">
        <v>6</v>
      </c>
      <c r="ED320" s="2"/>
      <c r="EE320" s="2">
        <v>54938781</v>
      </c>
      <c r="EF320" s="2">
        <v>20</v>
      </c>
      <c r="EG320" s="2" t="s">
        <v>35</v>
      </c>
      <c r="EH320" s="2">
        <v>0</v>
      </c>
      <c r="EI320" s="2" t="s">
        <v>6</v>
      </c>
      <c r="EJ320" s="2">
        <v>1</v>
      </c>
      <c r="EK320" s="2">
        <v>500001</v>
      </c>
      <c r="EL320" s="2" t="s">
        <v>36</v>
      </c>
      <c r="EM320" s="2" t="s">
        <v>37</v>
      </c>
      <c r="EN320" s="2"/>
      <c r="EO320" s="2" t="s">
        <v>6</v>
      </c>
      <c r="EP320" s="2"/>
      <c r="EQ320" s="2">
        <v>0</v>
      </c>
      <c r="ER320" s="2">
        <v>8475</v>
      </c>
      <c r="ES320" s="110">
        <f>'1.Лок.смета.и.Акт'!F582</f>
        <v>8475</v>
      </c>
      <c r="ET320" s="2">
        <v>0</v>
      </c>
      <c r="EU320" s="2">
        <v>0</v>
      </c>
      <c r="EV320" s="2">
        <v>0</v>
      </c>
      <c r="EW320" s="2">
        <v>0</v>
      </c>
      <c r="EX320" s="2">
        <v>0</v>
      </c>
      <c r="EY320" s="2"/>
      <c r="EZ320" s="2"/>
      <c r="FA320" s="2"/>
      <c r="FB320" s="2"/>
      <c r="FC320" s="2"/>
      <c r="FD320" s="2"/>
      <c r="FE320" s="2"/>
      <c r="FF320" s="2"/>
      <c r="FG320" s="2"/>
      <c r="FH320" s="2"/>
      <c r="FI320" s="2"/>
      <c r="FJ320" s="2"/>
      <c r="FK320" s="2"/>
      <c r="FL320" s="2"/>
      <c r="FM320" s="2"/>
      <c r="FN320" s="2"/>
      <c r="FO320" s="2"/>
      <c r="FP320" s="2"/>
      <c r="FQ320" s="2">
        <v>0</v>
      </c>
      <c r="FR320" s="2">
        <f t="shared" si="354"/>
        <v>0</v>
      </c>
      <c r="FS320" s="2">
        <v>0</v>
      </c>
      <c r="FT320" s="2"/>
      <c r="FU320" s="2"/>
      <c r="FV320" s="2"/>
      <c r="FW320" s="2"/>
      <c r="FX320" s="2">
        <v>0</v>
      </c>
      <c r="FY320" s="2">
        <v>0</v>
      </c>
      <c r="FZ320" s="2"/>
      <c r="GA320" s="2" t="s">
        <v>6</v>
      </c>
      <c r="GB320" s="2"/>
      <c r="GC320" s="2"/>
      <c r="GD320" s="2">
        <v>1</v>
      </c>
      <c r="GE320" s="2"/>
      <c r="GF320" s="2">
        <v>2105756975</v>
      </c>
      <c r="GG320" s="2">
        <v>2</v>
      </c>
      <c r="GH320" s="2">
        <v>1</v>
      </c>
      <c r="GI320" s="2">
        <v>-2</v>
      </c>
      <c r="GJ320" s="2">
        <v>0</v>
      </c>
      <c r="GK320" s="2">
        <v>0</v>
      </c>
      <c r="GL320" s="2">
        <f t="shared" si="355"/>
        <v>0</v>
      </c>
      <c r="GM320" s="2">
        <f t="shared" si="356"/>
        <v>117</v>
      </c>
      <c r="GN320" s="2">
        <f t="shared" si="357"/>
        <v>117</v>
      </c>
      <c r="GO320" s="2">
        <f t="shared" si="358"/>
        <v>0</v>
      </c>
      <c r="GP320" s="2">
        <f t="shared" si="359"/>
        <v>0</v>
      </c>
      <c r="GQ320" s="2"/>
      <c r="GR320" s="2">
        <v>0</v>
      </c>
      <c r="GS320" s="2">
        <v>3</v>
      </c>
      <c r="GT320" s="2">
        <v>0</v>
      </c>
      <c r="GU320" s="2" t="s">
        <v>6</v>
      </c>
      <c r="GV320" s="2">
        <f t="shared" si="360"/>
        <v>0</v>
      </c>
      <c r="GW320" s="2">
        <v>1</v>
      </c>
      <c r="GX320" s="2">
        <f t="shared" si="361"/>
        <v>0</v>
      </c>
      <c r="GY320" s="2"/>
      <c r="GZ320" s="2"/>
      <c r="HA320" s="2">
        <v>0</v>
      </c>
      <c r="HB320" s="2">
        <v>0</v>
      </c>
      <c r="HC320" s="2">
        <f t="shared" si="362"/>
        <v>0</v>
      </c>
      <c r="HD320" s="2"/>
      <c r="HE320" s="2" t="s">
        <v>6</v>
      </c>
      <c r="HF320" s="2" t="s">
        <v>6</v>
      </c>
      <c r="HG320" s="2"/>
      <c r="HH320" s="2"/>
      <c r="HI320" s="2"/>
      <c r="HJ320" s="2"/>
      <c r="HK320" s="2"/>
      <c r="HL320" s="2"/>
      <c r="HM320" s="2" t="s">
        <v>6</v>
      </c>
      <c r="HN320" s="2" t="s">
        <v>6</v>
      </c>
      <c r="HO320" s="2" t="s">
        <v>6</v>
      </c>
      <c r="HP320" s="2" t="s">
        <v>6</v>
      </c>
      <c r="HQ320" s="2" t="s">
        <v>6</v>
      </c>
      <c r="HR320" s="2"/>
      <c r="HS320" s="2"/>
      <c r="HT320" s="2"/>
      <c r="HU320" s="2"/>
      <c r="HV320" s="2"/>
      <c r="HW320" s="2"/>
      <c r="HX320" s="2"/>
      <c r="HY320" s="2"/>
      <c r="HZ320" s="2"/>
      <c r="IA320" s="2"/>
      <c r="IB320" s="2"/>
      <c r="IC320" s="2"/>
      <c r="ID320" s="2"/>
      <c r="IE320" s="2"/>
      <c r="IF320" s="2">
        <v>-1</v>
      </c>
      <c r="IG320" s="2"/>
      <c r="IH320" s="2"/>
      <c r="II320" s="2"/>
      <c r="IJ320" s="2"/>
      <c r="IK320" s="2">
        <v>0</v>
      </c>
      <c r="IL320" s="2"/>
      <c r="IM320" s="2"/>
      <c r="IN320" s="2"/>
      <c r="IO320" s="2"/>
      <c r="IP320" s="2"/>
      <c r="IQ320" s="2"/>
      <c r="IR320" s="2"/>
      <c r="IS320" s="2"/>
      <c r="IT320" s="2"/>
      <c r="IU320" s="2"/>
    </row>
    <row r="321" spans="1:255" x14ac:dyDescent="0.2">
      <c r="A321">
        <v>18</v>
      </c>
      <c r="B321">
        <v>1</v>
      </c>
      <c r="C321">
        <v>382</v>
      </c>
      <c r="E321" t="s">
        <v>426</v>
      </c>
      <c r="F321" t="e">
        <f>'2.Лок.смета.и.Акт'!#REF!</f>
        <v>#REF!</v>
      </c>
      <c r="G321" t="s">
        <v>32</v>
      </c>
      <c r="H321" t="s">
        <v>33</v>
      </c>
      <c r="I321">
        <f>I317*J321</f>
        <v>1.3833E-2</v>
      </c>
      <c r="J321">
        <v>2.6499999999999999E-4</v>
      </c>
      <c r="K321">
        <v>2.6499999999999999E-4</v>
      </c>
      <c r="O321">
        <f t="shared" si="331"/>
        <v>1042</v>
      </c>
      <c r="P321">
        <f t="shared" si="332"/>
        <v>1042</v>
      </c>
      <c r="Q321">
        <f t="shared" si="333"/>
        <v>0</v>
      </c>
      <c r="R321">
        <f t="shared" si="334"/>
        <v>0</v>
      </c>
      <c r="S321">
        <f t="shared" si="335"/>
        <v>0</v>
      </c>
      <c r="T321">
        <f t="shared" si="336"/>
        <v>0</v>
      </c>
      <c r="U321">
        <f t="shared" si="337"/>
        <v>0</v>
      </c>
      <c r="V321">
        <f t="shared" si="338"/>
        <v>0</v>
      </c>
      <c r="W321">
        <f t="shared" si="339"/>
        <v>0</v>
      </c>
      <c r="X321">
        <f t="shared" si="340"/>
        <v>0</v>
      </c>
      <c r="Y321">
        <f t="shared" si="341"/>
        <v>0</v>
      </c>
      <c r="AA321">
        <v>86326988</v>
      </c>
      <c r="AB321">
        <f t="shared" si="342"/>
        <v>9962.5300000000007</v>
      </c>
      <c r="AC321">
        <f>ROUND((ES321),2)</f>
        <v>9962.5300000000007</v>
      </c>
      <c r="AD321">
        <f>ROUND((((ET321)-(EU321))+AE321),2)</f>
        <v>0</v>
      </c>
      <c r="AE321">
        <f t="shared" si="365"/>
        <v>0</v>
      </c>
      <c r="AF321">
        <f t="shared" si="365"/>
        <v>0</v>
      </c>
      <c r="AG321">
        <f t="shared" si="343"/>
        <v>0</v>
      </c>
      <c r="AH321">
        <f t="shared" si="364"/>
        <v>0</v>
      </c>
      <c r="AI321">
        <f t="shared" si="364"/>
        <v>0</v>
      </c>
      <c r="AJ321">
        <f t="shared" si="344"/>
        <v>28.41</v>
      </c>
      <c r="AK321">
        <v>9962.5300000000007</v>
      </c>
      <c r="AL321">
        <v>9962.5300000000007</v>
      </c>
      <c r="AM321">
        <v>0</v>
      </c>
      <c r="AN321">
        <v>0</v>
      </c>
      <c r="AO321">
        <v>0</v>
      </c>
      <c r="AP321">
        <v>0</v>
      </c>
      <c r="AQ321">
        <v>0</v>
      </c>
      <c r="AR321">
        <v>0</v>
      </c>
      <c r="AS321">
        <v>28.41</v>
      </c>
      <c r="AT321">
        <v>0</v>
      </c>
      <c r="AU321">
        <v>0</v>
      </c>
      <c r="AV321">
        <v>1</v>
      </c>
      <c r="AW321">
        <v>1</v>
      </c>
      <c r="AZ321">
        <v>1</v>
      </c>
      <c r="BA321">
        <v>1</v>
      </c>
      <c r="BB321">
        <v>1</v>
      </c>
      <c r="BC321">
        <v>7.56</v>
      </c>
      <c r="BD321" t="s">
        <v>6</v>
      </c>
      <c r="BE321" t="s">
        <v>6</v>
      </c>
      <c r="BF321" t="s">
        <v>6</v>
      </c>
      <c r="BG321" t="s">
        <v>6</v>
      </c>
      <c r="BH321">
        <v>3</v>
      </c>
      <c r="BI321">
        <v>1</v>
      </c>
      <c r="BJ321" t="s">
        <v>34</v>
      </c>
      <c r="BM321">
        <v>500001</v>
      </c>
      <c r="BN321">
        <v>0</v>
      </c>
      <c r="BO321" t="s">
        <v>6</v>
      </c>
      <c r="BP321">
        <v>0</v>
      </c>
      <c r="BQ321">
        <v>20</v>
      </c>
      <c r="BR321">
        <v>0</v>
      </c>
      <c r="BS321">
        <v>1</v>
      </c>
      <c r="BT321">
        <v>1</v>
      </c>
      <c r="BU321">
        <v>1</v>
      </c>
      <c r="BV321">
        <v>1</v>
      </c>
      <c r="BW321">
        <v>1</v>
      </c>
      <c r="BX321">
        <v>1</v>
      </c>
      <c r="BY321" t="s">
        <v>6</v>
      </c>
      <c r="BZ321">
        <v>0</v>
      </c>
      <c r="CA321">
        <v>0</v>
      </c>
      <c r="CB321" t="s">
        <v>6</v>
      </c>
      <c r="CE321">
        <v>0</v>
      </c>
      <c r="CF321">
        <v>0</v>
      </c>
      <c r="CG321">
        <v>0</v>
      </c>
      <c r="CM321">
        <v>0</v>
      </c>
      <c r="CN321" t="s">
        <v>6</v>
      </c>
      <c r="CO321">
        <v>0</v>
      </c>
      <c r="CP321">
        <f t="shared" si="345"/>
        <v>1042</v>
      </c>
      <c r="CQ321">
        <f t="shared" si="346"/>
        <v>75316.726800000004</v>
      </c>
      <c r="CR321">
        <f t="shared" si="347"/>
        <v>0</v>
      </c>
      <c r="CS321">
        <f t="shared" si="348"/>
        <v>0</v>
      </c>
      <c r="CT321">
        <f t="shared" si="349"/>
        <v>0</v>
      </c>
      <c r="CU321">
        <f t="shared" si="350"/>
        <v>0</v>
      </c>
      <c r="CV321">
        <f t="shared" si="351"/>
        <v>0</v>
      </c>
      <c r="CW321">
        <f t="shared" si="352"/>
        <v>0</v>
      </c>
      <c r="CX321">
        <f t="shared" si="353"/>
        <v>28.41</v>
      </c>
      <c r="CY321">
        <f>(S321+R321)*(BZ321/100)</f>
        <v>0</v>
      </c>
      <c r="CZ321">
        <f>(S321+R321)*(CA321/100)</f>
        <v>0</v>
      </c>
      <c r="DC321" t="s">
        <v>6</v>
      </c>
      <c r="DD321" t="s">
        <v>6</v>
      </c>
      <c r="DE321" t="s">
        <v>6</v>
      </c>
      <c r="DF321" t="s">
        <v>6</v>
      </c>
      <c r="DG321" t="s">
        <v>6</v>
      </c>
      <c r="DH321" t="s">
        <v>6</v>
      </c>
      <c r="DI321" t="s">
        <v>6</v>
      </c>
      <c r="DJ321" t="s">
        <v>6</v>
      </c>
      <c r="DK321" t="s">
        <v>6</v>
      </c>
      <c r="DL321" t="s">
        <v>6</v>
      </c>
      <c r="DM321" t="s">
        <v>6</v>
      </c>
      <c r="DN321">
        <v>0</v>
      </c>
      <c r="DO321">
        <v>0</v>
      </c>
      <c r="DP321">
        <v>1</v>
      </c>
      <c r="DQ321">
        <v>1</v>
      </c>
      <c r="DU321">
        <v>1009</v>
      </c>
      <c r="DV321" t="s">
        <v>33</v>
      </c>
      <c r="DW321" t="e">
        <f>'2.Лок.смета.и.Акт'!#REF!</f>
        <v>#REF!</v>
      </c>
      <c r="DX321">
        <v>1000</v>
      </c>
      <c r="DZ321" t="s">
        <v>6</v>
      </c>
      <c r="EA321" t="s">
        <v>6</v>
      </c>
      <c r="EB321" t="s">
        <v>6</v>
      </c>
      <c r="EC321" t="s">
        <v>6</v>
      </c>
      <c r="EE321">
        <v>54938781</v>
      </c>
      <c r="EF321">
        <v>20</v>
      </c>
      <c r="EG321" t="s">
        <v>35</v>
      </c>
      <c r="EH321">
        <v>0</v>
      </c>
      <c r="EI321" t="s">
        <v>6</v>
      </c>
      <c r="EJ321">
        <v>1</v>
      </c>
      <c r="EK321">
        <v>500001</v>
      </c>
      <c r="EL321" t="s">
        <v>36</v>
      </c>
      <c r="EM321" t="s">
        <v>37</v>
      </c>
      <c r="EO321" t="s">
        <v>6</v>
      </c>
      <c r="EQ321">
        <v>0</v>
      </c>
      <c r="ER321">
        <v>71000</v>
      </c>
      <c r="ES321">
        <v>9962.5300000000007</v>
      </c>
      <c r="ET321">
        <v>0</v>
      </c>
      <c r="EU321">
        <v>0</v>
      </c>
      <c r="EV321">
        <v>0</v>
      </c>
      <c r="EW321">
        <v>0</v>
      </c>
      <c r="EX321">
        <v>0</v>
      </c>
      <c r="EZ321">
        <v>5</v>
      </c>
      <c r="FC321">
        <v>0</v>
      </c>
      <c r="FD321">
        <v>18</v>
      </c>
      <c r="FF321">
        <v>71000</v>
      </c>
      <c r="FQ321">
        <v>0</v>
      </c>
      <c r="FR321">
        <f t="shared" si="354"/>
        <v>0</v>
      </c>
      <c r="FS321">
        <v>0</v>
      </c>
      <c r="FX321">
        <v>0</v>
      </c>
      <c r="FY321">
        <v>0</v>
      </c>
      <c r="GA321" t="s">
        <v>38</v>
      </c>
      <c r="GD321">
        <v>1</v>
      </c>
      <c r="GF321">
        <v>2105756975</v>
      </c>
      <c r="GG321">
        <v>2</v>
      </c>
      <c r="GH321">
        <v>3</v>
      </c>
      <c r="GI321">
        <v>5</v>
      </c>
      <c r="GJ321">
        <v>0</v>
      </c>
      <c r="GK321">
        <v>0</v>
      </c>
      <c r="GL321">
        <f t="shared" si="355"/>
        <v>0</v>
      </c>
      <c r="GM321">
        <f t="shared" si="356"/>
        <v>1042</v>
      </c>
      <c r="GN321">
        <f t="shared" si="357"/>
        <v>1042</v>
      </c>
      <c r="GO321">
        <f t="shared" si="358"/>
        <v>0</v>
      </c>
      <c r="GP321">
        <f t="shared" si="359"/>
        <v>0</v>
      </c>
      <c r="GR321">
        <v>1</v>
      </c>
      <c r="GS321">
        <v>1</v>
      </c>
      <c r="GT321">
        <v>0</v>
      </c>
      <c r="GU321" t="s">
        <v>6</v>
      </c>
      <c r="GV321">
        <f t="shared" si="360"/>
        <v>0</v>
      </c>
      <c r="GW321">
        <v>1</v>
      </c>
      <c r="GX321">
        <f t="shared" si="361"/>
        <v>0</v>
      </c>
      <c r="HA321">
        <v>0</v>
      </c>
      <c r="HB321">
        <v>0</v>
      </c>
      <c r="HC321">
        <f t="shared" si="362"/>
        <v>0</v>
      </c>
      <c r="HE321" t="s">
        <v>39</v>
      </c>
      <c r="HF321" t="s">
        <v>40</v>
      </c>
      <c r="HM321" t="s">
        <v>6</v>
      </c>
      <c r="HN321" t="s">
        <v>6</v>
      </c>
      <c r="HO321" t="s">
        <v>6</v>
      </c>
      <c r="HP321" t="s">
        <v>6</v>
      </c>
      <c r="HQ321" t="s">
        <v>6</v>
      </c>
      <c r="IF321">
        <v>-1</v>
      </c>
      <c r="IK321">
        <v>0</v>
      </c>
    </row>
    <row r="322" spans="1:255" x14ac:dyDescent="0.2">
      <c r="A322" s="2">
        <v>18</v>
      </c>
      <c r="B322" s="2">
        <v>1</v>
      </c>
      <c r="C322" s="2">
        <v>375</v>
      </c>
      <c r="D322" s="2"/>
      <c r="E322" s="2" t="s">
        <v>427</v>
      </c>
      <c r="F322" s="2" t="s">
        <v>42</v>
      </c>
      <c r="G322" s="2" t="s">
        <v>43</v>
      </c>
      <c r="H322" s="2" t="s">
        <v>44</v>
      </c>
      <c r="I322" s="2">
        <f>I316*J322</f>
        <v>0.46912150000000002</v>
      </c>
      <c r="J322" s="226">
        <f>'5.Ведомость_списания'!F138</f>
        <v>8.9870019157088123E-3</v>
      </c>
      <c r="K322" s="2">
        <v>8.9870000000000002E-3</v>
      </c>
      <c r="L322" s="2"/>
      <c r="M322" s="2"/>
      <c r="N322" s="2"/>
      <c r="O322" s="2">
        <f t="shared" si="331"/>
        <v>516</v>
      </c>
      <c r="P322" s="2">
        <f t="shared" si="332"/>
        <v>516</v>
      </c>
      <c r="Q322" s="2">
        <f t="shared" si="333"/>
        <v>0</v>
      </c>
      <c r="R322" s="2">
        <f t="shared" si="334"/>
        <v>0</v>
      </c>
      <c r="S322" s="2">
        <f t="shared" si="335"/>
        <v>0</v>
      </c>
      <c r="T322" s="2">
        <f t="shared" si="336"/>
        <v>0</v>
      </c>
      <c r="U322" s="2">
        <f t="shared" si="337"/>
        <v>0</v>
      </c>
      <c r="V322" s="2">
        <f t="shared" si="338"/>
        <v>0</v>
      </c>
      <c r="W322" s="2">
        <f t="shared" si="339"/>
        <v>3</v>
      </c>
      <c r="X322" s="2">
        <f t="shared" si="340"/>
        <v>0</v>
      </c>
      <c r="Y322" s="2">
        <f t="shared" si="341"/>
        <v>0</v>
      </c>
      <c r="Z322" s="2"/>
      <c r="AA322" s="2">
        <v>86326987</v>
      </c>
      <c r="AB322" s="2">
        <f t="shared" si="342"/>
        <v>1100</v>
      </c>
      <c r="AC322" s="2">
        <f>ROUND((ES322),2)</f>
        <v>1100</v>
      </c>
      <c r="AD322" s="2">
        <f>ROUND((((ET322)-(EU322))+AE322),2)</f>
        <v>0</v>
      </c>
      <c r="AE322" s="2">
        <f t="shared" si="365"/>
        <v>0</v>
      </c>
      <c r="AF322" s="2">
        <f t="shared" si="365"/>
        <v>0</v>
      </c>
      <c r="AG322" s="2">
        <f t="shared" si="343"/>
        <v>0</v>
      </c>
      <c r="AH322" s="2">
        <f t="shared" si="364"/>
        <v>0</v>
      </c>
      <c r="AI322" s="2">
        <f t="shared" si="364"/>
        <v>0</v>
      </c>
      <c r="AJ322" s="2">
        <f t="shared" si="344"/>
        <v>7.14</v>
      </c>
      <c r="AK322" s="2">
        <v>1100</v>
      </c>
      <c r="AL322" s="110">
        <f>'1.Лок.смета.и.Акт'!F584</f>
        <v>1100</v>
      </c>
      <c r="AM322" s="2">
        <v>0</v>
      </c>
      <c r="AN322" s="2">
        <v>0</v>
      </c>
      <c r="AO322" s="2">
        <v>0</v>
      </c>
      <c r="AP322" s="2">
        <v>0</v>
      </c>
      <c r="AQ322" s="2">
        <v>0</v>
      </c>
      <c r="AR322" s="2">
        <v>0</v>
      </c>
      <c r="AS322" s="2">
        <v>7.14</v>
      </c>
      <c r="AT322" s="2">
        <v>0</v>
      </c>
      <c r="AU322" s="2">
        <v>0</v>
      </c>
      <c r="AV322" s="2">
        <v>1</v>
      </c>
      <c r="AW322" s="2">
        <v>1</v>
      </c>
      <c r="AX322" s="2"/>
      <c r="AY322" s="2"/>
      <c r="AZ322" s="2">
        <v>1</v>
      </c>
      <c r="BA322" s="2">
        <v>1</v>
      </c>
      <c r="BB322" s="2">
        <v>1</v>
      </c>
      <c r="BC322" s="2">
        <v>1</v>
      </c>
      <c r="BD322" s="2" t="s">
        <v>6</v>
      </c>
      <c r="BE322" s="2" t="s">
        <v>6</v>
      </c>
      <c r="BF322" s="2" t="s">
        <v>6</v>
      </c>
      <c r="BG322" s="2" t="s">
        <v>6</v>
      </c>
      <c r="BH322" s="2">
        <v>3</v>
      </c>
      <c r="BI322" s="2">
        <v>1</v>
      </c>
      <c r="BJ322" s="2" t="s">
        <v>45</v>
      </c>
      <c r="BK322" s="2"/>
      <c r="BL322" s="2"/>
      <c r="BM322" s="2">
        <v>500001</v>
      </c>
      <c r="BN322" s="2">
        <v>0</v>
      </c>
      <c r="BO322" s="2" t="s">
        <v>6</v>
      </c>
      <c r="BP322" s="2">
        <v>0</v>
      </c>
      <c r="BQ322" s="2">
        <v>20</v>
      </c>
      <c r="BR322" s="2">
        <v>0</v>
      </c>
      <c r="BS322" s="2">
        <v>1</v>
      </c>
      <c r="BT322" s="2">
        <v>1</v>
      </c>
      <c r="BU322" s="2">
        <v>1</v>
      </c>
      <c r="BV322" s="2">
        <v>1</v>
      </c>
      <c r="BW322" s="2">
        <v>1</v>
      </c>
      <c r="BX322" s="2">
        <v>1</v>
      </c>
      <c r="BY322" s="2" t="s">
        <v>6</v>
      </c>
      <c r="BZ322" s="2">
        <v>0</v>
      </c>
      <c r="CA322" s="2">
        <v>0</v>
      </c>
      <c r="CB322" s="2" t="s">
        <v>6</v>
      </c>
      <c r="CC322" s="2"/>
      <c r="CD322" s="2"/>
      <c r="CE322" s="2">
        <v>0</v>
      </c>
      <c r="CF322" s="2">
        <v>0</v>
      </c>
      <c r="CG322" s="2">
        <v>0</v>
      </c>
      <c r="CH322" s="2"/>
      <c r="CI322" s="2"/>
      <c r="CJ322" s="2"/>
      <c r="CK322" s="2"/>
      <c r="CL322" s="2"/>
      <c r="CM322" s="2">
        <v>0</v>
      </c>
      <c r="CN322" s="2" t="s">
        <v>6</v>
      </c>
      <c r="CO322" s="2">
        <v>0</v>
      </c>
      <c r="CP322" s="2">
        <f t="shared" si="345"/>
        <v>516</v>
      </c>
      <c r="CQ322" s="2">
        <f t="shared" si="346"/>
        <v>1100</v>
      </c>
      <c r="CR322" s="2">
        <f t="shared" si="347"/>
        <v>0</v>
      </c>
      <c r="CS322" s="2">
        <f t="shared" si="348"/>
        <v>0</v>
      </c>
      <c r="CT322" s="2">
        <f t="shared" si="349"/>
        <v>0</v>
      </c>
      <c r="CU322" s="2">
        <f t="shared" si="350"/>
        <v>0</v>
      </c>
      <c r="CV322" s="2">
        <f t="shared" si="351"/>
        <v>0</v>
      </c>
      <c r="CW322" s="2">
        <f t="shared" si="352"/>
        <v>0</v>
      </c>
      <c r="CX322" s="2">
        <f t="shared" si="353"/>
        <v>7.14</v>
      </c>
      <c r="CY322" s="2">
        <f>(((S322+(R322*IF(0,0,1)))*AT322)/100)</f>
        <v>0</v>
      </c>
      <c r="CZ322" s="2">
        <f>(((S322+(R322*IF(0,0,1)))*AU322)/100)</f>
        <v>0</v>
      </c>
      <c r="DA322" s="2"/>
      <c r="DB322" s="2"/>
      <c r="DC322" s="2" t="s">
        <v>6</v>
      </c>
      <c r="DD322" s="2" t="s">
        <v>6</v>
      </c>
      <c r="DE322" s="2" t="s">
        <v>6</v>
      </c>
      <c r="DF322" s="2" t="s">
        <v>6</v>
      </c>
      <c r="DG322" s="2" t="s">
        <v>6</v>
      </c>
      <c r="DH322" s="2" t="s">
        <v>6</v>
      </c>
      <c r="DI322" s="2" t="s">
        <v>6</v>
      </c>
      <c r="DJ322" s="2" t="s">
        <v>6</v>
      </c>
      <c r="DK322" s="2" t="s">
        <v>6</v>
      </c>
      <c r="DL322" s="2" t="s">
        <v>6</v>
      </c>
      <c r="DM322" s="2" t="s">
        <v>6</v>
      </c>
      <c r="DN322" s="2">
        <v>0</v>
      </c>
      <c r="DO322" s="2">
        <v>0</v>
      </c>
      <c r="DP322" s="2">
        <v>1</v>
      </c>
      <c r="DQ322" s="2">
        <v>1</v>
      </c>
      <c r="DR322" s="2"/>
      <c r="DS322" s="2"/>
      <c r="DT322" s="2"/>
      <c r="DU322" s="2">
        <v>1007</v>
      </c>
      <c r="DV322" s="2" t="s">
        <v>44</v>
      </c>
      <c r="DW322" s="2" t="s">
        <v>44</v>
      </c>
      <c r="DX322" s="2">
        <v>1</v>
      </c>
      <c r="DY322" s="2"/>
      <c r="DZ322" s="2" t="s">
        <v>6</v>
      </c>
      <c r="EA322" s="2" t="s">
        <v>6</v>
      </c>
      <c r="EB322" s="2" t="s">
        <v>6</v>
      </c>
      <c r="EC322" s="2" t="s">
        <v>6</v>
      </c>
      <c r="ED322" s="2"/>
      <c r="EE322" s="2">
        <v>54938781</v>
      </c>
      <c r="EF322" s="2">
        <v>20</v>
      </c>
      <c r="EG322" s="2" t="s">
        <v>35</v>
      </c>
      <c r="EH322" s="2">
        <v>0</v>
      </c>
      <c r="EI322" s="2" t="s">
        <v>6</v>
      </c>
      <c r="EJ322" s="2">
        <v>1</v>
      </c>
      <c r="EK322" s="2">
        <v>500001</v>
      </c>
      <c r="EL322" s="2" t="s">
        <v>36</v>
      </c>
      <c r="EM322" s="2" t="s">
        <v>37</v>
      </c>
      <c r="EN322" s="2"/>
      <c r="EO322" s="2" t="s">
        <v>6</v>
      </c>
      <c r="EP322" s="2"/>
      <c r="EQ322" s="2">
        <v>0</v>
      </c>
      <c r="ER322" s="2">
        <v>1100</v>
      </c>
      <c r="ES322" s="110">
        <f>'1.Лок.смета.и.Акт'!F584</f>
        <v>1100</v>
      </c>
      <c r="ET322" s="2">
        <v>0</v>
      </c>
      <c r="EU322" s="2">
        <v>0</v>
      </c>
      <c r="EV322" s="2">
        <v>0</v>
      </c>
      <c r="EW322" s="2">
        <v>0</v>
      </c>
      <c r="EX322" s="2">
        <v>0</v>
      </c>
      <c r="EY322" s="2"/>
      <c r="EZ322" s="2"/>
      <c r="FA322" s="2"/>
      <c r="FB322" s="2"/>
      <c r="FC322" s="2"/>
      <c r="FD322" s="2"/>
      <c r="FE322" s="2"/>
      <c r="FF322" s="2"/>
      <c r="FG322" s="2"/>
      <c r="FH322" s="2"/>
      <c r="FI322" s="2"/>
      <c r="FJ322" s="2"/>
      <c r="FK322" s="2"/>
      <c r="FL322" s="2"/>
      <c r="FM322" s="2"/>
      <c r="FN322" s="2"/>
      <c r="FO322" s="2"/>
      <c r="FP322" s="2"/>
      <c r="FQ322" s="2">
        <v>0</v>
      </c>
      <c r="FR322" s="2">
        <f t="shared" si="354"/>
        <v>0</v>
      </c>
      <c r="FS322" s="2">
        <v>0</v>
      </c>
      <c r="FT322" s="2"/>
      <c r="FU322" s="2"/>
      <c r="FV322" s="2"/>
      <c r="FW322" s="2"/>
      <c r="FX322" s="2">
        <v>0</v>
      </c>
      <c r="FY322" s="2">
        <v>0</v>
      </c>
      <c r="FZ322" s="2"/>
      <c r="GA322" s="2" t="s">
        <v>6</v>
      </c>
      <c r="GB322" s="2"/>
      <c r="GC322" s="2"/>
      <c r="GD322" s="2">
        <v>1</v>
      </c>
      <c r="GE322" s="2"/>
      <c r="GF322" s="2">
        <v>703937141</v>
      </c>
      <c r="GG322" s="2">
        <v>2</v>
      </c>
      <c r="GH322" s="2">
        <v>1</v>
      </c>
      <c r="GI322" s="2">
        <v>-2</v>
      </c>
      <c r="GJ322" s="2">
        <v>0</v>
      </c>
      <c r="GK322" s="2">
        <v>0</v>
      </c>
      <c r="GL322" s="2">
        <f t="shared" si="355"/>
        <v>0</v>
      </c>
      <c r="GM322" s="2">
        <f t="shared" si="356"/>
        <v>516</v>
      </c>
      <c r="GN322" s="2">
        <f t="shared" si="357"/>
        <v>516</v>
      </c>
      <c r="GO322" s="2">
        <f t="shared" si="358"/>
        <v>0</v>
      </c>
      <c r="GP322" s="2">
        <f t="shared" si="359"/>
        <v>0</v>
      </c>
      <c r="GQ322" s="2"/>
      <c r="GR322" s="2">
        <v>0</v>
      </c>
      <c r="GS322" s="2">
        <v>3</v>
      </c>
      <c r="GT322" s="2">
        <v>0</v>
      </c>
      <c r="GU322" s="2" t="s">
        <v>6</v>
      </c>
      <c r="GV322" s="2">
        <f t="shared" si="360"/>
        <v>0</v>
      </c>
      <c r="GW322" s="2">
        <v>1</v>
      </c>
      <c r="GX322" s="2">
        <f t="shared" si="361"/>
        <v>0</v>
      </c>
      <c r="GY322" s="2"/>
      <c r="GZ322" s="2"/>
      <c r="HA322" s="2">
        <v>0</v>
      </c>
      <c r="HB322" s="2">
        <v>0</v>
      </c>
      <c r="HC322" s="2">
        <f t="shared" si="362"/>
        <v>0</v>
      </c>
      <c r="HD322" s="2"/>
      <c r="HE322" s="2" t="s">
        <v>6</v>
      </c>
      <c r="HF322" s="2" t="s">
        <v>6</v>
      </c>
      <c r="HG322" s="2"/>
      <c r="HH322" s="2"/>
      <c r="HI322" s="2"/>
      <c r="HJ322" s="2"/>
      <c r="HK322" s="2"/>
      <c r="HL322" s="2"/>
      <c r="HM322" s="2" t="s">
        <v>6</v>
      </c>
      <c r="HN322" s="2" t="s">
        <v>6</v>
      </c>
      <c r="HO322" s="2" t="s">
        <v>6</v>
      </c>
      <c r="HP322" s="2" t="s">
        <v>6</v>
      </c>
      <c r="HQ322" s="2" t="s">
        <v>6</v>
      </c>
      <c r="HR322" s="2"/>
      <c r="HS322" s="2"/>
      <c r="HT322" s="2"/>
      <c r="HU322" s="2"/>
      <c r="HV322" s="2"/>
      <c r="HW322" s="2"/>
      <c r="HX322" s="2"/>
      <c r="HY322" s="2"/>
      <c r="HZ322" s="2"/>
      <c r="IA322" s="2"/>
      <c r="IB322" s="2"/>
      <c r="IC322" s="2"/>
      <c r="ID322" s="2"/>
      <c r="IE322" s="2"/>
      <c r="IF322" s="2">
        <v>-1</v>
      </c>
      <c r="IG322" s="2"/>
      <c r="IH322" s="2"/>
      <c r="II322" s="2"/>
      <c r="IJ322" s="2"/>
      <c r="IK322" s="2">
        <v>0</v>
      </c>
      <c r="IL322" s="2"/>
      <c r="IM322" s="2"/>
      <c r="IN322" s="2"/>
      <c r="IO322" s="2"/>
      <c r="IP322" s="2"/>
      <c r="IQ322" s="2"/>
      <c r="IR322" s="2"/>
      <c r="IS322" s="2"/>
      <c r="IT322" s="2"/>
      <c r="IU322" s="2"/>
    </row>
    <row r="323" spans="1:255" x14ac:dyDescent="0.2">
      <c r="A323">
        <v>18</v>
      </c>
      <c r="B323">
        <v>1</v>
      </c>
      <c r="C323">
        <v>384</v>
      </c>
      <c r="E323" t="s">
        <v>427</v>
      </c>
      <c r="F323" t="e">
        <f>'2.Лок.смета.и.Акт'!#REF!</f>
        <v>#REF!</v>
      </c>
      <c r="G323" t="s">
        <v>43</v>
      </c>
      <c r="H323" t="s">
        <v>44</v>
      </c>
      <c r="I323">
        <f>I317*J323</f>
        <v>0.46912150000000002</v>
      </c>
      <c r="J323">
        <v>8.9870019157088123E-3</v>
      </c>
      <c r="K323">
        <v>8.9870000000000002E-3</v>
      </c>
      <c r="O323">
        <f t="shared" si="331"/>
        <v>8294</v>
      </c>
      <c r="P323">
        <f t="shared" si="332"/>
        <v>8294</v>
      </c>
      <c r="Q323">
        <f t="shared" si="333"/>
        <v>0</v>
      </c>
      <c r="R323">
        <f t="shared" si="334"/>
        <v>0</v>
      </c>
      <c r="S323">
        <f t="shared" si="335"/>
        <v>0</v>
      </c>
      <c r="T323">
        <f t="shared" si="336"/>
        <v>0</v>
      </c>
      <c r="U323">
        <f t="shared" si="337"/>
        <v>0</v>
      </c>
      <c r="V323">
        <f t="shared" si="338"/>
        <v>0</v>
      </c>
      <c r="W323">
        <f t="shared" si="339"/>
        <v>3</v>
      </c>
      <c r="X323">
        <f t="shared" si="340"/>
        <v>0</v>
      </c>
      <c r="Y323">
        <f t="shared" si="341"/>
        <v>0</v>
      </c>
      <c r="AA323">
        <v>86326988</v>
      </c>
      <c r="AB323">
        <f t="shared" si="342"/>
        <v>2338.63</v>
      </c>
      <c r="AC323">
        <f>ROUND((ES323),2)</f>
        <v>2338.63</v>
      </c>
      <c r="AD323">
        <f>ROUND((((ET323)-(EU323))+AE323),2)</f>
        <v>0</v>
      </c>
      <c r="AE323">
        <f t="shared" si="365"/>
        <v>0</v>
      </c>
      <c r="AF323">
        <f t="shared" si="365"/>
        <v>0</v>
      </c>
      <c r="AG323">
        <f t="shared" si="343"/>
        <v>0</v>
      </c>
      <c r="AH323">
        <f t="shared" si="364"/>
        <v>0</v>
      </c>
      <c r="AI323">
        <f t="shared" si="364"/>
        <v>0</v>
      </c>
      <c r="AJ323">
        <f t="shared" si="344"/>
        <v>7.14</v>
      </c>
      <c r="AK323">
        <v>2338.63</v>
      </c>
      <c r="AL323">
        <v>2338.63</v>
      </c>
      <c r="AM323">
        <v>0</v>
      </c>
      <c r="AN323">
        <v>0</v>
      </c>
      <c r="AO323">
        <v>0</v>
      </c>
      <c r="AP323">
        <v>0</v>
      </c>
      <c r="AQ323">
        <v>0</v>
      </c>
      <c r="AR323">
        <v>0</v>
      </c>
      <c r="AS323">
        <v>7.14</v>
      </c>
      <c r="AT323">
        <v>0</v>
      </c>
      <c r="AU323">
        <v>0</v>
      </c>
      <c r="AV323">
        <v>1</v>
      </c>
      <c r="AW323">
        <v>1</v>
      </c>
      <c r="AZ323">
        <v>1</v>
      </c>
      <c r="BA323">
        <v>1</v>
      </c>
      <c r="BB323">
        <v>1</v>
      </c>
      <c r="BC323">
        <v>7.56</v>
      </c>
      <c r="BD323" t="s">
        <v>6</v>
      </c>
      <c r="BE323" t="s">
        <v>6</v>
      </c>
      <c r="BF323" t="s">
        <v>6</v>
      </c>
      <c r="BG323" t="s">
        <v>6</v>
      </c>
      <c r="BH323">
        <v>3</v>
      </c>
      <c r="BI323">
        <v>1</v>
      </c>
      <c r="BJ323" t="s">
        <v>45</v>
      </c>
      <c r="BM323">
        <v>500001</v>
      </c>
      <c r="BN323">
        <v>0</v>
      </c>
      <c r="BO323" t="s">
        <v>6</v>
      </c>
      <c r="BP323">
        <v>0</v>
      </c>
      <c r="BQ323">
        <v>20</v>
      </c>
      <c r="BR323">
        <v>0</v>
      </c>
      <c r="BS323">
        <v>1</v>
      </c>
      <c r="BT323">
        <v>1</v>
      </c>
      <c r="BU323">
        <v>1</v>
      </c>
      <c r="BV323">
        <v>1</v>
      </c>
      <c r="BW323">
        <v>1</v>
      </c>
      <c r="BX323">
        <v>1</v>
      </c>
      <c r="BY323" t="s">
        <v>6</v>
      </c>
      <c r="BZ323">
        <v>0</v>
      </c>
      <c r="CA323">
        <v>0</v>
      </c>
      <c r="CB323" t="s">
        <v>6</v>
      </c>
      <c r="CE323">
        <v>0</v>
      </c>
      <c r="CF323">
        <v>0</v>
      </c>
      <c r="CG323">
        <v>0</v>
      </c>
      <c r="CM323">
        <v>0</v>
      </c>
      <c r="CN323" t="s">
        <v>6</v>
      </c>
      <c r="CO323">
        <v>0</v>
      </c>
      <c r="CP323">
        <f t="shared" si="345"/>
        <v>8294</v>
      </c>
      <c r="CQ323">
        <f t="shared" si="346"/>
        <v>17680.042799999999</v>
      </c>
      <c r="CR323">
        <f t="shared" si="347"/>
        <v>0</v>
      </c>
      <c r="CS323">
        <f t="shared" si="348"/>
        <v>0</v>
      </c>
      <c r="CT323">
        <f t="shared" si="349"/>
        <v>0</v>
      </c>
      <c r="CU323">
        <f t="shared" si="350"/>
        <v>0</v>
      </c>
      <c r="CV323">
        <f t="shared" si="351"/>
        <v>0</v>
      </c>
      <c r="CW323">
        <f t="shared" si="352"/>
        <v>0</v>
      </c>
      <c r="CX323">
        <f t="shared" si="353"/>
        <v>7.14</v>
      </c>
      <c r="CY323">
        <f>(S323+R323)*(BZ323/100)</f>
        <v>0</v>
      </c>
      <c r="CZ323">
        <f>(S323+R323)*(CA323/100)</f>
        <v>0</v>
      </c>
      <c r="DC323" t="s">
        <v>6</v>
      </c>
      <c r="DD323" t="s">
        <v>6</v>
      </c>
      <c r="DE323" t="s">
        <v>6</v>
      </c>
      <c r="DF323" t="s">
        <v>6</v>
      </c>
      <c r="DG323" t="s">
        <v>6</v>
      </c>
      <c r="DH323" t="s">
        <v>6</v>
      </c>
      <c r="DI323" t="s">
        <v>6</v>
      </c>
      <c r="DJ323" t="s">
        <v>6</v>
      </c>
      <c r="DK323" t="s">
        <v>6</v>
      </c>
      <c r="DL323" t="s">
        <v>6</v>
      </c>
      <c r="DM323" t="s">
        <v>6</v>
      </c>
      <c r="DN323">
        <v>0</v>
      </c>
      <c r="DO323">
        <v>0</v>
      </c>
      <c r="DP323">
        <v>1</v>
      </c>
      <c r="DQ323">
        <v>1</v>
      </c>
      <c r="DU323">
        <v>1007</v>
      </c>
      <c r="DV323" t="s">
        <v>44</v>
      </c>
      <c r="DW323" t="e">
        <f>'2.Лок.смета.и.Акт'!#REF!</f>
        <v>#REF!</v>
      </c>
      <c r="DX323">
        <v>1</v>
      </c>
      <c r="DZ323" t="s">
        <v>6</v>
      </c>
      <c r="EA323" t="s">
        <v>6</v>
      </c>
      <c r="EB323" t="s">
        <v>6</v>
      </c>
      <c r="EC323" t="s">
        <v>6</v>
      </c>
      <c r="EE323">
        <v>54938781</v>
      </c>
      <c r="EF323">
        <v>20</v>
      </c>
      <c r="EG323" t="s">
        <v>35</v>
      </c>
      <c r="EH323">
        <v>0</v>
      </c>
      <c r="EI323" t="s">
        <v>6</v>
      </c>
      <c r="EJ323">
        <v>1</v>
      </c>
      <c r="EK323">
        <v>500001</v>
      </c>
      <c r="EL323" t="s">
        <v>36</v>
      </c>
      <c r="EM323" t="s">
        <v>37</v>
      </c>
      <c r="EO323" t="s">
        <v>6</v>
      </c>
      <c r="EQ323">
        <v>0</v>
      </c>
      <c r="ER323">
        <v>16666.669999999998</v>
      </c>
      <c r="ES323">
        <v>2338.63</v>
      </c>
      <c r="ET323">
        <v>0</v>
      </c>
      <c r="EU323">
        <v>0</v>
      </c>
      <c r="EV323">
        <v>0</v>
      </c>
      <c r="EW323">
        <v>0</v>
      </c>
      <c r="EX323">
        <v>0</v>
      </c>
      <c r="EZ323">
        <v>5</v>
      </c>
      <c r="FC323">
        <v>0</v>
      </c>
      <c r="FD323">
        <v>18</v>
      </c>
      <c r="FF323">
        <v>16666.669999999998</v>
      </c>
      <c r="FQ323">
        <v>0</v>
      </c>
      <c r="FR323">
        <f t="shared" si="354"/>
        <v>0</v>
      </c>
      <c r="FS323">
        <v>0</v>
      </c>
      <c r="FX323">
        <v>0</v>
      </c>
      <c r="FY323">
        <v>0</v>
      </c>
      <c r="GA323" t="s">
        <v>46</v>
      </c>
      <c r="GD323">
        <v>1</v>
      </c>
      <c r="GF323">
        <v>703937141</v>
      </c>
      <c r="GG323">
        <v>2</v>
      </c>
      <c r="GH323">
        <v>3</v>
      </c>
      <c r="GI323">
        <v>5</v>
      </c>
      <c r="GJ323">
        <v>0</v>
      </c>
      <c r="GK323">
        <v>0</v>
      </c>
      <c r="GL323">
        <f t="shared" si="355"/>
        <v>0</v>
      </c>
      <c r="GM323">
        <f t="shared" si="356"/>
        <v>8294</v>
      </c>
      <c r="GN323">
        <f t="shared" si="357"/>
        <v>8294</v>
      </c>
      <c r="GO323">
        <f t="shared" si="358"/>
        <v>0</v>
      </c>
      <c r="GP323">
        <f t="shared" si="359"/>
        <v>0</v>
      </c>
      <c r="GR323">
        <v>1</v>
      </c>
      <c r="GS323">
        <v>1</v>
      </c>
      <c r="GT323">
        <v>0</v>
      </c>
      <c r="GU323" t="s">
        <v>6</v>
      </c>
      <c r="GV323">
        <f t="shared" si="360"/>
        <v>0</v>
      </c>
      <c r="GW323">
        <v>1</v>
      </c>
      <c r="GX323">
        <f t="shared" si="361"/>
        <v>0</v>
      </c>
      <c r="HA323">
        <v>0</v>
      </c>
      <c r="HB323">
        <v>0</v>
      </c>
      <c r="HC323">
        <f t="shared" si="362"/>
        <v>0</v>
      </c>
      <c r="HE323" t="s">
        <v>39</v>
      </c>
      <c r="HF323" t="s">
        <v>40</v>
      </c>
      <c r="HM323" t="s">
        <v>6</v>
      </c>
      <c r="HN323" t="s">
        <v>6</v>
      </c>
      <c r="HO323" t="s">
        <v>6</v>
      </c>
      <c r="HP323" t="s">
        <v>6</v>
      </c>
      <c r="HQ323" t="s">
        <v>6</v>
      </c>
      <c r="IF323">
        <v>-1</v>
      </c>
      <c r="IK323">
        <v>0</v>
      </c>
    </row>
    <row r="324" spans="1:255" x14ac:dyDescent="0.2">
      <c r="A324" s="2">
        <v>17</v>
      </c>
      <c r="B324" s="2">
        <v>1</v>
      </c>
      <c r="C324" s="2">
        <f>ROW(SmtRes!A391)</f>
        <v>391</v>
      </c>
      <c r="D324" s="2">
        <f>ROW(EtalonRes!A315)</f>
        <v>315</v>
      </c>
      <c r="E324" s="2" t="s">
        <v>428</v>
      </c>
      <c r="F324" s="2" t="s">
        <v>429</v>
      </c>
      <c r="G324" s="2" t="s">
        <v>430</v>
      </c>
      <c r="H324" s="2" t="s">
        <v>49</v>
      </c>
      <c r="I324" s="2">
        <f>'2.Лок.смета.и.Акт'!E49</f>
        <v>3.0692499999999998</v>
      </c>
      <c r="J324" s="2">
        <v>0</v>
      </c>
      <c r="K324" s="2">
        <v>12.276999999999999</v>
      </c>
      <c r="L324" s="2"/>
      <c r="M324" s="2"/>
      <c r="N324" s="2"/>
      <c r="O324" s="2">
        <f t="shared" si="331"/>
        <v>3635</v>
      </c>
      <c r="P324" s="2">
        <f t="shared" si="332"/>
        <v>0</v>
      </c>
      <c r="Q324" s="2">
        <f t="shared" si="333"/>
        <v>220</v>
      </c>
      <c r="R324" s="2">
        <f t="shared" si="334"/>
        <v>21</v>
      </c>
      <c r="S324" s="2">
        <f t="shared" si="335"/>
        <v>3415</v>
      </c>
      <c r="T324" s="2">
        <f t="shared" si="336"/>
        <v>0</v>
      </c>
      <c r="U324" s="2">
        <f t="shared" si="337"/>
        <v>286.47980497499998</v>
      </c>
      <c r="V324" s="2">
        <f t="shared" si="338"/>
        <v>1.5469020000000002</v>
      </c>
      <c r="W324" s="2">
        <f t="shared" si="339"/>
        <v>0</v>
      </c>
      <c r="X324" s="2">
        <f t="shared" si="340"/>
        <v>2268</v>
      </c>
      <c r="Y324" s="2">
        <f t="shared" si="341"/>
        <v>2062</v>
      </c>
      <c r="Z324" s="2"/>
      <c r="AA324" s="2">
        <v>86326987</v>
      </c>
      <c r="AB324" s="2">
        <f t="shared" si="342"/>
        <v>1184.18</v>
      </c>
      <c r="AC324" s="2">
        <f>ROUND((ES324+(SUM(SmtRes!BC385:'SmtRes'!BC391)+SUM(EtalonRes!AL309:'EtalonRes'!AL315))),2)</f>
        <v>0</v>
      </c>
      <c r="AD324" s="2">
        <f>ROUND(((ET324*1.12)),2)</f>
        <v>71.58</v>
      </c>
      <c r="AE324" s="2">
        <f>ROUND(((EU324*1.12)),2)</f>
        <v>6.85</v>
      </c>
      <c r="AF324" s="2">
        <f>ROUND(((EV324*1.05)),2)</f>
        <v>1112.5999999999999</v>
      </c>
      <c r="AG324" s="2">
        <f t="shared" si="343"/>
        <v>0</v>
      </c>
      <c r="AH324" s="2">
        <f>((EW324*1.05))</f>
        <v>93.338700000000003</v>
      </c>
      <c r="AI324" s="2">
        <f>((EX324*1.12))</f>
        <v>0.50400000000000011</v>
      </c>
      <c r="AJ324" s="2">
        <f t="shared" si="344"/>
        <v>0</v>
      </c>
      <c r="AK324" s="2">
        <v>5876.59</v>
      </c>
      <c r="AL324" s="2">
        <v>4753.0600000000004</v>
      </c>
      <c r="AM324" s="2">
        <v>63.91</v>
      </c>
      <c r="AN324" s="2">
        <v>6.12</v>
      </c>
      <c r="AO324" s="2">
        <v>1059.6199999999999</v>
      </c>
      <c r="AP324" s="2">
        <v>0</v>
      </c>
      <c r="AQ324" s="2">
        <v>88.894000000000005</v>
      </c>
      <c r="AR324" s="2">
        <v>0.45</v>
      </c>
      <c r="AS324" s="2">
        <v>0</v>
      </c>
      <c r="AT324" s="2">
        <v>66</v>
      </c>
      <c r="AU324" s="2">
        <v>60</v>
      </c>
      <c r="AV324" s="2">
        <v>1</v>
      </c>
      <c r="AW324" s="2">
        <v>1</v>
      </c>
      <c r="AX324" s="2"/>
      <c r="AY324" s="2"/>
      <c r="AZ324" s="2">
        <v>1</v>
      </c>
      <c r="BA324" s="2">
        <v>1</v>
      </c>
      <c r="BB324" s="2">
        <v>1</v>
      </c>
      <c r="BC324" s="2">
        <v>1</v>
      </c>
      <c r="BD324" s="2" t="s">
        <v>6</v>
      </c>
      <c r="BE324" s="2" t="s">
        <v>6</v>
      </c>
      <c r="BF324" s="2" t="s">
        <v>6</v>
      </c>
      <c r="BG324" s="2" t="s">
        <v>6</v>
      </c>
      <c r="BH324" s="2">
        <v>0</v>
      </c>
      <c r="BI324" s="2">
        <v>1</v>
      </c>
      <c r="BJ324" s="2" t="s">
        <v>431</v>
      </c>
      <c r="BK324" s="2"/>
      <c r="BL324" s="2"/>
      <c r="BM324" s="2">
        <v>501</v>
      </c>
      <c r="BN324" s="2">
        <v>0</v>
      </c>
      <c r="BO324" s="2" t="s">
        <v>6</v>
      </c>
      <c r="BP324" s="2">
        <v>0</v>
      </c>
      <c r="BQ324" s="2">
        <v>1</v>
      </c>
      <c r="BR324" s="2">
        <v>0</v>
      </c>
      <c r="BS324" s="2">
        <v>1</v>
      </c>
      <c r="BT324" s="2">
        <v>1</v>
      </c>
      <c r="BU324" s="2">
        <v>1</v>
      </c>
      <c r="BV324" s="2">
        <v>1</v>
      </c>
      <c r="BW324" s="2">
        <v>1</v>
      </c>
      <c r="BX324" s="2">
        <v>1</v>
      </c>
      <c r="BY324" s="2" t="s">
        <v>6</v>
      </c>
      <c r="BZ324" s="2">
        <v>66</v>
      </c>
      <c r="CA324" s="2">
        <v>60</v>
      </c>
      <c r="CB324" s="2" t="s">
        <v>6</v>
      </c>
      <c r="CC324" s="2"/>
      <c r="CD324" s="2"/>
      <c r="CE324" s="2">
        <v>0</v>
      </c>
      <c r="CF324" s="2">
        <v>0</v>
      </c>
      <c r="CG324" s="2">
        <v>0</v>
      </c>
      <c r="CH324" s="2"/>
      <c r="CI324" s="2"/>
      <c r="CJ324" s="2"/>
      <c r="CK324" s="2"/>
      <c r="CL324" s="2"/>
      <c r="CM324" s="2">
        <v>0</v>
      </c>
      <c r="CN324" s="2" t="s">
        <v>23</v>
      </c>
      <c r="CO324" s="2">
        <v>0</v>
      </c>
      <c r="CP324" s="2">
        <f t="shared" si="345"/>
        <v>3635</v>
      </c>
      <c r="CQ324" s="2">
        <f t="shared" si="346"/>
        <v>0</v>
      </c>
      <c r="CR324" s="2">
        <f t="shared" si="347"/>
        <v>71.58</v>
      </c>
      <c r="CS324" s="2">
        <f t="shared" si="348"/>
        <v>6.85</v>
      </c>
      <c r="CT324" s="2">
        <f t="shared" si="349"/>
        <v>1112.5999999999999</v>
      </c>
      <c r="CU324" s="2">
        <f t="shared" si="350"/>
        <v>0</v>
      </c>
      <c r="CV324" s="2">
        <f t="shared" si="351"/>
        <v>93.338700000000003</v>
      </c>
      <c r="CW324" s="2">
        <f t="shared" si="352"/>
        <v>0.50400000000000011</v>
      </c>
      <c r="CX324" s="2">
        <f t="shared" si="353"/>
        <v>0</v>
      </c>
      <c r="CY324" s="2">
        <f>(((S324+(R324*IF(0,0,1)))*AT324)/100)</f>
        <v>2267.7600000000002</v>
      </c>
      <c r="CZ324" s="2">
        <f>(((S324+(R324*IF(0,0,1)))*AU324)/100)</f>
        <v>2061.6</v>
      </c>
      <c r="DA324" s="2"/>
      <c r="DB324" s="2"/>
      <c r="DC324" s="2" t="s">
        <v>6</v>
      </c>
      <c r="DD324" s="2" t="s">
        <v>6</v>
      </c>
      <c r="DE324" s="2" t="s">
        <v>24</v>
      </c>
      <c r="DF324" s="2" t="s">
        <v>24</v>
      </c>
      <c r="DG324" s="2" t="s">
        <v>25</v>
      </c>
      <c r="DH324" s="2" t="s">
        <v>6</v>
      </c>
      <c r="DI324" s="2" t="s">
        <v>25</v>
      </c>
      <c r="DJ324" s="2" t="s">
        <v>24</v>
      </c>
      <c r="DK324" s="2" t="s">
        <v>6</v>
      </c>
      <c r="DL324" s="2" t="s">
        <v>6</v>
      </c>
      <c r="DM324" s="2" t="s">
        <v>6</v>
      </c>
      <c r="DN324" s="2">
        <v>0</v>
      </c>
      <c r="DO324" s="2">
        <v>0</v>
      </c>
      <c r="DP324" s="2">
        <v>1</v>
      </c>
      <c r="DQ324" s="2">
        <v>1</v>
      </c>
      <c r="DR324" s="2"/>
      <c r="DS324" s="2"/>
      <c r="DT324" s="2"/>
      <c r="DU324" s="2">
        <v>1013</v>
      </c>
      <c r="DV324" s="2" t="s">
        <v>49</v>
      </c>
      <c r="DW324" s="2" t="s">
        <v>49</v>
      </c>
      <c r="DX324" s="2">
        <v>1</v>
      </c>
      <c r="DY324" s="2"/>
      <c r="DZ324" s="2" t="s">
        <v>6</v>
      </c>
      <c r="EA324" s="2" t="s">
        <v>6</v>
      </c>
      <c r="EB324" s="2" t="s">
        <v>6</v>
      </c>
      <c r="EC324" s="2" t="s">
        <v>6</v>
      </c>
      <c r="ED324" s="2"/>
      <c r="EE324" s="2">
        <v>54938567</v>
      </c>
      <c r="EF324" s="2">
        <v>1</v>
      </c>
      <c r="EG324" s="2" t="s">
        <v>26</v>
      </c>
      <c r="EH324" s="2">
        <v>0</v>
      </c>
      <c r="EI324" s="2" t="s">
        <v>6</v>
      </c>
      <c r="EJ324" s="2">
        <v>1</v>
      </c>
      <c r="EK324" s="2">
        <v>501</v>
      </c>
      <c r="EL324" s="2" t="s">
        <v>51</v>
      </c>
      <c r="EM324" s="2" t="s">
        <v>52</v>
      </c>
      <c r="EN324" s="2"/>
      <c r="EO324" s="2" t="s">
        <v>29</v>
      </c>
      <c r="EP324" s="2"/>
      <c r="EQ324" s="2">
        <v>2228224</v>
      </c>
      <c r="ER324" s="2">
        <v>5876.59</v>
      </c>
      <c r="ES324" s="2">
        <v>4753.0600000000004</v>
      </c>
      <c r="ET324" s="2">
        <v>63.91</v>
      </c>
      <c r="EU324" s="2">
        <v>6.12</v>
      </c>
      <c r="EV324" s="2">
        <v>1059.6199999999999</v>
      </c>
      <c r="EW324" s="2">
        <v>88.894000000000005</v>
      </c>
      <c r="EX324" s="2">
        <v>0.45</v>
      </c>
      <c r="EY324" s="2">
        <v>1</v>
      </c>
      <c r="EZ324" s="2"/>
      <c r="FA324" s="2"/>
      <c r="FB324" s="2"/>
      <c r="FC324" s="2"/>
      <c r="FD324" s="2"/>
      <c r="FE324" s="2"/>
      <c r="FF324" s="2"/>
      <c r="FG324" s="2"/>
      <c r="FH324" s="2"/>
      <c r="FI324" s="2"/>
      <c r="FJ324" s="2"/>
      <c r="FK324" s="2"/>
      <c r="FL324" s="2"/>
      <c r="FM324" s="2"/>
      <c r="FN324" s="2"/>
      <c r="FO324" s="2"/>
      <c r="FP324" s="2"/>
      <c r="FQ324" s="2">
        <v>0</v>
      </c>
      <c r="FR324" s="2">
        <f t="shared" si="354"/>
        <v>0</v>
      </c>
      <c r="FS324" s="2">
        <v>0</v>
      </c>
      <c r="FT324" s="2"/>
      <c r="FU324" s="2"/>
      <c r="FV324" s="2"/>
      <c r="FW324" s="2"/>
      <c r="FX324" s="2">
        <v>66</v>
      </c>
      <c r="FY324" s="2">
        <v>60</v>
      </c>
      <c r="FZ324" s="2"/>
      <c r="GA324" s="2" t="s">
        <v>6</v>
      </c>
      <c r="GB324" s="2"/>
      <c r="GC324" s="2"/>
      <c r="GD324" s="2">
        <v>1</v>
      </c>
      <c r="GE324" s="2"/>
      <c r="GF324" s="2">
        <v>-1131206726</v>
      </c>
      <c r="GG324" s="2">
        <v>2</v>
      </c>
      <c r="GH324" s="2">
        <v>1</v>
      </c>
      <c r="GI324" s="2">
        <v>-2</v>
      </c>
      <c r="GJ324" s="2">
        <v>0</v>
      </c>
      <c r="GK324" s="2">
        <v>0</v>
      </c>
      <c r="GL324" s="2">
        <f t="shared" si="355"/>
        <v>0</v>
      </c>
      <c r="GM324" s="2">
        <f t="shared" si="356"/>
        <v>7965</v>
      </c>
      <c r="GN324" s="2">
        <f t="shared" si="357"/>
        <v>7965</v>
      </c>
      <c r="GO324" s="2">
        <f t="shared" si="358"/>
        <v>0</v>
      </c>
      <c r="GP324" s="2">
        <f t="shared" si="359"/>
        <v>0</v>
      </c>
      <c r="GQ324" s="2"/>
      <c r="GR324" s="2">
        <v>0</v>
      </c>
      <c r="GS324" s="2">
        <v>3</v>
      </c>
      <c r="GT324" s="2">
        <v>0</v>
      </c>
      <c r="GU324" s="2" t="s">
        <v>6</v>
      </c>
      <c r="GV324" s="2">
        <f t="shared" si="360"/>
        <v>0</v>
      </c>
      <c r="GW324" s="2">
        <v>1</v>
      </c>
      <c r="GX324" s="2">
        <f t="shared" si="361"/>
        <v>0</v>
      </c>
      <c r="GY324" s="2"/>
      <c r="GZ324" s="2"/>
      <c r="HA324" s="2">
        <v>0</v>
      </c>
      <c r="HB324" s="2">
        <v>0</v>
      </c>
      <c r="HC324" s="2">
        <f t="shared" si="362"/>
        <v>0</v>
      </c>
      <c r="HD324" s="2"/>
      <c r="HE324" s="2" t="s">
        <v>6</v>
      </c>
      <c r="HF324" s="2" t="s">
        <v>6</v>
      </c>
      <c r="HG324" s="2"/>
      <c r="HH324" s="2"/>
      <c r="HI324" s="2"/>
      <c r="HJ324" s="2"/>
      <c r="HK324" s="2"/>
      <c r="HL324" s="2"/>
      <c r="HM324" s="2" t="s">
        <v>6</v>
      </c>
      <c r="HN324" s="2" t="s">
        <v>6</v>
      </c>
      <c r="HO324" s="2" t="s">
        <v>6</v>
      </c>
      <c r="HP324" s="2" t="s">
        <v>6</v>
      </c>
      <c r="HQ324" s="2" t="s">
        <v>6</v>
      </c>
      <c r="HR324" s="2"/>
      <c r="HS324" s="2"/>
      <c r="HT324" s="2"/>
      <c r="HU324" s="2"/>
      <c r="HV324" s="2"/>
      <c r="HW324" s="2"/>
      <c r="HX324" s="2"/>
      <c r="HY324" s="2"/>
      <c r="HZ324" s="2"/>
      <c r="IA324" s="2"/>
      <c r="IB324" s="2"/>
      <c r="IC324" s="2"/>
      <c r="ID324" s="2"/>
      <c r="IE324" s="2"/>
      <c r="IF324" s="2">
        <v>-1</v>
      </c>
      <c r="IG324" s="2"/>
      <c r="IH324" s="2"/>
      <c r="II324" s="2"/>
      <c r="IJ324" s="2"/>
      <c r="IK324" s="2">
        <v>0</v>
      </c>
      <c r="IL324" s="2"/>
      <c r="IM324" s="2"/>
      <c r="IN324" s="2"/>
      <c r="IO324" s="2"/>
      <c r="IP324" s="2"/>
      <c r="IQ324" s="2"/>
      <c r="IR324" s="2"/>
      <c r="IS324" s="2"/>
      <c r="IT324" s="2"/>
      <c r="IU324" s="2"/>
    </row>
    <row r="325" spans="1:255" x14ac:dyDescent="0.2">
      <c r="A325">
        <v>17</v>
      </c>
      <c r="B325">
        <v>1</v>
      </c>
      <c r="C325">
        <f>ROW(SmtRes!A398)</f>
        <v>398</v>
      </c>
      <c r="D325">
        <f>ROW(EtalonRes!A322)</f>
        <v>322</v>
      </c>
      <c r="E325" t="s">
        <v>428</v>
      </c>
      <c r="F325" t="s">
        <v>429</v>
      </c>
      <c r="G325" t="s">
        <v>430</v>
      </c>
      <c r="H325" t="s">
        <v>49</v>
      </c>
      <c r="I325">
        <f>'2.Лок.смета.и.Акт'!E49</f>
        <v>3.0692499999999998</v>
      </c>
      <c r="J325">
        <v>0</v>
      </c>
      <c r="K325">
        <v>12.276999999999999</v>
      </c>
      <c r="O325">
        <f t="shared" si="331"/>
        <v>88323</v>
      </c>
      <c r="P325">
        <f t="shared" si="332"/>
        <v>0</v>
      </c>
      <c r="Q325">
        <f t="shared" si="333"/>
        <v>1722</v>
      </c>
      <c r="R325">
        <f t="shared" si="334"/>
        <v>416</v>
      </c>
      <c r="S325">
        <f t="shared" si="335"/>
        <v>86601</v>
      </c>
      <c r="T325">
        <f t="shared" si="336"/>
        <v>0</v>
      </c>
      <c r="U325" t="e">
        <f t="shared" si="337"/>
        <v>#REF!</v>
      </c>
      <c r="V325">
        <f t="shared" si="338"/>
        <v>1.5469020000000002</v>
      </c>
      <c r="W325">
        <f t="shared" si="339"/>
        <v>0</v>
      </c>
      <c r="X325" t="e">
        <f t="shared" si="340"/>
        <v>#REF!</v>
      </c>
      <c r="Y325" t="e">
        <f t="shared" si="341"/>
        <v>#REF!</v>
      </c>
      <c r="AA325">
        <v>86326988</v>
      </c>
      <c r="AB325">
        <f t="shared" si="342"/>
        <v>1184.18</v>
      </c>
      <c r="AC325">
        <f>ROUND((ES325+(SUM(SmtRes!BC392:'SmtRes'!BC398)+SUM(EtalonRes!AL316:'EtalonRes'!AL322))),2)</f>
        <v>0</v>
      </c>
      <c r="AD325">
        <f>ROUND(((ET325*1.12)),2)</f>
        <v>71.58</v>
      </c>
      <c r="AE325">
        <f>ROUND(((EU325*1.12)),2)</f>
        <v>6.85</v>
      </c>
      <c r="AF325">
        <f>ROUND(((EV325*1.05)),2)</f>
        <v>1112.5999999999999</v>
      </c>
      <c r="AG325">
        <f t="shared" si="343"/>
        <v>0</v>
      </c>
      <c r="AH325" t="e">
        <f>((EW325*1.05))</f>
        <v>#REF!</v>
      </c>
      <c r="AI325">
        <f>((EX325*1.12))</f>
        <v>0.50400000000000011</v>
      </c>
      <c r="AJ325">
        <f t="shared" si="344"/>
        <v>0</v>
      </c>
      <c r="AK325">
        <f>AL325+AM325+AO325</f>
        <v>5876.59</v>
      </c>
      <c r="AL325">
        <v>4753.0600000000004</v>
      </c>
      <c r="AM325" s="75">
        <f>'1.Лок.смета.и.Акт'!F591</f>
        <v>63.91</v>
      </c>
      <c r="AN325" s="75">
        <f>'1.Лок.смета.и.Акт'!F592</f>
        <v>6.12</v>
      </c>
      <c r="AO325" s="75">
        <f>'1.Лок.смета.и.Акт'!F590</f>
        <v>1059.6199999999999</v>
      </c>
      <c r="AP325">
        <v>0</v>
      </c>
      <c r="AQ325" t="e">
        <f>'2.Лок.смета.и.Акт'!#REF!</f>
        <v>#REF!</v>
      </c>
      <c r="AR325">
        <v>0.45</v>
      </c>
      <c r="AS325">
        <v>0</v>
      </c>
      <c r="AT325">
        <v>63</v>
      </c>
      <c r="AU325">
        <v>51</v>
      </c>
      <c r="AV325">
        <v>1</v>
      </c>
      <c r="AW325">
        <v>1</v>
      </c>
      <c r="AZ325">
        <v>1</v>
      </c>
      <c r="BA325">
        <f>'1.Лок.смета.и.Акт'!J590</f>
        <v>25.36</v>
      </c>
      <c r="BB325">
        <f>'1.Лок.смета.и.Акт'!J591</f>
        <v>7.84</v>
      </c>
      <c r="BC325">
        <v>7.56</v>
      </c>
      <c r="BD325" t="s">
        <v>6</v>
      </c>
      <c r="BE325" t="s">
        <v>6</v>
      </c>
      <c r="BF325" t="s">
        <v>6</v>
      </c>
      <c r="BG325" t="s">
        <v>6</v>
      </c>
      <c r="BH325">
        <v>0</v>
      </c>
      <c r="BI325">
        <v>1</v>
      </c>
      <c r="BJ325" t="s">
        <v>431</v>
      </c>
      <c r="BM325">
        <v>501</v>
      </c>
      <c r="BN325">
        <v>0</v>
      </c>
      <c r="BO325" t="s">
        <v>429</v>
      </c>
      <c r="BP325">
        <v>1</v>
      </c>
      <c r="BQ325">
        <v>1</v>
      </c>
      <c r="BR325">
        <v>0</v>
      </c>
      <c r="BS325">
        <f>'1.Лок.смета.и.Акт'!J592</f>
        <v>19.8</v>
      </c>
      <c r="BT325">
        <v>1</v>
      </c>
      <c r="BU325">
        <v>1</v>
      </c>
      <c r="BV325">
        <v>1</v>
      </c>
      <c r="BW325">
        <v>1</v>
      </c>
      <c r="BX325">
        <v>1</v>
      </c>
      <c r="BY325" t="s">
        <v>6</v>
      </c>
      <c r="BZ325" t="e">
        <f>'2.Лок.смета.и.Акт'!#REF!</f>
        <v>#REF!</v>
      </c>
      <c r="CA325" t="e">
        <f>'2.Лок.смета.и.Акт'!#REF!</f>
        <v>#REF!</v>
      </c>
      <c r="CB325" t="s">
        <v>6</v>
      </c>
      <c r="CE325">
        <v>0</v>
      </c>
      <c r="CF325">
        <v>0</v>
      </c>
      <c r="CG325">
        <v>0</v>
      </c>
      <c r="CM325">
        <v>0</v>
      </c>
      <c r="CN325" t="s">
        <v>23</v>
      </c>
      <c r="CO325">
        <v>0</v>
      </c>
      <c r="CP325">
        <f t="shared" si="345"/>
        <v>88323</v>
      </c>
      <c r="CQ325">
        <f t="shared" si="346"/>
        <v>0</v>
      </c>
      <c r="CR325">
        <f t="shared" si="347"/>
        <v>561.18719999999996</v>
      </c>
      <c r="CS325">
        <f t="shared" si="348"/>
        <v>135.63</v>
      </c>
      <c r="CT325">
        <f t="shared" si="349"/>
        <v>28215.535999999996</v>
      </c>
      <c r="CU325">
        <f t="shared" si="350"/>
        <v>0</v>
      </c>
      <c r="CV325" t="e">
        <f t="shared" si="351"/>
        <v>#REF!</v>
      </c>
      <c r="CW325">
        <f t="shared" si="352"/>
        <v>0.50400000000000011</v>
      </c>
      <c r="CX325">
        <f t="shared" si="353"/>
        <v>0</v>
      </c>
      <c r="CY325" t="e">
        <f>(S325+R325)*(BZ325/100)</f>
        <v>#REF!</v>
      </c>
      <c r="CZ325" t="e">
        <f>(S325+R325)*(CA325/100)</f>
        <v>#REF!</v>
      </c>
      <c r="DC325" t="s">
        <v>6</v>
      </c>
      <c r="DD325" t="s">
        <v>6</v>
      </c>
      <c r="DE325" t="s">
        <v>24</v>
      </c>
      <c r="DF325" t="s">
        <v>24</v>
      </c>
      <c r="DG325" t="s">
        <v>25</v>
      </c>
      <c r="DH325" t="s">
        <v>6</v>
      </c>
      <c r="DI325" t="s">
        <v>25</v>
      </c>
      <c r="DJ325" t="s">
        <v>24</v>
      </c>
      <c r="DK325" t="s">
        <v>6</v>
      </c>
      <c r="DL325" t="s">
        <v>6</v>
      </c>
      <c r="DM325" t="s">
        <v>6</v>
      </c>
      <c r="DN325">
        <f>'1.Лок.смета.и.Акт'!E593</f>
        <v>66</v>
      </c>
      <c r="DO325">
        <f>'1.Лок.смета.и.Акт'!E594</f>
        <v>60</v>
      </c>
      <c r="DP325">
        <v>1</v>
      </c>
      <c r="DQ325">
        <v>1</v>
      </c>
      <c r="DU325">
        <v>1013</v>
      </c>
      <c r="DV325" t="s">
        <v>49</v>
      </c>
      <c r="DW325" t="str">
        <f>'2.Лок.смета.и.Акт'!D49</f>
        <v>1 т арматуры, закладных деталей</v>
      </c>
      <c r="DX325">
        <v>1</v>
      </c>
      <c r="DZ325" t="s">
        <v>6</v>
      </c>
      <c r="EA325" t="s">
        <v>6</v>
      </c>
      <c r="EB325" t="s">
        <v>6</v>
      </c>
      <c r="EC325" t="s">
        <v>6</v>
      </c>
      <c r="EE325">
        <v>54938567</v>
      </c>
      <c r="EF325">
        <v>1</v>
      </c>
      <c r="EG325" t="s">
        <v>26</v>
      </c>
      <c r="EH325">
        <v>0</v>
      </c>
      <c r="EI325" t="s">
        <v>6</v>
      </c>
      <c r="EJ325">
        <v>1</v>
      </c>
      <c r="EK325">
        <v>501</v>
      </c>
      <c r="EL325" t="s">
        <v>51</v>
      </c>
      <c r="EM325" t="s">
        <v>52</v>
      </c>
      <c r="EO325" t="s">
        <v>29</v>
      </c>
      <c r="EQ325">
        <v>2228224</v>
      </c>
      <c r="ER325">
        <f>ES325+ET325+EV325</f>
        <v>5876.59</v>
      </c>
      <c r="ES325">
        <v>4753.0600000000004</v>
      </c>
      <c r="ET325" s="75">
        <f>'1.Лок.смета.и.Акт'!F591</f>
        <v>63.91</v>
      </c>
      <c r="EU325" s="75">
        <f>'1.Лок.смета.и.Акт'!F592</f>
        <v>6.12</v>
      </c>
      <c r="EV325" s="75">
        <f>'1.Лок.смета.и.Акт'!F590</f>
        <v>1059.6199999999999</v>
      </c>
      <c r="EW325" t="e">
        <f>'2.Лок.смета.и.Акт'!#REF!</f>
        <v>#REF!</v>
      </c>
      <c r="EX325">
        <v>0.45</v>
      </c>
      <c r="EY325">
        <v>1</v>
      </c>
      <c r="FQ325">
        <v>0</v>
      </c>
      <c r="FR325">
        <f t="shared" si="354"/>
        <v>0</v>
      </c>
      <c r="FS325">
        <v>0</v>
      </c>
      <c r="FX325">
        <v>66</v>
      </c>
      <c r="FY325">
        <v>60</v>
      </c>
      <c r="GA325" t="s">
        <v>6</v>
      </c>
      <c r="GD325">
        <v>1</v>
      </c>
      <c r="GF325">
        <v>-1131206726</v>
      </c>
      <c r="GG325">
        <v>2</v>
      </c>
      <c r="GH325">
        <v>1</v>
      </c>
      <c r="GI325">
        <v>2</v>
      </c>
      <c r="GJ325">
        <v>0</v>
      </c>
      <c r="GK325">
        <v>0</v>
      </c>
      <c r="GL325">
        <f t="shared" si="355"/>
        <v>0</v>
      </c>
      <c r="GM325" t="e">
        <f t="shared" si="356"/>
        <v>#REF!</v>
      </c>
      <c r="GN325" t="e">
        <f t="shared" si="357"/>
        <v>#REF!</v>
      </c>
      <c r="GO325">
        <f t="shared" si="358"/>
        <v>0</v>
      </c>
      <c r="GP325">
        <f t="shared" si="359"/>
        <v>0</v>
      </c>
      <c r="GR325">
        <v>0</v>
      </c>
      <c r="GS325">
        <v>3</v>
      </c>
      <c r="GT325">
        <v>0</v>
      </c>
      <c r="GU325" t="s">
        <v>6</v>
      </c>
      <c r="GV325">
        <f t="shared" si="360"/>
        <v>0</v>
      </c>
      <c r="GW325">
        <v>1015.2</v>
      </c>
      <c r="GX325">
        <f t="shared" si="361"/>
        <v>0</v>
      </c>
      <c r="HA325">
        <v>0</v>
      </c>
      <c r="HB325">
        <v>0</v>
      </c>
      <c r="HC325">
        <f t="shared" si="362"/>
        <v>0</v>
      </c>
      <c r="HE325" t="s">
        <v>6</v>
      </c>
      <c r="HF325" t="s">
        <v>6</v>
      </c>
      <c r="HM325" t="s">
        <v>6</v>
      </c>
      <c r="HN325" t="s">
        <v>6</v>
      </c>
      <c r="HO325" t="s">
        <v>6</v>
      </c>
      <c r="HP325" t="s">
        <v>6</v>
      </c>
      <c r="HQ325" t="s">
        <v>6</v>
      </c>
      <c r="IF325">
        <v>-1</v>
      </c>
      <c r="IK325">
        <v>0</v>
      </c>
    </row>
    <row r="326" spans="1:255" x14ac:dyDescent="0.2">
      <c r="A326" s="2">
        <v>18</v>
      </c>
      <c r="B326" s="2">
        <v>1</v>
      </c>
      <c r="C326" s="2">
        <v>390</v>
      </c>
      <c r="D326" s="2"/>
      <c r="E326" s="2" t="s">
        <v>432</v>
      </c>
      <c r="F326" s="2" t="s">
        <v>433</v>
      </c>
      <c r="G326" s="2" t="s">
        <v>434</v>
      </c>
      <c r="H326" s="2" t="s">
        <v>33</v>
      </c>
      <c r="I326" s="2">
        <f>I324*J326</f>
        <v>3.0669499999999998</v>
      </c>
      <c r="J326" s="226">
        <f>'5.Ведомость_списания'!F140</f>
        <v>0.99925063126170888</v>
      </c>
      <c r="K326" s="2">
        <v>0.99925059999999999</v>
      </c>
      <c r="L326" s="2"/>
      <c r="M326" s="2"/>
      <c r="N326" s="2"/>
      <c r="O326" s="2">
        <f t="shared" si="331"/>
        <v>16081</v>
      </c>
      <c r="P326" s="2">
        <f t="shared" si="332"/>
        <v>16081</v>
      </c>
      <c r="Q326" s="2">
        <f t="shared" si="333"/>
        <v>0</v>
      </c>
      <c r="R326" s="2">
        <f t="shared" si="334"/>
        <v>0</v>
      </c>
      <c r="S326" s="2">
        <f t="shared" si="335"/>
        <v>0</v>
      </c>
      <c r="T326" s="2">
        <f t="shared" si="336"/>
        <v>0</v>
      </c>
      <c r="U326" s="2">
        <f t="shared" si="337"/>
        <v>0</v>
      </c>
      <c r="V326" s="2">
        <f t="shared" si="338"/>
        <v>0</v>
      </c>
      <c r="W326" s="2">
        <f t="shared" si="339"/>
        <v>0</v>
      </c>
      <c r="X326" s="2">
        <f t="shared" si="340"/>
        <v>0</v>
      </c>
      <c r="Y326" s="2">
        <f t="shared" si="341"/>
        <v>0</v>
      </c>
      <c r="Z326" s="2"/>
      <c r="AA326" s="2">
        <v>86326987</v>
      </c>
      <c r="AB326" s="2">
        <f t="shared" si="342"/>
        <v>5243.33</v>
      </c>
      <c r="AC326" s="2">
        <f>ROUND((ES326),2)</f>
        <v>5243.33</v>
      </c>
      <c r="AD326" s="2">
        <f>ROUND((((ET326)-(EU326))+AE326),2)</f>
        <v>0</v>
      </c>
      <c r="AE326" s="2">
        <f t="shared" ref="AE326:AF329" si="366">ROUND((EU326),2)</f>
        <v>0</v>
      </c>
      <c r="AF326" s="2">
        <f t="shared" si="366"/>
        <v>0</v>
      </c>
      <c r="AG326" s="2">
        <f t="shared" si="343"/>
        <v>0</v>
      </c>
      <c r="AH326" s="2">
        <f t="shared" ref="AH326:AI329" si="367">(EW326)</f>
        <v>0</v>
      </c>
      <c r="AI326" s="2">
        <f t="shared" si="367"/>
        <v>0</v>
      </c>
      <c r="AJ326" s="2">
        <f t="shared" si="344"/>
        <v>0</v>
      </c>
      <c r="AK326" s="2">
        <v>5243.33</v>
      </c>
      <c r="AL326" s="110">
        <f>'1.Лок.смета.и.Акт'!F596</f>
        <v>5243.33</v>
      </c>
      <c r="AM326" s="2">
        <v>0</v>
      </c>
      <c r="AN326" s="2">
        <v>0</v>
      </c>
      <c r="AO326" s="2">
        <v>0</v>
      </c>
      <c r="AP326" s="2">
        <v>0</v>
      </c>
      <c r="AQ326" s="2">
        <v>0</v>
      </c>
      <c r="AR326" s="2">
        <v>0</v>
      </c>
      <c r="AS326" s="2">
        <v>0</v>
      </c>
      <c r="AT326" s="2">
        <v>0</v>
      </c>
      <c r="AU326" s="2">
        <v>0</v>
      </c>
      <c r="AV326" s="2">
        <v>1</v>
      </c>
      <c r="AW326" s="2">
        <v>1</v>
      </c>
      <c r="AX326" s="2"/>
      <c r="AY326" s="2"/>
      <c r="AZ326" s="2">
        <v>1</v>
      </c>
      <c r="BA326" s="2">
        <v>1</v>
      </c>
      <c r="BB326" s="2">
        <v>1</v>
      </c>
      <c r="BC326" s="2">
        <v>1</v>
      </c>
      <c r="BD326" s="2" t="s">
        <v>6</v>
      </c>
      <c r="BE326" s="2" t="s">
        <v>6</v>
      </c>
      <c r="BF326" s="2" t="s">
        <v>6</v>
      </c>
      <c r="BG326" s="2" t="s">
        <v>6</v>
      </c>
      <c r="BH326" s="2">
        <v>3</v>
      </c>
      <c r="BI326" s="2">
        <v>1</v>
      </c>
      <c r="BJ326" s="2" t="s">
        <v>435</v>
      </c>
      <c r="BK326" s="2"/>
      <c r="BL326" s="2"/>
      <c r="BM326" s="2">
        <v>500003</v>
      </c>
      <c r="BN326" s="2">
        <v>0</v>
      </c>
      <c r="BO326" s="2" t="s">
        <v>6</v>
      </c>
      <c r="BP326" s="2">
        <v>0</v>
      </c>
      <c r="BQ326" s="2">
        <v>22</v>
      </c>
      <c r="BR326" s="2">
        <v>0</v>
      </c>
      <c r="BS326" s="2">
        <v>1</v>
      </c>
      <c r="BT326" s="2">
        <v>1</v>
      </c>
      <c r="BU326" s="2">
        <v>1</v>
      </c>
      <c r="BV326" s="2">
        <v>1</v>
      </c>
      <c r="BW326" s="2">
        <v>1</v>
      </c>
      <c r="BX326" s="2">
        <v>1</v>
      </c>
      <c r="BY326" s="2" t="s">
        <v>6</v>
      </c>
      <c r="BZ326" s="2">
        <v>0</v>
      </c>
      <c r="CA326" s="2">
        <v>0</v>
      </c>
      <c r="CB326" s="2" t="s">
        <v>6</v>
      </c>
      <c r="CC326" s="2"/>
      <c r="CD326" s="2"/>
      <c r="CE326" s="2">
        <v>0</v>
      </c>
      <c r="CF326" s="2">
        <v>0</v>
      </c>
      <c r="CG326" s="2">
        <v>0</v>
      </c>
      <c r="CH326" s="2"/>
      <c r="CI326" s="2"/>
      <c r="CJ326" s="2"/>
      <c r="CK326" s="2"/>
      <c r="CL326" s="2"/>
      <c r="CM326" s="2">
        <v>0</v>
      </c>
      <c r="CN326" s="2" t="s">
        <v>6</v>
      </c>
      <c r="CO326" s="2">
        <v>0</v>
      </c>
      <c r="CP326" s="2">
        <f t="shared" si="345"/>
        <v>16081</v>
      </c>
      <c r="CQ326" s="2">
        <f t="shared" si="346"/>
        <v>5243.33</v>
      </c>
      <c r="CR326" s="2">
        <f t="shared" si="347"/>
        <v>0</v>
      </c>
      <c r="CS326" s="2">
        <f t="shared" si="348"/>
        <v>0</v>
      </c>
      <c r="CT326" s="2">
        <f t="shared" si="349"/>
        <v>0</v>
      </c>
      <c r="CU326" s="2">
        <f t="shared" si="350"/>
        <v>0</v>
      </c>
      <c r="CV326" s="2">
        <f t="shared" si="351"/>
        <v>0</v>
      </c>
      <c r="CW326" s="2">
        <f t="shared" si="352"/>
        <v>0</v>
      </c>
      <c r="CX326" s="2">
        <f t="shared" si="353"/>
        <v>0</v>
      </c>
      <c r="CY326" s="2">
        <f>(((S326+(R326*IF(0,0,1)))*AT326)/100)</f>
        <v>0</v>
      </c>
      <c r="CZ326" s="2">
        <f>(((S326+(R326*IF(0,0,1)))*AU326)/100)</f>
        <v>0</v>
      </c>
      <c r="DA326" s="2"/>
      <c r="DB326" s="2"/>
      <c r="DC326" s="2" t="s">
        <v>6</v>
      </c>
      <c r="DD326" s="2" t="s">
        <v>6</v>
      </c>
      <c r="DE326" s="2" t="s">
        <v>6</v>
      </c>
      <c r="DF326" s="2" t="s">
        <v>6</v>
      </c>
      <c r="DG326" s="2" t="s">
        <v>6</v>
      </c>
      <c r="DH326" s="2" t="s">
        <v>6</v>
      </c>
      <c r="DI326" s="2" t="s">
        <v>6</v>
      </c>
      <c r="DJ326" s="2" t="s">
        <v>6</v>
      </c>
      <c r="DK326" s="2" t="s">
        <v>6</v>
      </c>
      <c r="DL326" s="2" t="s">
        <v>6</v>
      </c>
      <c r="DM326" s="2" t="s">
        <v>6</v>
      </c>
      <c r="DN326" s="2">
        <v>0</v>
      </c>
      <c r="DO326" s="2">
        <v>0</v>
      </c>
      <c r="DP326" s="2">
        <v>1</v>
      </c>
      <c r="DQ326" s="2">
        <v>1</v>
      </c>
      <c r="DR326" s="2"/>
      <c r="DS326" s="2"/>
      <c r="DT326" s="2"/>
      <c r="DU326" s="2">
        <v>1009</v>
      </c>
      <c r="DV326" s="2" t="s">
        <v>33</v>
      </c>
      <c r="DW326" s="2" t="s">
        <v>33</v>
      </c>
      <c r="DX326" s="2">
        <v>1000</v>
      </c>
      <c r="DY326" s="2"/>
      <c r="DZ326" s="2" t="s">
        <v>6</v>
      </c>
      <c r="EA326" s="2" t="s">
        <v>6</v>
      </c>
      <c r="EB326" s="2" t="s">
        <v>6</v>
      </c>
      <c r="EC326" s="2" t="s">
        <v>6</v>
      </c>
      <c r="ED326" s="2"/>
      <c r="EE326" s="2">
        <v>54938783</v>
      </c>
      <c r="EF326" s="2">
        <v>22</v>
      </c>
      <c r="EG326" s="2" t="s">
        <v>57</v>
      </c>
      <c r="EH326" s="2">
        <v>0</v>
      </c>
      <c r="EI326" s="2" t="s">
        <v>6</v>
      </c>
      <c r="EJ326" s="2">
        <v>1</v>
      </c>
      <c r="EK326" s="2">
        <v>500003</v>
      </c>
      <c r="EL326" s="2" t="s">
        <v>58</v>
      </c>
      <c r="EM326" s="2" t="s">
        <v>59</v>
      </c>
      <c r="EN326" s="2"/>
      <c r="EO326" s="2" t="s">
        <v>6</v>
      </c>
      <c r="EP326" s="2"/>
      <c r="EQ326" s="2">
        <v>0</v>
      </c>
      <c r="ER326" s="2">
        <v>5243.33</v>
      </c>
      <c r="ES326" s="110">
        <f>'1.Лок.смета.и.Акт'!F596</f>
        <v>5243.33</v>
      </c>
      <c r="ET326" s="2">
        <v>0</v>
      </c>
      <c r="EU326" s="2">
        <v>0</v>
      </c>
      <c r="EV326" s="2">
        <v>0</v>
      </c>
      <c r="EW326" s="2">
        <v>0</v>
      </c>
      <c r="EX326" s="2">
        <v>0</v>
      </c>
      <c r="EY326" s="2"/>
      <c r="EZ326" s="2"/>
      <c r="FA326" s="2"/>
      <c r="FB326" s="2"/>
      <c r="FC326" s="2"/>
      <c r="FD326" s="2"/>
      <c r="FE326" s="2"/>
      <c r="FF326" s="2"/>
      <c r="FG326" s="2"/>
      <c r="FH326" s="2"/>
      <c r="FI326" s="2"/>
      <c r="FJ326" s="2"/>
      <c r="FK326" s="2"/>
      <c r="FL326" s="2"/>
      <c r="FM326" s="2"/>
      <c r="FN326" s="2"/>
      <c r="FO326" s="2"/>
      <c r="FP326" s="2"/>
      <c r="FQ326" s="2">
        <v>0</v>
      </c>
      <c r="FR326" s="2">
        <f t="shared" si="354"/>
        <v>0</v>
      </c>
      <c r="FS326" s="2">
        <v>0</v>
      </c>
      <c r="FT326" s="2"/>
      <c r="FU326" s="2"/>
      <c r="FV326" s="2"/>
      <c r="FW326" s="2"/>
      <c r="FX326" s="2">
        <v>0</v>
      </c>
      <c r="FY326" s="2">
        <v>0</v>
      </c>
      <c r="FZ326" s="2"/>
      <c r="GA326" s="2" t="s">
        <v>6</v>
      </c>
      <c r="GB326" s="2"/>
      <c r="GC326" s="2"/>
      <c r="GD326" s="2">
        <v>1</v>
      </c>
      <c r="GE326" s="2"/>
      <c r="GF326" s="2">
        <v>1640638290</v>
      </c>
      <c r="GG326" s="2">
        <v>2</v>
      </c>
      <c r="GH326" s="2">
        <v>1</v>
      </c>
      <c r="GI326" s="2">
        <v>-2</v>
      </c>
      <c r="GJ326" s="2">
        <v>0</v>
      </c>
      <c r="GK326" s="2">
        <v>0</v>
      </c>
      <c r="GL326" s="2">
        <f t="shared" si="355"/>
        <v>0</v>
      </c>
      <c r="GM326" s="2">
        <f t="shared" si="356"/>
        <v>16081</v>
      </c>
      <c r="GN326" s="2">
        <f t="shared" si="357"/>
        <v>16081</v>
      </c>
      <c r="GO326" s="2">
        <f t="shared" si="358"/>
        <v>0</v>
      </c>
      <c r="GP326" s="2">
        <f t="shared" si="359"/>
        <v>0</v>
      </c>
      <c r="GQ326" s="2"/>
      <c r="GR326" s="2">
        <v>0</v>
      </c>
      <c r="GS326" s="2">
        <v>3</v>
      </c>
      <c r="GT326" s="2">
        <v>0</v>
      </c>
      <c r="GU326" s="2" t="s">
        <v>6</v>
      </c>
      <c r="GV326" s="2">
        <f t="shared" si="360"/>
        <v>0</v>
      </c>
      <c r="GW326" s="2">
        <v>1</v>
      </c>
      <c r="GX326" s="2">
        <f t="shared" si="361"/>
        <v>0</v>
      </c>
      <c r="GY326" s="2"/>
      <c r="GZ326" s="2"/>
      <c r="HA326" s="2">
        <v>0</v>
      </c>
      <c r="HB326" s="2">
        <v>0</v>
      </c>
      <c r="HC326" s="2">
        <f t="shared" si="362"/>
        <v>0</v>
      </c>
      <c r="HD326" s="2"/>
      <c r="HE326" s="2" t="s">
        <v>6</v>
      </c>
      <c r="HF326" s="2" t="s">
        <v>6</v>
      </c>
      <c r="HG326" s="2"/>
      <c r="HH326" s="2"/>
      <c r="HI326" s="2"/>
      <c r="HJ326" s="2"/>
      <c r="HK326" s="2"/>
      <c r="HL326" s="2"/>
      <c r="HM326" s="2" t="s">
        <v>6</v>
      </c>
      <c r="HN326" s="2" t="s">
        <v>6</v>
      </c>
      <c r="HO326" s="2" t="s">
        <v>6</v>
      </c>
      <c r="HP326" s="2" t="s">
        <v>6</v>
      </c>
      <c r="HQ326" s="2" t="s">
        <v>6</v>
      </c>
      <c r="HR326" s="2"/>
      <c r="HS326" s="2"/>
      <c r="HT326" s="2"/>
      <c r="HU326" s="2"/>
      <c r="HV326" s="2"/>
      <c r="HW326" s="2"/>
      <c r="HX326" s="2"/>
      <c r="HY326" s="2"/>
      <c r="HZ326" s="2"/>
      <c r="IA326" s="2"/>
      <c r="IB326" s="2"/>
      <c r="IC326" s="2"/>
      <c r="ID326" s="2"/>
      <c r="IE326" s="2"/>
      <c r="IF326" s="2">
        <v>-1</v>
      </c>
      <c r="IG326" s="2"/>
      <c r="IH326" s="2"/>
      <c r="II326" s="2"/>
      <c r="IJ326" s="2"/>
      <c r="IK326" s="2">
        <v>0</v>
      </c>
      <c r="IL326" s="2"/>
      <c r="IM326" s="2"/>
      <c r="IN326" s="2"/>
      <c r="IO326" s="2"/>
      <c r="IP326" s="2"/>
      <c r="IQ326" s="2"/>
      <c r="IR326" s="2"/>
      <c r="IS326" s="2"/>
      <c r="IT326" s="2"/>
      <c r="IU326" s="2"/>
    </row>
    <row r="327" spans="1:255" x14ac:dyDescent="0.2">
      <c r="A327">
        <v>18</v>
      </c>
      <c r="B327">
        <v>1</v>
      </c>
      <c r="C327">
        <v>397</v>
      </c>
      <c r="E327" t="s">
        <v>432</v>
      </c>
      <c r="F327" t="e">
        <f>'2.Лок.смета.и.Акт'!#REF!</f>
        <v>#REF!</v>
      </c>
      <c r="G327" t="s">
        <v>434</v>
      </c>
      <c r="H327" t="s">
        <v>33</v>
      </c>
      <c r="I327">
        <f>I325*J327</f>
        <v>3.0669499999999998</v>
      </c>
      <c r="J327">
        <v>0.99925063126170888</v>
      </c>
      <c r="K327">
        <v>0.99925059999999999</v>
      </c>
      <c r="O327">
        <f t="shared" si="331"/>
        <v>192136</v>
      </c>
      <c r="P327">
        <f t="shared" si="332"/>
        <v>192136</v>
      </c>
      <c r="Q327">
        <f t="shared" si="333"/>
        <v>0</v>
      </c>
      <c r="R327">
        <f t="shared" si="334"/>
        <v>0</v>
      </c>
      <c r="S327">
        <f t="shared" si="335"/>
        <v>0</v>
      </c>
      <c r="T327">
        <f t="shared" si="336"/>
        <v>0</v>
      </c>
      <c r="U327">
        <f t="shared" si="337"/>
        <v>0</v>
      </c>
      <c r="V327">
        <f t="shared" si="338"/>
        <v>0</v>
      </c>
      <c r="W327">
        <f t="shared" si="339"/>
        <v>0</v>
      </c>
      <c r="X327">
        <f t="shared" si="340"/>
        <v>0</v>
      </c>
      <c r="Y327">
        <f t="shared" si="341"/>
        <v>0</v>
      </c>
      <c r="AA327">
        <v>86326988</v>
      </c>
      <c r="AB327">
        <f t="shared" si="342"/>
        <v>8286.68</v>
      </c>
      <c r="AC327">
        <f>ROUND((ES327),2)</f>
        <v>8286.68</v>
      </c>
      <c r="AD327">
        <f>ROUND((((ET327)-(EU327))+AE327),2)</f>
        <v>0</v>
      </c>
      <c r="AE327">
        <f t="shared" si="366"/>
        <v>0</v>
      </c>
      <c r="AF327">
        <f t="shared" si="366"/>
        <v>0</v>
      </c>
      <c r="AG327">
        <f t="shared" si="343"/>
        <v>0</v>
      </c>
      <c r="AH327">
        <f t="shared" si="367"/>
        <v>0</v>
      </c>
      <c r="AI327">
        <f t="shared" si="367"/>
        <v>0</v>
      </c>
      <c r="AJ327">
        <f t="shared" si="344"/>
        <v>0</v>
      </c>
      <c r="AK327">
        <v>8286.68</v>
      </c>
      <c r="AL327">
        <v>8286.68</v>
      </c>
      <c r="AM327">
        <v>0</v>
      </c>
      <c r="AN327">
        <v>0</v>
      </c>
      <c r="AO327">
        <v>0</v>
      </c>
      <c r="AP327">
        <v>0</v>
      </c>
      <c r="AQ327">
        <v>0</v>
      </c>
      <c r="AR327">
        <v>0</v>
      </c>
      <c r="AS327">
        <v>0</v>
      </c>
      <c r="AT327">
        <v>0</v>
      </c>
      <c r="AU327">
        <v>0</v>
      </c>
      <c r="AV327">
        <v>1</v>
      </c>
      <c r="AW327">
        <v>1</v>
      </c>
      <c r="AZ327">
        <v>1</v>
      </c>
      <c r="BA327">
        <v>1</v>
      </c>
      <c r="BB327">
        <v>1</v>
      </c>
      <c r="BC327">
        <v>7.56</v>
      </c>
      <c r="BD327" t="s">
        <v>6</v>
      </c>
      <c r="BE327" t="s">
        <v>6</v>
      </c>
      <c r="BF327" t="s">
        <v>6</v>
      </c>
      <c r="BG327" t="s">
        <v>6</v>
      </c>
      <c r="BH327">
        <v>3</v>
      </c>
      <c r="BI327">
        <v>1</v>
      </c>
      <c r="BJ327" t="s">
        <v>435</v>
      </c>
      <c r="BM327">
        <v>500003</v>
      </c>
      <c r="BN327">
        <v>0</v>
      </c>
      <c r="BO327" t="s">
        <v>6</v>
      </c>
      <c r="BP327">
        <v>0</v>
      </c>
      <c r="BQ327">
        <v>22</v>
      </c>
      <c r="BR327">
        <v>0</v>
      </c>
      <c r="BS327">
        <v>1</v>
      </c>
      <c r="BT327">
        <v>1</v>
      </c>
      <c r="BU327">
        <v>1</v>
      </c>
      <c r="BV327">
        <v>1</v>
      </c>
      <c r="BW327">
        <v>1</v>
      </c>
      <c r="BX327">
        <v>1</v>
      </c>
      <c r="BY327" t="s">
        <v>6</v>
      </c>
      <c r="BZ327">
        <v>0</v>
      </c>
      <c r="CA327">
        <v>0</v>
      </c>
      <c r="CB327" t="s">
        <v>6</v>
      </c>
      <c r="CE327">
        <v>0</v>
      </c>
      <c r="CF327">
        <v>0</v>
      </c>
      <c r="CG327">
        <v>0</v>
      </c>
      <c r="CM327">
        <v>0</v>
      </c>
      <c r="CN327" t="s">
        <v>6</v>
      </c>
      <c r="CO327">
        <v>0</v>
      </c>
      <c r="CP327">
        <f t="shared" si="345"/>
        <v>192136</v>
      </c>
      <c r="CQ327">
        <f t="shared" si="346"/>
        <v>62647.300799999997</v>
      </c>
      <c r="CR327">
        <f t="shared" si="347"/>
        <v>0</v>
      </c>
      <c r="CS327">
        <f t="shared" si="348"/>
        <v>0</v>
      </c>
      <c r="CT327">
        <f t="shared" si="349"/>
        <v>0</v>
      </c>
      <c r="CU327">
        <f t="shared" si="350"/>
        <v>0</v>
      </c>
      <c r="CV327">
        <f t="shared" si="351"/>
        <v>0</v>
      </c>
      <c r="CW327">
        <f t="shared" si="352"/>
        <v>0</v>
      </c>
      <c r="CX327">
        <f t="shared" si="353"/>
        <v>0</v>
      </c>
      <c r="CY327">
        <f>(S327+R327)*(BZ327/100)</f>
        <v>0</v>
      </c>
      <c r="CZ327">
        <f>(S327+R327)*(CA327/100)</f>
        <v>0</v>
      </c>
      <c r="DC327" t="s">
        <v>6</v>
      </c>
      <c r="DD327" t="s">
        <v>6</v>
      </c>
      <c r="DE327" t="s">
        <v>6</v>
      </c>
      <c r="DF327" t="s">
        <v>6</v>
      </c>
      <c r="DG327" t="s">
        <v>6</v>
      </c>
      <c r="DH327" t="s">
        <v>6</v>
      </c>
      <c r="DI327" t="s">
        <v>6</v>
      </c>
      <c r="DJ327" t="s">
        <v>6</v>
      </c>
      <c r="DK327" t="s">
        <v>6</v>
      </c>
      <c r="DL327" t="s">
        <v>6</v>
      </c>
      <c r="DM327" t="s">
        <v>6</v>
      </c>
      <c r="DN327">
        <v>0</v>
      </c>
      <c r="DO327">
        <v>0</v>
      </c>
      <c r="DP327">
        <v>1</v>
      </c>
      <c r="DQ327">
        <v>1</v>
      </c>
      <c r="DU327">
        <v>1009</v>
      </c>
      <c r="DV327" t="s">
        <v>33</v>
      </c>
      <c r="DW327" t="e">
        <f>'2.Лок.смета.и.Акт'!#REF!</f>
        <v>#REF!</v>
      </c>
      <c r="DX327">
        <v>1000</v>
      </c>
      <c r="DZ327" t="s">
        <v>6</v>
      </c>
      <c r="EA327" t="s">
        <v>6</v>
      </c>
      <c r="EB327" t="s">
        <v>6</v>
      </c>
      <c r="EC327" t="s">
        <v>6</v>
      </c>
      <c r="EE327">
        <v>54938783</v>
      </c>
      <c r="EF327">
        <v>22</v>
      </c>
      <c r="EG327" t="s">
        <v>57</v>
      </c>
      <c r="EH327">
        <v>0</v>
      </c>
      <c r="EI327" t="s">
        <v>6</v>
      </c>
      <c r="EJ327">
        <v>1</v>
      </c>
      <c r="EK327">
        <v>500003</v>
      </c>
      <c r="EL327" t="s">
        <v>58</v>
      </c>
      <c r="EM327" t="s">
        <v>59</v>
      </c>
      <c r="EO327" t="s">
        <v>6</v>
      </c>
      <c r="EQ327">
        <v>0</v>
      </c>
      <c r="ER327">
        <v>59789.29</v>
      </c>
      <c r="ES327">
        <v>8286.68</v>
      </c>
      <c r="ET327">
        <v>0</v>
      </c>
      <c r="EU327">
        <v>0</v>
      </c>
      <c r="EV327">
        <v>0</v>
      </c>
      <c r="EW327">
        <v>0</v>
      </c>
      <c r="EX327">
        <v>0</v>
      </c>
      <c r="EZ327">
        <v>5</v>
      </c>
      <c r="FC327">
        <v>0</v>
      </c>
      <c r="FD327">
        <v>18</v>
      </c>
      <c r="FF327">
        <v>59789.29</v>
      </c>
      <c r="FQ327">
        <v>0</v>
      </c>
      <c r="FR327">
        <f t="shared" si="354"/>
        <v>0</v>
      </c>
      <c r="FS327">
        <v>0</v>
      </c>
      <c r="FX327">
        <v>0</v>
      </c>
      <c r="FY327">
        <v>0</v>
      </c>
      <c r="GA327" t="s">
        <v>436</v>
      </c>
      <c r="GD327">
        <v>1</v>
      </c>
      <c r="GF327">
        <v>1640638290</v>
      </c>
      <c r="GG327">
        <v>2</v>
      </c>
      <c r="GH327">
        <v>3</v>
      </c>
      <c r="GI327">
        <v>5</v>
      </c>
      <c r="GJ327">
        <v>0</v>
      </c>
      <c r="GK327">
        <v>0</v>
      </c>
      <c r="GL327">
        <f t="shared" si="355"/>
        <v>0</v>
      </c>
      <c r="GM327">
        <f t="shared" si="356"/>
        <v>192136</v>
      </c>
      <c r="GN327">
        <f t="shared" si="357"/>
        <v>192136</v>
      </c>
      <c r="GO327">
        <f t="shared" si="358"/>
        <v>0</v>
      </c>
      <c r="GP327">
        <f t="shared" si="359"/>
        <v>0</v>
      </c>
      <c r="GR327">
        <v>1</v>
      </c>
      <c r="GS327">
        <v>1</v>
      </c>
      <c r="GT327">
        <v>0</v>
      </c>
      <c r="GU327" t="s">
        <v>6</v>
      </c>
      <c r="GV327">
        <f t="shared" si="360"/>
        <v>0</v>
      </c>
      <c r="GW327">
        <v>1</v>
      </c>
      <c r="GX327">
        <f t="shared" si="361"/>
        <v>0</v>
      </c>
      <c r="HA327">
        <v>0</v>
      </c>
      <c r="HB327">
        <v>0</v>
      </c>
      <c r="HC327">
        <f t="shared" si="362"/>
        <v>0</v>
      </c>
      <c r="HE327" t="s">
        <v>39</v>
      </c>
      <c r="HF327" t="s">
        <v>61</v>
      </c>
      <c r="HM327" t="s">
        <v>6</v>
      </c>
      <c r="HN327" t="s">
        <v>6</v>
      </c>
      <c r="HO327" t="s">
        <v>6</v>
      </c>
      <c r="HP327" t="s">
        <v>6</v>
      </c>
      <c r="HQ327" t="s">
        <v>6</v>
      </c>
      <c r="IF327">
        <v>-1</v>
      </c>
      <c r="IK327">
        <v>0</v>
      </c>
    </row>
    <row r="328" spans="1:255" x14ac:dyDescent="0.2">
      <c r="A328" s="2">
        <v>18</v>
      </c>
      <c r="B328" s="2">
        <v>1</v>
      </c>
      <c r="C328" s="2">
        <v>391</v>
      </c>
      <c r="D328" s="2"/>
      <c r="E328" s="2" t="s">
        <v>437</v>
      </c>
      <c r="F328" s="2" t="s">
        <v>438</v>
      </c>
      <c r="G328" s="2" t="s">
        <v>439</v>
      </c>
      <c r="H328" s="2" t="s">
        <v>33</v>
      </c>
      <c r="I328" s="2">
        <f>I324*J328</f>
        <v>2.3E-3</v>
      </c>
      <c r="J328" s="226">
        <f>'5.Ведомость_списания'!F141</f>
        <v>7.4936873829111351E-4</v>
      </c>
      <c r="K328" s="2">
        <v>7.494E-4</v>
      </c>
      <c r="L328" s="2"/>
      <c r="M328" s="2"/>
      <c r="N328" s="2"/>
      <c r="O328" s="2">
        <f t="shared" si="331"/>
        <v>33</v>
      </c>
      <c r="P328" s="2">
        <f t="shared" si="332"/>
        <v>33</v>
      </c>
      <c r="Q328" s="2">
        <f t="shared" si="333"/>
        <v>0</v>
      </c>
      <c r="R328" s="2">
        <f t="shared" si="334"/>
        <v>0</v>
      </c>
      <c r="S328" s="2">
        <f t="shared" si="335"/>
        <v>0</v>
      </c>
      <c r="T328" s="2">
        <f t="shared" si="336"/>
        <v>0</v>
      </c>
      <c r="U328" s="2">
        <f t="shared" si="337"/>
        <v>0</v>
      </c>
      <c r="V328" s="2">
        <f t="shared" si="338"/>
        <v>0</v>
      </c>
      <c r="W328" s="2">
        <f t="shared" si="339"/>
        <v>0</v>
      </c>
      <c r="X328" s="2">
        <f t="shared" si="340"/>
        <v>0</v>
      </c>
      <c r="Y328" s="2">
        <f t="shared" si="341"/>
        <v>0</v>
      </c>
      <c r="Z328" s="2"/>
      <c r="AA328" s="2">
        <v>86326987</v>
      </c>
      <c r="AB328" s="2">
        <f t="shared" si="342"/>
        <v>14346.51</v>
      </c>
      <c r="AC328" s="2">
        <f>ROUND((ES328),2)</f>
        <v>14346.51</v>
      </c>
      <c r="AD328" s="2">
        <f>ROUND((((ET328)-(EU328))+AE328),2)</f>
        <v>0</v>
      </c>
      <c r="AE328" s="2">
        <f t="shared" si="366"/>
        <v>0</v>
      </c>
      <c r="AF328" s="2">
        <f t="shared" si="366"/>
        <v>0</v>
      </c>
      <c r="AG328" s="2">
        <f t="shared" si="343"/>
        <v>0</v>
      </c>
      <c r="AH328" s="2">
        <f t="shared" si="367"/>
        <v>0</v>
      </c>
      <c r="AI328" s="2">
        <f t="shared" si="367"/>
        <v>0</v>
      </c>
      <c r="AJ328" s="2">
        <f t="shared" si="344"/>
        <v>0</v>
      </c>
      <c r="AK328" s="2">
        <v>14346.51</v>
      </c>
      <c r="AL328" s="110">
        <f>'1.Лок.смета.и.Акт'!F598</f>
        <v>14346.51</v>
      </c>
      <c r="AM328" s="2">
        <v>0</v>
      </c>
      <c r="AN328" s="2">
        <v>0</v>
      </c>
      <c r="AO328" s="2">
        <v>0</v>
      </c>
      <c r="AP328" s="2">
        <v>0</v>
      </c>
      <c r="AQ328" s="2">
        <v>0</v>
      </c>
      <c r="AR328" s="2">
        <v>0</v>
      </c>
      <c r="AS328" s="2">
        <v>0</v>
      </c>
      <c r="AT328" s="2">
        <v>0</v>
      </c>
      <c r="AU328" s="2">
        <v>0</v>
      </c>
      <c r="AV328" s="2">
        <v>1</v>
      </c>
      <c r="AW328" s="2">
        <v>1</v>
      </c>
      <c r="AX328" s="2"/>
      <c r="AY328" s="2"/>
      <c r="AZ328" s="2">
        <v>1</v>
      </c>
      <c r="BA328" s="2">
        <v>1</v>
      </c>
      <c r="BB328" s="2">
        <v>1</v>
      </c>
      <c r="BC328" s="2">
        <v>1</v>
      </c>
      <c r="BD328" s="2" t="s">
        <v>6</v>
      </c>
      <c r="BE328" s="2" t="s">
        <v>6</v>
      </c>
      <c r="BF328" s="2" t="s">
        <v>6</v>
      </c>
      <c r="BG328" s="2" t="s">
        <v>6</v>
      </c>
      <c r="BH328" s="2">
        <v>3</v>
      </c>
      <c r="BI328" s="2">
        <v>1</v>
      </c>
      <c r="BJ328" s="2" t="s">
        <v>440</v>
      </c>
      <c r="BK328" s="2"/>
      <c r="BL328" s="2"/>
      <c r="BM328" s="2">
        <v>500003</v>
      </c>
      <c r="BN328" s="2">
        <v>0</v>
      </c>
      <c r="BO328" s="2" t="s">
        <v>6</v>
      </c>
      <c r="BP328" s="2">
        <v>0</v>
      </c>
      <c r="BQ328" s="2">
        <v>22</v>
      </c>
      <c r="BR328" s="2">
        <v>0</v>
      </c>
      <c r="BS328" s="2">
        <v>1</v>
      </c>
      <c r="BT328" s="2">
        <v>1</v>
      </c>
      <c r="BU328" s="2">
        <v>1</v>
      </c>
      <c r="BV328" s="2">
        <v>1</v>
      </c>
      <c r="BW328" s="2">
        <v>1</v>
      </c>
      <c r="BX328" s="2">
        <v>1</v>
      </c>
      <c r="BY328" s="2" t="s">
        <v>6</v>
      </c>
      <c r="BZ328" s="2">
        <v>0</v>
      </c>
      <c r="CA328" s="2">
        <v>0</v>
      </c>
      <c r="CB328" s="2" t="s">
        <v>6</v>
      </c>
      <c r="CC328" s="2"/>
      <c r="CD328" s="2"/>
      <c r="CE328" s="2">
        <v>0</v>
      </c>
      <c r="CF328" s="2">
        <v>0</v>
      </c>
      <c r="CG328" s="2">
        <v>0</v>
      </c>
      <c r="CH328" s="2"/>
      <c r="CI328" s="2"/>
      <c r="CJ328" s="2"/>
      <c r="CK328" s="2"/>
      <c r="CL328" s="2"/>
      <c r="CM328" s="2">
        <v>0</v>
      </c>
      <c r="CN328" s="2" t="s">
        <v>6</v>
      </c>
      <c r="CO328" s="2">
        <v>0</v>
      </c>
      <c r="CP328" s="2">
        <f t="shared" si="345"/>
        <v>33</v>
      </c>
      <c r="CQ328" s="2">
        <f t="shared" si="346"/>
        <v>14346.51</v>
      </c>
      <c r="CR328" s="2">
        <f t="shared" si="347"/>
        <v>0</v>
      </c>
      <c r="CS328" s="2">
        <f t="shared" si="348"/>
        <v>0</v>
      </c>
      <c r="CT328" s="2">
        <f t="shared" si="349"/>
        <v>0</v>
      </c>
      <c r="CU328" s="2">
        <f t="shared" si="350"/>
        <v>0</v>
      </c>
      <c r="CV328" s="2">
        <f t="shared" si="351"/>
        <v>0</v>
      </c>
      <c r="CW328" s="2">
        <f t="shared" si="352"/>
        <v>0</v>
      </c>
      <c r="CX328" s="2">
        <f t="shared" si="353"/>
        <v>0</v>
      </c>
      <c r="CY328" s="2">
        <f>(((S328+(R328*IF(0,0,1)))*AT328)/100)</f>
        <v>0</v>
      </c>
      <c r="CZ328" s="2">
        <f>(((S328+(R328*IF(0,0,1)))*AU328)/100)</f>
        <v>0</v>
      </c>
      <c r="DA328" s="2"/>
      <c r="DB328" s="2"/>
      <c r="DC328" s="2" t="s">
        <v>6</v>
      </c>
      <c r="DD328" s="2" t="s">
        <v>6</v>
      </c>
      <c r="DE328" s="2" t="s">
        <v>6</v>
      </c>
      <c r="DF328" s="2" t="s">
        <v>6</v>
      </c>
      <c r="DG328" s="2" t="s">
        <v>6</v>
      </c>
      <c r="DH328" s="2" t="s">
        <v>6</v>
      </c>
      <c r="DI328" s="2" t="s">
        <v>6</v>
      </c>
      <c r="DJ328" s="2" t="s">
        <v>6</v>
      </c>
      <c r="DK328" s="2" t="s">
        <v>6</v>
      </c>
      <c r="DL328" s="2" t="s">
        <v>6</v>
      </c>
      <c r="DM328" s="2" t="s">
        <v>6</v>
      </c>
      <c r="DN328" s="2">
        <v>0</v>
      </c>
      <c r="DO328" s="2">
        <v>0</v>
      </c>
      <c r="DP328" s="2">
        <v>1</v>
      </c>
      <c r="DQ328" s="2">
        <v>1</v>
      </c>
      <c r="DR328" s="2"/>
      <c r="DS328" s="2"/>
      <c r="DT328" s="2"/>
      <c r="DU328" s="2">
        <v>1009</v>
      </c>
      <c r="DV328" s="2" t="s">
        <v>33</v>
      </c>
      <c r="DW328" s="2" t="s">
        <v>33</v>
      </c>
      <c r="DX328" s="2">
        <v>1000</v>
      </c>
      <c r="DY328" s="2"/>
      <c r="DZ328" s="2" t="s">
        <v>6</v>
      </c>
      <c r="EA328" s="2" t="s">
        <v>6</v>
      </c>
      <c r="EB328" s="2" t="s">
        <v>6</v>
      </c>
      <c r="EC328" s="2" t="s">
        <v>6</v>
      </c>
      <c r="ED328" s="2"/>
      <c r="EE328" s="2">
        <v>54938783</v>
      </c>
      <c r="EF328" s="2">
        <v>22</v>
      </c>
      <c r="EG328" s="2" t="s">
        <v>57</v>
      </c>
      <c r="EH328" s="2">
        <v>0</v>
      </c>
      <c r="EI328" s="2" t="s">
        <v>6</v>
      </c>
      <c r="EJ328" s="2">
        <v>1</v>
      </c>
      <c r="EK328" s="2">
        <v>500003</v>
      </c>
      <c r="EL328" s="2" t="s">
        <v>58</v>
      </c>
      <c r="EM328" s="2" t="s">
        <v>59</v>
      </c>
      <c r="EN328" s="2"/>
      <c r="EO328" s="2" t="s">
        <v>6</v>
      </c>
      <c r="EP328" s="2"/>
      <c r="EQ328" s="2">
        <v>0</v>
      </c>
      <c r="ER328" s="2">
        <v>14346.51</v>
      </c>
      <c r="ES328" s="110">
        <f>'1.Лок.смета.и.Акт'!F598</f>
        <v>14346.51</v>
      </c>
      <c r="ET328" s="2">
        <v>0</v>
      </c>
      <c r="EU328" s="2">
        <v>0</v>
      </c>
      <c r="EV328" s="2">
        <v>0</v>
      </c>
      <c r="EW328" s="2">
        <v>0</v>
      </c>
      <c r="EX328" s="2">
        <v>0</v>
      </c>
      <c r="EY328" s="2"/>
      <c r="EZ328" s="2"/>
      <c r="FA328" s="2"/>
      <c r="FB328" s="2"/>
      <c r="FC328" s="2"/>
      <c r="FD328" s="2"/>
      <c r="FE328" s="2"/>
      <c r="FF328" s="2"/>
      <c r="FG328" s="2"/>
      <c r="FH328" s="2"/>
      <c r="FI328" s="2"/>
      <c r="FJ328" s="2"/>
      <c r="FK328" s="2"/>
      <c r="FL328" s="2"/>
      <c r="FM328" s="2"/>
      <c r="FN328" s="2"/>
      <c r="FO328" s="2"/>
      <c r="FP328" s="2"/>
      <c r="FQ328" s="2">
        <v>0</v>
      </c>
      <c r="FR328" s="2">
        <f t="shared" si="354"/>
        <v>0</v>
      </c>
      <c r="FS328" s="2">
        <v>0</v>
      </c>
      <c r="FT328" s="2"/>
      <c r="FU328" s="2"/>
      <c r="FV328" s="2"/>
      <c r="FW328" s="2"/>
      <c r="FX328" s="2">
        <v>0</v>
      </c>
      <c r="FY328" s="2">
        <v>0</v>
      </c>
      <c r="FZ328" s="2"/>
      <c r="GA328" s="2" t="s">
        <v>6</v>
      </c>
      <c r="GB328" s="2"/>
      <c r="GC328" s="2"/>
      <c r="GD328" s="2">
        <v>1</v>
      </c>
      <c r="GE328" s="2"/>
      <c r="GF328" s="2">
        <v>-1725170667</v>
      </c>
      <c r="GG328" s="2">
        <v>2</v>
      </c>
      <c r="GH328" s="2">
        <v>2</v>
      </c>
      <c r="GI328" s="2">
        <v>-2</v>
      </c>
      <c r="GJ328" s="2">
        <v>0</v>
      </c>
      <c r="GK328" s="2">
        <v>0</v>
      </c>
      <c r="GL328" s="2">
        <f t="shared" si="355"/>
        <v>0</v>
      </c>
      <c r="GM328" s="2">
        <f t="shared" si="356"/>
        <v>33</v>
      </c>
      <c r="GN328" s="2">
        <f t="shared" si="357"/>
        <v>33</v>
      </c>
      <c r="GO328" s="2">
        <f t="shared" si="358"/>
        <v>0</v>
      </c>
      <c r="GP328" s="2">
        <f t="shared" si="359"/>
        <v>0</v>
      </c>
      <c r="GQ328" s="2"/>
      <c r="GR328" s="2">
        <v>0</v>
      </c>
      <c r="GS328" s="2">
        <v>2</v>
      </c>
      <c r="GT328" s="2">
        <v>0</v>
      </c>
      <c r="GU328" s="2" t="s">
        <v>6</v>
      </c>
      <c r="GV328" s="2">
        <f t="shared" si="360"/>
        <v>0</v>
      </c>
      <c r="GW328" s="2">
        <v>1</v>
      </c>
      <c r="GX328" s="2">
        <f t="shared" si="361"/>
        <v>0</v>
      </c>
      <c r="GY328" s="2"/>
      <c r="GZ328" s="2"/>
      <c r="HA328" s="2">
        <v>0</v>
      </c>
      <c r="HB328" s="2">
        <v>0</v>
      </c>
      <c r="HC328" s="2">
        <f t="shared" si="362"/>
        <v>0</v>
      </c>
      <c r="HD328" s="2"/>
      <c r="HE328" s="2" t="s">
        <v>6</v>
      </c>
      <c r="HF328" s="2" t="s">
        <v>6</v>
      </c>
      <c r="HG328" s="2"/>
      <c r="HH328" s="2"/>
      <c r="HI328" s="2"/>
      <c r="HJ328" s="2"/>
      <c r="HK328" s="2"/>
      <c r="HL328" s="2"/>
      <c r="HM328" s="2" t="s">
        <v>6</v>
      </c>
      <c r="HN328" s="2" t="s">
        <v>6</v>
      </c>
      <c r="HO328" s="2" t="s">
        <v>6</v>
      </c>
      <c r="HP328" s="2" t="s">
        <v>6</v>
      </c>
      <c r="HQ328" s="2" t="s">
        <v>6</v>
      </c>
      <c r="HR328" s="2"/>
      <c r="HS328" s="2"/>
      <c r="HT328" s="2"/>
      <c r="HU328" s="2"/>
      <c r="HV328" s="2"/>
      <c r="HW328" s="2"/>
      <c r="HX328" s="2"/>
      <c r="HY328" s="2"/>
      <c r="HZ328" s="2"/>
      <c r="IA328" s="2"/>
      <c r="IB328" s="2"/>
      <c r="IC328" s="2"/>
      <c r="ID328" s="2"/>
      <c r="IE328" s="2"/>
      <c r="IF328" s="2">
        <v>-1</v>
      </c>
      <c r="IG328" s="2"/>
      <c r="IH328" s="2"/>
      <c r="II328" s="2"/>
      <c r="IJ328" s="2"/>
      <c r="IK328" s="2">
        <v>0</v>
      </c>
      <c r="IL328" s="2"/>
      <c r="IM328" s="2"/>
      <c r="IN328" s="2"/>
      <c r="IO328" s="2"/>
      <c r="IP328" s="2"/>
      <c r="IQ328" s="2"/>
      <c r="IR328" s="2"/>
      <c r="IS328" s="2"/>
      <c r="IT328" s="2"/>
      <c r="IU328" s="2"/>
    </row>
    <row r="329" spans="1:255" x14ac:dyDescent="0.2">
      <c r="A329">
        <v>18</v>
      </c>
      <c r="B329">
        <v>1</v>
      </c>
      <c r="C329">
        <v>398</v>
      </c>
      <c r="E329" t="s">
        <v>437</v>
      </c>
      <c r="F329" t="e">
        <f>'2.Лок.смета.и.Акт'!#REF!</f>
        <v>#REF!</v>
      </c>
      <c r="G329" t="s">
        <v>439</v>
      </c>
      <c r="H329" t="s">
        <v>33</v>
      </c>
      <c r="I329">
        <f>I325*J329</f>
        <v>2.3E-3</v>
      </c>
      <c r="J329">
        <v>7.4936873829111351E-4</v>
      </c>
      <c r="K329">
        <v>7.494E-4</v>
      </c>
      <c r="O329">
        <f t="shared" si="331"/>
        <v>261</v>
      </c>
      <c r="P329">
        <f t="shared" si="332"/>
        <v>261</v>
      </c>
      <c r="Q329">
        <f t="shared" si="333"/>
        <v>0</v>
      </c>
      <c r="R329">
        <f t="shared" si="334"/>
        <v>0</v>
      </c>
      <c r="S329">
        <f t="shared" si="335"/>
        <v>0</v>
      </c>
      <c r="T329">
        <f t="shared" si="336"/>
        <v>0</v>
      </c>
      <c r="U329">
        <f t="shared" si="337"/>
        <v>0</v>
      </c>
      <c r="V329">
        <f t="shared" si="338"/>
        <v>0</v>
      </c>
      <c r="W329">
        <f t="shared" si="339"/>
        <v>0</v>
      </c>
      <c r="X329">
        <f t="shared" si="340"/>
        <v>0</v>
      </c>
      <c r="Y329">
        <f t="shared" si="341"/>
        <v>0</v>
      </c>
      <c r="AA329">
        <v>86326988</v>
      </c>
      <c r="AB329">
        <f t="shared" si="342"/>
        <v>15032.27</v>
      </c>
      <c r="AC329">
        <f>ROUND((ES329),2)</f>
        <v>15032.27</v>
      </c>
      <c r="AD329">
        <f>ROUND((((ET329)-(EU329))+AE329),2)</f>
        <v>0</v>
      </c>
      <c r="AE329">
        <f t="shared" si="366"/>
        <v>0</v>
      </c>
      <c r="AF329">
        <f t="shared" si="366"/>
        <v>0</v>
      </c>
      <c r="AG329">
        <f t="shared" si="343"/>
        <v>0</v>
      </c>
      <c r="AH329">
        <f t="shared" si="367"/>
        <v>0</v>
      </c>
      <c r="AI329">
        <f t="shared" si="367"/>
        <v>0</v>
      </c>
      <c r="AJ329">
        <f t="shared" si="344"/>
        <v>0</v>
      </c>
      <c r="AK329">
        <v>15032.27</v>
      </c>
      <c r="AL329">
        <v>15032.27</v>
      </c>
      <c r="AM329">
        <v>0</v>
      </c>
      <c r="AN329">
        <v>0</v>
      </c>
      <c r="AO329">
        <v>0</v>
      </c>
      <c r="AP329">
        <v>0</v>
      </c>
      <c r="AQ329">
        <v>0</v>
      </c>
      <c r="AR329">
        <v>0</v>
      </c>
      <c r="AS329">
        <v>0</v>
      </c>
      <c r="AT329">
        <v>0</v>
      </c>
      <c r="AU329">
        <v>0</v>
      </c>
      <c r="AV329">
        <v>1</v>
      </c>
      <c r="AW329">
        <v>1</v>
      </c>
      <c r="AZ329">
        <v>1</v>
      </c>
      <c r="BA329">
        <v>1</v>
      </c>
      <c r="BB329">
        <v>1</v>
      </c>
      <c r="BC329">
        <v>7.56</v>
      </c>
      <c r="BD329" t="s">
        <v>6</v>
      </c>
      <c r="BE329" t="s">
        <v>6</v>
      </c>
      <c r="BF329" t="s">
        <v>6</v>
      </c>
      <c r="BG329" t="s">
        <v>6</v>
      </c>
      <c r="BH329">
        <v>3</v>
      </c>
      <c r="BI329">
        <v>1</v>
      </c>
      <c r="BJ329" t="s">
        <v>440</v>
      </c>
      <c r="BM329">
        <v>500003</v>
      </c>
      <c r="BN329">
        <v>0</v>
      </c>
      <c r="BO329" t="s">
        <v>6</v>
      </c>
      <c r="BP329">
        <v>0</v>
      </c>
      <c r="BQ329">
        <v>22</v>
      </c>
      <c r="BR329">
        <v>0</v>
      </c>
      <c r="BS329">
        <v>1</v>
      </c>
      <c r="BT329">
        <v>1</v>
      </c>
      <c r="BU329">
        <v>1</v>
      </c>
      <c r="BV329">
        <v>1</v>
      </c>
      <c r="BW329">
        <v>1</v>
      </c>
      <c r="BX329">
        <v>1</v>
      </c>
      <c r="BY329" t="s">
        <v>6</v>
      </c>
      <c r="BZ329">
        <v>0</v>
      </c>
      <c r="CA329">
        <v>0</v>
      </c>
      <c r="CB329" t="s">
        <v>6</v>
      </c>
      <c r="CE329">
        <v>0</v>
      </c>
      <c r="CF329">
        <v>0</v>
      </c>
      <c r="CG329">
        <v>0</v>
      </c>
      <c r="CM329">
        <v>0</v>
      </c>
      <c r="CN329" t="s">
        <v>6</v>
      </c>
      <c r="CO329">
        <v>0</v>
      </c>
      <c r="CP329">
        <f t="shared" si="345"/>
        <v>261</v>
      </c>
      <c r="CQ329">
        <f t="shared" si="346"/>
        <v>113643.96119999999</v>
      </c>
      <c r="CR329">
        <f t="shared" si="347"/>
        <v>0</v>
      </c>
      <c r="CS329">
        <f t="shared" si="348"/>
        <v>0</v>
      </c>
      <c r="CT329">
        <f t="shared" si="349"/>
        <v>0</v>
      </c>
      <c r="CU329">
        <f t="shared" si="350"/>
        <v>0</v>
      </c>
      <c r="CV329">
        <f t="shared" si="351"/>
        <v>0</v>
      </c>
      <c r="CW329">
        <f t="shared" si="352"/>
        <v>0</v>
      </c>
      <c r="CX329">
        <f t="shared" si="353"/>
        <v>0</v>
      </c>
      <c r="CY329">
        <f>(S329+R329)*(BZ329/100)</f>
        <v>0</v>
      </c>
      <c r="CZ329">
        <f>(S329+R329)*(CA329/100)</f>
        <v>0</v>
      </c>
      <c r="DC329" t="s">
        <v>6</v>
      </c>
      <c r="DD329" t="s">
        <v>6</v>
      </c>
      <c r="DE329" t="s">
        <v>6</v>
      </c>
      <c r="DF329" t="s">
        <v>6</v>
      </c>
      <c r="DG329" t="s">
        <v>6</v>
      </c>
      <c r="DH329" t="s">
        <v>6</v>
      </c>
      <c r="DI329" t="s">
        <v>6</v>
      </c>
      <c r="DJ329" t="s">
        <v>6</v>
      </c>
      <c r="DK329" t="s">
        <v>6</v>
      </c>
      <c r="DL329" t="s">
        <v>6</v>
      </c>
      <c r="DM329" t="s">
        <v>6</v>
      </c>
      <c r="DN329">
        <v>0</v>
      </c>
      <c r="DO329">
        <v>0</v>
      </c>
      <c r="DP329">
        <v>1</v>
      </c>
      <c r="DQ329">
        <v>1</v>
      </c>
      <c r="DU329">
        <v>1009</v>
      </c>
      <c r="DV329" t="s">
        <v>33</v>
      </c>
      <c r="DW329" t="e">
        <f>'2.Лок.смета.и.Акт'!#REF!</f>
        <v>#REF!</v>
      </c>
      <c r="DX329">
        <v>1000</v>
      </c>
      <c r="DZ329" t="s">
        <v>6</v>
      </c>
      <c r="EA329" t="s">
        <v>6</v>
      </c>
      <c r="EB329" t="s">
        <v>6</v>
      </c>
      <c r="EC329" t="s">
        <v>6</v>
      </c>
      <c r="EE329">
        <v>54938783</v>
      </c>
      <c r="EF329">
        <v>22</v>
      </c>
      <c r="EG329" t="s">
        <v>57</v>
      </c>
      <c r="EH329">
        <v>0</v>
      </c>
      <c r="EI329" t="s">
        <v>6</v>
      </c>
      <c r="EJ329">
        <v>1</v>
      </c>
      <c r="EK329">
        <v>500003</v>
      </c>
      <c r="EL329" t="s">
        <v>58</v>
      </c>
      <c r="EM329" t="s">
        <v>59</v>
      </c>
      <c r="EO329" t="s">
        <v>6</v>
      </c>
      <c r="EQ329">
        <v>0</v>
      </c>
      <c r="ER329">
        <v>108459.62</v>
      </c>
      <c r="ES329">
        <v>15032.27</v>
      </c>
      <c r="ET329">
        <v>0</v>
      </c>
      <c r="EU329">
        <v>0</v>
      </c>
      <c r="EV329">
        <v>0</v>
      </c>
      <c r="EW329">
        <v>0</v>
      </c>
      <c r="EX329">
        <v>0</v>
      </c>
      <c r="EZ329">
        <v>5</v>
      </c>
      <c r="FC329">
        <v>0</v>
      </c>
      <c r="FD329">
        <v>18</v>
      </c>
      <c r="FF329">
        <v>108459.62</v>
      </c>
      <c r="FQ329">
        <v>0</v>
      </c>
      <c r="FR329">
        <f t="shared" si="354"/>
        <v>0</v>
      </c>
      <c r="FS329">
        <v>0</v>
      </c>
      <c r="FX329">
        <v>0</v>
      </c>
      <c r="FY329">
        <v>0</v>
      </c>
      <c r="GA329" t="s">
        <v>441</v>
      </c>
      <c r="GD329">
        <v>1</v>
      </c>
      <c r="GF329">
        <v>-1725170667</v>
      </c>
      <c r="GG329">
        <v>2</v>
      </c>
      <c r="GH329">
        <v>3</v>
      </c>
      <c r="GI329">
        <v>5</v>
      </c>
      <c r="GJ329">
        <v>0</v>
      </c>
      <c r="GK329">
        <v>0</v>
      </c>
      <c r="GL329">
        <f t="shared" si="355"/>
        <v>0</v>
      </c>
      <c r="GM329">
        <f t="shared" si="356"/>
        <v>261</v>
      </c>
      <c r="GN329">
        <f t="shared" si="357"/>
        <v>261</v>
      </c>
      <c r="GO329">
        <f t="shared" si="358"/>
        <v>0</v>
      </c>
      <c r="GP329">
        <f t="shared" si="359"/>
        <v>0</v>
      </c>
      <c r="GR329">
        <v>1</v>
      </c>
      <c r="GS329">
        <v>1</v>
      </c>
      <c r="GT329">
        <v>0</v>
      </c>
      <c r="GU329" t="s">
        <v>6</v>
      </c>
      <c r="GV329">
        <f t="shared" si="360"/>
        <v>0</v>
      </c>
      <c r="GW329">
        <v>1</v>
      </c>
      <c r="GX329">
        <f t="shared" si="361"/>
        <v>0</v>
      </c>
      <c r="HA329">
        <v>0</v>
      </c>
      <c r="HB329">
        <v>0</v>
      </c>
      <c r="HC329">
        <f t="shared" si="362"/>
        <v>0</v>
      </c>
      <c r="HE329" t="s">
        <v>39</v>
      </c>
      <c r="HF329" t="s">
        <v>61</v>
      </c>
      <c r="HM329" t="s">
        <v>6</v>
      </c>
      <c r="HN329" t="s">
        <v>6</v>
      </c>
      <c r="HO329" t="s">
        <v>6</v>
      </c>
      <c r="HP329" t="s">
        <v>6</v>
      </c>
      <c r="HQ329" t="s">
        <v>6</v>
      </c>
      <c r="IF329">
        <v>-1</v>
      </c>
      <c r="IK329">
        <v>0</v>
      </c>
    </row>
    <row r="330" spans="1:255" x14ac:dyDescent="0.2">
      <c r="A330" s="2">
        <v>17</v>
      </c>
      <c r="B330" s="2">
        <v>1</v>
      </c>
      <c r="C330" s="2">
        <f>ROW(SmtRes!A407)</f>
        <v>407</v>
      </c>
      <c r="D330" s="2">
        <f>ROW(EtalonRes!A330)</f>
        <v>330</v>
      </c>
      <c r="E330" s="2" t="s">
        <v>442</v>
      </c>
      <c r="F330" s="2" t="s">
        <v>443</v>
      </c>
      <c r="G330" s="2" t="s">
        <v>444</v>
      </c>
      <c r="H330" s="2" t="s">
        <v>49</v>
      </c>
      <c r="I330" s="2">
        <f>'2.Лок.смета.и.Акт'!E50</f>
        <v>8.2267499999999991</v>
      </c>
      <c r="J330" s="2">
        <v>0</v>
      </c>
      <c r="K330" s="2">
        <v>32.906999999999996</v>
      </c>
      <c r="L330" s="2"/>
      <c r="M330" s="2"/>
      <c r="N330" s="2"/>
      <c r="O330" s="2">
        <f t="shared" si="331"/>
        <v>9761</v>
      </c>
      <c r="P330" s="2">
        <f t="shared" si="332"/>
        <v>0</v>
      </c>
      <c r="Q330" s="2">
        <f t="shared" si="333"/>
        <v>608</v>
      </c>
      <c r="R330" s="2">
        <f t="shared" si="334"/>
        <v>58</v>
      </c>
      <c r="S330" s="2">
        <f t="shared" si="335"/>
        <v>9153</v>
      </c>
      <c r="T330" s="2">
        <f t="shared" si="336"/>
        <v>0</v>
      </c>
      <c r="U330" s="2">
        <f t="shared" si="337"/>
        <v>767.87415022499999</v>
      </c>
      <c r="V330" s="2">
        <f t="shared" si="338"/>
        <v>4.2384216000000006</v>
      </c>
      <c r="W330" s="2">
        <f t="shared" si="339"/>
        <v>0</v>
      </c>
      <c r="X330" s="2">
        <f t="shared" si="340"/>
        <v>6079</v>
      </c>
      <c r="Y330" s="2">
        <f t="shared" si="341"/>
        <v>5527</v>
      </c>
      <c r="Z330" s="2"/>
      <c r="AA330" s="2">
        <v>86326987</v>
      </c>
      <c r="AB330" s="2">
        <f t="shared" si="342"/>
        <v>1186.49</v>
      </c>
      <c r="AC330" s="2">
        <f>ROUND((ES330+(SUM(SmtRes!BC399:'SmtRes'!BC407)+SUM(EtalonRes!AL323:'EtalonRes'!AL330))),2)</f>
        <v>0</v>
      </c>
      <c r="AD330" s="2">
        <f>ROUND(((ET330*1.12)),2)</f>
        <v>73.89</v>
      </c>
      <c r="AE330" s="2">
        <f>ROUND(((EU330*1.12)),2)</f>
        <v>7.01</v>
      </c>
      <c r="AF330" s="2">
        <f>ROUND(((EV330*1.05)),2)</f>
        <v>1112.5999999999999</v>
      </c>
      <c r="AG330" s="2">
        <f t="shared" si="343"/>
        <v>0</v>
      </c>
      <c r="AH330" s="2">
        <f>((EW330*1.05))</f>
        <v>93.338700000000003</v>
      </c>
      <c r="AI330" s="2">
        <f>((EX330*1.12))</f>
        <v>0.5152000000000001</v>
      </c>
      <c r="AJ330" s="2">
        <f t="shared" si="344"/>
        <v>0</v>
      </c>
      <c r="AK330" s="2">
        <v>6361.31</v>
      </c>
      <c r="AL330" s="2">
        <v>5235.72</v>
      </c>
      <c r="AM330" s="2">
        <v>65.97</v>
      </c>
      <c r="AN330" s="2">
        <v>6.26</v>
      </c>
      <c r="AO330" s="2">
        <v>1059.6199999999999</v>
      </c>
      <c r="AP330" s="2">
        <v>0</v>
      </c>
      <c r="AQ330" s="2">
        <v>88.894000000000005</v>
      </c>
      <c r="AR330" s="2">
        <v>0.46</v>
      </c>
      <c r="AS330" s="2">
        <v>0</v>
      </c>
      <c r="AT330" s="2">
        <v>66</v>
      </c>
      <c r="AU330" s="2">
        <v>60</v>
      </c>
      <c r="AV330" s="2">
        <v>1</v>
      </c>
      <c r="AW330" s="2">
        <v>1</v>
      </c>
      <c r="AX330" s="2"/>
      <c r="AY330" s="2"/>
      <c r="AZ330" s="2">
        <v>1</v>
      </c>
      <c r="BA330" s="2">
        <v>1</v>
      </c>
      <c r="BB330" s="2">
        <v>1</v>
      </c>
      <c r="BC330" s="2">
        <v>1</v>
      </c>
      <c r="BD330" s="2" t="s">
        <v>6</v>
      </c>
      <c r="BE330" s="2" t="s">
        <v>6</v>
      </c>
      <c r="BF330" s="2" t="s">
        <v>6</v>
      </c>
      <c r="BG330" s="2" t="s">
        <v>6</v>
      </c>
      <c r="BH330" s="2">
        <v>0</v>
      </c>
      <c r="BI330" s="2">
        <v>1</v>
      </c>
      <c r="BJ330" s="2" t="s">
        <v>445</v>
      </c>
      <c r="BK330" s="2"/>
      <c r="BL330" s="2"/>
      <c r="BM330" s="2">
        <v>501</v>
      </c>
      <c r="BN330" s="2">
        <v>0</v>
      </c>
      <c r="BO330" s="2" t="s">
        <v>6</v>
      </c>
      <c r="BP330" s="2">
        <v>0</v>
      </c>
      <c r="BQ330" s="2">
        <v>1</v>
      </c>
      <c r="BR330" s="2">
        <v>0</v>
      </c>
      <c r="BS330" s="2">
        <v>1</v>
      </c>
      <c r="BT330" s="2">
        <v>1</v>
      </c>
      <c r="BU330" s="2">
        <v>1</v>
      </c>
      <c r="BV330" s="2">
        <v>1</v>
      </c>
      <c r="BW330" s="2">
        <v>1</v>
      </c>
      <c r="BX330" s="2">
        <v>1</v>
      </c>
      <c r="BY330" s="2" t="s">
        <v>6</v>
      </c>
      <c r="BZ330" s="2">
        <v>66</v>
      </c>
      <c r="CA330" s="2">
        <v>60</v>
      </c>
      <c r="CB330" s="2" t="s">
        <v>6</v>
      </c>
      <c r="CC330" s="2"/>
      <c r="CD330" s="2"/>
      <c r="CE330" s="2">
        <v>0</v>
      </c>
      <c r="CF330" s="2">
        <v>0</v>
      </c>
      <c r="CG330" s="2">
        <v>0</v>
      </c>
      <c r="CH330" s="2"/>
      <c r="CI330" s="2"/>
      <c r="CJ330" s="2"/>
      <c r="CK330" s="2"/>
      <c r="CL330" s="2"/>
      <c r="CM330" s="2">
        <v>0</v>
      </c>
      <c r="CN330" s="2" t="s">
        <v>23</v>
      </c>
      <c r="CO330" s="2">
        <v>0</v>
      </c>
      <c r="CP330" s="2">
        <f t="shared" si="345"/>
        <v>9761</v>
      </c>
      <c r="CQ330" s="2">
        <f t="shared" si="346"/>
        <v>0</v>
      </c>
      <c r="CR330" s="2">
        <f t="shared" si="347"/>
        <v>73.89</v>
      </c>
      <c r="CS330" s="2">
        <f t="shared" si="348"/>
        <v>7.01</v>
      </c>
      <c r="CT330" s="2">
        <f t="shared" si="349"/>
        <v>1112.5999999999999</v>
      </c>
      <c r="CU330" s="2">
        <f t="shared" si="350"/>
        <v>0</v>
      </c>
      <c r="CV330" s="2">
        <f t="shared" si="351"/>
        <v>93.338700000000003</v>
      </c>
      <c r="CW330" s="2">
        <f t="shared" si="352"/>
        <v>0.5152000000000001</v>
      </c>
      <c r="CX330" s="2">
        <f t="shared" si="353"/>
        <v>0</v>
      </c>
      <c r="CY330" s="2">
        <f>(((S330+(R330*IF(0,0,1)))*AT330)/100)</f>
        <v>6079.26</v>
      </c>
      <c r="CZ330" s="2">
        <f>(((S330+(R330*IF(0,0,1)))*AU330)/100)</f>
        <v>5526.6</v>
      </c>
      <c r="DA330" s="2"/>
      <c r="DB330" s="2"/>
      <c r="DC330" s="2" t="s">
        <v>6</v>
      </c>
      <c r="DD330" s="2" t="s">
        <v>6</v>
      </c>
      <c r="DE330" s="2" t="s">
        <v>24</v>
      </c>
      <c r="DF330" s="2" t="s">
        <v>24</v>
      </c>
      <c r="DG330" s="2" t="s">
        <v>25</v>
      </c>
      <c r="DH330" s="2" t="s">
        <v>6</v>
      </c>
      <c r="DI330" s="2" t="s">
        <v>25</v>
      </c>
      <c r="DJ330" s="2" t="s">
        <v>24</v>
      </c>
      <c r="DK330" s="2" t="s">
        <v>6</v>
      </c>
      <c r="DL330" s="2" t="s">
        <v>6</v>
      </c>
      <c r="DM330" s="2" t="s">
        <v>6</v>
      </c>
      <c r="DN330" s="2">
        <v>0</v>
      </c>
      <c r="DO330" s="2">
        <v>0</v>
      </c>
      <c r="DP330" s="2">
        <v>1</v>
      </c>
      <c r="DQ330" s="2">
        <v>1</v>
      </c>
      <c r="DR330" s="2"/>
      <c r="DS330" s="2"/>
      <c r="DT330" s="2"/>
      <c r="DU330" s="2">
        <v>1013</v>
      </c>
      <c r="DV330" s="2" t="s">
        <v>49</v>
      </c>
      <c r="DW330" s="2" t="s">
        <v>49</v>
      </c>
      <c r="DX330" s="2">
        <v>1</v>
      </c>
      <c r="DY330" s="2"/>
      <c r="DZ330" s="2" t="s">
        <v>6</v>
      </c>
      <c r="EA330" s="2" t="s">
        <v>6</v>
      </c>
      <c r="EB330" s="2" t="s">
        <v>6</v>
      </c>
      <c r="EC330" s="2" t="s">
        <v>6</v>
      </c>
      <c r="ED330" s="2"/>
      <c r="EE330" s="2">
        <v>54938567</v>
      </c>
      <c r="EF330" s="2">
        <v>1</v>
      </c>
      <c r="EG330" s="2" t="s">
        <v>26</v>
      </c>
      <c r="EH330" s="2">
        <v>0</v>
      </c>
      <c r="EI330" s="2" t="s">
        <v>6</v>
      </c>
      <c r="EJ330" s="2">
        <v>1</v>
      </c>
      <c r="EK330" s="2">
        <v>501</v>
      </c>
      <c r="EL330" s="2" t="s">
        <v>51</v>
      </c>
      <c r="EM330" s="2" t="s">
        <v>52</v>
      </c>
      <c r="EN330" s="2"/>
      <c r="EO330" s="2" t="s">
        <v>29</v>
      </c>
      <c r="EP330" s="2"/>
      <c r="EQ330" s="2">
        <v>2228224</v>
      </c>
      <c r="ER330" s="2">
        <v>6361.31</v>
      </c>
      <c r="ES330" s="2">
        <v>5235.72</v>
      </c>
      <c r="ET330" s="2">
        <v>65.97</v>
      </c>
      <c r="EU330" s="2">
        <v>6.26</v>
      </c>
      <c r="EV330" s="2">
        <v>1059.6199999999999</v>
      </c>
      <c r="EW330" s="2">
        <v>88.894000000000005</v>
      </c>
      <c r="EX330" s="2">
        <v>0.46</v>
      </c>
      <c r="EY330" s="2">
        <v>1</v>
      </c>
      <c r="EZ330" s="2"/>
      <c r="FA330" s="2"/>
      <c r="FB330" s="2"/>
      <c r="FC330" s="2"/>
      <c r="FD330" s="2"/>
      <c r="FE330" s="2"/>
      <c r="FF330" s="2"/>
      <c r="FG330" s="2"/>
      <c r="FH330" s="2"/>
      <c r="FI330" s="2"/>
      <c r="FJ330" s="2"/>
      <c r="FK330" s="2"/>
      <c r="FL330" s="2"/>
      <c r="FM330" s="2"/>
      <c r="FN330" s="2"/>
      <c r="FO330" s="2"/>
      <c r="FP330" s="2"/>
      <c r="FQ330" s="2">
        <v>0</v>
      </c>
      <c r="FR330" s="2">
        <f t="shared" si="354"/>
        <v>0</v>
      </c>
      <c r="FS330" s="2">
        <v>0</v>
      </c>
      <c r="FT330" s="2"/>
      <c r="FU330" s="2"/>
      <c r="FV330" s="2"/>
      <c r="FW330" s="2"/>
      <c r="FX330" s="2">
        <v>66</v>
      </c>
      <c r="FY330" s="2">
        <v>60</v>
      </c>
      <c r="FZ330" s="2"/>
      <c r="GA330" s="2" t="s">
        <v>6</v>
      </c>
      <c r="GB330" s="2"/>
      <c r="GC330" s="2"/>
      <c r="GD330" s="2">
        <v>1</v>
      </c>
      <c r="GE330" s="2"/>
      <c r="GF330" s="2">
        <v>427969740</v>
      </c>
      <c r="GG330" s="2">
        <v>2</v>
      </c>
      <c r="GH330" s="2">
        <v>1</v>
      </c>
      <c r="GI330" s="2">
        <v>-2</v>
      </c>
      <c r="GJ330" s="2">
        <v>0</v>
      </c>
      <c r="GK330" s="2">
        <v>0</v>
      </c>
      <c r="GL330" s="2">
        <f t="shared" si="355"/>
        <v>0</v>
      </c>
      <c r="GM330" s="2">
        <f t="shared" si="356"/>
        <v>21367</v>
      </c>
      <c r="GN330" s="2">
        <f t="shared" si="357"/>
        <v>21367</v>
      </c>
      <c r="GO330" s="2">
        <f t="shared" si="358"/>
        <v>0</v>
      </c>
      <c r="GP330" s="2">
        <f t="shared" si="359"/>
        <v>0</v>
      </c>
      <c r="GQ330" s="2"/>
      <c r="GR330" s="2">
        <v>0</v>
      </c>
      <c r="GS330" s="2">
        <v>3</v>
      </c>
      <c r="GT330" s="2">
        <v>0</v>
      </c>
      <c r="GU330" s="2" t="s">
        <v>6</v>
      </c>
      <c r="GV330" s="2">
        <f t="shared" si="360"/>
        <v>0</v>
      </c>
      <c r="GW330" s="2">
        <v>1</v>
      </c>
      <c r="GX330" s="2">
        <f t="shared" si="361"/>
        <v>0</v>
      </c>
      <c r="GY330" s="2"/>
      <c r="GZ330" s="2"/>
      <c r="HA330" s="2">
        <v>0</v>
      </c>
      <c r="HB330" s="2">
        <v>0</v>
      </c>
      <c r="HC330" s="2">
        <f t="shared" si="362"/>
        <v>0</v>
      </c>
      <c r="HD330" s="2"/>
      <c r="HE330" s="2" t="s">
        <v>6</v>
      </c>
      <c r="HF330" s="2" t="s">
        <v>6</v>
      </c>
      <c r="HG330" s="2"/>
      <c r="HH330" s="2"/>
      <c r="HI330" s="2"/>
      <c r="HJ330" s="2"/>
      <c r="HK330" s="2"/>
      <c r="HL330" s="2"/>
      <c r="HM330" s="2" t="s">
        <v>6</v>
      </c>
      <c r="HN330" s="2" t="s">
        <v>6</v>
      </c>
      <c r="HO330" s="2" t="s">
        <v>6</v>
      </c>
      <c r="HP330" s="2" t="s">
        <v>6</v>
      </c>
      <c r="HQ330" s="2" t="s">
        <v>6</v>
      </c>
      <c r="HR330" s="2"/>
      <c r="HS330" s="2"/>
      <c r="HT330" s="2"/>
      <c r="HU330" s="2"/>
      <c r="HV330" s="2"/>
      <c r="HW330" s="2"/>
      <c r="HX330" s="2"/>
      <c r="HY330" s="2"/>
      <c r="HZ330" s="2"/>
      <c r="IA330" s="2"/>
      <c r="IB330" s="2"/>
      <c r="IC330" s="2"/>
      <c r="ID330" s="2"/>
      <c r="IE330" s="2"/>
      <c r="IF330" s="2">
        <v>-1</v>
      </c>
      <c r="IG330" s="2"/>
      <c r="IH330" s="2"/>
      <c r="II330" s="2"/>
      <c r="IJ330" s="2"/>
      <c r="IK330" s="2">
        <v>0</v>
      </c>
      <c r="IL330" s="2"/>
      <c r="IM330" s="2"/>
      <c r="IN330" s="2"/>
      <c r="IO330" s="2"/>
      <c r="IP330" s="2"/>
      <c r="IQ330" s="2"/>
      <c r="IR330" s="2"/>
      <c r="IS330" s="2"/>
      <c r="IT330" s="2"/>
      <c r="IU330" s="2"/>
    </row>
    <row r="331" spans="1:255" x14ac:dyDescent="0.2">
      <c r="A331">
        <v>17</v>
      </c>
      <c r="B331">
        <v>1</v>
      </c>
      <c r="C331">
        <f>ROW(SmtRes!A416)</f>
        <v>416</v>
      </c>
      <c r="D331">
        <f>ROW(EtalonRes!A338)</f>
        <v>338</v>
      </c>
      <c r="E331" t="s">
        <v>442</v>
      </c>
      <c r="F331" t="s">
        <v>443</v>
      </c>
      <c r="G331" t="s">
        <v>444</v>
      </c>
      <c r="H331" t="s">
        <v>49</v>
      </c>
      <c r="I331">
        <f>'2.Лок.смета.и.Акт'!E50</f>
        <v>8.2267499999999991</v>
      </c>
      <c r="J331">
        <v>0</v>
      </c>
      <c r="K331">
        <v>32.906999999999996</v>
      </c>
      <c r="O331">
        <f t="shared" si="331"/>
        <v>236888</v>
      </c>
      <c r="P331">
        <f t="shared" si="332"/>
        <v>0</v>
      </c>
      <c r="Q331">
        <f t="shared" si="333"/>
        <v>4766</v>
      </c>
      <c r="R331">
        <f t="shared" si="334"/>
        <v>1142</v>
      </c>
      <c r="S331">
        <f t="shared" si="335"/>
        <v>232122</v>
      </c>
      <c r="T331">
        <f t="shared" si="336"/>
        <v>0</v>
      </c>
      <c r="U331" t="e">
        <f t="shared" si="337"/>
        <v>#REF!</v>
      </c>
      <c r="V331">
        <f t="shared" si="338"/>
        <v>4.2384216000000006</v>
      </c>
      <c r="W331">
        <f t="shared" si="339"/>
        <v>0</v>
      </c>
      <c r="X331" t="e">
        <f t="shared" si="340"/>
        <v>#REF!</v>
      </c>
      <c r="Y331" t="e">
        <f t="shared" si="341"/>
        <v>#REF!</v>
      </c>
      <c r="AA331">
        <v>86326988</v>
      </c>
      <c r="AB331">
        <f t="shared" si="342"/>
        <v>1186.49</v>
      </c>
      <c r="AC331">
        <f>ROUND((ES331+(SUM(SmtRes!BC408:'SmtRes'!BC416)+SUM(EtalonRes!AL331:'EtalonRes'!AL338))),2)</f>
        <v>0</v>
      </c>
      <c r="AD331">
        <f>ROUND(((ET331*1.12)),2)</f>
        <v>73.89</v>
      </c>
      <c r="AE331">
        <f>ROUND(((EU331*1.12)),2)</f>
        <v>7.01</v>
      </c>
      <c r="AF331">
        <f>ROUND(((EV331*1.05)),2)</f>
        <v>1112.5999999999999</v>
      </c>
      <c r="AG331">
        <f t="shared" si="343"/>
        <v>0</v>
      </c>
      <c r="AH331" t="e">
        <f>((EW331*1.05))</f>
        <v>#REF!</v>
      </c>
      <c r="AI331">
        <f>((EX331*1.12))</f>
        <v>0.5152000000000001</v>
      </c>
      <c r="AJ331">
        <f t="shared" si="344"/>
        <v>0</v>
      </c>
      <c r="AK331">
        <f>AL331+AM331+AO331</f>
        <v>6361.31</v>
      </c>
      <c r="AL331">
        <v>5235.72</v>
      </c>
      <c r="AM331" s="75">
        <f>'1.Лок.смета.и.Акт'!F605</f>
        <v>65.97</v>
      </c>
      <c r="AN331" s="75">
        <f>'1.Лок.смета.и.Акт'!F606</f>
        <v>6.26</v>
      </c>
      <c r="AO331" s="75">
        <f>'1.Лок.смета.и.Акт'!F604</f>
        <v>1059.6199999999999</v>
      </c>
      <c r="AP331">
        <v>0</v>
      </c>
      <c r="AQ331" t="e">
        <f>'2.Лок.смета.и.Акт'!#REF!</f>
        <v>#REF!</v>
      </c>
      <c r="AR331">
        <v>0.46</v>
      </c>
      <c r="AS331">
        <v>0</v>
      </c>
      <c r="AT331">
        <v>63</v>
      </c>
      <c r="AU331">
        <v>51</v>
      </c>
      <c r="AV331">
        <v>1</v>
      </c>
      <c r="AW331">
        <v>1</v>
      </c>
      <c r="AZ331">
        <v>1</v>
      </c>
      <c r="BA331">
        <f>'1.Лок.смета.и.Акт'!J604</f>
        <v>25.36</v>
      </c>
      <c r="BB331">
        <f>'1.Лок.смета.и.Акт'!J605</f>
        <v>7.84</v>
      </c>
      <c r="BC331">
        <v>7.56</v>
      </c>
      <c r="BD331" t="s">
        <v>6</v>
      </c>
      <c r="BE331" t="s">
        <v>6</v>
      </c>
      <c r="BF331" t="s">
        <v>6</v>
      </c>
      <c r="BG331" t="s">
        <v>6</v>
      </c>
      <c r="BH331">
        <v>0</v>
      </c>
      <c r="BI331">
        <v>1</v>
      </c>
      <c r="BJ331" t="s">
        <v>445</v>
      </c>
      <c r="BM331">
        <v>501</v>
      </c>
      <c r="BN331">
        <v>0</v>
      </c>
      <c r="BO331" t="s">
        <v>443</v>
      </c>
      <c r="BP331">
        <v>1</v>
      </c>
      <c r="BQ331">
        <v>1</v>
      </c>
      <c r="BR331">
        <v>0</v>
      </c>
      <c r="BS331">
        <f>'1.Лок.смета.и.Акт'!J606</f>
        <v>19.8</v>
      </c>
      <c r="BT331">
        <v>1</v>
      </c>
      <c r="BU331">
        <v>1</v>
      </c>
      <c r="BV331">
        <v>1</v>
      </c>
      <c r="BW331">
        <v>1</v>
      </c>
      <c r="BX331">
        <v>1</v>
      </c>
      <c r="BY331" t="s">
        <v>6</v>
      </c>
      <c r="BZ331" t="e">
        <f>'2.Лок.смета.и.Акт'!#REF!</f>
        <v>#REF!</v>
      </c>
      <c r="CA331" t="e">
        <f>'2.Лок.смета.и.Акт'!#REF!</f>
        <v>#REF!</v>
      </c>
      <c r="CB331" t="s">
        <v>6</v>
      </c>
      <c r="CE331">
        <v>0</v>
      </c>
      <c r="CF331">
        <v>0</v>
      </c>
      <c r="CG331">
        <v>0</v>
      </c>
      <c r="CM331">
        <v>0</v>
      </c>
      <c r="CN331" t="s">
        <v>23</v>
      </c>
      <c r="CO331">
        <v>0</v>
      </c>
      <c r="CP331">
        <f t="shared" si="345"/>
        <v>236888</v>
      </c>
      <c r="CQ331">
        <f t="shared" si="346"/>
        <v>0</v>
      </c>
      <c r="CR331">
        <f t="shared" si="347"/>
        <v>579.29759999999999</v>
      </c>
      <c r="CS331">
        <f t="shared" si="348"/>
        <v>138.798</v>
      </c>
      <c r="CT331">
        <f t="shared" si="349"/>
        <v>28215.535999999996</v>
      </c>
      <c r="CU331">
        <f t="shared" si="350"/>
        <v>0</v>
      </c>
      <c r="CV331" t="e">
        <f t="shared" si="351"/>
        <v>#REF!</v>
      </c>
      <c r="CW331">
        <f t="shared" si="352"/>
        <v>0.5152000000000001</v>
      </c>
      <c r="CX331">
        <f t="shared" si="353"/>
        <v>0</v>
      </c>
      <c r="CY331" t="e">
        <f>(S331+R331)*(BZ331/100)</f>
        <v>#REF!</v>
      </c>
      <c r="CZ331" t="e">
        <f>(S331+R331)*(CA331/100)</f>
        <v>#REF!</v>
      </c>
      <c r="DC331" t="s">
        <v>6</v>
      </c>
      <c r="DD331" t="s">
        <v>6</v>
      </c>
      <c r="DE331" t="s">
        <v>24</v>
      </c>
      <c r="DF331" t="s">
        <v>24</v>
      </c>
      <c r="DG331" t="s">
        <v>25</v>
      </c>
      <c r="DH331" t="s">
        <v>6</v>
      </c>
      <c r="DI331" t="s">
        <v>25</v>
      </c>
      <c r="DJ331" t="s">
        <v>24</v>
      </c>
      <c r="DK331" t="s">
        <v>6</v>
      </c>
      <c r="DL331" t="s">
        <v>6</v>
      </c>
      <c r="DM331" t="s">
        <v>6</v>
      </c>
      <c r="DN331">
        <f>'1.Лок.смета.и.Акт'!E607</f>
        <v>66</v>
      </c>
      <c r="DO331">
        <f>'1.Лок.смета.и.Акт'!E608</f>
        <v>60</v>
      </c>
      <c r="DP331">
        <v>1</v>
      </c>
      <c r="DQ331">
        <v>1</v>
      </c>
      <c r="DU331">
        <v>1013</v>
      </c>
      <c r="DV331" t="s">
        <v>49</v>
      </c>
      <c r="DW331" t="str">
        <f>'2.Лок.смета.и.Акт'!D50</f>
        <v>1 т арматуры, закладных деталей</v>
      </c>
      <c r="DX331">
        <v>1</v>
      </c>
      <c r="DZ331" t="s">
        <v>6</v>
      </c>
      <c r="EA331" t="s">
        <v>6</v>
      </c>
      <c r="EB331" t="s">
        <v>6</v>
      </c>
      <c r="EC331" t="s">
        <v>6</v>
      </c>
      <c r="EE331">
        <v>54938567</v>
      </c>
      <c r="EF331">
        <v>1</v>
      </c>
      <c r="EG331" t="s">
        <v>26</v>
      </c>
      <c r="EH331">
        <v>0</v>
      </c>
      <c r="EI331" t="s">
        <v>6</v>
      </c>
      <c r="EJ331">
        <v>1</v>
      </c>
      <c r="EK331">
        <v>501</v>
      </c>
      <c r="EL331" t="s">
        <v>51</v>
      </c>
      <c r="EM331" t="s">
        <v>52</v>
      </c>
      <c r="EO331" t="s">
        <v>29</v>
      </c>
      <c r="EQ331">
        <v>2228224</v>
      </c>
      <c r="ER331">
        <f>ES331+ET331+EV331</f>
        <v>6361.31</v>
      </c>
      <c r="ES331">
        <v>5235.72</v>
      </c>
      <c r="ET331" s="75">
        <f>'1.Лок.смета.и.Акт'!F605</f>
        <v>65.97</v>
      </c>
      <c r="EU331" s="75">
        <f>'1.Лок.смета.и.Акт'!F606</f>
        <v>6.26</v>
      </c>
      <c r="EV331" s="75">
        <f>'1.Лок.смета.и.Акт'!F604</f>
        <v>1059.6199999999999</v>
      </c>
      <c r="EW331" t="e">
        <f>'2.Лок.смета.и.Акт'!#REF!</f>
        <v>#REF!</v>
      </c>
      <c r="EX331">
        <v>0.46</v>
      </c>
      <c r="EY331">
        <v>1</v>
      </c>
      <c r="FQ331">
        <v>0</v>
      </c>
      <c r="FR331">
        <f t="shared" si="354"/>
        <v>0</v>
      </c>
      <c r="FS331">
        <v>0</v>
      </c>
      <c r="FX331">
        <v>66</v>
      </c>
      <c r="FY331">
        <v>60</v>
      </c>
      <c r="GA331" t="s">
        <v>6</v>
      </c>
      <c r="GD331">
        <v>1</v>
      </c>
      <c r="GF331">
        <v>427969740</v>
      </c>
      <c r="GG331">
        <v>2</v>
      </c>
      <c r="GH331">
        <v>1</v>
      </c>
      <c r="GI331">
        <v>2</v>
      </c>
      <c r="GJ331">
        <v>0</v>
      </c>
      <c r="GK331">
        <v>0</v>
      </c>
      <c r="GL331">
        <f t="shared" si="355"/>
        <v>0</v>
      </c>
      <c r="GM331" t="e">
        <f t="shared" si="356"/>
        <v>#REF!</v>
      </c>
      <c r="GN331" t="e">
        <f t="shared" si="357"/>
        <v>#REF!</v>
      </c>
      <c r="GO331">
        <f t="shared" si="358"/>
        <v>0</v>
      </c>
      <c r="GP331">
        <f t="shared" si="359"/>
        <v>0</v>
      </c>
      <c r="GR331">
        <v>0</v>
      </c>
      <c r="GS331">
        <v>3</v>
      </c>
      <c r="GT331">
        <v>0</v>
      </c>
      <c r="GU331" t="s">
        <v>6</v>
      </c>
      <c r="GV331">
        <f t="shared" si="360"/>
        <v>0</v>
      </c>
      <c r="GW331">
        <v>1015.2</v>
      </c>
      <c r="GX331">
        <f t="shared" si="361"/>
        <v>0</v>
      </c>
      <c r="HA331">
        <v>0</v>
      </c>
      <c r="HB331">
        <v>0</v>
      </c>
      <c r="HC331">
        <f t="shared" si="362"/>
        <v>0</v>
      </c>
      <c r="HE331" t="s">
        <v>6</v>
      </c>
      <c r="HF331" t="s">
        <v>6</v>
      </c>
      <c r="HM331" t="s">
        <v>6</v>
      </c>
      <c r="HN331" t="s">
        <v>6</v>
      </c>
      <c r="HO331" t="s">
        <v>6</v>
      </c>
      <c r="HP331" t="s">
        <v>6</v>
      </c>
      <c r="HQ331" t="s">
        <v>6</v>
      </c>
      <c r="IF331">
        <v>-1</v>
      </c>
      <c r="IK331">
        <v>0</v>
      </c>
    </row>
    <row r="332" spans="1:255" x14ac:dyDescent="0.2">
      <c r="A332" s="2">
        <v>18</v>
      </c>
      <c r="B332" s="2">
        <v>1</v>
      </c>
      <c r="C332" s="2">
        <v>405</v>
      </c>
      <c r="D332" s="2"/>
      <c r="E332" s="2" t="s">
        <v>446</v>
      </c>
      <c r="F332" s="2" t="s">
        <v>447</v>
      </c>
      <c r="G332" s="2" t="s">
        <v>448</v>
      </c>
      <c r="H332" s="2" t="s">
        <v>33</v>
      </c>
      <c r="I332" s="2">
        <f>I330*J332</f>
        <v>0.24</v>
      </c>
      <c r="J332" s="226">
        <f>'5.Ведомость_списания'!F143</f>
        <v>2.9173124259276144E-2</v>
      </c>
      <c r="K332" s="2">
        <v>2.917312E-2</v>
      </c>
      <c r="L332" s="2"/>
      <c r="M332" s="2"/>
      <c r="N332" s="2"/>
      <c r="O332" s="2">
        <f t="shared" si="331"/>
        <v>3079</v>
      </c>
      <c r="P332" s="2">
        <f t="shared" si="332"/>
        <v>3079</v>
      </c>
      <c r="Q332" s="2">
        <f t="shared" si="333"/>
        <v>0</v>
      </c>
      <c r="R332" s="2">
        <f t="shared" si="334"/>
        <v>0</v>
      </c>
      <c r="S332" s="2">
        <f t="shared" si="335"/>
        <v>0</v>
      </c>
      <c r="T332" s="2">
        <f t="shared" si="336"/>
        <v>0</v>
      </c>
      <c r="U332" s="2">
        <f t="shared" si="337"/>
        <v>0</v>
      </c>
      <c r="V332" s="2">
        <f t="shared" si="338"/>
        <v>0</v>
      </c>
      <c r="W332" s="2">
        <f t="shared" si="339"/>
        <v>0</v>
      </c>
      <c r="X332" s="2">
        <f t="shared" si="340"/>
        <v>0</v>
      </c>
      <c r="Y332" s="2">
        <f t="shared" si="341"/>
        <v>0</v>
      </c>
      <c r="Z332" s="2"/>
      <c r="AA332" s="2">
        <v>86326987</v>
      </c>
      <c r="AB332" s="2">
        <f t="shared" si="342"/>
        <v>12829.31</v>
      </c>
      <c r="AC332" s="2">
        <f t="shared" ref="AC332:AC339" si="368">ROUND((ES332),2)</f>
        <v>12829.31</v>
      </c>
      <c r="AD332" s="2">
        <f t="shared" ref="AD332:AD339" si="369">ROUND((((ET332)-(EU332))+AE332),2)</f>
        <v>0</v>
      </c>
      <c r="AE332" s="2">
        <f t="shared" ref="AE332:AF339" si="370">ROUND((EU332),2)</f>
        <v>0</v>
      </c>
      <c r="AF332" s="2">
        <f t="shared" si="370"/>
        <v>0</v>
      </c>
      <c r="AG332" s="2">
        <f t="shared" si="343"/>
        <v>0</v>
      </c>
      <c r="AH332" s="2">
        <f t="shared" ref="AH332:AI339" si="371">(EW332)</f>
        <v>0</v>
      </c>
      <c r="AI332" s="2">
        <f t="shared" si="371"/>
        <v>0</v>
      </c>
      <c r="AJ332" s="2">
        <f t="shared" si="344"/>
        <v>0</v>
      </c>
      <c r="AK332" s="2">
        <v>12829.31</v>
      </c>
      <c r="AL332" s="110">
        <f>'1.Лок.смета.и.Акт'!F610</f>
        <v>12829.31</v>
      </c>
      <c r="AM332" s="2">
        <v>0</v>
      </c>
      <c r="AN332" s="2">
        <v>0</v>
      </c>
      <c r="AO332" s="2">
        <v>0</v>
      </c>
      <c r="AP332" s="2">
        <v>0</v>
      </c>
      <c r="AQ332" s="2">
        <v>0</v>
      </c>
      <c r="AR332" s="2">
        <v>0</v>
      </c>
      <c r="AS332" s="2">
        <v>0</v>
      </c>
      <c r="AT332" s="2">
        <v>0</v>
      </c>
      <c r="AU332" s="2">
        <v>0</v>
      </c>
      <c r="AV332" s="2">
        <v>1</v>
      </c>
      <c r="AW332" s="2">
        <v>1</v>
      </c>
      <c r="AX332" s="2"/>
      <c r="AY332" s="2"/>
      <c r="AZ332" s="2">
        <v>1</v>
      </c>
      <c r="BA332" s="2">
        <v>1</v>
      </c>
      <c r="BB332" s="2">
        <v>1</v>
      </c>
      <c r="BC332" s="2">
        <v>1</v>
      </c>
      <c r="BD332" s="2" t="s">
        <v>6</v>
      </c>
      <c r="BE332" s="2" t="s">
        <v>6</v>
      </c>
      <c r="BF332" s="2" t="s">
        <v>6</v>
      </c>
      <c r="BG332" s="2" t="s">
        <v>6</v>
      </c>
      <c r="BH332" s="2">
        <v>3</v>
      </c>
      <c r="BI332" s="2">
        <v>1</v>
      </c>
      <c r="BJ332" s="2" t="s">
        <v>449</v>
      </c>
      <c r="BK332" s="2"/>
      <c r="BL332" s="2"/>
      <c r="BM332" s="2">
        <v>500003</v>
      </c>
      <c r="BN332" s="2">
        <v>0</v>
      </c>
      <c r="BO332" s="2" t="s">
        <v>6</v>
      </c>
      <c r="BP332" s="2">
        <v>0</v>
      </c>
      <c r="BQ332" s="2">
        <v>22</v>
      </c>
      <c r="BR332" s="2">
        <v>0</v>
      </c>
      <c r="BS332" s="2">
        <v>1</v>
      </c>
      <c r="BT332" s="2">
        <v>1</v>
      </c>
      <c r="BU332" s="2">
        <v>1</v>
      </c>
      <c r="BV332" s="2">
        <v>1</v>
      </c>
      <c r="BW332" s="2">
        <v>1</v>
      </c>
      <c r="BX332" s="2">
        <v>1</v>
      </c>
      <c r="BY332" s="2" t="s">
        <v>6</v>
      </c>
      <c r="BZ332" s="2">
        <v>0</v>
      </c>
      <c r="CA332" s="2">
        <v>0</v>
      </c>
      <c r="CB332" s="2" t="s">
        <v>6</v>
      </c>
      <c r="CC332" s="2"/>
      <c r="CD332" s="2"/>
      <c r="CE332" s="2">
        <v>0</v>
      </c>
      <c r="CF332" s="2">
        <v>0</v>
      </c>
      <c r="CG332" s="2">
        <v>0</v>
      </c>
      <c r="CH332" s="2"/>
      <c r="CI332" s="2"/>
      <c r="CJ332" s="2"/>
      <c r="CK332" s="2"/>
      <c r="CL332" s="2"/>
      <c r="CM332" s="2">
        <v>0</v>
      </c>
      <c r="CN332" s="2" t="s">
        <v>6</v>
      </c>
      <c r="CO332" s="2">
        <v>0</v>
      </c>
      <c r="CP332" s="2">
        <f t="shared" si="345"/>
        <v>3079</v>
      </c>
      <c r="CQ332" s="2">
        <f t="shared" si="346"/>
        <v>12829.31</v>
      </c>
      <c r="CR332" s="2">
        <f t="shared" si="347"/>
        <v>0</v>
      </c>
      <c r="CS332" s="2">
        <f t="shared" si="348"/>
        <v>0</v>
      </c>
      <c r="CT332" s="2">
        <f t="shared" si="349"/>
        <v>0</v>
      </c>
      <c r="CU332" s="2">
        <f t="shared" si="350"/>
        <v>0</v>
      </c>
      <c r="CV332" s="2">
        <f t="shared" si="351"/>
        <v>0</v>
      </c>
      <c r="CW332" s="2">
        <f t="shared" si="352"/>
        <v>0</v>
      </c>
      <c r="CX332" s="2">
        <f t="shared" si="353"/>
        <v>0</v>
      </c>
      <c r="CY332" s="2">
        <f>(((S332+(R332*IF(0,0,1)))*AT332)/100)</f>
        <v>0</v>
      </c>
      <c r="CZ332" s="2">
        <f>(((S332+(R332*IF(0,0,1)))*AU332)/100)</f>
        <v>0</v>
      </c>
      <c r="DA332" s="2"/>
      <c r="DB332" s="2"/>
      <c r="DC332" s="2" t="s">
        <v>6</v>
      </c>
      <c r="DD332" s="2" t="s">
        <v>6</v>
      </c>
      <c r="DE332" s="2" t="s">
        <v>6</v>
      </c>
      <c r="DF332" s="2" t="s">
        <v>6</v>
      </c>
      <c r="DG332" s="2" t="s">
        <v>6</v>
      </c>
      <c r="DH332" s="2" t="s">
        <v>6</v>
      </c>
      <c r="DI332" s="2" t="s">
        <v>6</v>
      </c>
      <c r="DJ332" s="2" t="s">
        <v>6</v>
      </c>
      <c r="DK332" s="2" t="s">
        <v>6</v>
      </c>
      <c r="DL332" s="2" t="s">
        <v>6</v>
      </c>
      <c r="DM332" s="2" t="s">
        <v>6</v>
      </c>
      <c r="DN332" s="2">
        <v>0</v>
      </c>
      <c r="DO332" s="2">
        <v>0</v>
      </c>
      <c r="DP332" s="2">
        <v>1</v>
      </c>
      <c r="DQ332" s="2">
        <v>1</v>
      </c>
      <c r="DR332" s="2"/>
      <c r="DS332" s="2"/>
      <c r="DT332" s="2"/>
      <c r="DU332" s="2">
        <v>1009</v>
      </c>
      <c r="DV332" s="2" t="s">
        <v>33</v>
      </c>
      <c r="DW332" s="2" t="s">
        <v>33</v>
      </c>
      <c r="DX332" s="2">
        <v>1000</v>
      </c>
      <c r="DY332" s="2"/>
      <c r="DZ332" s="2" t="s">
        <v>6</v>
      </c>
      <c r="EA332" s="2" t="s">
        <v>6</v>
      </c>
      <c r="EB332" s="2" t="s">
        <v>6</v>
      </c>
      <c r="EC332" s="2" t="s">
        <v>6</v>
      </c>
      <c r="ED332" s="2"/>
      <c r="EE332" s="2">
        <v>54938783</v>
      </c>
      <c r="EF332" s="2">
        <v>22</v>
      </c>
      <c r="EG332" s="2" t="s">
        <v>57</v>
      </c>
      <c r="EH332" s="2">
        <v>0</v>
      </c>
      <c r="EI332" s="2" t="s">
        <v>6</v>
      </c>
      <c r="EJ332" s="2">
        <v>1</v>
      </c>
      <c r="EK332" s="2">
        <v>500003</v>
      </c>
      <c r="EL332" s="2" t="s">
        <v>58</v>
      </c>
      <c r="EM332" s="2" t="s">
        <v>59</v>
      </c>
      <c r="EN332" s="2"/>
      <c r="EO332" s="2" t="s">
        <v>6</v>
      </c>
      <c r="EP332" s="2"/>
      <c r="EQ332" s="2">
        <v>0</v>
      </c>
      <c r="ER332" s="2">
        <v>12829.31</v>
      </c>
      <c r="ES332" s="110">
        <f>'1.Лок.смета.и.Акт'!F610</f>
        <v>12829.31</v>
      </c>
      <c r="ET332" s="2">
        <v>0</v>
      </c>
      <c r="EU332" s="2">
        <v>0</v>
      </c>
      <c r="EV332" s="2">
        <v>0</v>
      </c>
      <c r="EW332" s="2">
        <v>0</v>
      </c>
      <c r="EX332" s="2">
        <v>0</v>
      </c>
      <c r="EY332" s="2"/>
      <c r="EZ332" s="2"/>
      <c r="FA332" s="2"/>
      <c r="FB332" s="2"/>
      <c r="FC332" s="2"/>
      <c r="FD332" s="2"/>
      <c r="FE332" s="2"/>
      <c r="FF332" s="2"/>
      <c r="FG332" s="2"/>
      <c r="FH332" s="2"/>
      <c r="FI332" s="2"/>
      <c r="FJ332" s="2"/>
      <c r="FK332" s="2"/>
      <c r="FL332" s="2"/>
      <c r="FM332" s="2"/>
      <c r="FN332" s="2"/>
      <c r="FO332" s="2"/>
      <c r="FP332" s="2"/>
      <c r="FQ332" s="2">
        <v>0</v>
      </c>
      <c r="FR332" s="2">
        <f t="shared" si="354"/>
        <v>0</v>
      </c>
      <c r="FS332" s="2">
        <v>0</v>
      </c>
      <c r="FT332" s="2"/>
      <c r="FU332" s="2"/>
      <c r="FV332" s="2"/>
      <c r="FW332" s="2"/>
      <c r="FX332" s="2">
        <v>0</v>
      </c>
      <c r="FY332" s="2">
        <v>0</v>
      </c>
      <c r="FZ332" s="2"/>
      <c r="GA332" s="2" t="s">
        <v>6</v>
      </c>
      <c r="GB332" s="2"/>
      <c r="GC332" s="2"/>
      <c r="GD332" s="2">
        <v>1</v>
      </c>
      <c r="GE332" s="2"/>
      <c r="GF332" s="2">
        <v>697213220</v>
      </c>
      <c r="GG332" s="2">
        <v>2</v>
      </c>
      <c r="GH332" s="2">
        <v>2</v>
      </c>
      <c r="GI332" s="2">
        <v>-2</v>
      </c>
      <c r="GJ332" s="2">
        <v>0</v>
      </c>
      <c r="GK332" s="2">
        <v>0</v>
      </c>
      <c r="GL332" s="2">
        <f t="shared" si="355"/>
        <v>0</v>
      </c>
      <c r="GM332" s="2">
        <f t="shared" si="356"/>
        <v>3079</v>
      </c>
      <c r="GN332" s="2">
        <f t="shared" si="357"/>
        <v>3079</v>
      </c>
      <c r="GO332" s="2">
        <f t="shared" si="358"/>
        <v>0</v>
      </c>
      <c r="GP332" s="2">
        <f t="shared" si="359"/>
        <v>0</v>
      </c>
      <c r="GQ332" s="2"/>
      <c r="GR332" s="2">
        <v>0</v>
      </c>
      <c r="GS332" s="2">
        <v>2</v>
      </c>
      <c r="GT332" s="2">
        <v>0</v>
      </c>
      <c r="GU332" s="2" t="s">
        <v>6</v>
      </c>
      <c r="GV332" s="2">
        <f t="shared" si="360"/>
        <v>0</v>
      </c>
      <c r="GW332" s="2">
        <v>1</v>
      </c>
      <c r="GX332" s="2">
        <f t="shared" si="361"/>
        <v>0</v>
      </c>
      <c r="GY332" s="2"/>
      <c r="GZ332" s="2"/>
      <c r="HA332" s="2">
        <v>0</v>
      </c>
      <c r="HB332" s="2">
        <v>0</v>
      </c>
      <c r="HC332" s="2">
        <f t="shared" si="362"/>
        <v>0</v>
      </c>
      <c r="HD332" s="2"/>
      <c r="HE332" s="2" t="s">
        <v>6</v>
      </c>
      <c r="HF332" s="2" t="s">
        <v>6</v>
      </c>
      <c r="HG332" s="2"/>
      <c r="HH332" s="2"/>
      <c r="HI332" s="2"/>
      <c r="HJ332" s="2"/>
      <c r="HK332" s="2"/>
      <c r="HL332" s="2"/>
      <c r="HM332" s="2" t="s">
        <v>6</v>
      </c>
      <c r="HN332" s="2" t="s">
        <v>6</v>
      </c>
      <c r="HO332" s="2" t="s">
        <v>6</v>
      </c>
      <c r="HP332" s="2" t="s">
        <v>6</v>
      </c>
      <c r="HQ332" s="2" t="s">
        <v>6</v>
      </c>
      <c r="HR332" s="2"/>
      <c r="HS332" s="2"/>
      <c r="HT332" s="2"/>
      <c r="HU332" s="2"/>
      <c r="HV332" s="2"/>
      <c r="HW332" s="2"/>
      <c r="HX332" s="2"/>
      <c r="HY332" s="2"/>
      <c r="HZ332" s="2"/>
      <c r="IA332" s="2"/>
      <c r="IB332" s="2"/>
      <c r="IC332" s="2"/>
      <c r="ID332" s="2"/>
      <c r="IE332" s="2"/>
      <c r="IF332" s="2">
        <v>-1</v>
      </c>
      <c r="IG332" s="2"/>
      <c r="IH332" s="2"/>
      <c r="II332" s="2"/>
      <c r="IJ332" s="2"/>
      <c r="IK332" s="2">
        <v>0</v>
      </c>
      <c r="IL332" s="2"/>
      <c r="IM332" s="2"/>
      <c r="IN332" s="2"/>
      <c r="IO332" s="2"/>
      <c r="IP332" s="2"/>
      <c r="IQ332" s="2"/>
      <c r="IR332" s="2"/>
      <c r="IS332" s="2"/>
      <c r="IT332" s="2"/>
      <c r="IU332" s="2"/>
    </row>
    <row r="333" spans="1:255" x14ac:dyDescent="0.2">
      <c r="A333">
        <v>18</v>
      </c>
      <c r="B333">
        <v>1</v>
      </c>
      <c r="C333">
        <v>414</v>
      </c>
      <c r="E333" t="s">
        <v>446</v>
      </c>
      <c r="F333" t="e">
        <f>'2.Лок.смета.и.Акт'!#REF!</f>
        <v>#REF!</v>
      </c>
      <c r="G333" t="s">
        <v>448</v>
      </c>
      <c r="H333" t="s">
        <v>33</v>
      </c>
      <c r="I333">
        <f>I331*J333</f>
        <v>0.24</v>
      </c>
      <c r="J333">
        <v>2.9173124259276144E-2</v>
      </c>
      <c r="K333">
        <v>2.917312E-2</v>
      </c>
      <c r="O333">
        <f t="shared" si="331"/>
        <v>24390</v>
      </c>
      <c r="P333">
        <f t="shared" si="332"/>
        <v>24390</v>
      </c>
      <c r="Q333">
        <f t="shared" si="333"/>
        <v>0</v>
      </c>
      <c r="R333">
        <f t="shared" si="334"/>
        <v>0</v>
      </c>
      <c r="S333">
        <f t="shared" si="335"/>
        <v>0</v>
      </c>
      <c r="T333">
        <f t="shared" si="336"/>
        <v>0</v>
      </c>
      <c r="U333">
        <f t="shared" si="337"/>
        <v>0</v>
      </c>
      <c r="V333">
        <f t="shared" si="338"/>
        <v>0</v>
      </c>
      <c r="W333">
        <f t="shared" si="339"/>
        <v>0</v>
      </c>
      <c r="X333">
        <f t="shared" si="340"/>
        <v>0</v>
      </c>
      <c r="Y333">
        <f t="shared" si="341"/>
        <v>0</v>
      </c>
      <c r="AA333">
        <v>86326988</v>
      </c>
      <c r="AB333">
        <f t="shared" si="342"/>
        <v>13442.55</v>
      </c>
      <c r="AC333">
        <f t="shared" si="368"/>
        <v>13442.55</v>
      </c>
      <c r="AD333">
        <f t="shared" si="369"/>
        <v>0</v>
      </c>
      <c r="AE333">
        <f t="shared" si="370"/>
        <v>0</v>
      </c>
      <c r="AF333">
        <f t="shared" si="370"/>
        <v>0</v>
      </c>
      <c r="AG333">
        <f t="shared" si="343"/>
        <v>0</v>
      </c>
      <c r="AH333">
        <f t="shared" si="371"/>
        <v>0</v>
      </c>
      <c r="AI333">
        <f t="shared" si="371"/>
        <v>0</v>
      </c>
      <c r="AJ333">
        <f t="shared" si="344"/>
        <v>0</v>
      </c>
      <c r="AK333">
        <v>13442.55</v>
      </c>
      <c r="AL333">
        <v>13442.55</v>
      </c>
      <c r="AM333">
        <v>0</v>
      </c>
      <c r="AN333">
        <v>0</v>
      </c>
      <c r="AO333">
        <v>0</v>
      </c>
      <c r="AP333">
        <v>0</v>
      </c>
      <c r="AQ333">
        <v>0</v>
      </c>
      <c r="AR333">
        <v>0</v>
      </c>
      <c r="AS333">
        <v>0</v>
      </c>
      <c r="AT333">
        <v>0</v>
      </c>
      <c r="AU333">
        <v>0</v>
      </c>
      <c r="AV333">
        <v>1</v>
      </c>
      <c r="AW333">
        <v>1</v>
      </c>
      <c r="AZ333">
        <v>1</v>
      </c>
      <c r="BA333">
        <v>1</v>
      </c>
      <c r="BB333">
        <v>1</v>
      </c>
      <c r="BC333">
        <v>7.56</v>
      </c>
      <c r="BD333" t="s">
        <v>6</v>
      </c>
      <c r="BE333" t="s">
        <v>6</v>
      </c>
      <c r="BF333" t="s">
        <v>6</v>
      </c>
      <c r="BG333" t="s">
        <v>6</v>
      </c>
      <c r="BH333">
        <v>3</v>
      </c>
      <c r="BI333">
        <v>1</v>
      </c>
      <c r="BJ333" t="s">
        <v>449</v>
      </c>
      <c r="BM333">
        <v>500003</v>
      </c>
      <c r="BN333">
        <v>0</v>
      </c>
      <c r="BO333" t="s">
        <v>6</v>
      </c>
      <c r="BP333">
        <v>0</v>
      </c>
      <c r="BQ333">
        <v>22</v>
      </c>
      <c r="BR333">
        <v>0</v>
      </c>
      <c r="BS333">
        <v>1</v>
      </c>
      <c r="BT333">
        <v>1</v>
      </c>
      <c r="BU333">
        <v>1</v>
      </c>
      <c r="BV333">
        <v>1</v>
      </c>
      <c r="BW333">
        <v>1</v>
      </c>
      <c r="BX333">
        <v>1</v>
      </c>
      <c r="BY333" t="s">
        <v>6</v>
      </c>
      <c r="BZ333">
        <v>0</v>
      </c>
      <c r="CA333">
        <v>0</v>
      </c>
      <c r="CB333" t="s">
        <v>6</v>
      </c>
      <c r="CE333">
        <v>0</v>
      </c>
      <c r="CF333">
        <v>0</v>
      </c>
      <c r="CG333">
        <v>0</v>
      </c>
      <c r="CM333">
        <v>0</v>
      </c>
      <c r="CN333" t="s">
        <v>6</v>
      </c>
      <c r="CO333">
        <v>0</v>
      </c>
      <c r="CP333">
        <f t="shared" si="345"/>
        <v>24390</v>
      </c>
      <c r="CQ333">
        <f t="shared" si="346"/>
        <v>101625.67799999999</v>
      </c>
      <c r="CR333">
        <f t="shared" si="347"/>
        <v>0</v>
      </c>
      <c r="CS333">
        <f t="shared" si="348"/>
        <v>0</v>
      </c>
      <c r="CT333">
        <f t="shared" si="349"/>
        <v>0</v>
      </c>
      <c r="CU333">
        <f t="shared" si="350"/>
        <v>0</v>
      </c>
      <c r="CV333">
        <f t="shared" si="351"/>
        <v>0</v>
      </c>
      <c r="CW333">
        <f t="shared" si="352"/>
        <v>0</v>
      </c>
      <c r="CX333">
        <f t="shared" si="353"/>
        <v>0</v>
      </c>
      <c r="CY333">
        <f>(S333+R333)*(BZ333/100)</f>
        <v>0</v>
      </c>
      <c r="CZ333">
        <f>(S333+R333)*(CA333/100)</f>
        <v>0</v>
      </c>
      <c r="DC333" t="s">
        <v>6</v>
      </c>
      <c r="DD333" t="s">
        <v>6</v>
      </c>
      <c r="DE333" t="s">
        <v>6</v>
      </c>
      <c r="DF333" t="s">
        <v>6</v>
      </c>
      <c r="DG333" t="s">
        <v>6</v>
      </c>
      <c r="DH333" t="s">
        <v>6</v>
      </c>
      <c r="DI333" t="s">
        <v>6</v>
      </c>
      <c r="DJ333" t="s">
        <v>6</v>
      </c>
      <c r="DK333" t="s">
        <v>6</v>
      </c>
      <c r="DL333" t="s">
        <v>6</v>
      </c>
      <c r="DM333" t="s">
        <v>6</v>
      </c>
      <c r="DN333">
        <v>0</v>
      </c>
      <c r="DO333">
        <v>0</v>
      </c>
      <c r="DP333">
        <v>1</v>
      </c>
      <c r="DQ333">
        <v>1</v>
      </c>
      <c r="DU333">
        <v>1009</v>
      </c>
      <c r="DV333" t="s">
        <v>33</v>
      </c>
      <c r="DW333" t="e">
        <f>'2.Лок.смета.и.Акт'!#REF!</f>
        <v>#REF!</v>
      </c>
      <c r="DX333">
        <v>1000</v>
      </c>
      <c r="DZ333" t="s">
        <v>6</v>
      </c>
      <c r="EA333" t="s">
        <v>6</v>
      </c>
      <c r="EB333" t="s">
        <v>6</v>
      </c>
      <c r="EC333" t="s">
        <v>6</v>
      </c>
      <c r="EE333">
        <v>54938783</v>
      </c>
      <c r="EF333">
        <v>22</v>
      </c>
      <c r="EG333" t="s">
        <v>57</v>
      </c>
      <c r="EH333">
        <v>0</v>
      </c>
      <c r="EI333" t="s">
        <v>6</v>
      </c>
      <c r="EJ333">
        <v>1</v>
      </c>
      <c r="EK333">
        <v>500003</v>
      </c>
      <c r="EL333" t="s">
        <v>58</v>
      </c>
      <c r="EM333" t="s">
        <v>59</v>
      </c>
      <c r="EO333" t="s">
        <v>6</v>
      </c>
      <c r="EQ333">
        <v>0</v>
      </c>
      <c r="ER333">
        <v>96989.57</v>
      </c>
      <c r="ES333">
        <v>13442.55</v>
      </c>
      <c r="ET333">
        <v>0</v>
      </c>
      <c r="EU333">
        <v>0</v>
      </c>
      <c r="EV333">
        <v>0</v>
      </c>
      <c r="EW333">
        <v>0</v>
      </c>
      <c r="EX333">
        <v>0</v>
      </c>
      <c r="EZ333">
        <v>5</v>
      </c>
      <c r="FC333">
        <v>0</v>
      </c>
      <c r="FD333">
        <v>18</v>
      </c>
      <c r="FF333">
        <v>96989.57</v>
      </c>
      <c r="FQ333">
        <v>0</v>
      </c>
      <c r="FR333">
        <f t="shared" si="354"/>
        <v>0</v>
      </c>
      <c r="FS333">
        <v>0</v>
      </c>
      <c r="FX333">
        <v>0</v>
      </c>
      <c r="FY333">
        <v>0</v>
      </c>
      <c r="GA333" t="s">
        <v>450</v>
      </c>
      <c r="GD333">
        <v>1</v>
      </c>
      <c r="GF333">
        <v>697213220</v>
      </c>
      <c r="GG333">
        <v>2</v>
      </c>
      <c r="GH333">
        <v>3</v>
      </c>
      <c r="GI333">
        <v>5</v>
      </c>
      <c r="GJ333">
        <v>0</v>
      </c>
      <c r="GK333">
        <v>0</v>
      </c>
      <c r="GL333">
        <f t="shared" si="355"/>
        <v>0</v>
      </c>
      <c r="GM333">
        <f t="shared" si="356"/>
        <v>24390</v>
      </c>
      <c r="GN333">
        <f t="shared" si="357"/>
        <v>24390</v>
      </c>
      <c r="GO333">
        <f t="shared" si="358"/>
        <v>0</v>
      </c>
      <c r="GP333">
        <f t="shared" si="359"/>
        <v>0</v>
      </c>
      <c r="GR333">
        <v>1</v>
      </c>
      <c r="GS333">
        <v>1</v>
      </c>
      <c r="GT333">
        <v>0</v>
      </c>
      <c r="GU333" t="s">
        <v>6</v>
      </c>
      <c r="GV333">
        <f t="shared" si="360"/>
        <v>0</v>
      </c>
      <c r="GW333">
        <v>1</v>
      </c>
      <c r="GX333">
        <f t="shared" si="361"/>
        <v>0</v>
      </c>
      <c r="HA333">
        <v>0</v>
      </c>
      <c r="HB333">
        <v>0</v>
      </c>
      <c r="HC333">
        <f t="shared" si="362"/>
        <v>0</v>
      </c>
      <c r="HE333" t="s">
        <v>39</v>
      </c>
      <c r="HF333" t="s">
        <v>61</v>
      </c>
      <c r="HM333" t="s">
        <v>6</v>
      </c>
      <c r="HN333" t="s">
        <v>6</v>
      </c>
      <c r="HO333" t="s">
        <v>6</v>
      </c>
      <c r="HP333" t="s">
        <v>6</v>
      </c>
      <c r="HQ333" t="s">
        <v>6</v>
      </c>
      <c r="IF333">
        <v>-1</v>
      </c>
      <c r="IK333">
        <v>0</v>
      </c>
    </row>
    <row r="334" spans="1:255" x14ac:dyDescent="0.2">
      <c r="A334" s="2">
        <v>18</v>
      </c>
      <c r="B334" s="2">
        <v>1</v>
      </c>
      <c r="C334" s="2">
        <v>406</v>
      </c>
      <c r="D334" s="2"/>
      <c r="E334" s="2" t="s">
        <v>451</v>
      </c>
      <c r="F334" s="2" t="s">
        <v>438</v>
      </c>
      <c r="G334" s="2" t="s">
        <v>439</v>
      </c>
      <c r="H334" s="2" t="s">
        <v>33</v>
      </c>
      <c r="I334" s="2">
        <f>I330*J334</f>
        <v>1.3552500000000001</v>
      </c>
      <c r="J334" s="226">
        <f>'5.Ведомость_списания'!F144</f>
        <v>0.16473698605159998</v>
      </c>
      <c r="K334" s="2">
        <v>0.16473699999999999</v>
      </c>
      <c r="L334" s="2"/>
      <c r="M334" s="2"/>
      <c r="N334" s="2"/>
      <c r="O334" s="2">
        <f t="shared" si="331"/>
        <v>19443</v>
      </c>
      <c r="P334" s="2">
        <f t="shared" si="332"/>
        <v>19443</v>
      </c>
      <c r="Q334" s="2">
        <f t="shared" si="333"/>
        <v>0</v>
      </c>
      <c r="R334" s="2">
        <f t="shared" si="334"/>
        <v>0</v>
      </c>
      <c r="S334" s="2">
        <f t="shared" si="335"/>
        <v>0</v>
      </c>
      <c r="T334" s="2">
        <f t="shared" si="336"/>
        <v>0</v>
      </c>
      <c r="U334" s="2">
        <f t="shared" si="337"/>
        <v>0</v>
      </c>
      <c r="V334" s="2">
        <f t="shared" si="338"/>
        <v>0</v>
      </c>
      <c r="W334" s="2">
        <f t="shared" si="339"/>
        <v>0</v>
      </c>
      <c r="X334" s="2">
        <f t="shared" si="340"/>
        <v>0</v>
      </c>
      <c r="Y334" s="2">
        <f t="shared" si="341"/>
        <v>0</v>
      </c>
      <c r="Z334" s="2"/>
      <c r="AA334" s="2">
        <v>86326987</v>
      </c>
      <c r="AB334" s="2">
        <f t="shared" si="342"/>
        <v>14346.51</v>
      </c>
      <c r="AC334" s="2">
        <f t="shared" si="368"/>
        <v>14346.51</v>
      </c>
      <c r="AD334" s="2">
        <f t="shared" si="369"/>
        <v>0</v>
      </c>
      <c r="AE334" s="2">
        <f t="shared" si="370"/>
        <v>0</v>
      </c>
      <c r="AF334" s="2">
        <f t="shared" si="370"/>
        <v>0</v>
      </c>
      <c r="AG334" s="2">
        <f t="shared" si="343"/>
        <v>0</v>
      </c>
      <c r="AH334" s="2">
        <f t="shared" si="371"/>
        <v>0</v>
      </c>
      <c r="AI334" s="2">
        <f t="shared" si="371"/>
        <v>0</v>
      </c>
      <c r="AJ334" s="2">
        <f t="shared" si="344"/>
        <v>0</v>
      </c>
      <c r="AK334" s="2">
        <v>14346.51</v>
      </c>
      <c r="AL334" s="110">
        <f>'1.Лок.смета.и.Акт'!F612</f>
        <v>14346.51</v>
      </c>
      <c r="AM334" s="2">
        <v>0</v>
      </c>
      <c r="AN334" s="2">
        <v>0</v>
      </c>
      <c r="AO334" s="2">
        <v>0</v>
      </c>
      <c r="AP334" s="2">
        <v>0</v>
      </c>
      <c r="AQ334" s="2">
        <v>0</v>
      </c>
      <c r="AR334" s="2">
        <v>0</v>
      </c>
      <c r="AS334" s="2">
        <v>0</v>
      </c>
      <c r="AT334" s="2">
        <v>0</v>
      </c>
      <c r="AU334" s="2">
        <v>0</v>
      </c>
      <c r="AV334" s="2">
        <v>1</v>
      </c>
      <c r="AW334" s="2">
        <v>1</v>
      </c>
      <c r="AX334" s="2"/>
      <c r="AY334" s="2"/>
      <c r="AZ334" s="2">
        <v>1</v>
      </c>
      <c r="BA334" s="2">
        <v>1</v>
      </c>
      <c r="BB334" s="2">
        <v>1</v>
      </c>
      <c r="BC334" s="2">
        <v>1</v>
      </c>
      <c r="BD334" s="2" t="s">
        <v>6</v>
      </c>
      <c r="BE334" s="2" t="s">
        <v>6</v>
      </c>
      <c r="BF334" s="2" t="s">
        <v>6</v>
      </c>
      <c r="BG334" s="2" t="s">
        <v>6</v>
      </c>
      <c r="BH334" s="2">
        <v>3</v>
      </c>
      <c r="BI334" s="2">
        <v>1</v>
      </c>
      <c r="BJ334" s="2" t="s">
        <v>440</v>
      </c>
      <c r="BK334" s="2"/>
      <c r="BL334" s="2"/>
      <c r="BM334" s="2">
        <v>500003</v>
      </c>
      <c r="BN334" s="2">
        <v>0</v>
      </c>
      <c r="BO334" s="2" t="s">
        <v>6</v>
      </c>
      <c r="BP334" s="2">
        <v>0</v>
      </c>
      <c r="BQ334" s="2">
        <v>22</v>
      </c>
      <c r="BR334" s="2">
        <v>0</v>
      </c>
      <c r="BS334" s="2">
        <v>1</v>
      </c>
      <c r="BT334" s="2">
        <v>1</v>
      </c>
      <c r="BU334" s="2">
        <v>1</v>
      </c>
      <c r="BV334" s="2">
        <v>1</v>
      </c>
      <c r="BW334" s="2">
        <v>1</v>
      </c>
      <c r="BX334" s="2">
        <v>1</v>
      </c>
      <c r="BY334" s="2" t="s">
        <v>6</v>
      </c>
      <c r="BZ334" s="2">
        <v>0</v>
      </c>
      <c r="CA334" s="2">
        <v>0</v>
      </c>
      <c r="CB334" s="2" t="s">
        <v>6</v>
      </c>
      <c r="CC334" s="2"/>
      <c r="CD334" s="2"/>
      <c r="CE334" s="2">
        <v>0</v>
      </c>
      <c r="CF334" s="2">
        <v>0</v>
      </c>
      <c r="CG334" s="2">
        <v>0</v>
      </c>
      <c r="CH334" s="2"/>
      <c r="CI334" s="2"/>
      <c r="CJ334" s="2"/>
      <c r="CK334" s="2"/>
      <c r="CL334" s="2"/>
      <c r="CM334" s="2">
        <v>0</v>
      </c>
      <c r="CN334" s="2" t="s">
        <v>6</v>
      </c>
      <c r="CO334" s="2">
        <v>0</v>
      </c>
      <c r="CP334" s="2">
        <f t="shared" si="345"/>
        <v>19443</v>
      </c>
      <c r="CQ334" s="2">
        <f t="shared" si="346"/>
        <v>14346.51</v>
      </c>
      <c r="CR334" s="2">
        <f t="shared" si="347"/>
        <v>0</v>
      </c>
      <c r="CS334" s="2">
        <f t="shared" si="348"/>
        <v>0</v>
      </c>
      <c r="CT334" s="2">
        <f t="shared" si="349"/>
        <v>0</v>
      </c>
      <c r="CU334" s="2">
        <f t="shared" si="350"/>
        <v>0</v>
      </c>
      <c r="CV334" s="2">
        <f t="shared" si="351"/>
        <v>0</v>
      </c>
      <c r="CW334" s="2">
        <f t="shared" si="352"/>
        <v>0</v>
      </c>
      <c r="CX334" s="2">
        <f t="shared" si="353"/>
        <v>0</v>
      </c>
      <c r="CY334" s="2">
        <f>(((S334+(R334*IF(0,0,1)))*AT334)/100)</f>
        <v>0</v>
      </c>
      <c r="CZ334" s="2">
        <f>(((S334+(R334*IF(0,0,1)))*AU334)/100)</f>
        <v>0</v>
      </c>
      <c r="DA334" s="2"/>
      <c r="DB334" s="2"/>
      <c r="DC334" s="2" t="s">
        <v>6</v>
      </c>
      <c r="DD334" s="2" t="s">
        <v>6</v>
      </c>
      <c r="DE334" s="2" t="s">
        <v>6</v>
      </c>
      <c r="DF334" s="2" t="s">
        <v>6</v>
      </c>
      <c r="DG334" s="2" t="s">
        <v>6</v>
      </c>
      <c r="DH334" s="2" t="s">
        <v>6</v>
      </c>
      <c r="DI334" s="2" t="s">
        <v>6</v>
      </c>
      <c r="DJ334" s="2" t="s">
        <v>6</v>
      </c>
      <c r="DK334" s="2" t="s">
        <v>6</v>
      </c>
      <c r="DL334" s="2" t="s">
        <v>6</v>
      </c>
      <c r="DM334" s="2" t="s">
        <v>6</v>
      </c>
      <c r="DN334" s="2">
        <v>0</v>
      </c>
      <c r="DO334" s="2">
        <v>0</v>
      </c>
      <c r="DP334" s="2">
        <v>1</v>
      </c>
      <c r="DQ334" s="2">
        <v>1</v>
      </c>
      <c r="DR334" s="2"/>
      <c r="DS334" s="2"/>
      <c r="DT334" s="2"/>
      <c r="DU334" s="2">
        <v>1009</v>
      </c>
      <c r="DV334" s="2" t="s">
        <v>33</v>
      </c>
      <c r="DW334" s="2" t="s">
        <v>33</v>
      </c>
      <c r="DX334" s="2">
        <v>1000</v>
      </c>
      <c r="DY334" s="2"/>
      <c r="DZ334" s="2" t="s">
        <v>6</v>
      </c>
      <c r="EA334" s="2" t="s">
        <v>6</v>
      </c>
      <c r="EB334" s="2" t="s">
        <v>6</v>
      </c>
      <c r="EC334" s="2" t="s">
        <v>6</v>
      </c>
      <c r="ED334" s="2"/>
      <c r="EE334" s="2">
        <v>54938783</v>
      </c>
      <c r="EF334" s="2">
        <v>22</v>
      </c>
      <c r="EG334" s="2" t="s">
        <v>57</v>
      </c>
      <c r="EH334" s="2">
        <v>0</v>
      </c>
      <c r="EI334" s="2" t="s">
        <v>6</v>
      </c>
      <c r="EJ334" s="2">
        <v>1</v>
      </c>
      <c r="EK334" s="2">
        <v>500003</v>
      </c>
      <c r="EL334" s="2" t="s">
        <v>58</v>
      </c>
      <c r="EM334" s="2" t="s">
        <v>59</v>
      </c>
      <c r="EN334" s="2"/>
      <c r="EO334" s="2" t="s">
        <v>6</v>
      </c>
      <c r="EP334" s="2"/>
      <c r="EQ334" s="2">
        <v>0</v>
      </c>
      <c r="ER334" s="2">
        <v>14346.51</v>
      </c>
      <c r="ES334" s="110">
        <f>'1.Лок.смета.и.Акт'!F612</f>
        <v>14346.51</v>
      </c>
      <c r="ET334" s="2">
        <v>0</v>
      </c>
      <c r="EU334" s="2">
        <v>0</v>
      </c>
      <c r="EV334" s="2">
        <v>0</v>
      </c>
      <c r="EW334" s="2">
        <v>0</v>
      </c>
      <c r="EX334" s="2">
        <v>0</v>
      </c>
      <c r="EY334" s="2"/>
      <c r="EZ334" s="2"/>
      <c r="FA334" s="2"/>
      <c r="FB334" s="2"/>
      <c r="FC334" s="2"/>
      <c r="FD334" s="2"/>
      <c r="FE334" s="2"/>
      <c r="FF334" s="2"/>
      <c r="FG334" s="2"/>
      <c r="FH334" s="2"/>
      <c r="FI334" s="2"/>
      <c r="FJ334" s="2"/>
      <c r="FK334" s="2"/>
      <c r="FL334" s="2"/>
      <c r="FM334" s="2"/>
      <c r="FN334" s="2"/>
      <c r="FO334" s="2"/>
      <c r="FP334" s="2"/>
      <c r="FQ334" s="2">
        <v>0</v>
      </c>
      <c r="FR334" s="2">
        <f t="shared" si="354"/>
        <v>0</v>
      </c>
      <c r="FS334" s="2">
        <v>0</v>
      </c>
      <c r="FT334" s="2"/>
      <c r="FU334" s="2"/>
      <c r="FV334" s="2"/>
      <c r="FW334" s="2"/>
      <c r="FX334" s="2">
        <v>0</v>
      </c>
      <c r="FY334" s="2">
        <v>0</v>
      </c>
      <c r="FZ334" s="2"/>
      <c r="GA334" s="2" t="s">
        <v>6</v>
      </c>
      <c r="GB334" s="2"/>
      <c r="GC334" s="2"/>
      <c r="GD334" s="2">
        <v>1</v>
      </c>
      <c r="GE334" s="2"/>
      <c r="GF334" s="2">
        <v>-1725170667</v>
      </c>
      <c r="GG334" s="2">
        <v>2</v>
      </c>
      <c r="GH334" s="2">
        <v>2</v>
      </c>
      <c r="GI334" s="2">
        <v>-2</v>
      </c>
      <c r="GJ334" s="2">
        <v>0</v>
      </c>
      <c r="GK334" s="2">
        <v>0</v>
      </c>
      <c r="GL334" s="2">
        <f t="shared" si="355"/>
        <v>0</v>
      </c>
      <c r="GM334" s="2">
        <f t="shared" si="356"/>
        <v>19443</v>
      </c>
      <c r="GN334" s="2">
        <f t="shared" si="357"/>
        <v>19443</v>
      </c>
      <c r="GO334" s="2">
        <f t="shared" si="358"/>
        <v>0</v>
      </c>
      <c r="GP334" s="2">
        <f t="shared" si="359"/>
        <v>0</v>
      </c>
      <c r="GQ334" s="2"/>
      <c r="GR334" s="2">
        <v>0</v>
      </c>
      <c r="GS334" s="2">
        <v>2</v>
      </c>
      <c r="GT334" s="2">
        <v>0</v>
      </c>
      <c r="GU334" s="2" t="s">
        <v>6</v>
      </c>
      <c r="GV334" s="2">
        <f t="shared" si="360"/>
        <v>0</v>
      </c>
      <c r="GW334" s="2">
        <v>1</v>
      </c>
      <c r="GX334" s="2">
        <f t="shared" si="361"/>
        <v>0</v>
      </c>
      <c r="GY334" s="2"/>
      <c r="GZ334" s="2"/>
      <c r="HA334" s="2">
        <v>0</v>
      </c>
      <c r="HB334" s="2">
        <v>0</v>
      </c>
      <c r="HC334" s="2">
        <f t="shared" si="362"/>
        <v>0</v>
      </c>
      <c r="HD334" s="2"/>
      <c r="HE334" s="2" t="s">
        <v>6</v>
      </c>
      <c r="HF334" s="2" t="s">
        <v>6</v>
      </c>
      <c r="HG334" s="2"/>
      <c r="HH334" s="2"/>
      <c r="HI334" s="2"/>
      <c r="HJ334" s="2"/>
      <c r="HK334" s="2"/>
      <c r="HL334" s="2"/>
      <c r="HM334" s="2" t="s">
        <v>6</v>
      </c>
      <c r="HN334" s="2" t="s">
        <v>6</v>
      </c>
      <c r="HO334" s="2" t="s">
        <v>6</v>
      </c>
      <c r="HP334" s="2" t="s">
        <v>6</v>
      </c>
      <c r="HQ334" s="2" t="s">
        <v>6</v>
      </c>
      <c r="HR334" s="2"/>
      <c r="HS334" s="2"/>
      <c r="HT334" s="2"/>
      <c r="HU334" s="2"/>
      <c r="HV334" s="2"/>
      <c r="HW334" s="2"/>
      <c r="HX334" s="2"/>
      <c r="HY334" s="2"/>
      <c r="HZ334" s="2"/>
      <c r="IA334" s="2"/>
      <c r="IB334" s="2"/>
      <c r="IC334" s="2"/>
      <c r="ID334" s="2"/>
      <c r="IE334" s="2"/>
      <c r="IF334" s="2">
        <v>-1</v>
      </c>
      <c r="IG334" s="2"/>
      <c r="IH334" s="2"/>
      <c r="II334" s="2"/>
      <c r="IJ334" s="2"/>
      <c r="IK334" s="2">
        <v>0</v>
      </c>
      <c r="IL334" s="2"/>
      <c r="IM334" s="2"/>
      <c r="IN334" s="2"/>
      <c r="IO334" s="2"/>
      <c r="IP334" s="2"/>
      <c r="IQ334" s="2"/>
      <c r="IR334" s="2"/>
      <c r="IS334" s="2"/>
      <c r="IT334" s="2"/>
      <c r="IU334" s="2"/>
    </row>
    <row r="335" spans="1:255" x14ac:dyDescent="0.2">
      <c r="A335">
        <v>18</v>
      </c>
      <c r="B335">
        <v>1</v>
      </c>
      <c r="C335">
        <v>415</v>
      </c>
      <c r="E335" t="s">
        <v>451</v>
      </c>
      <c r="F335" t="e">
        <f>'2.Лок.смета.и.Акт'!#REF!</f>
        <v>#REF!</v>
      </c>
      <c r="G335" t="s">
        <v>439</v>
      </c>
      <c r="H335" t="s">
        <v>33</v>
      </c>
      <c r="I335">
        <f>I331*J335</f>
        <v>1.3552500000000001</v>
      </c>
      <c r="J335">
        <v>0.16473698605159998</v>
      </c>
      <c r="K335">
        <v>0.16473699999999999</v>
      </c>
      <c r="O335">
        <f t="shared" si="331"/>
        <v>154016</v>
      </c>
      <c r="P335">
        <f t="shared" si="332"/>
        <v>154016</v>
      </c>
      <c r="Q335">
        <f t="shared" si="333"/>
        <v>0</v>
      </c>
      <c r="R335">
        <f t="shared" si="334"/>
        <v>0</v>
      </c>
      <c r="S335">
        <f t="shared" si="335"/>
        <v>0</v>
      </c>
      <c r="T335">
        <f t="shared" si="336"/>
        <v>0</v>
      </c>
      <c r="U335">
        <f t="shared" si="337"/>
        <v>0</v>
      </c>
      <c r="V335">
        <f t="shared" si="338"/>
        <v>0</v>
      </c>
      <c r="W335">
        <f t="shared" si="339"/>
        <v>0</v>
      </c>
      <c r="X335">
        <f t="shared" si="340"/>
        <v>0</v>
      </c>
      <c r="Y335">
        <f t="shared" si="341"/>
        <v>0</v>
      </c>
      <c r="AA335">
        <v>86326988</v>
      </c>
      <c r="AB335">
        <f t="shared" si="342"/>
        <v>15032.27</v>
      </c>
      <c r="AC335">
        <f t="shared" si="368"/>
        <v>15032.27</v>
      </c>
      <c r="AD335">
        <f t="shared" si="369"/>
        <v>0</v>
      </c>
      <c r="AE335">
        <f t="shared" si="370"/>
        <v>0</v>
      </c>
      <c r="AF335">
        <f t="shared" si="370"/>
        <v>0</v>
      </c>
      <c r="AG335">
        <f t="shared" si="343"/>
        <v>0</v>
      </c>
      <c r="AH335">
        <f t="shared" si="371"/>
        <v>0</v>
      </c>
      <c r="AI335">
        <f t="shared" si="371"/>
        <v>0</v>
      </c>
      <c r="AJ335">
        <f t="shared" si="344"/>
        <v>0</v>
      </c>
      <c r="AK335">
        <v>15032.27</v>
      </c>
      <c r="AL335">
        <v>15032.27</v>
      </c>
      <c r="AM335">
        <v>0</v>
      </c>
      <c r="AN335">
        <v>0</v>
      </c>
      <c r="AO335">
        <v>0</v>
      </c>
      <c r="AP335">
        <v>0</v>
      </c>
      <c r="AQ335">
        <v>0</v>
      </c>
      <c r="AR335">
        <v>0</v>
      </c>
      <c r="AS335">
        <v>0</v>
      </c>
      <c r="AT335">
        <v>0</v>
      </c>
      <c r="AU335">
        <v>0</v>
      </c>
      <c r="AV335">
        <v>1</v>
      </c>
      <c r="AW335">
        <v>1</v>
      </c>
      <c r="AZ335">
        <v>1</v>
      </c>
      <c r="BA335">
        <v>1</v>
      </c>
      <c r="BB335">
        <v>1</v>
      </c>
      <c r="BC335">
        <v>7.56</v>
      </c>
      <c r="BD335" t="s">
        <v>6</v>
      </c>
      <c r="BE335" t="s">
        <v>6</v>
      </c>
      <c r="BF335" t="s">
        <v>6</v>
      </c>
      <c r="BG335" t="s">
        <v>6</v>
      </c>
      <c r="BH335">
        <v>3</v>
      </c>
      <c r="BI335">
        <v>1</v>
      </c>
      <c r="BJ335" t="s">
        <v>440</v>
      </c>
      <c r="BM335">
        <v>500003</v>
      </c>
      <c r="BN335">
        <v>0</v>
      </c>
      <c r="BO335" t="s">
        <v>6</v>
      </c>
      <c r="BP335">
        <v>0</v>
      </c>
      <c r="BQ335">
        <v>22</v>
      </c>
      <c r="BR335">
        <v>0</v>
      </c>
      <c r="BS335">
        <v>1</v>
      </c>
      <c r="BT335">
        <v>1</v>
      </c>
      <c r="BU335">
        <v>1</v>
      </c>
      <c r="BV335">
        <v>1</v>
      </c>
      <c r="BW335">
        <v>1</v>
      </c>
      <c r="BX335">
        <v>1</v>
      </c>
      <c r="BY335" t="s">
        <v>6</v>
      </c>
      <c r="BZ335">
        <v>0</v>
      </c>
      <c r="CA335">
        <v>0</v>
      </c>
      <c r="CB335" t="s">
        <v>6</v>
      </c>
      <c r="CE335">
        <v>0</v>
      </c>
      <c r="CF335">
        <v>0</v>
      </c>
      <c r="CG335">
        <v>0</v>
      </c>
      <c r="CM335">
        <v>0</v>
      </c>
      <c r="CN335" t="s">
        <v>6</v>
      </c>
      <c r="CO335">
        <v>0</v>
      </c>
      <c r="CP335">
        <f t="shared" si="345"/>
        <v>154016</v>
      </c>
      <c r="CQ335">
        <f t="shared" si="346"/>
        <v>113643.96119999999</v>
      </c>
      <c r="CR335">
        <f t="shared" si="347"/>
        <v>0</v>
      </c>
      <c r="CS335">
        <f t="shared" si="348"/>
        <v>0</v>
      </c>
      <c r="CT335">
        <f t="shared" si="349"/>
        <v>0</v>
      </c>
      <c r="CU335">
        <f t="shared" si="350"/>
        <v>0</v>
      </c>
      <c r="CV335">
        <f t="shared" si="351"/>
        <v>0</v>
      </c>
      <c r="CW335">
        <f t="shared" si="352"/>
        <v>0</v>
      </c>
      <c r="CX335">
        <f t="shared" si="353"/>
        <v>0</v>
      </c>
      <c r="CY335">
        <f>(S335+R335)*(BZ335/100)</f>
        <v>0</v>
      </c>
      <c r="CZ335">
        <f>(S335+R335)*(CA335/100)</f>
        <v>0</v>
      </c>
      <c r="DC335" t="s">
        <v>6</v>
      </c>
      <c r="DD335" t="s">
        <v>6</v>
      </c>
      <c r="DE335" t="s">
        <v>6</v>
      </c>
      <c r="DF335" t="s">
        <v>6</v>
      </c>
      <c r="DG335" t="s">
        <v>6</v>
      </c>
      <c r="DH335" t="s">
        <v>6</v>
      </c>
      <c r="DI335" t="s">
        <v>6</v>
      </c>
      <c r="DJ335" t="s">
        <v>6</v>
      </c>
      <c r="DK335" t="s">
        <v>6</v>
      </c>
      <c r="DL335" t="s">
        <v>6</v>
      </c>
      <c r="DM335" t="s">
        <v>6</v>
      </c>
      <c r="DN335">
        <v>0</v>
      </c>
      <c r="DO335">
        <v>0</v>
      </c>
      <c r="DP335">
        <v>1</v>
      </c>
      <c r="DQ335">
        <v>1</v>
      </c>
      <c r="DU335">
        <v>1009</v>
      </c>
      <c r="DV335" t="s">
        <v>33</v>
      </c>
      <c r="DW335" t="e">
        <f>'2.Лок.смета.и.Акт'!#REF!</f>
        <v>#REF!</v>
      </c>
      <c r="DX335">
        <v>1000</v>
      </c>
      <c r="DZ335" t="s">
        <v>6</v>
      </c>
      <c r="EA335" t="s">
        <v>6</v>
      </c>
      <c r="EB335" t="s">
        <v>6</v>
      </c>
      <c r="EC335" t="s">
        <v>6</v>
      </c>
      <c r="EE335">
        <v>54938783</v>
      </c>
      <c r="EF335">
        <v>22</v>
      </c>
      <c r="EG335" t="s">
        <v>57</v>
      </c>
      <c r="EH335">
        <v>0</v>
      </c>
      <c r="EI335" t="s">
        <v>6</v>
      </c>
      <c r="EJ335">
        <v>1</v>
      </c>
      <c r="EK335">
        <v>500003</v>
      </c>
      <c r="EL335" t="s">
        <v>58</v>
      </c>
      <c r="EM335" t="s">
        <v>59</v>
      </c>
      <c r="EO335" t="s">
        <v>6</v>
      </c>
      <c r="EQ335">
        <v>0</v>
      </c>
      <c r="ER335">
        <v>108459.62</v>
      </c>
      <c r="ES335">
        <v>15032.27</v>
      </c>
      <c r="ET335">
        <v>0</v>
      </c>
      <c r="EU335">
        <v>0</v>
      </c>
      <c r="EV335">
        <v>0</v>
      </c>
      <c r="EW335">
        <v>0</v>
      </c>
      <c r="EX335">
        <v>0</v>
      </c>
      <c r="EZ335">
        <v>5</v>
      </c>
      <c r="FC335">
        <v>0</v>
      </c>
      <c r="FD335">
        <v>18</v>
      </c>
      <c r="FF335">
        <v>108459.62</v>
      </c>
      <c r="FQ335">
        <v>0</v>
      </c>
      <c r="FR335">
        <f t="shared" si="354"/>
        <v>0</v>
      </c>
      <c r="FS335">
        <v>0</v>
      </c>
      <c r="FX335">
        <v>0</v>
      </c>
      <c r="FY335">
        <v>0</v>
      </c>
      <c r="GA335" t="s">
        <v>441</v>
      </c>
      <c r="GD335">
        <v>1</v>
      </c>
      <c r="GF335">
        <v>-1725170667</v>
      </c>
      <c r="GG335">
        <v>2</v>
      </c>
      <c r="GH335">
        <v>3</v>
      </c>
      <c r="GI335">
        <v>5</v>
      </c>
      <c r="GJ335">
        <v>0</v>
      </c>
      <c r="GK335">
        <v>0</v>
      </c>
      <c r="GL335">
        <f t="shared" si="355"/>
        <v>0</v>
      </c>
      <c r="GM335">
        <f t="shared" si="356"/>
        <v>154016</v>
      </c>
      <c r="GN335">
        <f t="shared" si="357"/>
        <v>154016</v>
      </c>
      <c r="GO335">
        <f t="shared" si="358"/>
        <v>0</v>
      </c>
      <c r="GP335">
        <f t="shared" si="359"/>
        <v>0</v>
      </c>
      <c r="GR335">
        <v>1</v>
      </c>
      <c r="GS335">
        <v>1</v>
      </c>
      <c r="GT335">
        <v>0</v>
      </c>
      <c r="GU335" t="s">
        <v>6</v>
      </c>
      <c r="GV335">
        <f t="shared" si="360"/>
        <v>0</v>
      </c>
      <c r="GW335">
        <v>1</v>
      </c>
      <c r="GX335">
        <f t="shared" si="361"/>
        <v>0</v>
      </c>
      <c r="HA335">
        <v>0</v>
      </c>
      <c r="HB335">
        <v>0</v>
      </c>
      <c r="HC335">
        <f t="shared" si="362"/>
        <v>0</v>
      </c>
      <c r="HE335" t="s">
        <v>39</v>
      </c>
      <c r="HF335" t="s">
        <v>61</v>
      </c>
      <c r="HM335" t="s">
        <v>6</v>
      </c>
      <c r="HN335" t="s">
        <v>6</v>
      </c>
      <c r="HO335" t="s">
        <v>6</v>
      </c>
      <c r="HP335" t="s">
        <v>6</v>
      </c>
      <c r="HQ335" t="s">
        <v>6</v>
      </c>
      <c r="IF335">
        <v>-1</v>
      </c>
      <c r="IK335">
        <v>0</v>
      </c>
    </row>
    <row r="336" spans="1:255" x14ac:dyDescent="0.2">
      <c r="A336" s="2">
        <v>18</v>
      </c>
      <c r="B336" s="2">
        <v>1</v>
      </c>
      <c r="C336" s="2">
        <v>407</v>
      </c>
      <c r="D336" s="2"/>
      <c r="E336" s="2" t="s">
        <v>452</v>
      </c>
      <c r="F336" s="2" t="s">
        <v>438</v>
      </c>
      <c r="G336" s="2" t="s">
        <v>453</v>
      </c>
      <c r="H336" s="2" t="s">
        <v>33</v>
      </c>
      <c r="I336" s="2">
        <f>I330*J336</f>
        <v>2.775E-2</v>
      </c>
      <c r="J336" s="226">
        <f>'5.Ведомость_списания'!F145</f>
        <v>3.3731424924788042E-3</v>
      </c>
      <c r="K336" s="2">
        <v>3.3731400000000002E-3</v>
      </c>
      <c r="L336" s="2"/>
      <c r="M336" s="2"/>
      <c r="N336" s="2"/>
      <c r="O336" s="2">
        <f t="shared" si="331"/>
        <v>398</v>
      </c>
      <c r="P336" s="2">
        <f t="shared" si="332"/>
        <v>398</v>
      </c>
      <c r="Q336" s="2">
        <f t="shared" si="333"/>
        <v>0</v>
      </c>
      <c r="R336" s="2">
        <f t="shared" si="334"/>
        <v>0</v>
      </c>
      <c r="S336" s="2">
        <f t="shared" si="335"/>
        <v>0</v>
      </c>
      <c r="T336" s="2">
        <f t="shared" si="336"/>
        <v>0</v>
      </c>
      <c r="U336" s="2">
        <f t="shared" si="337"/>
        <v>0</v>
      </c>
      <c r="V336" s="2">
        <f t="shared" si="338"/>
        <v>0</v>
      </c>
      <c r="W336" s="2">
        <f t="shared" si="339"/>
        <v>0</v>
      </c>
      <c r="X336" s="2">
        <f t="shared" si="340"/>
        <v>0</v>
      </c>
      <c r="Y336" s="2">
        <f t="shared" si="341"/>
        <v>0</v>
      </c>
      <c r="Z336" s="2"/>
      <c r="AA336" s="2">
        <v>86326987</v>
      </c>
      <c r="AB336" s="2">
        <f t="shared" si="342"/>
        <v>14346.51</v>
      </c>
      <c r="AC336" s="2">
        <f t="shared" si="368"/>
        <v>14346.51</v>
      </c>
      <c r="AD336" s="2">
        <f t="shared" si="369"/>
        <v>0</v>
      </c>
      <c r="AE336" s="2">
        <f t="shared" si="370"/>
        <v>0</v>
      </c>
      <c r="AF336" s="2">
        <f t="shared" si="370"/>
        <v>0</v>
      </c>
      <c r="AG336" s="2">
        <f t="shared" si="343"/>
        <v>0</v>
      </c>
      <c r="AH336" s="2">
        <f t="shared" si="371"/>
        <v>0</v>
      </c>
      <c r="AI336" s="2">
        <f t="shared" si="371"/>
        <v>0</v>
      </c>
      <c r="AJ336" s="2">
        <f t="shared" si="344"/>
        <v>0</v>
      </c>
      <c r="AK336" s="2">
        <v>14346.51</v>
      </c>
      <c r="AL336" s="110">
        <f>'1.Лок.смета.и.Акт'!F614</f>
        <v>14346.51</v>
      </c>
      <c r="AM336" s="2">
        <v>0</v>
      </c>
      <c r="AN336" s="2">
        <v>0</v>
      </c>
      <c r="AO336" s="2">
        <v>0</v>
      </c>
      <c r="AP336" s="2">
        <v>0</v>
      </c>
      <c r="AQ336" s="2">
        <v>0</v>
      </c>
      <c r="AR336" s="2">
        <v>0</v>
      </c>
      <c r="AS336" s="2">
        <v>0</v>
      </c>
      <c r="AT336" s="2">
        <v>0</v>
      </c>
      <c r="AU336" s="2">
        <v>0</v>
      </c>
      <c r="AV336" s="2">
        <v>1</v>
      </c>
      <c r="AW336" s="2">
        <v>1</v>
      </c>
      <c r="AX336" s="2"/>
      <c r="AY336" s="2"/>
      <c r="AZ336" s="2">
        <v>1</v>
      </c>
      <c r="BA336" s="2">
        <v>1</v>
      </c>
      <c r="BB336" s="2">
        <v>1</v>
      </c>
      <c r="BC336" s="2">
        <v>1</v>
      </c>
      <c r="BD336" s="2" t="s">
        <v>6</v>
      </c>
      <c r="BE336" s="2" t="s">
        <v>6</v>
      </c>
      <c r="BF336" s="2" t="s">
        <v>6</v>
      </c>
      <c r="BG336" s="2" t="s">
        <v>6</v>
      </c>
      <c r="BH336" s="2">
        <v>3</v>
      </c>
      <c r="BI336" s="2">
        <v>1</v>
      </c>
      <c r="BJ336" s="2" t="s">
        <v>440</v>
      </c>
      <c r="BK336" s="2"/>
      <c r="BL336" s="2"/>
      <c r="BM336" s="2">
        <v>500003</v>
      </c>
      <c r="BN336" s="2">
        <v>0</v>
      </c>
      <c r="BO336" s="2" t="s">
        <v>6</v>
      </c>
      <c r="BP336" s="2">
        <v>0</v>
      </c>
      <c r="BQ336" s="2">
        <v>22</v>
      </c>
      <c r="BR336" s="2">
        <v>0</v>
      </c>
      <c r="BS336" s="2">
        <v>1</v>
      </c>
      <c r="BT336" s="2">
        <v>1</v>
      </c>
      <c r="BU336" s="2">
        <v>1</v>
      </c>
      <c r="BV336" s="2">
        <v>1</v>
      </c>
      <c r="BW336" s="2">
        <v>1</v>
      </c>
      <c r="BX336" s="2">
        <v>1</v>
      </c>
      <c r="BY336" s="2" t="s">
        <v>6</v>
      </c>
      <c r="BZ336" s="2">
        <v>0</v>
      </c>
      <c r="CA336" s="2">
        <v>0</v>
      </c>
      <c r="CB336" s="2" t="s">
        <v>6</v>
      </c>
      <c r="CC336" s="2"/>
      <c r="CD336" s="2"/>
      <c r="CE336" s="2">
        <v>0</v>
      </c>
      <c r="CF336" s="2">
        <v>0</v>
      </c>
      <c r="CG336" s="2">
        <v>0</v>
      </c>
      <c r="CH336" s="2"/>
      <c r="CI336" s="2"/>
      <c r="CJ336" s="2"/>
      <c r="CK336" s="2"/>
      <c r="CL336" s="2"/>
      <c r="CM336" s="2">
        <v>0</v>
      </c>
      <c r="CN336" s="2" t="s">
        <v>6</v>
      </c>
      <c r="CO336" s="2">
        <v>0</v>
      </c>
      <c r="CP336" s="2">
        <f t="shared" si="345"/>
        <v>398</v>
      </c>
      <c r="CQ336" s="2">
        <f t="shared" si="346"/>
        <v>14346.51</v>
      </c>
      <c r="CR336" s="2">
        <f t="shared" si="347"/>
        <v>0</v>
      </c>
      <c r="CS336" s="2">
        <f t="shared" si="348"/>
        <v>0</v>
      </c>
      <c r="CT336" s="2">
        <f t="shared" si="349"/>
        <v>0</v>
      </c>
      <c r="CU336" s="2">
        <f t="shared" si="350"/>
        <v>0</v>
      </c>
      <c r="CV336" s="2">
        <f t="shared" si="351"/>
        <v>0</v>
      </c>
      <c r="CW336" s="2">
        <f t="shared" si="352"/>
        <v>0</v>
      </c>
      <c r="CX336" s="2">
        <f t="shared" si="353"/>
        <v>0</v>
      </c>
      <c r="CY336" s="2">
        <f>(((S336+(R336*IF(0,0,1)))*AT336)/100)</f>
        <v>0</v>
      </c>
      <c r="CZ336" s="2">
        <f>(((S336+(R336*IF(0,0,1)))*AU336)/100)</f>
        <v>0</v>
      </c>
      <c r="DA336" s="2"/>
      <c r="DB336" s="2"/>
      <c r="DC336" s="2" t="s">
        <v>6</v>
      </c>
      <c r="DD336" s="2" t="s">
        <v>6</v>
      </c>
      <c r="DE336" s="2" t="s">
        <v>6</v>
      </c>
      <c r="DF336" s="2" t="s">
        <v>6</v>
      </c>
      <c r="DG336" s="2" t="s">
        <v>6</v>
      </c>
      <c r="DH336" s="2" t="s">
        <v>6</v>
      </c>
      <c r="DI336" s="2" t="s">
        <v>6</v>
      </c>
      <c r="DJ336" s="2" t="s">
        <v>6</v>
      </c>
      <c r="DK336" s="2" t="s">
        <v>6</v>
      </c>
      <c r="DL336" s="2" t="s">
        <v>6</v>
      </c>
      <c r="DM336" s="2" t="s">
        <v>6</v>
      </c>
      <c r="DN336" s="2">
        <v>0</v>
      </c>
      <c r="DO336" s="2">
        <v>0</v>
      </c>
      <c r="DP336" s="2">
        <v>1</v>
      </c>
      <c r="DQ336" s="2">
        <v>1</v>
      </c>
      <c r="DR336" s="2"/>
      <c r="DS336" s="2"/>
      <c r="DT336" s="2"/>
      <c r="DU336" s="2">
        <v>1009</v>
      </c>
      <c r="DV336" s="2" t="s">
        <v>33</v>
      </c>
      <c r="DW336" s="2" t="s">
        <v>33</v>
      </c>
      <c r="DX336" s="2">
        <v>1000</v>
      </c>
      <c r="DY336" s="2"/>
      <c r="DZ336" s="2" t="s">
        <v>6</v>
      </c>
      <c r="EA336" s="2" t="s">
        <v>6</v>
      </c>
      <c r="EB336" s="2" t="s">
        <v>6</v>
      </c>
      <c r="EC336" s="2" t="s">
        <v>6</v>
      </c>
      <c r="ED336" s="2"/>
      <c r="EE336" s="2">
        <v>54938783</v>
      </c>
      <c r="EF336" s="2">
        <v>22</v>
      </c>
      <c r="EG336" s="2" t="s">
        <v>57</v>
      </c>
      <c r="EH336" s="2">
        <v>0</v>
      </c>
      <c r="EI336" s="2" t="s">
        <v>6</v>
      </c>
      <c r="EJ336" s="2">
        <v>1</v>
      </c>
      <c r="EK336" s="2">
        <v>500003</v>
      </c>
      <c r="EL336" s="2" t="s">
        <v>58</v>
      </c>
      <c r="EM336" s="2" t="s">
        <v>59</v>
      </c>
      <c r="EN336" s="2"/>
      <c r="EO336" s="2" t="s">
        <v>6</v>
      </c>
      <c r="EP336" s="2"/>
      <c r="EQ336" s="2">
        <v>0</v>
      </c>
      <c r="ER336" s="2">
        <v>14346.51</v>
      </c>
      <c r="ES336" s="110">
        <f>'1.Лок.смета.и.Акт'!F614</f>
        <v>14346.51</v>
      </c>
      <c r="ET336" s="2">
        <v>0</v>
      </c>
      <c r="EU336" s="2">
        <v>0</v>
      </c>
      <c r="EV336" s="2">
        <v>0</v>
      </c>
      <c r="EW336" s="2">
        <v>0</v>
      </c>
      <c r="EX336" s="2">
        <v>0</v>
      </c>
      <c r="EY336" s="2"/>
      <c r="EZ336" s="2"/>
      <c r="FA336" s="2"/>
      <c r="FB336" s="2"/>
      <c r="FC336" s="2"/>
      <c r="FD336" s="2"/>
      <c r="FE336" s="2"/>
      <c r="FF336" s="2"/>
      <c r="FG336" s="2"/>
      <c r="FH336" s="2"/>
      <c r="FI336" s="2"/>
      <c r="FJ336" s="2"/>
      <c r="FK336" s="2"/>
      <c r="FL336" s="2"/>
      <c r="FM336" s="2"/>
      <c r="FN336" s="2"/>
      <c r="FO336" s="2"/>
      <c r="FP336" s="2"/>
      <c r="FQ336" s="2">
        <v>0</v>
      </c>
      <c r="FR336" s="2">
        <f t="shared" si="354"/>
        <v>0</v>
      </c>
      <c r="FS336" s="2">
        <v>0</v>
      </c>
      <c r="FT336" s="2"/>
      <c r="FU336" s="2"/>
      <c r="FV336" s="2"/>
      <c r="FW336" s="2"/>
      <c r="FX336" s="2">
        <v>0</v>
      </c>
      <c r="FY336" s="2">
        <v>0</v>
      </c>
      <c r="FZ336" s="2"/>
      <c r="GA336" s="2" t="s">
        <v>6</v>
      </c>
      <c r="GB336" s="2"/>
      <c r="GC336" s="2"/>
      <c r="GD336" s="2">
        <v>1</v>
      </c>
      <c r="GE336" s="2"/>
      <c r="GF336" s="2">
        <v>546832064</v>
      </c>
      <c r="GG336" s="2">
        <v>2</v>
      </c>
      <c r="GH336" s="2">
        <v>2</v>
      </c>
      <c r="GI336" s="2">
        <v>-2</v>
      </c>
      <c r="GJ336" s="2">
        <v>0</v>
      </c>
      <c r="GK336" s="2">
        <v>0</v>
      </c>
      <c r="GL336" s="2">
        <f t="shared" si="355"/>
        <v>0</v>
      </c>
      <c r="GM336" s="2">
        <f t="shared" si="356"/>
        <v>398</v>
      </c>
      <c r="GN336" s="2">
        <f t="shared" si="357"/>
        <v>398</v>
      </c>
      <c r="GO336" s="2">
        <f t="shared" si="358"/>
        <v>0</v>
      </c>
      <c r="GP336" s="2">
        <f t="shared" si="359"/>
        <v>0</v>
      </c>
      <c r="GQ336" s="2"/>
      <c r="GR336" s="2">
        <v>0</v>
      </c>
      <c r="GS336" s="2">
        <v>2</v>
      </c>
      <c r="GT336" s="2">
        <v>0</v>
      </c>
      <c r="GU336" s="2" t="s">
        <v>6</v>
      </c>
      <c r="GV336" s="2">
        <f t="shared" si="360"/>
        <v>0</v>
      </c>
      <c r="GW336" s="2">
        <v>1</v>
      </c>
      <c r="GX336" s="2">
        <f t="shared" si="361"/>
        <v>0</v>
      </c>
      <c r="GY336" s="2"/>
      <c r="GZ336" s="2"/>
      <c r="HA336" s="2">
        <v>0</v>
      </c>
      <c r="HB336" s="2">
        <v>0</v>
      </c>
      <c r="HC336" s="2">
        <f t="shared" si="362"/>
        <v>0</v>
      </c>
      <c r="HD336" s="2"/>
      <c r="HE336" s="2" t="s">
        <v>6</v>
      </c>
      <c r="HF336" s="2" t="s">
        <v>6</v>
      </c>
      <c r="HG336" s="2"/>
      <c r="HH336" s="2"/>
      <c r="HI336" s="2"/>
      <c r="HJ336" s="2"/>
      <c r="HK336" s="2"/>
      <c r="HL336" s="2"/>
      <c r="HM336" s="2" t="s">
        <v>6</v>
      </c>
      <c r="HN336" s="2" t="s">
        <v>6</v>
      </c>
      <c r="HO336" s="2" t="s">
        <v>6</v>
      </c>
      <c r="HP336" s="2" t="s">
        <v>6</v>
      </c>
      <c r="HQ336" s="2" t="s">
        <v>6</v>
      </c>
      <c r="HR336" s="2"/>
      <c r="HS336" s="2"/>
      <c r="HT336" s="2"/>
      <c r="HU336" s="2"/>
      <c r="HV336" s="2"/>
      <c r="HW336" s="2"/>
      <c r="HX336" s="2"/>
      <c r="HY336" s="2"/>
      <c r="HZ336" s="2"/>
      <c r="IA336" s="2"/>
      <c r="IB336" s="2"/>
      <c r="IC336" s="2"/>
      <c r="ID336" s="2"/>
      <c r="IE336" s="2"/>
      <c r="IF336" s="2">
        <v>-1</v>
      </c>
      <c r="IG336" s="2"/>
      <c r="IH336" s="2"/>
      <c r="II336" s="2"/>
      <c r="IJ336" s="2"/>
      <c r="IK336" s="2">
        <v>0</v>
      </c>
      <c r="IL336" s="2"/>
      <c r="IM336" s="2"/>
      <c r="IN336" s="2"/>
      <c r="IO336" s="2"/>
      <c r="IP336" s="2"/>
      <c r="IQ336" s="2"/>
      <c r="IR336" s="2"/>
      <c r="IS336" s="2"/>
      <c r="IT336" s="2"/>
      <c r="IU336" s="2"/>
    </row>
    <row r="337" spans="1:255" x14ac:dyDescent="0.2">
      <c r="A337">
        <v>18</v>
      </c>
      <c r="B337">
        <v>1</v>
      </c>
      <c r="C337">
        <v>416</v>
      </c>
      <c r="E337" t="s">
        <v>452</v>
      </c>
      <c r="F337" t="e">
        <f>'2.Лок.смета.и.Акт'!#REF!</f>
        <v>#REF!</v>
      </c>
      <c r="G337" t="s">
        <v>453</v>
      </c>
      <c r="H337" t="s">
        <v>33</v>
      </c>
      <c r="I337">
        <f>I331*J337</f>
        <v>2.775E-2</v>
      </c>
      <c r="J337">
        <v>3.3731424924788042E-3</v>
      </c>
      <c r="K337">
        <v>3.3731400000000002E-3</v>
      </c>
      <c r="O337">
        <f t="shared" si="331"/>
        <v>3154</v>
      </c>
      <c r="P337">
        <f t="shared" si="332"/>
        <v>3154</v>
      </c>
      <c r="Q337">
        <f t="shared" si="333"/>
        <v>0</v>
      </c>
      <c r="R337">
        <f t="shared" si="334"/>
        <v>0</v>
      </c>
      <c r="S337">
        <f t="shared" si="335"/>
        <v>0</v>
      </c>
      <c r="T337">
        <f t="shared" si="336"/>
        <v>0</v>
      </c>
      <c r="U337">
        <f t="shared" si="337"/>
        <v>0</v>
      </c>
      <c r="V337">
        <f t="shared" si="338"/>
        <v>0</v>
      </c>
      <c r="W337">
        <f t="shared" si="339"/>
        <v>0</v>
      </c>
      <c r="X337">
        <f t="shared" si="340"/>
        <v>0</v>
      </c>
      <c r="Y337">
        <f t="shared" si="341"/>
        <v>0</v>
      </c>
      <c r="AA337">
        <v>86326988</v>
      </c>
      <c r="AB337">
        <f t="shared" si="342"/>
        <v>15032.27</v>
      </c>
      <c r="AC337">
        <f t="shared" si="368"/>
        <v>15032.27</v>
      </c>
      <c r="AD337">
        <f t="shared" si="369"/>
        <v>0</v>
      </c>
      <c r="AE337">
        <f t="shared" si="370"/>
        <v>0</v>
      </c>
      <c r="AF337">
        <f t="shared" si="370"/>
        <v>0</v>
      </c>
      <c r="AG337">
        <f t="shared" si="343"/>
        <v>0</v>
      </c>
      <c r="AH337">
        <f t="shared" si="371"/>
        <v>0</v>
      </c>
      <c r="AI337">
        <f t="shared" si="371"/>
        <v>0</v>
      </c>
      <c r="AJ337">
        <f t="shared" si="344"/>
        <v>0</v>
      </c>
      <c r="AK337">
        <v>15032.27</v>
      </c>
      <c r="AL337">
        <v>15032.27</v>
      </c>
      <c r="AM337">
        <v>0</v>
      </c>
      <c r="AN337">
        <v>0</v>
      </c>
      <c r="AO337">
        <v>0</v>
      </c>
      <c r="AP337">
        <v>0</v>
      </c>
      <c r="AQ337">
        <v>0</v>
      </c>
      <c r="AR337">
        <v>0</v>
      </c>
      <c r="AS337">
        <v>0</v>
      </c>
      <c r="AT337">
        <v>0</v>
      </c>
      <c r="AU337">
        <v>0</v>
      </c>
      <c r="AV337">
        <v>1</v>
      </c>
      <c r="AW337">
        <v>1</v>
      </c>
      <c r="AZ337">
        <v>1</v>
      </c>
      <c r="BA337">
        <v>1</v>
      </c>
      <c r="BB337">
        <v>1</v>
      </c>
      <c r="BC337">
        <v>7.56</v>
      </c>
      <c r="BD337" t="s">
        <v>6</v>
      </c>
      <c r="BE337" t="s">
        <v>6</v>
      </c>
      <c r="BF337" t="s">
        <v>6</v>
      </c>
      <c r="BG337" t="s">
        <v>6</v>
      </c>
      <c r="BH337">
        <v>3</v>
      </c>
      <c r="BI337">
        <v>1</v>
      </c>
      <c r="BJ337" t="s">
        <v>440</v>
      </c>
      <c r="BM337">
        <v>500003</v>
      </c>
      <c r="BN337">
        <v>0</v>
      </c>
      <c r="BO337" t="s">
        <v>6</v>
      </c>
      <c r="BP337">
        <v>0</v>
      </c>
      <c r="BQ337">
        <v>22</v>
      </c>
      <c r="BR337">
        <v>0</v>
      </c>
      <c r="BS337">
        <v>1</v>
      </c>
      <c r="BT337">
        <v>1</v>
      </c>
      <c r="BU337">
        <v>1</v>
      </c>
      <c r="BV337">
        <v>1</v>
      </c>
      <c r="BW337">
        <v>1</v>
      </c>
      <c r="BX337">
        <v>1</v>
      </c>
      <c r="BY337" t="s">
        <v>6</v>
      </c>
      <c r="BZ337">
        <v>0</v>
      </c>
      <c r="CA337">
        <v>0</v>
      </c>
      <c r="CB337" t="s">
        <v>6</v>
      </c>
      <c r="CE337">
        <v>0</v>
      </c>
      <c r="CF337">
        <v>0</v>
      </c>
      <c r="CG337">
        <v>0</v>
      </c>
      <c r="CM337">
        <v>0</v>
      </c>
      <c r="CN337" t="s">
        <v>6</v>
      </c>
      <c r="CO337">
        <v>0</v>
      </c>
      <c r="CP337">
        <f t="shared" si="345"/>
        <v>3154</v>
      </c>
      <c r="CQ337">
        <f t="shared" si="346"/>
        <v>113643.96119999999</v>
      </c>
      <c r="CR337">
        <f t="shared" si="347"/>
        <v>0</v>
      </c>
      <c r="CS337">
        <f t="shared" si="348"/>
        <v>0</v>
      </c>
      <c r="CT337">
        <f t="shared" si="349"/>
        <v>0</v>
      </c>
      <c r="CU337">
        <f t="shared" si="350"/>
        <v>0</v>
      </c>
      <c r="CV337">
        <f t="shared" si="351"/>
        <v>0</v>
      </c>
      <c r="CW337">
        <f t="shared" si="352"/>
        <v>0</v>
      </c>
      <c r="CX337">
        <f t="shared" si="353"/>
        <v>0</v>
      </c>
      <c r="CY337">
        <f>(S337+R337)*(BZ337/100)</f>
        <v>0</v>
      </c>
      <c r="CZ337">
        <f>(S337+R337)*(CA337/100)</f>
        <v>0</v>
      </c>
      <c r="DC337" t="s">
        <v>6</v>
      </c>
      <c r="DD337" t="s">
        <v>6</v>
      </c>
      <c r="DE337" t="s">
        <v>6</v>
      </c>
      <c r="DF337" t="s">
        <v>6</v>
      </c>
      <c r="DG337" t="s">
        <v>6</v>
      </c>
      <c r="DH337" t="s">
        <v>6</v>
      </c>
      <c r="DI337" t="s">
        <v>6</v>
      </c>
      <c r="DJ337" t="s">
        <v>6</v>
      </c>
      <c r="DK337" t="s">
        <v>6</v>
      </c>
      <c r="DL337" t="s">
        <v>6</v>
      </c>
      <c r="DM337" t="s">
        <v>6</v>
      </c>
      <c r="DN337">
        <v>0</v>
      </c>
      <c r="DO337">
        <v>0</v>
      </c>
      <c r="DP337">
        <v>1</v>
      </c>
      <c r="DQ337">
        <v>1</v>
      </c>
      <c r="DU337">
        <v>1009</v>
      </c>
      <c r="DV337" t="s">
        <v>33</v>
      </c>
      <c r="DW337" t="e">
        <f>'2.Лок.смета.и.Акт'!#REF!</f>
        <v>#REF!</v>
      </c>
      <c r="DX337">
        <v>1000</v>
      </c>
      <c r="DZ337" t="s">
        <v>6</v>
      </c>
      <c r="EA337" t="s">
        <v>6</v>
      </c>
      <c r="EB337" t="s">
        <v>6</v>
      </c>
      <c r="EC337" t="s">
        <v>6</v>
      </c>
      <c r="EE337">
        <v>54938783</v>
      </c>
      <c r="EF337">
        <v>22</v>
      </c>
      <c r="EG337" t="s">
        <v>57</v>
      </c>
      <c r="EH337">
        <v>0</v>
      </c>
      <c r="EI337" t="s">
        <v>6</v>
      </c>
      <c r="EJ337">
        <v>1</v>
      </c>
      <c r="EK337">
        <v>500003</v>
      </c>
      <c r="EL337" t="s">
        <v>58</v>
      </c>
      <c r="EM337" t="s">
        <v>59</v>
      </c>
      <c r="EO337" t="s">
        <v>6</v>
      </c>
      <c r="EQ337">
        <v>0</v>
      </c>
      <c r="ER337">
        <v>108459.62</v>
      </c>
      <c r="ES337">
        <v>15032.27</v>
      </c>
      <c r="ET337">
        <v>0</v>
      </c>
      <c r="EU337">
        <v>0</v>
      </c>
      <c r="EV337">
        <v>0</v>
      </c>
      <c r="EW337">
        <v>0</v>
      </c>
      <c r="EX337">
        <v>0</v>
      </c>
      <c r="EZ337">
        <v>5</v>
      </c>
      <c r="FC337">
        <v>0</v>
      </c>
      <c r="FD337">
        <v>18</v>
      </c>
      <c r="FF337">
        <v>108459.62</v>
      </c>
      <c r="FQ337">
        <v>0</v>
      </c>
      <c r="FR337">
        <f t="shared" si="354"/>
        <v>0</v>
      </c>
      <c r="FS337">
        <v>0</v>
      </c>
      <c r="FX337">
        <v>0</v>
      </c>
      <c r="FY337">
        <v>0</v>
      </c>
      <c r="GA337" t="s">
        <v>441</v>
      </c>
      <c r="GD337">
        <v>1</v>
      </c>
      <c r="GF337">
        <v>546832064</v>
      </c>
      <c r="GG337">
        <v>2</v>
      </c>
      <c r="GH337">
        <v>3</v>
      </c>
      <c r="GI337">
        <v>5</v>
      </c>
      <c r="GJ337">
        <v>0</v>
      </c>
      <c r="GK337">
        <v>0</v>
      </c>
      <c r="GL337">
        <f t="shared" si="355"/>
        <v>0</v>
      </c>
      <c r="GM337">
        <f t="shared" si="356"/>
        <v>3154</v>
      </c>
      <c r="GN337">
        <f t="shared" si="357"/>
        <v>3154</v>
      </c>
      <c r="GO337">
        <f t="shared" si="358"/>
        <v>0</v>
      </c>
      <c r="GP337">
        <f t="shared" si="359"/>
        <v>0</v>
      </c>
      <c r="GR337">
        <v>1</v>
      </c>
      <c r="GS337">
        <v>1</v>
      </c>
      <c r="GT337">
        <v>0</v>
      </c>
      <c r="GU337" t="s">
        <v>6</v>
      </c>
      <c r="GV337">
        <f t="shared" si="360"/>
        <v>0</v>
      </c>
      <c r="GW337">
        <v>1</v>
      </c>
      <c r="GX337">
        <f t="shared" si="361"/>
        <v>0</v>
      </c>
      <c r="HA337">
        <v>0</v>
      </c>
      <c r="HB337">
        <v>0</v>
      </c>
      <c r="HC337">
        <f t="shared" si="362"/>
        <v>0</v>
      </c>
      <c r="HE337" t="s">
        <v>39</v>
      </c>
      <c r="HF337" t="s">
        <v>61</v>
      </c>
      <c r="HM337" t="s">
        <v>6</v>
      </c>
      <c r="HN337" t="s">
        <v>6</v>
      </c>
      <c r="HO337" t="s">
        <v>6</v>
      </c>
      <c r="HP337" t="s">
        <v>6</v>
      </c>
      <c r="HQ337" t="s">
        <v>6</v>
      </c>
      <c r="IF337">
        <v>-1</v>
      </c>
      <c r="IK337">
        <v>0</v>
      </c>
    </row>
    <row r="338" spans="1:255" x14ac:dyDescent="0.2">
      <c r="A338" s="2">
        <v>18</v>
      </c>
      <c r="B338" s="2">
        <v>1</v>
      </c>
      <c r="C338" s="2">
        <v>404</v>
      </c>
      <c r="D338" s="2"/>
      <c r="E338" s="2" t="s">
        <v>454</v>
      </c>
      <c r="F338" s="2" t="s">
        <v>433</v>
      </c>
      <c r="G338" s="2" t="s">
        <v>434</v>
      </c>
      <c r="H338" s="2" t="s">
        <v>33</v>
      </c>
      <c r="I338" s="2">
        <f>I330*J338</f>
        <v>6.6037499999999998</v>
      </c>
      <c r="J338" s="226">
        <f>'5.Ведомость_списания'!F146</f>
        <v>0.8027167471966451</v>
      </c>
      <c r="K338" s="2">
        <v>0.80271674999999998</v>
      </c>
      <c r="L338" s="2"/>
      <c r="M338" s="2"/>
      <c r="N338" s="2"/>
      <c r="O338" s="2">
        <f t="shared" si="331"/>
        <v>34626</v>
      </c>
      <c r="P338" s="2">
        <f t="shared" si="332"/>
        <v>34626</v>
      </c>
      <c r="Q338" s="2">
        <f t="shared" si="333"/>
        <v>0</v>
      </c>
      <c r="R338" s="2">
        <f t="shared" si="334"/>
        <v>0</v>
      </c>
      <c r="S338" s="2">
        <f t="shared" si="335"/>
        <v>0</v>
      </c>
      <c r="T338" s="2">
        <f t="shared" si="336"/>
        <v>0</v>
      </c>
      <c r="U338" s="2">
        <f t="shared" si="337"/>
        <v>0</v>
      </c>
      <c r="V338" s="2">
        <f t="shared" si="338"/>
        <v>0</v>
      </c>
      <c r="W338" s="2">
        <f t="shared" si="339"/>
        <v>0</v>
      </c>
      <c r="X338" s="2">
        <f t="shared" si="340"/>
        <v>0</v>
      </c>
      <c r="Y338" s="2">
        <f t="shared" si="341"/>
        <v>0</v>
      </c>
      <c r="Z338" s="2"/>
      <c r="AA338" s="2">
        <v>86326987</v>
      </c>
      <c r="AB338" s="2">
        <f t="shared" si="342"/>
        <v>5243.33</v>
      </c>
      <c r="AC338" s="2">
        <f t="shared" si="368"/>
        <v>5243.33</v>
      </c>
      <c r="AD338" s="2">
        <f t="shared" si="369"/>
        <v>0</v>
      </c>
      <c r="AE338" s="2">
        <f t="shared" si="370"/>
        <v>0</v>
      </c>
      <c r="AF338" s="2">
        <f t="shared" si="370"/>
        <v>0</v>
      </c>
      <c r="AG338" s="2">
        <f t="shared" si="343"/>
        <v>0</v>
      </c>
      <c r="AH338" s="2">
        <f t="shared" si="371"/>
        <v>0</v>
      </c>
      <c r="AI338" s="2">
        <f t="shared" si="371"/>
        <v>0</v>
      </c>
      <c r="AJ338" s="2">
        <f t="shared" si="344"/>
        <v>0</v>
      </c>
      <c r="AK338" s="2">
        <v>5243.33</v>
      </c>
      <c r="AL338" s="110">
        <f>'1.Лок.смета.и.Акт'!F616</f>
        <v>5243.33</v>
      </c>
      <c r="AM338" s="2">
        <v>0</v>
      </c>
      <c r="AN338" s="2">
        <v>0</v>
      </c>
      <c r="AO338" s="2">
        <v>0</v>
      </c>
      <c r="AP338" s="2">
        <v>0</v>
      </c>
      <c r="AQ338" s="2">
        <v>0</v>
      </c>
      <c r="AR338" s="2">
        <v>0</v>
      </c>
      <c r="AS338" s="2">
        <v>0</v>
      </c>
      <c r="AT338" s="2">
        <v>0</v>
      </c>
      <c r="AU338" s="2">
        <v>0</v>
      </c>
      <c r="AV338" s="2">
        <v>1</v>
      </c>
      <c r="AW338" s="2">
        <v>1</v>
      </c>
      <c r="AX338" s="2"/>
      <c r="AY338" s="2"/>
      <c r="AZ338" s="2">
        <v>1</v>
      </c>
      <c r="BA338" s="2">
        <v>1</v>
      </c>
      <c r="BB338" s="2">
        <v>1</v>
      </c>
      <c r="BC338" s="2">
        <v>1</v>
      </c>
      <c r="BD338" s="2" t="s">
        <v>6</v>
      </c>
      <c r="BE338" s="2" t="s">
        <v>6</v>
      </c>
      <c r="BF338" s="2" t="s">
        <v>6</v>
      </c>
      <c r="BG338" s="2" t="s">
        <v>6</v>
      </c>
      <c r="BH338" s="2">
        <v>3</v>
      </c>
      <c r="BI338" s="2">
        <v>1</v>
      </c>
      <c r="BJ338" s="2" t="s">
        <v>435</v>
      </c>
      <c r="BK338" s="2"/>
      <c r="BL338" s="2"/>
      <c r="BM338" s="2">
        <v>500003</v>
      </c>
      <c r="BN338" s="2">
        <v>0</v>
      </c>
      <c r="BO338" s="2" t="s">
        <v>6</v>
      </c>
      <c r="BP338" s="2">
        <v>0</v>
      </c>
      <c r="BQ338" s="2">
        <v>22</v>
      </c>
      <c r="BR338" s="2">
        <v>0</v>
      </c>
      <c r="BS338" s="2">
        <v>1</v>
      </c>
      <c r="BT338" s="2">
        <v>1</v>
      </c>
      <c r="BU338" s="2">
        <v>1</v>
      </c>
      <c r="BV338" s="2">
        <v>1</v>
      </c>
      <c r="BW338" s="2">
        <v>1</v>
      </c>
      <c r="BX338" s="2">
        <v>1</v>
      </c>
      <c r="BY338" s="2" t="s">
        <v>6</v>
      </c>
      <c r="BZ338" s="2">
        <v>0</v>
      </c>
      <c r="CA338" s="2">
        <v>0</v>
      </c>
      <c r="CB338" s="2" t="s">
        <v>6</v>
      </c>
      <c r="CC338" s="2"/>
      <c r="CD338" s="2"/>
      <c r="CE338" s="2">
        <v>0</v>
      </c>
      <c r="CF338" s="2">
        <v>0</v>
      </c>
      <c r="CG338" s="2">
        <v>0</v>
      </c>
      <c r="CH338" s="2"/>
      <c r="CI338" s="2"/>
      <c r="CJ338" s="2"/>
      <c r="CK338" s="2"/>
      <c r="CL338" s="2"/>
      <c r="CM338" s="2">
        <v>0</v>
      </c>
      <c r="CN338" s="2" t="s">
        <v>6</v>
      </c>
      <c r="CO338" s="2">
        <v>0</v>
      </c>
      <c r="CP338" s="2">
        <f t="shared" si="345"/>
        <v>34626</v>
      </c>
      <c r="CQ338" s="2">
        <f t="shared" si="346"/>
        <v>5243.33</v>
      </c>
      <c r="CR338" s="2">
        <f t="shared" si="347"/>
        <v>0</v>
      </c>
      <c r="CS338" s="2">
        <f t="shared" si="348"/>
        <v>0</v>
      </c>
      <c r="CT338" s="2">
        <f t="shared" si="349"/>
        <v>0</v>
      </c>
      <c r="CU338" s="2">
        <f t="shared" si="350"/>
        <v>0</v>
      </c>
      <c r="CV338" s="2">
        <f t="shared" si="351"/>
        <v>0</v>
      </c>
      <c r="CW338" s="2">
        <f t="shared" si="352"/>
        <v>0</v>
      </c>
      <c r="CX338" s="2">
        <f t="shared" si="353"/>
        <v>0</v>
      </c>
      <c r="CY338" s="2">
        <f>(((S338+(R338*IF(0,0,1)))*AT338)/100)</f>
        <v>0</v>
      </c>
      <c r="CZ338" s="2">
        <f>(((S338+(R338*IF(0,0,1)))*AU338)/100)</f>
        <v>0</v>
      </c>
      <c r="DA338" s="2"/>
      <c r="DB338" s="2"/>
      <c r="DC338" s="2" t="s">
        <v>6</v>
      </c>
      <c r="DD338" s="2" t="s">
        <v>6</v>
      </c>
      <c r="DE338" s="2" t="s">
        <v>6</v>
      </c>
      <c r="DF338" s="2" t="s">
        <v>6</v>
      </c>
      <c r="DG338" s="2" t="s">
        <v>6</v>
      </c>
      <c r="DH338" s="2" t="s">
        <v>6</v>
      </c>
      <c r="DI338" s="2" t="s">
        <v>6</v>
      </c>
      <c r="DJ338" s="2" t="s">
        <v>6</v>
      </c>
      <c r="DK338" s="2" t="s">
        <v>6</v>
      </c>
      <c r="DL338" s="2" t="s">
        <v>6</v>
      </c>
      <c r="DM338" s="2" t="s">
        <v>6</v>
      </c>
      <c r="DN338" s="2">
        <v>0</v>
      </c>
      <c r="DO338" s="2">
        <v>0</v>
      </c>
      <c r="DP338" s="2">
        <v>1</v>
      </c>
      <c r="DQ338" s="2">
        <v>1</v>
      </c>
      <c r="DR338" s="2"/>
      <c r="DS338" s="2"/>
      <c r="DT338" s="2"/>
      <c r="DU338" s="2">
        <v>1009</v>
      </c>
      <c r="DV338" s="2" t="s">
        <v>33</v>
      </c>
      <c r="DW338" s="2" t="s">
        <v>33</v>
      </c>
      <c r="DX338" s="2">
        <v>1000</v>
      </c>
      <c r="DY338" s="2"/>
      <c r="DZ338" s="2" t="s">
        <v>6</v>
      </c>
      <c r="EA338" s="2" t="s">
        <v>6</v>
      </c>
      <c r="EB338" s="2" t="s">
        <v>6</v>
      </c>
      <c r="EC338" s="2" t="s">
        <v>6</v>
      </c>
      <c r="ED338" s="2"/>
      <c r="EE338" s="2">
        <v>54938783</v>
      </c>
      <c r="EF338" s="2">
        <v>22</v>
      </c>
      <c r="EG338" s="2" t="s">
        <v>57</v>
      </c>
      <c r="EH338" s="2">
        <v>0</v>
      </c>
      <c r="EI338" s="2" t="s">
        <v>6</v>
      </c>
      <c r="EJ338" s="2">
        <v>1</v>
      </c>
      <c r="EK338" s="2">
        <v>500003</v>
      </c>
      <c r="EL338" s="2" t="s">
        <v>58</v>
      </c>
      <c r="EM338" s="2" t="s">
        <v>59</v>
      </c>
      <c r="EN338" s="2"/>
      <c r="EO338" s="2" t="s">
        <v>6</v>
      </c>
      <c r="EP338" s="2"/>
      <c r="EQ338" s="2">
        <v>0</v>
      </c>
      <c r="ER338" s="2">
        <v>5243.33</v>
      </c>
      <c r="ES338" s="110">
        <f>'1.Лок.смета.и.Акт'!F616</f>
        <v>5243.33</v>
      </c>
      <c r="ET338" s="2">
        <v>0</v>
      </c>
      <c r="EU338" s="2">
        <v>0</v>
      </c>
      <c r="EV338" s="2">
        <v>0</v>
      </c>
      <c r="EW338" s="2">
        <v>0</v>
      </c>
      <c r="EX338" s="2">
        <v>0</v>
      </c>
      <c r="EY338" s="2"/>
      <c r="EZ338" s="2"/>
      <c r="FA338" s="2"/>
      <c r="FB338" s="2"/>
      <c r="FC338" s="2"/>
      <c r="FD338" s="2"/>
      <c r="FE338" s="2"/>
      <c r="FF338" s="2"/>
      <c r="FG338" s="2"/>
      <c r="FH338" s="2"/>
      <c r="FI338" s="2"/>
      <c r="FJ338" s="2"/>
      <c r="FK338" s="2"/>
      <c r="FL338" s="2"/>
      <c r="FM338" s="2"/>
      <c r="FN338" s="2"/>
      <c r="FO338" s="2"/>
      <c r="FP338" s="2"/>
      <c r="FQ338" s="2">
        <v>0</v>
      </c>
      <c r="FR338" s="2">
        <f t="shared" si="354"/>
        <v>0</v>
      </c>
      <c r="FS338" s="2">
        <v>0</v>
      </c>
      <c r="FT338" s="2"/>
      <c r="FU338" s="2"/>
      <c r="FV338" s="2"/>
      <c r="FW338" s="2"/>
      <c r="FX338" s="2">
        <v>0</v>
      </c>
      <c r="FY338" s="2">
        <v>0</v>
      </c>
      <c r="FZ338" s="2"/>
      <c r="GA338" s="2" t="s">
        <v>6</v>
      </c>
      <c r="GB338" s="2"/>
      <c r="GC338" s="2"/>
      <c r="GD338" s="2">
        <v>1</v>
      </c>
      <c r="GE338" s="2"/>
      <c r="GF338" s="2">
        <v>1640638290</v>
      </c>
      <c r="GG338" s="2">
        <v>2</v>
      </c>
      <c r="GH338" s="2">
        <v>1</v>
      </c>
      <c r="GI338" s="2">
        <v>-2</v>
      </c>
      <c r="GJ338" s="2">
        <v>0</v>
      </c>
      <c r="GK338" s="2">
        <v>0</v>
      </c>
      <c r="GL338" s="2">
        <f t="shared" si="355"/>
        <v>0</v>
      </c>
      <c r="GM338" s="2">
        <f t="shared" si="356"/>
        <v>34626</v>
      </c>
      <c r="GN338" s="2">
        <f t="shared" si="357"/>
        <v>34626</v>
      </c>
      <c r="GO338" s="2">
        <f t="shared" si="358"/>
        <v>0</v>
      </c>
      <c r="GP338" s="2">
        <f t="shared" si="359"/>
        <v>0</v>
      </c>
      <c r="GQ338" s="2"/>
      <c r="GR338" s="2">
        <v>0</v>
      </c>
      <c r="GS338" s="2">
        <v>3</v>
      </c>
      <c r="GT338" s="2">
        <v>0</v>
      </c>
      <c r="GU338" s="2" t="s">
        <v>6</v>
      </c>
      <c r="GV338" s="2">
        <f t="shared" si="360"/>
        <v>0</v>
      </c>
      <c r="GW338" s="2">
        <v>1</v>
      </c>
      <c r="GX338" s="2">
        <f t="shared" si="361"/>
        <v>0</v>
      </c>
      <c r="GY338" s="2"/>
      <c r="GZ338" s="2"/>
      <c r="HA338" s="2">
        <v>0</v>
      </c>
      <c r="HB338" s="2">
        <v>0</v>
      </c>
      <c r="HC338" s="2">
        <f t="shared" si="362"/>
        <v>0</v>
      </c>
      <c r="HD338" s="2"/>
      <c r="HE338" s="2" t="s">
        <v>6</v>
      </c>
      <c r="HF338" s="2" t="s">
        <v>6</v>
      </c>
      <c r="HG338" s="2"/>
      <c r="HH338" s="2"/>
      <c r="HI338" s="2"/>
      <c r="HJ338" s="2"/>
      <c r="HK338" s="2"/>
      <c r="HL338" s="2"/>
      <c r="HM338" s="2" t="s">
        <v>6</v>
      </c>
      <c r="HN338" s="2" t="s">
        <v>6</v>
      </c>
      <c r="HO338" s="2" t="s">
        <v>6</v>
      </c>
      <c r="HP338" s="2" t="s">
        <v>6</v>
      </c>
      <c r="HQ338" s="2" t="s">
        <v>6</v>
      </c>
      <c r="HR338" s="2"/>
      <c r="HS338" s="2"/>
      <c r="HT338" s="2"/>
      <c r="HU338" s="2"/>
      <c r="HV338" s="2"/>
      <c r="HW338" s="2"/>
      <c r="HX338" s="2"/>
      <c r="HY338" s="2"/>
      <c r="HZ338" s="2"/>
      <c r="IA338" s="2"/>
      <c r="IB338" s="2"/>
      <c r="IC338" s="2"/>
      <c r="ID338" s="2"/>
      <c r="IE338" s="2"/>
      <c r="IF338" s="2">
        <v>-1</v>
      </c>
      <c r="IG338" s="2"/>
      <c r="IH338" s="2"/>
      <c r="II338" s="2"/>
      <c r="IJ338" s="2"/>
      <c r="IK338" s="2">
        <v>0</v>
      </c>
      <c r="IL338" s="2"/>
      <c r="IM338" s="2"/>
      <c r="IN338" s="2"/>
      <c r="IO338" s="2"/>
      <c r="IP338" s="2"/>
      <c r="IQ338" s="2"/>
      <c r="IR338" s="2"/>
      <c r="IS338" s="2"/>
      <c r="IT338" s="2"/>
      <c r="IU338" s="2"/>
    </row>
    <row r="339" spans="1:255" x14ac:dyDescent="0.2">
      <c r="A339">
        <v>18</v>
      </c>
      <c r="B339">
        <v>1</v>
      </c>
      <c r="C339">
        <v>413</v>
      </c>
      <c r="E339" t="s">
        <v>454</v>
      </c>
      <c r="F339" t="e">
        <f>'2.Лок.смета.и.Акт'!#REF!</f>
        <v>#REF!</v>
      </c>
      <c r="G339" t="s">
        <v>434</v>
      </c>
      <c r="H339" t="s">
        <v>33</v>
      </c>
      <c r="I339">
        <f>I331*J339</f>
        <v>6.6037499999999998</v>
      </c>
      <c r="J339">
        <v>0.8027167471966451</v>
      </c>
      <c r="K339">
        <v>0.80271674999999998</v>
      </c>
      <c r="O339">
        <f t="shared" si="331"/>
        <v>413707</v>
      </c>
      <c r="P339">
        <f t="shared" si="332"/>
        <v>413707</v>
      </c>
      <c r="Q339">
        <f t="shared" si="333"/>
        <v>0</v>
      </c>
      <c r="R339">
        <f t="shared" si="334"/>
        <v>0</v>
      </c>
      <c r="S339">
        <f t="shared" si="335"/>
        <v>0</v>
      </c>
      <c r="T339">
        <f t="shared" si="336"/>
        <v>0</v>
      </c>
      <c r="U339">
        <f t="shared" si="337"/>
        <v>0</v>
      </c>
      <c r="V339">
        <f t="shared" si="338"/>
        <v>0</v>
      </c>
      <c r="W339">
        <f t="shared" si="339"/>
        <v>0</v>
      </c>
      <c r="X339">
        <f t="shared" si="340"/>
        <v>0</v>
      </c>
      <c r="Y339">
        <f t="shared" si="341"/>
        <v>0</v>
      </c>
      <c r="AA339">
        <v>86326988</v>
      </c>
      <c r="AB339">
        <f t="shared" si="342"/>
        <v>8286.68</v>
      </c>
      <c r="AC339">
        <f t="shared" si="368"/>
        <v>8286.68</v>
      </c>
      <c r="AD339">
        <f t="shared" si="369"/>
        <v>0</v>
      </c>
      <c r="AE339">
        <f t="shared" si="370"/>
        <v>0</v>
      </c>
      <c r="AF339">
        <f t="shared" si="370"/>
        <v>0</v>
      </c>
      <c r="AG339">
        <f t="shared" si="343"/>
        <v>0</v>
      </c>
      <c r="AH339">
        <f t="shared" si="371"/>
        <v>0</v>
      </c>
      <c r="AI339">
        <f t="shared" si="371"/>
        <v>0</v>
      </c>
      <c r="AJ339">
        <f t="shared" si="344"/>
        <v>0</v>
      </c>
      <c r="AK339">
        <v>8286.68</v>
      </c>
      <c r="AL339">
        <v>8286.68</v>
      </c>
      <c r="AM339">
        <v>0</v>
      </c>
      <c r="AN339">
        <v>0</v>
      </c>
      <c r="AO339">
        <v>0</v>
      </c>
      <c r="AP339">
        <v>0</v>
      </c>
      <c r="AQ339">
        <v>0</v>
      </c>
      <c r="AR339">
        <v>0</v>
      </c>
      <c r="AS339">
        <v>0</v>
      </c>
      <c r="AT339">
        <v>0</v>
      </c>
      <c r="AU339">
        <v>0</v>
      </c>
      <c r="AV339">
        <v>1</v>
      </c>
      <c r="AW339">
        <v>1</v>
      </c>
      <c r="AZ339">
        <v>1</v>
      </c>
      <c r="BA339">
        <v>1</v>
      </c>
      <c r="BB339">
        <v>1</v>
      </c>
      <c r="BC339">
        <v>7.56</v>
      </c>
      <c r="BD339" t="s">
        <v>6</v>
      </c>
      <c r="BE339" t="s">
        <v>6</v>
      </c>
      <c r="BF339" t="s">
        <v>6</v>
      </c>
      <c r="BG339" t="s">
        <v>6</v>
      </c>
      <c r="BH339">
        <v>3</v>
      </c>
      <c r="BI339">
        <v>1</v>
      </c>
      <c r="BJ339" t="s">
        <v>435</v>
      </c>
      <c r="BM339">
        <v>500003</v>
      </c>
      <c r="BN339">
        <v>0</v>
      </c>
      <c r="BO339" t="s">
        <v>6</v>
      </c>
      <c r="BP339">
        <v>0</v>
      </c>
      <c r="BQ339">
        <v>22</v>
      </c>
      <c r="BR339">
        <v>0</v>
      </c>
      <c r="BS339">
        <v>1</v>
      </c>
      <c r="BT339">
        <v>1</v>
      </c>
      <c r="BU339">
        <v>1</v>
      </c>
      <c r="BV339">
        <v>1</v>
      </c>
      <c r="BW339">
        <v>1</v>
      </c>
      <c r="BX339">
        <v>1</v>
      </c>
      <c r="BY339" t="s">
        <v>6</v>
      </c>
      <c r="BZ339">
        <v>0</v>
      </c>
      <c r="CA339">
        <v>0</v>
      </c>
      <c r="CB339" t="s">
        <v>6</v>
      </c>
      <c r="CE339">
        <v>0</v>
      </c>
      <c r="CF339">
        <v>0</v>
      </c>
      <c r="CG339">
        <v>0</v>
      </c>
      <c r="CM339">
        <v>0</v>
      </c>
      <c r="CN339" t="s">
        <v>6</v>
      </c>
      <c r="CO339">
        <v>0</v>
      </c>
      <c r="CP339">
        <f t="shared" si="345"/>
        <v>413707</v>
      </c>
      <c r="CQ339">
        <f t="shared" si="346"/>
        <v>62647.300799999997</v>
      </c>
      <c r="CR339">
        <f t="shared" si="347"/>
        <v>0</v>
      </c>
      <c r="CS339">
        <f t="shared" si="348"/>
        <v>0</v>
      </c>
      <c r="CT339">
        <f t="shared" si="349"/>
        <v>0</v>
      </c>
      <c r="CU339">
        <f t="shared" si="350"/>
        <v>0</v>
      </c>
      <c r="CV339">
        <f t="shared" si="351"/>
        <v>0</v>
      </c>
      <c r="CW339">
        <f t="shared" si="352"/>
        <v>0</v>
      </c>
      <c r="CX339">
        <f t="shared" si="353"/>
        <v>0</v>
      </c>
      <c r="CY339">
        <f>(S339+R339)*(BZ339/100)</f>
        <v>0</v>
      </c>
      <c r="CZ339">
        <f>(S339+R339)*(CA339/100)</f>
        <v>0</v>
      </c>
      <c r="DC339" t="s">
        <v>6</v>
      </c>
      <c r="DD339" t="s">
        <v>6</v>
      </c>
      <c r="DE339" t="s">
        <v>6</v>
      </c>
      <c r="DF339" t="s">
        <v>6</v>
      </c>
      <c r="DG339" t="s">
        <v>6</v>
      </c>
      <c r="DH339" t="s">
        <v>6</v>
      </c>
      <c r="DI339" t="s">
        <v>6</v>
      </c>
      <c r="DJ339" t="s">
        <v>6</v>
      </c>
      <c r="DK339" t="s">
        <v>6</v>
      </c>
      <c r="DL339" t="s">
        <v>6</v>
      </c>
      <c r="DM339" t="s">
        <v>6</v>
      </c>
      <c r="DN339">
        <v>0</v>
      </c>
      <c r="DO339">
        <v>0</v>
      </c>
      <c r="DP339">
        <v>1</v>
      </c>
      <c r="DQ339">
        <v>1</v>
      </c>
      <c r="DU339">
        <v>1009</v>
      </c>
      <c r="DV339" t="s">
        <v>33</v>
      </c>
      <c r="DW339" t="e">
        <f>'2.Лок.смета.и.Акт'!#REF!</f>
        <v>#REF!</v>
      </c>
      <c r="DX339">
        <v>1000</v>
      </c>
      <c r="DZ339" t="s">
        <v>6</v>
      </c>
      <c r="EA339" t="s">
        <v>6</v>
      </c>
      <c r="EB339" t="s">
        <v>6</v>
      </c>
      <c r="EC339" t="s">
        <v>6</v>
      </c>
      <c r="EE339">
        <v>54938783</v>
      </c>
      <c r="EF339">
        <v>22</v>
      </c>
      <c r="EG339" t="s">
        <v>57</v>
      </c>
      <c r="EH339">
        <v>0</v>
      </c>
      <c r="EI339" t="s">
        <v>6</v>
      </c>
      <c r="EJ339">
        <v>1</v>
      </c>
      <c r="EK339">
        <v>500003</v>
      </c>
      <c r="EL339" t="s">
        <v>58</v>
      </c>
      <c r="EM339" t="s">
        <v>59</v>
      </c>
      <c r="EO339" t="s">
        <v>6</v>
      </c>
      <c r="EQ339">
        <v>0</v>
      </c>
      <c r="ER339">
        <v>59789.29</v>
      </c>
      <c r="ES339">
        <v>8286.68</v>
      </c>
      <c r="ET339">
        <v>0</v>
      </c>
      <c r="EU339">
        <v>0</v>
      </c>
      <c r="EV339">
        <v>0</v>
      </c>
      <c r="EW339">
        <v>0</v>
      </c>
      <c r="EX339">
        <v>0</v>
      </c>
      <c r="EZ339">
        <v>5</v>
      </c>
      <c r="FC339">
        <v>0</v>
      </c>
      <c r="FD339">
        <v>18</v>
      </c>
      <c r="FF339">
        <v>59789.29</v>
      </c>
      <c r="FQ339">
        <v>0</v>
      </c>
      <c r="FR339">
        <f t="shared" si="354"/>
        <v>0</v>
      </c>
      <c r="FS339">
        <v>0</v>
      </c>
      <c r="FX339">
        <v>0</v>
      </c>
      <c r="FY339">
        <v>0</v>
      </c>
      <c r="GA339" t="s">
        <v>436</v>
      </c>
      <c r="GD339">
        <v>1</v>
      </c>
      <c r="GF339">
        <v>1640638290</v>
      </c>
      <c r="GG339">
        <v>2</v>
      </c>
      <c r="GH339">
        <v>3</v>
      </c>
      <c r="GI339">
        <v>5</v>
      </c>
      <c r="GJ339">
        <v>0</v>
      </c>
      <c r="GK339">
        <v>0</v>
      </c>
      <c r="GL339">
        <f t="shared" si="355"/>
        <v>0</v>
      </c>
      <c r="GM339">
        <f t="shared" si="356"/>
        <v>413707</v>
      </c>
      <c r="GN339">
        <f t="shared" si="357"/>
        <v>413707</v>
      </c>
      <c r="GO339">
        <f t="shared" si="358"/>
        <v>0</v>
      </c>
      <c r="GP339">
        <f t="shared" si="359"/>
        <v>0</v>
      </c>
      <c r="GR339">
        <v>1</v>
      </c>
      <c r="GS339">
        <v>1</v>
      </c>
      <c r="GT339">
        <v>0</v>
      </c>
      <c r="GU339" t="s">
        <v>6</v>
      </c>
      <c r="GV339">
        <f t="shared" si="360"/>
        <v>0</v>
      </c>
      <c r="GW339">
        <v>1</v>
      </c>
      <c r="GX339">
        <f t="shared" si="361"/>
        <v>0</v>
      </c>
      <c r="HA339">
        <v>0</v>
      </c>
      <c r="HB339">
        <v>0</v>
      </c>
      <c r="HC339">
        <f t="shared" si="362"/>
        <v>0</v>
      </c>
      <c r="HE339" t="s">
        <v>39</v>
      </c>
      <c r="HF339" t="s">
        <v>61</v>
      </c>
      <c r="HM339" t="s">
        <v>6</v>
      </c>
      <c r="HN339" t="s">
        <v>6</v>
      </c>
      <c r="HO339" t="s">
        <v>6</v>
      </c>
      <c r="HP339" t="s">
        <v>6</v>
      </c>
      <c r="HQ339" t="s">
        <v>6</v>
      </c>
      <c r="IF339">
        <v>-1</v>
      </c>
      <c r="IK339">
        <v>0</v>
      </c>
    </row>
    <row r="340" spans="1:255" x14ac:dyDescent="0.2">
      <c r="A340" s="2">
        <v>17</v>
      </c>
      <c r="B340" s="2">
        <v>1</v>
      </c>
      <c r="C340" s="2">
        <f>ROW(SmtRes!A425)</f>
        <v>425</v>
      </c>
      <c r="D340" s="2">
        <f>ROW(EtalonRes!A347)</f>
        <v>347</v>
      </c>
      <c r="E340" s="2" t="s">
        <v>455</v>
      </c>
      <c r="F340" s="2" t="s">
        <v>456</v>
      </c>
      <c r="G340" s="2" t="s">
        <v>457</v>
      </c>
      <c r="H340" s="2" t="s">
        <v>21</v>
      </c>
      <c r="I340" s="2">
        <f>'2.Лок.смета.и.Акт'!E51</f>
        <v>52.2</v>
      </c>
      <c r="J340" s="2">
        <v>0</v>
      </c>
      <c r="K340" s="2">
        <v>208.8</v>
      </c>
      <c r="L340" s="2"/>
      <c r="M340" s="2"/>
      <c r="N340" s="2"/>
      <c r="O340" s="2">
        <f t="shared" si="331"/>
        <v>7729</v>
      </c>
      <c r="P340" s="2">
        <f t="shared" si="332"/>
        <v>0</v>
      </c>
      <c r="Q340" s="2">
        <f t="shared" si="333"/>
        <v>6540</v>
      </c>
      <c r="R340" s="2">
        <f t="shared" si="334"/>
        <v>764</v>
      </c>
      <c r="S340" s="2">
        <f t="shared" si="335"/>
        <v>1189</v>
      </c>
      <c r="T340" s="2">
        <f t="shared" si="336"/>
        <v>0</v>
      </c>
      <c r="U340" s="2">
        <f t="shared" si="337"/>
        <v>136.47690000000003</v>
      </c>
      <c r="V340" s="2">
        <f t="shared" si="338"/>
        <v>56.125440000000012</v>
      </c>
      <c r="W340" s="2">
        <f t="shared" si="339"/>
        <v>0</v>
      </c>
      <c r="X340" s="2">
        <f t="shared" si="340"/>
        <v>2344</v>
      </c>
      <c r="Y340" s="2">
        <f t="shared" si="341"/>
        <v>1504</v>
      </c>
      <c r="Z340" s="2"/>
      <c r="AA340" s="2">
        <v>86326987</v>
      </c>
      <c r="AB340" s="2">
        <f t="shared" si="342"/>
        <v>148.05000000000001</v>
      </c>
      <c r="AC340" s="2">
        <f>ROUND((ES340+(SUM(SmtRes!BC417:'SmtRes'!BC425)+SUM(EtalonRes!AL339:'EtalonRes'!AL347))),2)</f>
        <v>0</v>
      </c>
      <c r="AD340" s="2">
        <f>ROUND(((((ET340*1.12)+(SUM(SmtRes!BD417:'SmtRes'!BD425)+SUM(EtalonRes!AM339:'EtalonRes'!AM347)))-((EU340*1.12)+(SUM(SmtRes!BE417:'SmtRes'!BE425)+SUM(EtalonRes!AN339:'EtalonRes'!AN347))))+AE340),2)</f>
        <v>125.28</v>
      </c>
      <c r="AE340" s="2">
        <f>ROUND(((EU340*1.12)+(SUM(SmtRes!BE417:'SmtRes'!BE425)+SUM(EtalonRes!AN339:'EtalonRes'!AN347))),2)</f>
        <v>14.64</v>
      </c>
      <c r="AF340" s="2">
        <f>ROUND(((EV340*1.05)),2)</f>
        <v>22.77</v>
      </c>
      <c r="AG340" s="2">
        <f t="shared" si="343"/>
        <v>0</v>
      </c>
      <c r="AH340" s="2">
        <f>((EW340*1.05))</f>
        <v>2.6145000000000005</v>
      </c>
      <c r="AI340" s="2">
        <f>((EX340*1.12))</f>
        <v>1.0752000000000002</v>
      </c>
      <c r="AJ340" s="2">
        <f t="shared" si="344"/>
        <v>0</v>
      </c>
      <c r="AK340" s="2">
        <v>121.68</v>
      </c>
      <c r="AL340" s="2">
        <v>11.13</v>
      </c>
      <c r="AM340" s="2">
        <v>88.86</v>
      </c>
      <c r="AN340" s="2">
        <v>13.07</v>
      </c>
      <c r="AO340" s="2">
        <v>21.69</v>
      </c>
      <c r="AP340" s="2">
        <v>0</v>
      </c>
      <c r="AQ340" s="2">
        <v>2.4900000000000002</v>
      </c>
      <c r="AR340" s="2">
        <v>0.96</v>
      </c>
      <c r="AS340" s="2">
        <v>0</v>
      </c>
      <c r="AT340" s="2">
        <v>120</v>
      </c>
      <c r="AU340" s="2">
        <v>77</v>
      </c>
      <c r="AV340" s="2">
        <v>1</v>
      </c>
      <c r="AW340" s="2">
        <v>1</v>
      </c>
      <c r="AX340" s="2"/>
      <c r="AY340" s="2"/>
      <c r="AZ340" s="2">
        <v>1</v>
      </c>
      <c r="BA340" s="2">
        <v>1</v>
      </c>
      <c r="BB340" s="2">
        <v>1</v>
      </c>
      <c r="BC340" s="2">
        <v>1</v>
      </c>
      <c r="BD340" s="2" t="s">
        <v>6</v>
      </c>
      <c r="BE340" s="2" t="s">
        <v>6</v>
      </c>
      <c r="BF340" s="2" t="s">
        <v>6</v>
      </c>
      <c r="BG340" s="2" t="s">
        <v>6</v>
      </c>
      <c r="BH340" s="2">
        <v>0</v>
      </c>
      <c r="BI340" s="2">
        <v>1</v>
      </c>
      <c r="BJ340" s="2" t="s">
        <v>458</v>
      </c>
      <c r="BK340" s="2"/>
      <c r="BL340" s="2"/>
      <c r="BM340" s="2">
        <v>6002</v>
      </c>
      <c r="BN340" s="2">
        <v>0</v>
      </c>
      <c r="BO340" s="2" t="s">
        <v>6</v>
      </c>
      <c r="BP340" s="2">
        <v>0</v>
      </c>
      <c r="BQ340" s="2">
        <v>1</v>
      </c>
      <c r="BR340" s="2">
        <v>0</v>
      </c>
      <c r="BS340" s="2">
        <v>1</v>
      </c>
      <c r="BT340" s="2">
        <v>1</v>
      </c>
      <c r="BU340" s="2">
        <v>1</v>
      </c>
      <c r="BV340" s="2">
        <v>1</v>
      </c>
      <c r="BW340" s="2">
        <v>1</v>
      </c>
      <c r="BX340" s="2">
        <v>1</v>
      </c>
      <c r="BY340" s="2" t="s">
        <v>6</v>
      </c>
      <c r="BZ340" s="2">
        <v>120</v>
      </c>
      <c r="CA340" s="2">
        <v>77</v>
      </c>
      <c r="CB340" s="2" t="s">
        <v>6</v>
      </c>
      <c r="CC340" s="2"/>
      <c r="CD340" s="2"/>
      <c r="CE340" s="2">
        <v>0</v>
      </c>
      <c r="CF340" s="2">
        <v>0</v>
      </c>
      <c r="CG340" s="2">
        <v>0</v>
      </c>
      <c r="CH340" s="2"/>
      <c r="CI340" s="2"/>
      <c r="CJ340" s="2"/>
      <c r="CK340" s="2"/>
      <c r="CL340" s="2"/>
      <c r="CM340" s="2">
        <v>0</v>
      </c>
      <c r="CN340" s="2" t="s">
        <v>23</v>
      </c>
      <c r="CO340" s="2">
        <v>0</v>
      </c>
      <c r="CP340" s="2">
        <f t="shared" si="345"/>
        <v>7729</v>
      </c>
      <c r="CQ340" s="2">
        <f t="shared" si="346"/>
        <v>0</v>
      </c>
      <c r="CR340" s="2">
        <f t="shared" si="347"/>
        <v>125.28</v>
      </c>
      <c r="CS340" s="2">
        <f t="shared" si="348"/>
        <v>14.64</v>
      </c>
      <c r="CT340" s="2">
        <f t="shared" si="349"/>
        <v>22.77</v>
      </c>
      <c r="CU340" s="2">
        <f t="shared" si="350"/>
        <v>0</v>
      </c>
      <c r="CV340" s="2">
        <f t="shared" si="351"/>
        <v>2.6145000000000005</v>
      </c>
      <c r="CW340" s="2">
        <f t="shared" si="352"/>
        <v>1.0752000000000002</v>
      </c>
      <c r="CX340" s="2">
        <f t="shared" si="353"/>
        <v>0</v>
      </c>
      <c r="CY340" s="2">
        <f>(((S340+(R340*IF(0,0,1)))*AT340)/100)</f>
        <v>2343.6</v>
      </c>
      <c r="CZ340" s="2">
        <f>(((S340+(R340*IF(0,0,1)))*AU340)/100)</f>
        <v>1503.81</v>
      </c>
      <c r="DA340" s="2"/>
      <c r="DB340" s="2"/>
      <c r="DC340" s="2" t="s">
        <v>6</v>
      </c>
      <c r="DD340" s="2" t="s">
        <v>6</v>
      </c>
      <c r="DE340" s="2" t="s">
        <v>24</v>
      </c>
      <c r="DF340" s="2" t="s">
        <v>24</v>
      </c>
      <c r="DG340" s="2" t="s">
        <v>25</v>
      </c>
      <c r="DH340" s="2" t="s">
        <v>6</v>
      </c>
      <c r="DI340" s="2" t="s">
        <v>25</v>
      </c>
      <c r="DJ340" s="2" t="s">
        <v>24</v>
      </c>
      <c r="DK340" s="2" t="s">
        <v>6</v>
      </c>
      <c r="DL340" s="2" t="s">
        <v>6</v>
      </c>
      <c r="DM340" s="2" t="s">
        <v>6</v>
      </c>
      <c r="DN340" s="2">
        <v>0</v>
      </c>
      <c r="DO340" s="2">
        <v>0</v>
      </c>
      <c r="DP340" s="2">
        <v>1</v>
      </c>
      <c r="DQ340" s="2">
        <v>1</v>
      </c>
      <c r="DR340" s="2"/>
      <c r="DS340" s="2"/>
      <c r="DT340" s="2"/>
      <c r="DU340" s="2">
        <v>1013</v>
      </c>
      <c r="DV340" s="2" t="s">
        <v>21</v>
      </c>
      <c r="DW340" s="2" t="s">
        <v>21</v>
      </c>
      <c r="DX340" s="2">
        <v>1</v>
      </c>
      <c r="DY340" s="2"/>
      <c r="DZ340" s="2" t="s">
        <v>6</v>
      </c>
      <c r="EA340" s="2" t="s">
        <v>6</v>
      </c>
      <c r="EB340" s="2" t="s">
        <v>6</v>
      </c>
      <c r="EC340" s="2" t="s">
        <v>6</v>
      </c>
      <c r="ED340" s="2"/>
      <c r="EE340" s="2">
        <v>54938592</v>
      </c>
      <c r="EF340" s="2">
        <v>1</v>
      </c>
      <c r="EG340" s="2" t="s">
        <v>26</v>
      </c>
      <c r="EH340" s="2">
        <v>0</v>
      </c>
      <c r="EI340" s="2" t="s">
        <v>6</v>
      </c>
      <c r="EJ340" s="2">
        <v>1</v>
      </c>
      <c r="EK340" s="2">
        <v>6002</v>
      </c>
      <c r="EL340" s="2" t="s">
        <v>27</v>
      </c>
      <c r="EM340" s="2" t="s">
        <v>28</v>
      </c>
      <c r="EN340" s="2"/>
      <c r="EO340" s="2" t="s">
        <v>29</v>
      </c>
      <c r="EP340" s="2"/>
      <c r="EQ340" s="2">
        <v>2228224</v>
      </c>
      <c r="ER340" s="2">
        <v>121.68</v>
      </c>
      <c r="ES340" s="2">
        <v>11.13</v>
      </c>
      <c r="ET340" s="2">
        <v>88.86</v>
      </c>
      <c r="EU340" s="2">
        <v>13.07</v>
      </c>
      <c r="EV340" s="2">
        <v>21.69</v>
      </c>
      <c r="EW340" s="2">
        <v>2.4900000000000002</v>
      </c>
      <c r="EX340" s="2">
        <v>0.96</v>
      </c>
      <c r="EY340" s="2">
        <v>1</v>
      </c>
      <c r="EZ340" s="2"/>
      <c r="FA340" s="2"/>
      <c r="FB340" s="2"/>
      <c r="FC340" s="2"/>
      <c r="FD340" s="2"/>
      <c r="FE340" s="2"/>
      <c r="FF340" s="2"/>
      <c r="FG340" s="2"/>
      <c r="FH340" s="2"/>
      <c r="FI340" s="2"/>
      <c r="FJ340" s="2"/>
      <c r="FK340" s="2"/>
      <c r="FL340" s="2"/>
      <c r="FM340" s="2"/>
      <c r="FN340" s="2"/>
      <c r="FO340" s="2"/>
      <c r="FP340" s="2"/>
      <c r="FQ340" s="2">
        <v>0</v>
      </c>
      <c r="FR340" s="2">
        <f t="shared" si="354"/>
        <v>0</v>
      </c>
      <c r="FS340" s="2">
        <v>0</v>
      </c>
      <c r="FT340" s="2"/>
      <c r="FU340" s="2"/>
      <c r="FV340" s="2"/>
      <c r="FW340" s="2"/>
      <c r="FX340" s="2">
        <v>120</v>
      </c>
      <c r="FY340" s="2">
        <v>77</v>
      </c>
      <c r="FZ340" s="2"/>
      <c r="GA340" s="2" t="s">
        <v>6</v>
      </c>
      <c r="GB340" s="2"/>
      <c r="GC340" s="2"/>
      <c r="GD340" s="2">
        <v>1</v>
      </c>
      <c r="GE340" s="2"/>
      <c r="GF340" s="2">
        <v>-1335802649</v>
      </c>
      <c r="GG340" s="2">
        <v>2</v>
      </c>
      <c r="GH340" s="2">
        <v>1</v>
      </c>
      <c r="GI340" s="2">
        <v>-2</v>
      </c>
      <c r="GJ340" s="2">
        <v>0</v>
      </c>
      <c r="GK340" s="2">
        <v>0</v>
      </c>
      <c r="GL340" s="2">
        <f t="shared" si="355"/>
        <v>0</v>
      </c>
      <c r="GM340" s="2">
        <f t="shared" si="356"/>
        <v>11577</v>
      </c>
      <c r="GN340" s="2">
        <f t="shared" si="357"/>
        <v>11577</v>
      </c>
      <c r="GO340" s="2">
        <f t="shared" si="358"/>
        <v>0</v>
      </c>
      <c r="GP340" s="2">
        <f t="shared" si="359"/>
        <v>0</v>
      </c>
      <c r="GQ340" s="2"/>
      <c r="GR340" s="2">
        <v>0</v>
      </c>
      <c r="GS340" s="2">
        <v>3</v>
      </c>
      <c r="GT340" s="2">
        <v>0</v>
      </c>
      <c r="GU340" s="2" t="s">
        <v>6</v>
      </c>
      <c r="GV340" s="2">
        <f t="shared" si="360"/>
        <v>0</v>
      </c>
      <c r="GW340" s="2">
        <v>1</v>
      </c>
      <c r="GX340" s="2">
        <f t="shared" si="361"/>
        <v>0</v>
      </c>
      <c r="GY340" s="2"/>
      <c r="GZ340" s="2"/>
      <c r="HA340" s="2">
        <v>0</v>
      </c>
      <c r="HB340" s="2">
        <v>0</v>
      </c>
      <c r="HC340" s="2">
        <f t="shared" si="362"/>
        <v>0</v>
      </c>
      <c r="HD340" s="2"/>
      <c r="HE340" s="2" t="s">
        <v>6</v>
      </c>
      <c r="HF340" s="2" t="s">
        <v>6</v>
      </c>
      <c r="HG340" s="2"/>
      <c r="HH340" s="2"/>
      <c r="HI340" s="2"/>
      <c r="HJ340" s="2"/>
      <c r="HK340" s="2"/>
      <c r="HL340" s="2"/>
      <c r="HM340" s="2" t="s">
        <v>6</v>
      </c>
      <c r="HN340" s="2" t="s">
        <v>6</v>
      </c>
      <c r="HO340" s="2" t="s">
        <v>6</v>
      </c>
      <c r="HP340" s="2" t="s">
        <v>6</v>
      </c>
      <c r="HQ340" s="2" t="s">
        <v>6</v>
      </c>
      <c r="HR340" s="2"/>
      <c r="HS340" s="2"/>
      <c r="HT340" s="2"/>
      <c r="HU340" s="2"/>
      <c r="HV340" s="2"/>
      <c r="HW340" s="2"/>
      <c r="HX340" s="2"/>
      <c r="HY340" s="2"/>
      <c r="HZ340" s="2"/>
      <c r="IA340" s="2"/>
      <c r="IB340" s="2"/>
      <c r="IC340" s="2"/>
      <c r="ID340" s="2"/>
      <c r="IE340" s="2"/>
      <c r="IF340" s="2">
        <v>-1</v>
      </c>
      <c r="IG340" s="2"/>
      <c r="IH340" s="2"/>
      <c r="II340" s="2"/>
      <c r="IJ340" s="2"/>
      <c r="IK340" s="2">
        <v>0</v>
      </c>
      <c r="IL340" s="2"/>
      <c r="IM340" s="2"/>
      <c r="IN340" s="2"/>
      <c r="IO340" s="2"/>
      <c r="IP340" s="2"/>
      <c r="IQ340" s="2"/>
      <c r="IR340" s="2"/>
      <c r="IS340" s="2"/>
      <c r="IT340" s="2"/>
      <c r="IU340" s="2"/>
    </row>
    <row r="341" spans="1:255" x14ac:dyDescent="0.2">
      <c r="A341">
        <v>17</v>
      </c>
      <c r="B341">
        <v>1</v>
      </c>
      <c r="C341">
        <f>ROW(SmtRes!A434)</f>
        <v>434</v>
      </c>
      <c r="D341">
        <f>ROW(EtalonRes!A356)</f>
        <v>356</v>
      </c>
      <c r="E341" t="s">
        <v>455</v>
      </c>
      <c r="F341" t="s">
        <v>456</v>
      </c>
      <c r="G341" t="s">
        <v>457</v>
      </c>
      <c r="H341" t="s">
        <v>21</v>
      </c>
      <c r="I341">
        <f>'2.Лок.смета.и.Акт'!E51</f>
        <v>52.2</v>
      </c>
      <c r="J341">
        <v>0</v>
      </c>
      <c r="K341">
        <v>208.8</v>
      </c>
      <c r="O341">
        <f t="shared" si="331"/>
        <v>103691</v>
      </c>
      <c r="P341">
        <f t="shared" si="332"/>
        <v>0</v>
      </c>
      <c r="Q341">
        <f t="shared" si="333"/>
        <v>60818</v>
      </c>
      <c r="R341">
        <f t="shared" si="334"/>
        <v>15131</v>
      </c>
      <c r="S341">
        <f t="shared" si="335"/>
        <v>42873</v>
      </c>
      <c r="T341">
        <f t="shared" si="336"/>
        <v>0</v>
      </c>
      <c r="U341" t="e">
        <f t="shared" si="337"/>
        <v>#REF!</v>
      </c>
      <c r="V341">
        <f t="shared" si="338"/>
        <v>56.125440000000012</v>
      </c>
      <c r="W341">
        <f t="shared" si="339"/>
        <v>0</v>
      </c>
      <c r="X341" t="e">
        <f t="shared" si="340"/>
        <v>#REF!</v>
      </c>
      <c r="Y341" t="e">
        <f t="shared" si="341"/>
        <v>#REF!</v>
      </c>
      <c r="AA341">
        <v>86326988</v>
      </c>
      <c r="AB341">
        <f t="shared" si="342"/>
        <v>148.05000000000001</v>
      </c>
      <c r="AC341">
        <f>ROUND((ES341+(SUM(SmtRes!BC426:'SmtRes'!BC434)+SUM(EtalonRes!AL348:'EtalonRes'!AL356))),2)</f>
        <v>0</v>
      </c>
      <c r="AD341">
        <f>ROUND(((((ET341*1.12)+(SUM(SmtRes!BD426:'SmtRes'!BD434)+SUM(EtalonRes!AM348:'EtalonRes'!AM356)))-((EU341*1.12)+(SUM(SmtRes!BE426:'SmtRes'!BE434)+SUM(EtalonRes!AN348:'EtalonRes'!AN356))))+AE341),2)</f>
        <v>125.28</v>
      </c>
      <c r="AE341">
        <f>ROUND(((EU341*1.12)+(SUM(SmtRes!BE426:'SmtRes'!BE434)+SUM(EtalonRes!AN348:'EtalonRes'!AN356))),2)</f>
        <v>14.64</v>
      </c>
      <c r="AF341">
        <f>ROUND(((EV341*1.05)),2)</f>
        <v>22.77</v>
      </c>
      <c r="AG341">
        <f t="shared" si="343"/>
        <v>0</v>
      </c>
      <c r="AH341" t="e">
        <f>((EW341*1.05))</f>
        <v>#REF!</v>
      </c>
      <c r="AI341">
        <f>((EX341*1.12))</f>
        <v>1.0752000000000002</v>
      </c>
      <c r="AJ341">
        <f t="shared" si="344"/>
        <v>0</v>
      </c>
      <c r="AK341">
        <f>AL341+AM341+AO341</f>
        <v>121.67999999999999</v>
      </c>
      <c r="AL341">
        <v>11.13</v>
      </c>
      <c r="AM341" s="75">
        <f>'1.Лок.смета.и.Акт'!F623</f>
        <v>88.86</v>
      </c>
      <c r="AN341" s="75">
        <f>'1.Лок.смета.и.Акт'!F624</f>
        <v>13.07</v>
      </c>
      <c r="AO341" s="75">
        <f>'1.Лок.смета.и.Акт'!F622</f>
        <v>21.69</v>
      </c>
      <c r="AP341">
        <v>0</v>
      </c>
      <c r="AQ341" t="e">
        <f>'2.Лок.смета.и.Акт'!#REF!</f>
        <v>#REF!</v>
      </c>
      <c r="AR341">
        <v>0.96</v>
      </c>
      <c r="AS341">
        <v>0</v>
      </c>
      <c r="AT341">
        <v>114</v>
      </c>
      <c r="AU341">
        <v>65</v>
      </c>
      <c r="AV341">
        <v>1</v>
      </c>
      <c r="AW341">
        <v>1</v>
      </c>
      <c r="AZ341">
        <v>1</v>
      </c>
      <c r="BA341">
        <f>'1.Лок.смета.и.Акт'!J622</f>
        <v>36.07</v>
      </c>
      <c r="BB341">
        <f>'1.Лок.смета.и.Акт'!J623</f>
        <v>9.3000000000000007</v>
      </c>
      <c r="BC341">
        <v>7.56</v>
      </c>
      <c r="BD341" t="s">
        <v>6</v>
      </c>
      <c r="BE341" t="s">
        <v>6</v>
      </c>
      <c r="BF341" t="s">
        <v>6</v>
      </c>
      <c r="BG341" t="s">
        <v>6</v>
      </c>
      <c r="BH341">
        <v>0</v>
      </c>
      <c r="BI341">
        <v>1</v>
      </c>
      <c r="BJ341" t="s">
        <v>458</v>
      </c>
      <c r="BM341">
        <v>6002</v>
      </c>
      <c r="BN341">
        <v>0</v>
      </c>
      <c r="BO341" t="s">
        <v>456</v>
      </c>
      <c r="BP341">
        <v>1</v>
      </c>
      <c r="BQ341">
        <v>1</v>
      </c>
      <c r="BR341">
        <v>0</v>
      </c>
      <c r="BS341">
        <f>'1.Лок.смета.и.Акт'!J624</f>
        <v>19.8</v>
      </c>
      <c r="BT341">
        <v>1</v>
      </c>
      <c r="BU341">
        <v>1</v>
      </c>
      <c r="BV341">
        <v>1</v>
      </c>
      <c r="BW341">
        <v>1</v>
      </c>
      <c r="BX341">
        <v>1</v>
      </c>
      <c r="BY341" t="s">
        <v>6</v>
      </c>
      <c r="BZ341" t="e">
        <f>'2.Лок.смета.и.Акт'!#REF!</f>
        <v>#REF!</v>
      </c>
      <c r="CA341" t="e">
        <f>'2.Лок.смета.и.Акт'!#REF!</f>
        <v>#REF!</v>
      </c>
      <c r="CB341" t="s">
        <v>6</v>
      </c>
      <c r="CE341">
        <v>0</v>
      </c>
      <c r="CF341">
        <v>0</v>
      </c>
      <c r="CG341">
        <v>0</v>
      </c>
      <c r="CM341">
        <v>0</v>
      </c>
      <c r="CN341" t="s">
        <v>23</v>
      </c>
      <c r="CO341">
        <v>0</v>
      </c>
      <c r="CP341">
        <f t="shared" si="345"/>
        <v>103691</v>
      </c>
      <c r="CQ341">
        <f t="shared" si="346"/>
        <v>0</v>
      </c>
      <c r="CR341">
        <f t="shared" si="347"/>
        <v>1165.104</v>
      </c>
      <c r="CS341">
        <f t="shared" si="348"/>
        <v>289.87200000000001</v>
      </c>
      <c r="CT341">
        <f t="shared" si="349"/>
        <v>821.31389999999999</v>
      </c>
      <c r="CU341">
        <f t="shared" si="350"/>
        <v>0</v>
      </c>
      <c r="CV341" t="e">
        <f t="shared" si="351"/>
        <v>#REF!</v>
      </c>
      <c r="CW341">
        <f t="shared" si="352"/>
        <v>1.0752000000000002</v>
      </c>
      <c r="CX341">
        <f t="shared" si="353"/>
        <v>0</v>
      </c>
      <c r="CY341" t="e">
        <f>(S341+R341)*(BZ341/100)</f>
        <v>#REF!</v>
      </c>
      <c r="CZ341" t="e">
        <f>(S341+R341)*(CA341/100)</f>
        <v>#REF!</v>
      </c>
      <c r="DC341" t="s">
        <v>6</v>
      </c>
      <c r="DD341" t="s">
        <v>6</v>
      </c>
      <c r="DE341" t="s">
        <v>24</v>
      </c>
      <c r="DF341" t="s">
        <v>24</v>
      </c>
      <c r="DG341" t="s">
        <v>25</v>
      </c>
      <c r="DH341" t="s">
        <v>6</v>
      </c>
      <c r="DI341" t="s">
        <v>25</v>
      </c>
      <c r="DJ341" t="s">
        <v>24</v>
      </c>
      <c r="DK341" t="s">
        <v>6</v>
      </c>
      <c r="DL341" t="s">
        <v>6</v>
      </c>
      <c r="DM341" t="s">
        <v>6</v>
      </c>
      <c r="DN341">
        <f>'1.Лок.смета.и.Акт'!E625</f>
        <v>120</v>
      </c>
      <c r="DO341">
        <f>'1.Лок.смета.и.Акт'!E626</f>
        <v>77</v>
      </c>
      <c r="DP341">
        <v>1</v>
      </c>
      <c r="DQ341">
        <v>1</v>
      </c>
      <c r="DU341">
        <v>1013</v>
      </c>
      <c r="DV341" t="s">
        <v>21</v>
      </c>
      <c r="DW341" t="str">
        <f>'2.Лок.смета.и.Акт'!D51</f>
        <v>10 м2 конструкций</v>
      </c>
      <c r="DX341">
        <v>1</v>
      </c>
      <c r="DZ341" t="s">
        <v>6</v>
      </c>
      <c r="EA341" t="s">
        <v>6</v>
      </c>
      <c r="EB341" t="s">
        <v>6</v>
      </c>
      <c r="EC341" t="s">
        <v>6</v>
      </c>
      <c r="EE341">
        <v>54938592</v>
      </c>
      <c r="EF341">
        <v>1</v>
      </c>
      <c r="EG341" t="s">
        <v>26</v>
      </c>
      <c r="EH341">
        <v>0</v>
      </c>
      <c r="EI341" t="s">
        <v>6</v>
      </c>
      <c r="EJ341">
        <v>1</v>
      </c>
      <c r="EK341">
        <v>6002</v>
      </c>
      <c r="EL341" t="s">
        <v>27</v>
      </c>
      <c r="EM341" t="s">
        <v>28</v>
      </c>
      <c r="EO341" t="s">
        <v>29</v>
      </c>
      <c r="EQ341">
        <v>2228224</v>
      </c>
      <c r="ER341">
        <f>ES341+ET341+EV341</f>
        <v>121.67999999999999</v>
      </c>
      <c r="ES341">
        <v>11.13</v>
      </c>
      <c r="ET341" s="75">
        <f>'1.Лок.смета.и.Акт'!F623</f>
        <v>88.86</v>
      </c>
      <c r="EU341" s="75">
        <f>'1.Лок.смета.и.Акт'!F624</f>
        <v>13.07</v>
      </c>
      <c r="EV341" s="75">
        <f>'1.Лок.смета.и.Акт'!F622</f>
        <v>21.69</v>
      </c>
      <c r="EW341" t="e">
        <f>'2.Лок.смета.и.Акт'!#REF!</f>
        <v>#REF!</v>
      </c>
      <c r="EX341">
        <v>0.96</v>
      </c>
      <c r="EY341">
        <v>1</v>
      </c>
      <c r="FQ341">
        <v>0</v>
      </c>
      <c r="FR341">
        <f t="shared" si="354"/>
        <v>0</v>
      </c>
      <c r="FS341">
        <v>0</v>
      </c>
      <c r="FX341">
        <v>120</v>
      </c>
      <c r="FY341">
        <v>77</v>
      </c>
      <c r="GA341" t="s">
        <v>6</v>
      </c>
      <c r="GD341">
        <v>1</v>
      </c>
      <c r="GF341">
        <v>-1335802649</v>
      </c>
      <c r="GG341">
        <v>2</v>
      </c>
      <c r="GH341">
        <v>1</v>
      </c>
      <c r="GI341">
        <v>2</v>
      </c>
      <c r="GJ341">
        <v>0</v>
      </c>
      <c r="GK341">
        <v>0</v>
      </c>
      <c r="GL341">
        <f t="shared" si="355"/>
        <v>0</v>
      </c>
      <c r="GM341" t="e">
        <f t="shared" si="356"/>
        <v>#REF!</v>
      </c>
      <c r="GN341" t="e">
        <f t="shared" si="357"/>
        <v>#REF!</v>
      </c>
      <c r="GO341">
        <f t="shared" si="358"/>
        <v>0</v>
      </c>
      <c r="GP341">
        <f t="shared" si="359"/>
        <v>0</v>
      </c>
      <c r="GR341">
        <v>0</v>
      </c>
      <c r="GS341">
        <v>3</v>
      </c>
      <c r="GT341">
        <v>0</v>
      </c>
      <c r="GU341" t="s">
        <v>6</v>
      </c>
      <c r="GV341">
        <f t="shared" si="360"/>
        <v>0</v>
      </c>
      <c r="GW341">
        <v>1003.4</v>
      </c>
      <c r="GX341">
        <f t="shared" si="361"/>
        <v>0</v>
      </c>
      <c r="HA341">
        <v>0</v>
      </c>
      <c r="HB341">
        <v>0</v>
      </c>
      <c r="HC341">
        <f t="shared" si="362"/>
        <v>0</v>
      </c>
      <c r="HE341" t="s">
        <v>6</v>
      </c>
      <c r="HF341" t="s">
        <v>6</v>
      </c>
      <c r="HM341" t="s">
        <v>6</v>
      </c>
      <c r="HN341" t="s">
        <v>6</v>
      </c>
      <c r="HO341" t="s">
        <v>6</v>
      </c>
      <c r="HP341" t="s">
        <v>6</v>
      </c>
      <c r="HQ341" t="s">
        <v>6</v>
      </c>
      <c r="IF341">
        <v>-1</v>
      </c>
      <c r="IK341">
        <v>0</v>
      </c>
    </row>
    <row r="342" spans="1:255" x14ac:dyDescent="0.2">
      <c r="A342" s="2">
        <v>18</v>
      </c>
      <c r="B342" s="2">
        <v>1</v>
      </c>
      <c r="C342" s="2">
        <v>421</v>
      </c>
      <c r="D342" s="2"/>
      <c r="E342" s="2" t="s">
        <v>459</v>
      </c>
      <c r="F342" s="2" t="s">
        <v>71</v>
      </c>
      <c r="G342" s="2" t="s">
        <v>72</v>
      </c>
      <c r="H342" s="2" t="s">
        <v>33</v>
      </c>
      <c r="I342" s="2">
        <f>I340*J342</f>
        <v>0.10962</v>
      </c>
      <c r="J342" s="226">
        <f>'5.Ведомость_списания'!F148</f>
        <v>2.0999999999999999E-3</v>
      </c>
      <c r="K342" s="2">
        <v>2.0999999999999999E-3</v>
      </c>
      <c r="L342" s="2"/>
      <c r="M342" s="2"/>
      <c r="N342" s="2"/>
      <c r="O342" s="2">
        <f t="shared" si="331"/>
        <v>186</v>
      </c>
      <c r="P342" s="2">
        <f t="shared" si="332"/>
        <v>186</v>
      </c>
      <c r="Q342" s="2">
        <f t="shared" si="333"/>
        <v>0</v>
      </c>
      <c r="R342" s="2">
        <f t="shared" si="334"/>
        <v>0</v>
      </c>
      <c r="S342" s="2">
        <f t="shared" si="335"/>
        <v>0</v>
      </c>
      <c r="T342" s="2">
        <f t="shared" si="336"/>
        <v>0</v>
      </c>
      <c r="U342" s="2">
        <f t="shared" si="337"/>
        <v>0</v>
      </c>
      <c r="V342" s="2">
        <f t="shared" si="338"/>
        <v>0</v>
      </c>
      <c r="W342" s="2">
        <f t="shared" si="339"/>
        <v>5</v>
      </c>
      <c r="X342" s="2">
        <f t="shared" si="340"/>
        <v>0</v>
      </c>
      <c r="Y342" s="2">
        <f t="shared" si="341"/>
        <v>0</v>
      </c>
      <c r="Z342" s="2"/>
      <c r="AA342" s="2">
        <v>86326987</v>
      </c>
      <c r="AB342" s="2">
        <f t="shared" si="342"/>
        <v>1696.01</v>
      </c>
      <c r="AC342" s="2">
        <f t="shared" ref="AC342:AC353" si="372">ROUND((ES342),2)</f>
        <v>1696.01</v>
      </c>
      <c r="AD342" s="2">
        <f>ROUND((((ET342)-(EU342))+AE342),2)</f>
        <v>0</v>
      </c>
      <c r="AE342" s="2">
        <f t="shared" ref="AE342:AE353" si="373">ROUND((EU342),2)</f>
        <v>0</v>
      </c>
      <c r="AF342" s="2">
        <f t="shared" ref="AF342:AF353" si="374">ROUND((EV342),2)</f>
        <v>0</v>
      </c>
      <c r="AG342" s="2">
        <f t="shared" si="343"/>
        <v>0</v>
      </c>
      <c r="AH342" s="2">
        <f t="shared" ref="AH342:AH353" si="375">(EW342)</f>
        <v>0</v>
      </c>
      <c r="AI342" s="2">
        <f t="shared" ref="AI342:AI353" si="376">(EX342)</f>
        <v>0</v>
      </c>
      <c r="AJ342" s="2">
        <f t="shared" si="344"/>
        <v>44.58</v>
      </c>
      <c r="AK342" s="2">
        <v>1696.01</v>
      </c>
      <c r="AL342" s="110">
        <f>'1.Лок.смета.и.Акт'!F628</f>
        <v>1696.01</v>
      </c>
      <c r="AM342" s="2">
        <v>0</v>
      </c>
      <c r="AN342" s="2">
        <v>0</v>
      </c>
      <c r="AO342" s="2">
        <v>0</v>
      </c>
      <c r="AP342" s="2">
        <v>0</v>
      </c>
      <c r="AQ342" s="2">
        <v>0</v>
      </c>
      <c r="AR342" s="2">
        <v>0</v>
      </c>
      <c r="AS342" s="2">
        <v>44.58</v>
      </c>
      <c r="AT342" s="2">
        <v>0</v>
      </c>
      <c r="AU342" s="2">
        <v>0</v>
      </c>
      <c r="AV342" s="2">
        <v>1</v>
      </c>
      <c r="AW342" s="2">
        <v>1</v>
      </c>
      <c r="AX342" s="2"/>
      <c r="AY342" s="2"/>
      <c r="AZ342" s="2">
        <v>1</v>
      </c>
      <c r="BA342" s="2">
        <v>1</v>
      </c>
      <c r="BB342" s="2">
        <v>1</v>
      </c>
      <c r="BC342" s="2">
        <v>1</v>
      </c>
      <c r="BD342" s="2" t="s">
        <v>6</v>
      </c>
      <c r="BE342" s="2" t="s">
        <v>6</v>
      </c>
      <c r="BF342" s="2" t="s">
        <v>6</v>
      </c>
      <c r="BG342" s="2" t="s">
        <v>6</v>
      </c>
      <c r="BH342" s="2">
        <v>3</v>
      </c>
      <c r="BI342" s="2">
        <v>1</v>
      </c>
      <c r="BJ342" s="2" t="s">
        <v>73</v>
      </c>
      <c r="BK342" s="2"/>
      <c r="BL342" s="2"/>
      <c r="BM342" s="2">
        <v>500001</v>
      </c>
      <c r="BN342" s="2">
        <v>0</v>
      </c>
      <c r="BO342" s="2" t="s">
        <v>6</v>
      </c>
      <c r="BP342" s="2">
        <v>0</v>
      </c>
      <c r="BQ342" s="2">
        <v>20</v>
      </c>
      <c r="BR342" s="2">
        <v>0</v>
      </c>
      <c r="BS342" s="2">
        <v>1</v>
      </c>
      <c r="BT342" s="2">
        <v>1</v>
      </c>
      <c r="BU342" s="2">
        <v>1</v>
      </c>
      <c r="BV342" s="2">
        <v>1</v>
      </c>
      <c r="BW342" s="2">
        <v>1</v>
      </c>
      <c r="BX342" s="2">
        <v>1</v>
      </c>
      <c r="BY342" s="2" t="s">
        <v>6</v>
      </c>
      <c r="BZ342" s="2">
        <v>0</v>
      </c>
      <c r="CA342" s="2">
        <v>0</v>
      </c>
      <c r="CB342" s="2" t="s">
        <v>6</v>
      </c>
      <c r="CC342" s="2"/>
      <c r="CD342" s="2"/>
      <c r="CE342" s="2">
        <v>0</v>
      </c>
      <c r="CF342" s="2">
        <v>0</v>
      </c>
      <c r="CG342" s="2">
        <v>0</v>
      </c>
      <c r="CH342" s="2"/>
      <c r="CI342" s="2"/>
      <c r="CJ342" s="2"/>
      <c r="CK342" s="2"/>
      <c r="CL342" s="2"/>
      <c r="CM342" s="2">
        <v>0</v>
      </c>
      <c r="CN342" s="2" t="s">
        <v>6</v>
      </c>
      <c r="CO342" s="2">
        <v>0</v>
      </c>
      <c r="CP342" s="2">
        <f t="shared" si="345"/>
        <v>186</v>
      </c>
      <c r="CQ342" s="2">
        <f t="shared" si="346"/>
        <v>1696.01</v>
      </c>
      <c r="CR342" s="2">
        <f t="shared" si="347"/>
        <v>0</v>
      </c>
      <c r="CS342" s="2">
        <f t="shared" si="348"/>
        <v>0</v>
      </c>
      <c r="CT342" s="2">
        <f t="shared" si="349"/>
        <v>0</v>
      </c>
      <c r="CU342" s="2">
        <f t="shared" si="350"/>
        <v>0</v>
      </c>
      <c r="CV342" s="2">
        <f t="shared" si="351"/>
        <v>0</v>
      </c>
      <c r="CW342" s="2">
        <f t="shared" si="352"/>
        <v>0</v>
      </c>
      <c r="CX342" s="2">
        <f t="shared" si="353"/>
        <v>44.58</v>
      </c>
      <c r="CY342" s="2">
        <f>(((S342+(R342*IF(0,0,1)))*AT342)/100)</f>
        <v>0</v>
      </c>
      <c r="CZ342" s="2">
        <f>(((S342+(R342*IF(0,0,1)))*AU342)/100)</f>
        <v>0</v>
      </c>
      <c r="DA342" s="2"/>
      <c r="DB342" s="2"/>
      <c r="DC342" s="2" t="s">
        <v>6</v>
      </c>
      <c r="DD342" s="2" t="s">
        <v>6</v>
      </c>
      <c r="DE342" s="2" t="s">
        <v>6</v>
      </c>
      <c r="DF342" s="2" t="s">
        <v>6</v>
      </c>
      <c r="DG342" s="2" t="s">
        <v>6</v>
      </c>
      <c r="DH342" s="2" t="s">
        <v>6</v>
      </c>
      <c r="DI342" s="2" t="s">
        <v>6</v>
      </c>
      <c r="DJ342" s="2" t="s">
        <v>6</v>
      </c>
      <c r="DK342" s="2" t="s">
        <v>6</v>
      </c>
      <c r="DL342" s="2" t="s">
        <v>6</v>
      </c>
      <c r="DM342" s="2" t="s">
        <v>6</v>
      </c>
      <c r="DN342" s="2">
        <v>0</v>
      </c>
      <c r="DO342" s="2">
        <v>0</v>
      </c>
      <c r="DP342" s="2">
        <v>1</v>
      </c>
      <c r="DQ342" s="2">
        <v>1</v>
      </c>
      <c r="DR342" s="2"/>
      <c r="DS342" s="2"/>
      <c r="DT342" s="2"/>
      <c r="DU342" s="2">
        <v>1009</v>
      </c>
      <c r="DV342" s="2" t="s">
        <v>33</v>
      </c>
      <c r="DW342" s="2" t="s">
        <v>33</v>
      </c>
      <c r="DX342" s="2">
        <v>1000</v>
      </c>
      <c r="DY342" s="2"/>
      <c r="DZ342" s="2" t="s">
        <v>6</v>
      </c>
      <c r="EA342" s="2" t="s">
        <v>6</v>
      </c>
      <c r="EB342" s="2" t="s">
        <v>6</v>
      </c>
      <c r="EC342" s="2" t="s">
        <v>6</v>
      </c>
      <c r="ED342" s="2"/>
      <c r="EE342" s="2">
        <v>54938781</v>
      </c>
      <c r="EF342" s="2">
        <v>20</v>
      </c>
      <c r="EG342" s="2" t="s">
        <v>35</v>
      </c>
      <c r="EH342" s="2">
        <v>0</v>
      </c>
      <c r="EI342" s="2" t="s">
        <v>6</v>
      </c>
      <c r="EJ342" s="2">
        <v>1</v>
      </c>
      <c r="EK342" s="2">
        <v>500001</v>
      </c>
      <c r="EL342" s="2" t="s">
        <v>36</v>
      </c>
      <c r="EM342" s="2" t="s">
        <v>37</v>
      </c>
      <c r="EN342" s="2"/>
      <c r="EO342" s="2" t="s">
        <v>6</v>
      </c>
      <c r="EP342" s="2"/>
      <c r="EQ342" s="2">
        <v>0</v>
      </c>
      <c r="ER342" s="2">
        <v>1696.01</v>
      </c>
      <c r="ES342" s="110">
        <f>'1.Лок.смета.и.Акт'!F628</f>
        <v>1696.01</v>
      </c>
      <c r="ET342" s="2">
        <v>0</v>
      </c>
      <c r="EU342" s="2">
        <v>0</v>
      </c>
      <c r="EV342" s="2">
        <v>0</v>
      </c>
      <c r="EW342" s="2">
        <v>0</v>
      </c>
      <c r="EX342" s="2">
        <v>0</v>
      </c>
      <c r="EY342" s="2"/>
      <c r="EZ342" s="2"/>
      <c r="FA342" s="2"/>
      <c r="FB342" s="2"/>
      <c r="FC342" s="2"/>
      <c r="FD342" s="2"/>
      <c r="FE342" s="2"/>
      <c r="FF342" s="2"/>
      <c r="FG342" s="2"/>
      <c r="FH342" s="2"/>
      <c r="FI342" s="2"/>
      <c r="FJ342" s="2"/>
      <c r="FK342" s="2"/>
      <c r="FL342" s="2"/>
      <c r="FM342" s="2"/>
      <c r="FN342" s="2"/>
      <c r="FO342" s="2"/>
      <c r="FP342" s="2"/>
      <c r="FQ342" s="2">
        <v>0</v>
      </c>
      <c r="FR342" s="2">
        <f t="shared" si="354"/>
        <v>0</v>
      </c>
      <c r="FS342" s="2">
        <v>0</v>
      </c>
      <c r="FT342" s="2"/>
      <c r="FU342" s="2"/>
      <c r="FV342" s="2"/>
      <c r="FW342" s="2"/>
      <c r="FX342" s="2">
        <v>0</v>
      </c>
      <c r="FY342" s="2">
        <v>0</v>
      </c>
      <c r="FZ342" s="2"/>
      <c r="GA342" s="2" t="s">
        <v>6</v>
      </c>
      <c r="GB342" s="2"/>
      <c r="GC342" s="2"/>
      <c r="GD342" s="2">
        <v>1</v>
      </c>
      <c r="GE342" s="2"/>
      <c r="GF342" s="2">
        <v>-81122142</v>
      </c>
      <c r="GG342" s="2">
        <v>2</v>
      </c>
      <c r="GH342" s="2">
        <v>0</v>
      </c>
      <c r="GI342" s="2">
        <v>-2</v>
      </c>
      <c r="GJ342" s="2">
        <v>0</v>
      </c>
      <c r="GK342" s="2">
        <v>0</v>
      </c>
      <c r="GL342" s="2">
        <f t="shared" si="355"/>
        <v>0</v>
      </c>
      <c r="GM342" s="2">
        <f t="shared" si="356"/>
        <v>186</v>
      </c>
      <c r="GN342" s="2">
        <f t="shared" si="357"/>
        <v>186</v>
      </c>
      <c r="GO342" s="2">
        <f t="shared" si="358"/>
        <v>0</v>
      </c>
      <c r="GP342" s="2">
        <f t="shared" si="359"/>
        <v>0</v>
      </c>
      <c r="GQ342" s="2"/>
      <c r="GR342" s="2">
        <v>0</v>
      </c>
      <c r="GS342" s="2">
        <v>3</v>
      </c>
      <c r="GT342" s="2">
        <v>0</v>
      </c>
      <c r="GU342" s="2" t="s">
        <v>6</v>
      </c>
      <c r="GV342" s="2">
        <f t="shared" si="360"/>
        <v>0</v>
      </c>
      <c r="GW342" s="2">
        <v>1</v>
      </c>
      <c r="GX342" s="2">
        <f t="shared" si="361"/>
        <v>0</v>
      </c>
      <c r="GY342" s="2"/>
      <c r="GZ342" s="2"/>
      <c r="HA342" s="2">
        <v>0</v>
      </c>
      <c r="HB342" s="2">
        <v>0</v>
      </c>
      <c r="HC342" s="2">
        <f t="shared" si="362"/>
        <v>0</v>
      </c>
      <c r="HD342" s="2"/>
      <c r="HE342" s="2" t="s">
        <v>6</v>
      </c>
      <c r="HF342" s="2" t="s">
        <v>6</v>
      </c>
      <c r="HG342" s="2"/>
      <c r="HH342" s="2"/>
      <c r="HI342" s="2"/>
      <c r="HJ342" s="2"/>
      <c r="HK342" s="2"/>
      <c r="HL342" s="2"/>
      <c r="HM342" s="2" t="s">
        <v>6</v>
      </c>
      <c r="HN342" s="2" t="s">
        <v>6</v>
      </c>
      <c r="HO342" s="2" t="s">
        <v>6</v>
      </c>
      <c r="HP342" s="2" t="s">
        <v>6</v>
      </c>
      <c r="HQ342" s="2" t="s">
        <v>6</v>
      </c>
      <c r="HR342" s="2"/>
      <c r="HS342" s="2"/>
      <c r="HT342" s="2"/>
      <c r="HU342" s="2"/>
      <c r="HV342" s="2"/>
      <c r="HW342" s="2"/>
      <c r="HX342" s="2"/>
      <c r="HY342" s="2"/>
      <c r="HZ342" s="2"/>
      <c r="IA342" s="2"/>
      <c r="IB342" s="2"/>
      <c r="IC342" s="2"/>
      <c r="ID342" s="2"/>
      <c r="IE342" s="2"/>
      <c r="IF342" s="2">
        <v>-1</v>
      </c>
      <c r="IG342" s="2"/>
      <c r="IH342" s="2"/>
      <c r="II342" s="2"/>
      <c r="IJ342" s="2"/>
      <c r="IK342" s="2">
        <v>0</v>
      </c>
      <c r="IL342" s="2"/>
      <c r="IM342" s="2"/>
      <c r="IN342" s="2"/>
      <c r="IO342" s="2"/>
      <c r="IP342" s="2"/>
      <c r="IQ342" s="2"/>
      <c r="IR342" s="2"/>
      <c r="IS342" s="2"/>
      <c r="IT342" s="2"/>
      <c r="IU342" s="2"/>
    </row>
    <row r="343" spans="1:255" x14ac:dyDescent="0.2">
      <c r="A343">
        <v>18</v>
      </c>
      <c r="B343">
        <v>1</v>
      </c>
      <c r="C343">
        <v>430</v>
      </c>
      <c r="E343" t="s">
        <v>459</v>
      </c>
      <c r="F343" t="e">
        <f>'2.Лок.смета.и.Акт'!#REF!</f>
        <v>#REF!</v>
      </c>
      <c r="G343" t="s">
        <v>72</v>
      </c>
      <c r="H343" t="s">
        <v>33</v>
      </c>
      <c r="I343">
        <f>I341*J343</f>
        <v>0.10962</v>
      </c>
      <c r="J343">
        <v>2.0999999999999999E-3</v>
      </c>
      <c r="K343">
        <v>2.0999999999999999E-3</v>
      </c>
      <c r="O343">
        <f t="shared" si="331"/>
        <v>9594</v>
      </c>
      <c r="P343">
        <f t="shared" si="332"/>
        <v>9594</v>
      </c>
      <c r="Q343">
        <f t="shared" si="333"/>
        <v>0</v>
      </c>
      <c r="R343">
        <f t="shared" si="334"/>
        <v>0</v>
      </c>
      <c r="S343">
        <f t="shared" si="335"/>
        <v>0</v>
      </c>
      <c r="T343">
        <f t="shared" si="336"/>
        <v>0</v>
      </c>
      <c r="U343">
        <f t="shared" si="337"/>
        <v>0</v>
      </c>
      <c r="V343">
        <f t="shared" si="338"/>
        <v>0</v>
      </c>
      <c r="W343">
        <f t="shared" si="339"/>
        <v>5</v>
      </c>
      <c r="X343">
        <f t="shared" si="340"/>
        <v>0</v>
      </c>
      <c r="Y343">
        <f t="shared" si="341"/>
        <v>0</v>
      </c>
      <c r="AA343">
        <v>86326988</v>
      </c>
      <c r="AB343">
        <f t="shared" si="342"/>
        <v>11576.19</v>
      </c>
      <c r="AC343">
        <f t="shared" si="372"/>
        <v>11576.19</v>
      </c>
      <c r="AD343">
        <f>ROUND((((ET343)-(EU343))+AE343),2)</f>
        <v>0</v>
      </c>
      <c r="AE343">
        <f t="shared" si="373"/>
        <v>0</v>
      </c>
      <c r="AF343">
        <f t="shared" si="374"/>
        <v>0</v>
      </c>
      <c r="AG343">
        <f t="shared" si="343"/>
        <v>0</v>
      </c>
      <c r="AH343">
        <f t="shared" si="375"/>
        <v>0</v>
      </c>
      <c r="AI343">
        <f t="shared" si="376"/>
        <v>0</v>
      </c>
      <c r="AJ343">
        <f t="shared" si="344"/>
        <v>44.58</v>
      </c>
      <c r="AK343">
        <v>11576.19</v>
      </c>
      <c r="AL343">
        <v>11576.19</v>
      </c>
      <c r="AM343">
        <v>0</v>
      </c>
      <c r="AN343">
        <v>0</v>
      </c>
      <c r="AO343">
        <v>0</v>
      </c>
      <c r="AP343">
        <v>0</v>
      </c>
      <c r="AQ343">
        <v>0</v>
      </c>
      <c r="AR343">
        <v>0</v>
      </c>
      <c r="AS343">
        <v>44.58</v>
      </c>
      <c r="AT343">
        <v>0</v>
      </c>
      <c r="AU343">
        <v>0</v>
      </c>
      <c r="AV343">
        <v>1</v>
      </c>
      <c r="AW343">
        <v>1</v>
      </c>
      <c r="AZ343">
        <v>1</v>
      </c>
      <c r="BA343">
        <v>1</v>
      </c>
      <c r="BB343">
        <v>1</v>
      </c>
      <c r="BC343">
        <v>7.56</v>
      </c>
      <c r="BD343" t="s">
        <v>6</v>
      </c>
      <c r="BE343" t="s">
        <v>6</v>
      </c>
      <c r="BF343" t="s">
        <v>6</v>
      </c>
      <c r="BG343" t="s">
        <v>6</v>
      </c>
      <c r="BH343">
        <v>3</v>
      </c>
      <c r="BI343">
        <v>1</v>
      </c>
      <c r="BJ343" t="s">
        <v>73</v>
      </c>
      <c r="BM343">
        <v>500001</v>
      </c>
      <c r="BN343">
        <v>0</v>
      </c>
      <c r="BO343" t="s">
        <v>6</v>
      </c>
      <c r="BP343">
        <v>0</v>
      </c>
      <c r="BQ343">
        <v>20</v>
      </c>
      <c r="BR343">
        <v>0</v>
      </c>
      <c r="BS343">
        <v>1</v>
      </c>
      <c r="BT343">
        <v>1</v>
      </c>
      <c r="BU343">
        <v>1</v>
      </c>
      <c r="BV343">
        <v>1</v>
      </c>
      <c r="BW343">
        <v>1</v>
      </c>
      <c r="BX343">
        <v>1</v>
      </c>
      <c r="BY343" t="s">
        <v>6</v>
      </c>
      <c r="BZ343">
        <v>0</v>
      </c>
      <c r="CA343">
        <v>0</v>
      </c>
      <c r="CB343" t="s">
        <v>6</v>
      </c>
      <c r="CE343">
        <v>0</v>
      </c>
      <c r="CF343">
        <v>0</v>
      </c>
      <c r="CG343">
        <v>0</v>
      </c>
      <c r="CM343">
        <v>0</v>
      </c>
      <c r="CN343" t="s">
        <v>6</v>
      </c>
      <c r="CO343">
        <v>0</v>
      </c>
      <c r="CP343">
        <f t="shared" si="345"/>
        <v>9594</v>
      </c>
      <c r="CQ343">
        <f t="shared" si="346"/>
        <v>87515.996400000004</v>
      </c>
      <c r="CR343">
        <f t="shared" si="347"/>
        <v>0</v>
      </c>
      <c r="CS343">
        <f t="shared" si="348"/>
        <v>0</v>
      </c>
      <c r="CT343">
        <f t="shared" si="349"/>
        <v>0</v>
      </c>
      <c r="CU343">
        <f t="shared" si="350"/>
        <v>0</v>
      </c>
      <c r="CV343">
        <f t="shared" si="351"/>
        <v>0</v>
      </c>
      <c r="CW343">
        <f t="shared" si="352"/>
        <v>0</v>
      </c>
      <c r="CX343">
        <f t="shared" si="353"/>
        <v>44.58</v>
      </c>
      <c r="CY343">
        <f>(S343+R343)*(BZ343/100)</f>
        <v>0</v>
      </c>
      <c r="CZ343">
        <f>(S343+R343)*(CA343/100)</f>
        <v>0</v>
      </c>
      <c r="DC343" t="s">
        <v>6</v>
      </c>
      <c r="DD343" t="s">
        <v>6</v>
      </c>
      <c r="DE343" t="s">
        <v>6</v>
      </c>
      <c r="DF343" t="s">
        <v>6</v>
      </c>
      <c r="DG343" t="s">
        <v>6</v>
      </c>
      <c r="DH343" t="s">
        <v>6</v>
      </c>
      <c r="DI343" t="s">
        <v>6</v>
      </c>
      <c r="DJ343" t="s">
        <v>6</v>
      </c>
      <c r="DK343" t="s">
        <v>6</v>
      </c>
      <c r="DL343" t="s">
        <v>6</v>
      </c>
      <c r="DM343" t="s">
        <v>6</v>
      </c>
      <c r="DN343">
        <v>0</v>
      </c>
      <c r="DO343">
        <v>0</v>
      </c>
      <c r="DP343">
        <v>1</v>
      </c>
      <c r="DQ343">
        <v>1</v>
      </c>
      <c r="DU343">
        <v>1009</v>
      </c>
      <c r="DV343" t="s">
        <v>33</v>
      </c>
      <c r="DW343" t="e">
        <f>'2.Лок.смета.и.Акт'!#REF!</f>
        <v>#REF!</v>
      </c>
      <c r="DX343">
        <v>1000</v>
      </c>
      <c r="DZ343" t="s">
        <v>6</v>
      </c>
      <c r="EA343" t="s">
        <v>6</v>
      </c>
      <c r="EB343" t="s">
        <v>6</v>
      </c>
      <c r="EC343" t="s">
        <v>6</v>
      </c>
      <c r="EE343">
        <v>54938781</v>
      </c>
      <c r="EF343">
        <v>20</v>
      </c>
      <c r="EG343" t="s">
        <v>35</v>
      </c>
      <c r="EH343">
        <v>0</v>
      </c>
      <c r="EI343" t="s">
        <v>6</v>
      </c>
      <c r="EJ343">
        <v>1</v>
      </c>
      <c r="EK343">
        <v>500001</v>
      </c>
      <c r="EL343" t="s">
        <v>36</v>
      </c>
      <c r="EM343" t="s">
        <v>37</v>
      </c>
      <c r="EO343" t="s">
        <v>6</v>
      </c>
      <c r="EQ343">
        <v>0</v>
      </c>
      <c r="ER343">
        <v>82500</v>
      </c>
      <c r="ES343">
        <v>11576.19</v>
      </c>
      <c r="ET343">
        <v>0</v>
      </c>
      <c r="EU343">
        <v>0</v>
      </c>
      <c r="EV343">
        <v>0</v>
      </c>
      <c r="EW343">
        <v>0</v>
      </c>
      <c r="EX343">
        <v>0</v>
      </c>
      <c r="EZ343">
        <v>5</v>
      </c>
      <c r="FC343">
        <v>0</v>
      </c>
      <c r="FD343">
        <v>18</v>
      </c>
      <c r="FF343">
        <v>82500</v>
      </c>
      <c r="FQ343">
        <v>0</v>
      </c>
      <c r="FR343">
        <f t="shared" si="354"/>
        <v>0</v>
      </c>
      <c r="FS343">
        <v>0</v>
      </c>
      <c r="FX343">
        <v>0</v>
      </c>
      <c r="FY343">
        <v>0</v>
      </c>
      <c r="GA343" t="s">
        <v>74</v>
      </c>
      <c r="GD343">
        <v>1</v>
      </c>
      <c r="GF343">
        <v>-81122142</v>
      </c>
      <c r="GG343">
        <v>2</v>
      </c>
      <c r="GH343">
        <v>3</v>
      </c>
      <c r="GI343">
        <v>5</v>
      </c>
      <c r="GJ343">
        <v>0</v>
      </c>
      <c r="GK343">
        <v>0</v>
      </c>
      <c r="GL343">
        <f t="shared" si="355"/>
        <v>0</v>
      </c>
      <c r="GM343">
        <f t="shared" si="356"/>
        <v>9594</v>
      </c>
      <c r="GN343">
        <f t="shared" si="357"/>
        <v>9594</v>
      </c>
      <c r="GO343">
        <f t="shared" si="358"/>
        <v>0</v>
      </c>
      <c r="GP343">
        <f t="shared" si="359"/>
        <v>0</v>
      </c>
      <c r="GR343">
        <v>1</v>
      </c>
      <c r="GS343">
        <v>1</v>
      </c>
      <c r="GT343">
        <v>0</v>
      </c>
      <c r="GU343" t="s">
        <v>6</v>
      </c>
      <c r="GV343">
        <f t="shared" si="360"/>
        <v>0</v>
      </c>
      <c r="GW343">
        <v>1</v>
      </c>
      <c r="GX343">
        <f t="shared" si="361"/>
        <v>0</v>
      </c>
      <c r="HA343">
        <v>0</v>
      </c>
      <c r="HB343">
        <v>0</v>
      </c>
      <c r="HC343">
        <f t="shared" si="362"/>
        <v>0</v>
      </c>
      <c r="HE343" t="s">
        <v>39</v>
      </c>
      <c r="HF343" t="s">
        <v>40</v>
      </c>
      <c r="HM343" t="s">
        <v>6</v>
      </c>
      <c r="HN343" t="s">
        <v>6</v>
      </c>
      <c r="HO343" t="s">
        <v>6</v>
      </c>
      <c r="HP343" t="s">
        <v>6</v>
      </c>
      <c r="HQ343" t="s">
        <v>6</v>
      </c>
      <c r="IF343">
        <v>-1</v>
      </c>
      <c r="IK343">
        <v>0</v>
      </c>
    </row>
    <row r="344" spans="1:255" x14ac:dyDescent="0.2">
      <c r="A344" s="2">
        <v>18</v>
      </c>
      <c r="B344" s="2">
        <v>1</v>
      </c>
      <c r="C344" s="2">
        <v>423</v>
      </c>
      <c r="D344" s="2"/>
      <c r="E344" s="2" t="s">
        <v>460</v>
      </c>
      <c r="F344" s="2" t="s">
        <v>461</v>
      </c>
      <c r="G344" s="2" t="s">
        <v>462</v>
      </c>
      <c r="H344" s="2" t="s">
        <v>78</v>
      </c>
      <c r="I344" s="2">
        <f>I340*J344</f>
        <v>87.637500000000003</v>
      </c>
      <c r="J344" s="226">
        <f>'5.Ведомость_списания'!F149</f>
        <v>1.6788793103448276</v>
      </c>
      <c r="K344" s="2">
        <v>1.6788793099999999</v>
      </c>
      <c r="L344" s="2"/>
      <c r="M344" s="2"/>
      <c r="N344" s="2"/>
      <c r="O344" s="2">
        <f t="shared" si="331"/>
        <v>822</v>
      </c>
      <c r="P344" s="2">
        <f t="shared" si="332"/>
        <v>822</v>
      </c>
      <c r="Q344" s="2">
        <f t="shared" si="333"/>
        <v>0</v>
      </c>
      <c r="R344" s="2">
        <f t="shared" si="334"/>
        <v>0</v>
      </c>
      <c r="S344" s="2">
        <f t="shared" si="335"/>
        <v>0</v>
      </c>
      <c r="T344" s="2">
        <f t="shared" si="336"/>
        <v>0</v>
      </c>
      <c r="U344" s="2">
        <f t="shared" si="337"/>
        <v>0</v>
      </c>
      <c r="V344" s="2">
        <f t="shared" si="338"/>
        <v>0</v>
      </c>
      <c r="W344" s="2">
        <f t="shared" si="339"/>
        <v>0</v>
      </c>
      <c r="X344" s="2">
        <f t="shared" si="340"/>
        <v>0</v>
      </c>
      <c r="Y344" s="2">
        <f t="shared" si="341"/>
        <v>0</v>
      </c>
      <c r="Z344" s="2"/>
      <c r="AA344" s="2">
        <v>86326987</v>
      </c>
      <c r="AB344" s="2">
        <f t="shared" si="342"/>
        <v>9.3800000000000008</v>
      </c>
      <c r="AC344" s="2">
        <f t="shared" si="372"/>
        <v>9.3800000000000008</v>
      </c>
      <c r="AD344" s="2">
        <f>ROUND((ET344),2)</f>
        <v>0</v>
      </c>
      <c r="AE344" s="2">
        <f t="shared" si="373"/>
        <v>0</v>
      </c>
      <c r="AF344" s="2">
        <f t="shared" si="374"/>
        <v>0</v>
      </c>
      <c r="AG344" s="2">
        <f t="shared" si="343"/>
        <v>0</v>
      </c>
      <c r="AH344" s="2">
        <f t="shared" si="375"/>
        <v>0</v>
      </c>
      <c r="AI344" s="2">
        <f t="shared" si="376"/>
        <v>0</v>
      </c>
      <c r="AJ344" s="2">
        <f t="shared" si="344"/>
        <v>0</v>
      </c>
      <c r="AK344" s="2">
        <v>9.3800000000000008</v>
      </c>
      <c r="AL344" s="110">
        <f>'1.Лок.смета.и.Акт'!F630</f>
        <v>9.3800000000000008</v>
      </c>
      <c r="AM344" s="2">
        <v>0</v>
      </c>
      <c r="AN344" s="2">
        <v>0</v>
      </c>
      <c r="AO344" s="2">
        <v>0</v>
      </c>
      <c r="AP344" s="2">
        <v>0</v>
      </c>
      <c r="AQ344" s="2">
        <v>0</v>
      </c>
      <c r="AR344" s="2">
        <v>0</v>
      </c>
      <c r="AS344" s="2">
        <v>0</v>
      </c>
      <c r="AT344" s="2">
        <v>0</v>
      </c>
      <c r="AU344" s="2">
        <v>0</v>
      </c>
      <c r="AV344" s="2">
        <v>1</v>
      </c>
      <c r="AW344" s="2">
        <v>1</v>
      </c>
      <c r="AX344" s="2"/>
      <c r="AY344" s="2"/>
      <c r="AZ344" s="2">
        <v>1</v>
      </c>
      <c r="BA344" s="2">
        <v>1</v>
      </c>
      <c r="BB344" s="2">
        <v>1</v>
      </c>
      <c r="BC344" s="2">
        <v>1</v>
      </c>
      <c r="BD344" s="2" t="s">
        <v>6</v>
      </c>
      <c r="BE344" s="2" t="s">
        <v>6</v>
      </c>
      <c r="BF344" s="2" t="s">
        <v>6</v>
      </c>
      <c r="BG344" s="2" t="s">
        <v>6</v>
      </c>
      <c r="BH344" s="2">
        <v>3</v>
      </c>
      <c r="BI344" s="2">
        <v>1</v>
      </c>
      <c r="BJ344" s="2" t="s">
        <v>463</v>
      </c>
      <c r="BK344" s="2"/>
      <c r="BL344" s="2"/>
      <c r="BM344" s="2">
        <v>3101</v>
      </c>
      <c r="BN344" s="2">
        <v>0</v>
      </c>
      <c r="BO344" s="2" t="s">
        <v>6</v>
      </c>
      <c r="BP344" s="2">
        <v>0</v>
      </c>
      <c r="BQ344" s="2">
        <v>0</v>
      </c>
      <c r="BR344" s="2">
        <v>0</v>
      </c>
      <c r="BS344" s="2">
        <v>1</v>
      </c>
      <c r="BT344" s="2">
        <v>1</v>
      </c>
      <c r="BU344" s="2">
        <v>1</v>
      </c>
      <c r="BV344" s="2">
        <v>1</v>
      </c>
      <c r="BW344" s="2">
        <v>1</v>
      </c>
      <c r="BX344" s="2">
        <v>1</v>
      </c>
      <c r="BY344" s="2" t="s">
        <v>6</v>
      </c>
      <c r="BZ344" s="2">
        <v>0</v>
      </c>
      <c r="CA344" s="2">
        <v>0</v>
      </c>
      <c r="CB344" s="2" t="s">
        <v>6</v>
      </c>
      <c r="CC344" s="2"/>
      <c r="CD344" s="2"/>
      <c r="CE344" s="2">
        <v>0</v>
      </c>
      <c r="CF344" s="2">
        <v>0</v>
      </c>
      <c r="CG344" s="2">
        <v>0</v>
      </c>
      <c r="CH344" s="2"/>
      <c r="CI344" s="2"/>
      <c r="CJ344" s="2"/>
      <c r="CK344" s="2"/>
      <c r="CL344" s="2"/>
      <c r="CM344" s="2">
        <v>0</v>
      </c>
      <c r="CN344" s="2" t="s">
        <v>6</v>
      </c>
      <c r="CO344" s="2">
        <v>0</v>
      </c>
      <c r="CP344" s="2">
        <f t="shared" si="345"/>
        <v>822</v>
      </c>
      <c r="CQ344" s="2">
        <f t="shared" si="346"/>
        <v>9.3800000000000008</v>
      </c>
      <c r="CR344" s="2">
        <f t="shared" si="347"/>
        <v>0</v>
      </c>
      <c r="CS344" s="2">
        <f t="shared" si="348"/>
        <v>0</v>
      </c>
      <c r="CT344" s="2">
        <f t="shared" si="349"/>
        <v>0</v>
      </c>
      <c r="CU344" s="2">
        <f t="shared" si="350"/>
        <v>0</v>
      </c>
      <c r="CV344" s="2">
        <f t="shared" si="351"/>
        <v>0</v>
      </c>
      <c r="CW344" s="2">
        <f t="shared" si="352"/>
        <v>0</v>
      </c>
      <c r="CX344" s="2">
        <f t="shared" si="353"/>
        <v>0</v>
      </c>
      <c r="CY344" s="2">
        <f>0</f>
        <v>0</v>
      </c>
      <c r="CZ344" s="2">
        <f>0</f>
        <v>0</v>
      </c>
      <c r="DA344" s="2"/>
      <c r="DB344" s="2"/>
      <c r="DC344" s="2" t="s">
        <v>6</v>
      </c>
      <c r="DD344" s="2" t="s">
        <v>6</v>
      </c>
      <c r="DE344" s="2" t="s">
        <v>6</v>
      </c>
      <c r="DF344" s="2" t="s">
        <v>6</v>
      </c>
      <c r="DG344" s="2" t="s">
        <v>6</v>
      </c>
      <c r="DH344" s="2" t="s">
        <v>6</v>
      </c>
      <c r="DI344" s="2" t="s">
        <v>6</v>
      </c>
      <c r="DJ344" s="2" t="s">
        <v>6</v>
      </c>
      <c r="DK344" s="2" t="s">
        <v>6</v>
      </c>
      <c r="DL344" s="2" t="s">
        <v>6</v>
      </c>
      <c r="DM344" s="2" t="s">
        <v>6</v>
      </c>
      <c r="DN344" s="2">
        <v>0</v>
      </c>
      <c r="DO344" s="2">
        <v>0</v>
      </c>
      <c r="DP344" s="2">
        <v>1</v>
      </c>
      <c r="DQ344" s="2">
        <v>1</v>
      </c>
      <c r="DR344" s="2"/>
      <c r="DS344" s="2"/>
      <c r="DT344" s="2"/>
      <c r="DU344" s="2">
        <v>1013</v>
      </c>
      <c r="DV344" s="2" t="s">
        <v>78</v>
      </c>
      <c r="DW344" s="2" t="s">
        <v>78</v>
      </c>
      <c r="DX344" s="2">
        <v>1</v>
      </c>
      <c r="DY344" s="2"/>
      <c r="DZ344" s="2" t="s">
        <v>6</v>
      </c>
      <c r="EA344" s="2" t="s">
        <v>6</v>
      </c>
      <c r="EB344" s="2" t="s">
        <v>6</v>
      </c>
      <c r="EC344" s="2" t="s">
        <v>6</v>
      </c>
      <c r="ED344" s="2"/>
      <c r="EE344" s="2">
        <v>0</v>
      </c>
      <c r="EF344" s="2">
        <v>0</v>
      </c>
      <c r="EG344" s="2" t="s">
        <v>6</v>
      </c>
      <c r="EH344" s="2">
        <v>0</v>
      </c>
      <c r="EI344" s="2" t="s">
        <v>6</v>
      </c>
      <c r="EJ344" s="2">
        <v>0</v>
      </c>
      <c r="EK344" s="2">
        <v>3101</v>
      </c>
      <c r="EL344" s="2" t="s">
        <v>6</v>
      </c>
      <c r="EM344" s="2" t="s">
        <v>6</v>
      </c>
      <c r="EN344" s="2"/>
      <c r="EO344" s="2" t="s">
        <v>6</v>
      </c>
      <c r="EP344" s="2"/>
      <c r="EQ344" s="2">
        <v>0</v>
      </c>
      <c r="ER344" s="2">
        <v>9.3800000000000008</v>
      </c>
      <c r="ES344" s="110">
        <f>'1.Лок.смета.и.Акт'!F630</f>
        <v>9.3800000000000008</v>
      </c>
      <c r="ET344" s="2">
        <v>0</v>
      </c>
      <c r="EU344" s="2">
        <v>0</v>
      </c>
      <c r="EV344" s="2">
        <v>0</v>
      </c>
      <c r="EW344" s="2">
        <v>0</v>
      </c>
      <c r="EX344" s="2">
        <v>0</v>
      </c>
      <c r="EY344" s="2"/>
      <c r="EZ344" s="2"/>
      <c r="FA344" s="2"/>
      <c r="FB344" s="2"/>
      <c r="FC344" s="2"/>
      <c r="FD344" s="2"/>
      <c r="FE344" s="2"/>
      <c r="FF344" s="2"/>
      <c r="FG344" s="2"/>
      <c r="FH344" s="2"/>
      <c r="FI344" s="2"/>
      <c r="FJ344" s="2"/>
      <c r="FK344" s="2"/>
      <c r="FL344" s="2"/>
      <c r="FM344" s="2"/>
      <c r="FN344" s="2"/>
      <c r="FO344" s="2"/>
      <c r="FP344" s="2"/>
      <c r="FQ344" s="2">
        <v>0</v>
      </c>
      <c r="FR344" s="2">
        <f t="shared" si="354"/>
        <v>0</v>
      </c>
      <c r="FS344" s="2">
        <v>0</v>
      </c>
      <c r="FT344" s="2"/>
      <c r="FU344" s="2"/>
      <c r="FV344" s="2"/>
      <c r="FW344" s="2"/>
      <c r="FX344" s="2">
        <v>0</v>
      </c>
      <c r="FY344" s="2">
        <v>0</v>
      </c>
      <c r="FZ344" s="2"/>
      <c r="GA344" s="2" t="s">
        <v>6</v>
      </c>
      <c r="GB344" s="2"/>
      <c r="GC344" s="2"/>
      <c r="GD344" s="2">
        <v>1</v>
      </c>
      <c r="GE344" s="2"/>
      <c r="GF344" s="2">
        <v>-2085155213</v>
      </c>
      <c r="GG344" s="2">
        <v>2</v>
      </c>
      <c r="GH344" s="2">
        <v>1</v>
      </c>
      <c r="GI344" s="2">
        <v>-2</v>
      </c>
      <c r="GJ344" s="2">
        <v>0</v>
      </c>
      <c r="GK344" s="2">
        <v>0</v>
      </c>
      <c r="GL344" s="2">
        <f t="shared" si="355"/>
        <v>0</v>
      </c>
      <c r="GM344" s="2">
        <f t="shared" si="356"/>
        <v>822</v>
      </c>
      <c r="GN344" s="2">
        <f t="shared" si="357"/>
        <v>822</v>
      </c>
      <c r="GO344" s="2">
        <f t="shared" si="358"/>
        <v>0</v>
      </c>
      <c r="GP344" s="2">
        <f t="shared" si="359"/>
        <v>0</v>
      </c>
      <c r="GQ344" s="2"/>
      <c r="GR344" s="2">
        <v>0</v>
      </c>
      <c r="GS344" s="2">
        <v>3</v>
      </c>
      <c r="GT344" s="2">
        <v>0</v>
      </c>
      <c r="GU344" s="2" t="s">
        <v>6</v>
      </c>
      <c r="GV344" s="2">
        <f t="shared" si="360"/>
        <v>0</v>
      </c>
      <c r="GW344" s="2">
        <v>1</v>
      </c>
      <c r="GX344" s="2">
        <f t="shared" si="361"/>
        <v>0</v>
      </c>
      <c r="GY344" s="2"/>
      <c r="GZ344" s="2"/>
      <c r="HA344" s="2">
        <v>0</v>
      </c>
      <c r="HB344" s="2">
        <v>0</v>
      </c>
      <c r="HC344" s="2">
        <f t="shared" si="362"/>
        <v>0</v>
      </c>
      <c r="HD344" s="2"/>
      <c r="HE344" s="2" t="s">
        <v>6</v>
      </c>
      <c r="HF344" s="2" t="s">
        <v>6</v>
      </c>
      <c r="HG344" s="2"/>
      <c r="HH344" s="2"/>
      <c r="HI344" s="2"/>
      <c r="HJ344" s="2"/>
      <c r="HK344" s="2"/>
      <c r="HL344" s="2"/>
      <c r="HM344" s="2" t="s">
        <v>6</v>
      </c>
      <c r="HN344" s="2" t="s">
        <v>6</v>
      </c>
      <c r="HO344" s="2" t="s">
        <v>6</v>
      </c>
      <c r="HP344" s="2" t="s">
        <v>6</v>
      </c>
      <c r="HQ344" s="2" t="s">
        <v>6</v>
      </c>
      <c r="HR344" s="2"/>
      <c r="HS344" s="2"/>
      <c r="HT344" s="2"/>
      <c r="HU344" s="2"/>
      <c r="HV344" s="2"/>
      <c r="HW344" s="2"/>
      <c r="HX344" s="2"/>
      <c r="HY344" s="2"/>
      <c r="HZ344" s="2"/>
      <c r="IA344" s="2"/>
      <c r="IB344" s="2"/>
      <c r="IC344" s="2"/>
      <c r="ID344" s="2"/>
      <c r="IE344" s="2"/>
      <c r="IF344" s="2">
        <v>-1</v>
      </c>
      <c r="IG344" s="2"/>
      <c r="IH344" s="2"/>
      <c r="II344" s="2"/>
      <c r="IJ344" s="2"/>
      <c r="IK344" s="2">
        <v>0</v>
      </c>
      <c r="IL344" s="2"/>
      <c r="IM344" s="2"/>
      <c r="IN344" s="2"/>
      <c r="IO344" s="2"/>
      <c r="IP344" s="2"/>
      <c r="IQ344" s="2"/>
      <c r="IR344" s="2"/>
      <c r="IS344" s="2"/>
      <c r="IT344" s="2"/>
      <c r="IU344" s="2"/>
    </row>
    <row r="345" spans="1:255" x14ac:dyDescent="0.2">
      <c r="A345">
        <v>18</v>
      </c>
      <c r="B345">
        <v>1</v>
      </c>
      <c r="C345">
        <v>432</v>
      </c>
      <c r="E345" t="s">
        <v>460</v>
      </c>
      <c r="F345" t="e">
        <f>'2.Лок.смета.и.Акт'!#REF!</f>
        <v>#REF!</v>
      </c>
      <c r="G345" t="s">
        <v>462</v>
      </c>
      <c r="H345" t="s">
        <v>78</v>
      </c>
      <c r="I345">
        <f>I341*J345</f>
        <v>87.637500000000003</v>
      </c>
      <c r="J345">
        <v>1.6788793103448276</v>
      </c>
      <c r="K345">
        <v>1.6788793099999999</v>
      </c>
      <c r="O345">
        <f t="shared" si="331"/>
        <v>3200</v>
      </c>
      <c r="P345">
        <f t="shared" si="332"/>
        <v>3200</v>
      </c>
      <c r="Q345">
        <f t="shared" si="333"/>
        <v>0</v>
      </c>
      <c r="R345">
        <f t="shared" si="334"/>
        <v>0</v>
      </c>
      <c r="S345">
        <f t="shared" si="335"/>
        <v>0</v>
      </c>
      <c r="T345">
        <f t="shared" si="336"/>
        <v>0</v>
      </c>
      <c r="U345">
        <f t="shared" si="337"/>
        <v>0</v>
      </c>
      <c r="V345">
        <f t="shared" si="338"/>
        <v>0</v>
      </c>
      <c r="W345">
        <f t="shared" si="339"/>
        <v>0</v>
      </c>
      <c r="X345">
        <f t="shared" si="340"/>
        <v>0</v>
      </c>
      <c r="Y345">
        <f t="shared" si="341"/>
        <v>0</v>
      </c>
      <c r="AA345">
        <v>86326988</v>
      </c>
      <c r="AB345">
        <f t="shared" si="342"/>
        <v>4.83</v>
      </c>
      <c r="AC345">
        <f t="shared" si="372"/>
        <v>4.83</v>
      </c>
      <c r="AD345">
        <f>ROUND((ET345),2)</f>
        <v>0</v>
      </c>
      <c r="AE345">
        <f t="shared" si="373"/>
        <v>0</v>
      </c>
      <c r="AF345">
        <f t="shared" si="374"/>
        <v>0</v>
      </c>
      <c r="AG345">
        <f t="shared" si="343"/>
        <v>0</v>
      </c>
      <c r="AH345">
        <f t="shared" si="375"/>
        <v>0</v>
      </c>
      <c r="AI345">
        <f t="shared" si="376"/>
        <v>0</v>
      </c>
      <c r="AJ345">
        <f t="shared" si="344"/>
        <v>0</v>
      </c>
      <c r="AK345">
        <v>4.83</v>
      </c>
      <c r="AL345">
        <v>4.83</v>
      </c>
      <c r="AM345">
        <v>0</v>
      </c>
      <c r="AN345">
        <v>0</v>
      </c>
      <c r="AO345">
        <v>0</v>
      </c>
      <c r="AP345">
        <v>0</v>
      </c>
      <c r="AQ345">
        <v>0</v>
      </c>
      <c r="AR345">
        <v>0</v>
      </c>
      <c r="AS345">
        <v>0</v>
      </c>
      <c r="AT345">
        <v>0</v>
      </c>
      <c r="AU345">
        <v>0</v>
      </c>
      <c r="AV345">
        <v>1</v>
      </c>
      <c r="AW345">
        <v>1</v>
      </c>
      <c r="AZ345">
        <v>1</v>
      </c>
      <c r="BA345">
        <v>1</v>
      </c>
      <c r="BB345">
        <v>1</v>
      </c>
      <c r="BC345">
        <v>7.56</v>
      </c>
      <c r="BD345" t="s">
        <v>6</v>
      </c>
      <c r="BE345" t="s">
        <v>6</v>
      </c>
      <c r="BF345" t="s">
        <v>6</v>
      </c>
      <c r="BG345" t="s">
        <v>6</v>
      </c>
      <c r="BH345">
        <v>3</v>
      </c>
      <c r="BI345">
        <v>1</v>
      </c>
      <c r="BJ345" t="s">
        <v>463</v>
      </c>
      <c r="BM345">
        <v>3101</v>
      </c>
      <c r="BN345">
        <v>0</v>
      </c>
      <c r="BO345" t="s">
        <v>6</v>
      </c>
      <c r="BP345">
        <v>0</v>
      </c>
      <c r="BQ345">
        <v>0</v>
      </c>
      <c r="BR345">
        <v>0</v>
      </c>
      <c r="BS345">
        <v>1</v>
      </c>
      <c r="BT345">
        <v>1</v>
      </c>
      <c r="BU345">
        <v>1</v>
      </c>
      <c r="BV345">
        <v>1</v>
      </c>
      <c r="BW345">
        <v>1</v>
      </c>
      <c r="BX345">
        <v>1</v>
      </c>
      <c r="BY345" t="s">
        <v>6</v>
      </c>
      <c r="BZ345">
        <v>0</v>
      </c>
      <c r="CA345">
        <v>0</v>
      </c>
      <c r="CB345" t="s">
        <v>6</v>
      </c>
      <c r="CE345">
        <v>0</v>
      </c>
      <c r="CF345">
        <v>0</v>
      </c>
      <c r="CG345">
        <v>0</v>
      </c>
      <c r="CM345">
        <v>0</v>
      </c>
      <c r="CN345" t="s">
        <v>6</v>
      </c>
      <c r="CO345">
        <v>0</v>
      </c>
      <c r="CP345">
        <f t="shared" si="345"/>
        <v>3200</v>
      </c>
      <c r="CQ345">
        <f t="shared" si="346"/>
        <v>36.514800000000001</v>
      </c>
      <c r="CR345">
        <f t="shared" si="347"/>
        <v>0</v>
      </c>
      <c r="CS345">
        <f t="shared" si="348"/>
        <v>0</v>
      </c>
      <c r="CT345">
        <f t="shared" si="349"/>
        <v>0</v>
      </c>
      <c r="CU345">
        <f t="shared" si="350"/>
        <v>0</v>
      </c>
      <c r="CV345">
        <f t="shared" si="351"/>
        <v>0</v>
      </c>
      <c r="CW345">
        <f t="shared" si="352"/>
        <v>0</v>
      </c>
      <c r="CX345">
        <f t="shared" si="353"/>
        <v>0</v>
      </c>
      <c r="CY345">
        <f>(S345+R345)*(BZ345/100)</f>
        <v>0</v>
      </c>
      <c r="CZ345">
        <f>(S345+R345)*(CA345/100)</f>
        <v>0</v>
      </c>
      <c r="DC345" t="s">
        <v>6</v>
      </c>
      <c r="DD345" t="s">
        <v>6</v>
      </c>
      <c r="DE345" t="s">
        <v>6</v>
      </c>
      <c r="DF345" t="s">
        <v>6</v>
      </c>
      <c r="DG345" t="s">
        <v>6</v>
      </c>
      <c r="DH345" t="s">
        <v>6</v>
      </c>
      <c r="DI345" t="s">
        <v>6</v>
      </c>
      <c r="DJ345" t="s">
        <v>6</v>
      </c>
      <c r="DK345" t="s">
        <v>6</v>
      </c>
      <c r="DL345" t="s">
        <v>6</v>
      </c>
      <c r="DM345" t="s">
        <v>6</v>
      </c>
      <c r="DN345">
        <v>0</v>
      </c>
      <c r="DO345">
        <v>0</v>
      </c>
      <c r="DP345">
        <v>1</v>
      </c>
      <c r="DQ345">
        <v>1</v>
      </c>
      <c r="DU345">
        <v>1013</v>
      </c>
      <c r="DV345" t="s">
        <v>78</v>
      </c>
      <c r="DW345" t="e">
        <f>'2.Лок.смета.и.Акт'!#REF!</f>
        <v>#REF!</v>
      </c>
      <c r="DX345">
        <v>1</v>
      </c>
      <c r="DZ345" t="s">
        <v>6</v>
      </c>
      <c r="EA345" t="s">
        <v>6</v>
      </c>
      <c r="EB345" t="s">
        <v>6</v>
      </c>
      <c r="EC345" t="s">
        <v>6</v>
      </c>
      <c r="EE345">
        <v>0</v>
      </c>
      <c r="EF345">
        <v>0</v>
      </c>
      <c r="EG345" t="s">
        <v>6</v>
      </c>
      <c r="EH345">
        <v>0</v>
      </c>
      <c r="EI345" t="s">
        <v>6</v>
      </c>
      <c r="EJ345">
        <v>0</v>
      </c>
      <c r="EK345">
        <v>3101</v>
      </c>
      <c r="EL345" t="s">
        <v>6</v>
      </c>
      <c r="EM345" t="s">
        <v>6</v>
      </c>
      <c r="EO345" t="s">
        <v>6</v>
      </c>
      <c r="EQ345">
        <v>0</v>
      </c>
      <c r="ER345">
        <v>34.840000000000003</v>
      </c>
      <c r="ES345">
        <v>4.83</v>
      </c>
      <c r="ET345">
        <v>0</v>
      </c>
      <c r="EU345">
        <v>0</v>
      </c>
      <c r="EV345">
        <v>0</v>
      </c>
      <c r="EW345">
        <v>0</v>
      </c>
      <c r="EX345">
        <v>0</v>
      </c>
      <c r="EZ345">
        <v>5</v>
      </c>
      <c r="FC345">
        <v>0</v>
      </c>
      <c r="FD345">
        <v>18</v>
      </c>
      <c r="FF345">
        <v>34.840000000000003</v>
      </c>
      <c r="FQ345">
        <v>0</v>
      </c>
      <c r="FR345">
        <f t="shared" si="354"/>
        <v>0</v>
      </c>
      <c r="FS345">
        <v>0</v>
      </c>
      <c r="FX345">
        <v>0</v>
      </c>
      <c r="FY345">
        <v>0</v>
      </c>
      <c r="GA345" t="s">
        <v>464</v>
      </c>
      <c r="GD345">
        <v>1</v>
      </c>
      <c r="GF345">
        <v>-2085155213</v>
      </c>
      <c r="GG345">
        <v>2</v>
      </c>
      <c r="GH345">
        <v>3</v>
      </c>
      <c r="GI345">
        <v>5</v>
      </c>
      <c r="GJ345">
        <v>0</v>
      </c>
      <c r="GK345">
        <v>0</v>
      </c>
      <c r="GL345">
        <f t="shared" si="355"/>
        <v>0</v>
      </c>
      <c r="GM345">
        <f t="shared" si="356"/>
        <v>3200</v>
      </c>
      <c r="GN345">
        <f t="shared" si="357"/>
        <v>3200</v>
      </c>
      <c r="GO345">
        <f t="shared" si="358"/>
        <v>0</v>
      </c>
      <c r="GP345">
        <f t="shared" si="359"/>
        <v>0</v>
      </c>
      <c r="GR345">
        <v>1</v>
      </c>
      <c r="GS345">
        <v>1</v>
      </c>
      <c r="GT345">
        <v>0</v>
      </c>
      <c r="GU345" t="s">
        <v>6</v>
      </c>
      <c r="GV345">
        <f t="shared" si="360"/>
        <v>0</v>
      </c>
      <c r="GW345">
        <v>1</v>
      </c>
      <c r="GX345">
        <f t="shared" si="361"/>
        <v>0</v>
      </c>
      <c r="HA345">
        <v>0</v>
      </c>
      <c r="HB345">
        <v>0</v>
      </c>
      <c r="HC345">
        <f t="shared" si="362"/>
        <v>0</v>
      </c>
      <c r="HE345" t="s">
        <v>39</v>
      </c>
      <c r="HF345" t="s">
        <v>61</v>
      </c>
      <c r="HM345" t="s">
        <v>6</v>
      </c>
      <c r="HN345" t="s">
        <v>6</v>
      </c>
      <c r="HO345" t="s">
        <v>6</v>
      </c>
      <c r="HP345" t="s">
        <v>6</v>
      </c>
      <c r="HQ345" t="s">
        <v>6</v>
      </c>
      <c r="IF345">
        <v>-1</v>
      </c>
      <c r="IK345">
        <v>0</v>
      </c>
    </row>
    <row r="346" spans="1:255" x14ac:dyDescent="0.2">
      <c r="A346" s="2">
        <v>18</v>
      </c>
      <c r="B346" s="2">
        <v>1</v>
      </c>
      <c r="C346" s="2">
        <v>424</v>
      </c>
      <c r="D346" s="2"/>
      <c r="E346" s="2" t="s">
        <v>465</v>
      </c>
      <c r="F346" s="2" t="s">
        <v>466</v>
      </c>
      <c r="G346" s="2" t="s">
        <v>467</v>
      </c>
      <c r="H346" s="2" t="s">
        <v>78</v>
      </c>
      <c r="I346" s="2">
        <f>I340*J346</f>
        <v>87.637500000000003</v>
      </c>
      <c r="J346" s="226">
        <f>'5.Ведомость_списания'!F150</f>
        <v>1.6788793103448276</v>
      </c>
      <c r="K346" s="2">
        <v>1.6788793099999999</v>
      </c>
      <c r="L346" s="2"/>
      <c r="M346" s="2"/>
      <c r="N346" s="2"/>
      <c r="O346" s="2">
        <f t="shared" si="331"/>
        <v>5381</v>
      </c>
      <c r="P346" s="2">
        <f t="shared" si="332"/>
        <v>5381</v>
      </c>
      <c r="Q346" s="2">
        <f t="shared" si="333"/>
        <v>0</v>
      </c>
      <c r="R346" s="2">
        <f t="shared" si="334"/>
        <v>0</v>
      </c>
      <c r="S346" s="2">
        <f t="shared" si="335"/>
        <v>0</v>
      </c>
      <c r="T346" s="2">
        <f t="shared" si="336"/>
        <v>0</v>
      </c>
      <c r="U346" s="2">
        <f t="shared" si="337"/>
        <v>0</v>
      </c>
      <c r="V346" s="2">
        <f t="shared" si="338"/>
        <v>0</v>
      </c>
      <c r="W346" s="2">
        <f t="shared" si="339"/>
        <v>0</v>
      </c>
      <c r="X346" s="2">
        <f t="shared" si="340"/>
        <v>0</v>
      </c>
      <c r="Y346" s="2">
        <f t="shared" si="341"/>
        <v>0</v>
      </c>
      <c r="Z346" s="2"/>
      <c r="AA346" s="2">
        <v>86326987</v>
      </c>
      <c r="AB346" s="2">
        <f t="shared" si="342"/>
        <v>61.4</v>
      </c>
      <c r="AC346" s="2">
        <f t="shared" si="372"/>
        <v>61.4</v>
      </c>
      <c r="AD346" s="2">
        <f>ROUND((ET346),2)</f>
        <v>0</v>
      </c>
      <c r="AE346" s="2">
        <f t="shared" si="373"/>
        <v>0</v>
      </c>
      <c r="AF346" s="2">
        <f t="shared" si="374"/>
        <v>0</v>
      </c>
      <c r="AG346" s="2">
        <f t="shared" si="343"/>
        <v>0</v>
      </c>
      <c r="AH346" s="2">
        <f t="shared" si="375"/>
        <v>0</v>
      </c>
      <c r="AI346" s="2">
        <f t="shared" si="376"/>
        <v>0</v>
      </c>
      <c r="AJ346" s="2">
        <f t="shared" si="344"/>
        <v>0</v>
      </c>
      <c r="AK346" s="2">
        <v>61.4</v>
      </c>
      <c r="AL346" s="110">
        <f>'1.Лок.смета.и.Акт'!F632</f>
        <v>61.4</v>
      </c>
      <c r="AM346" s="2">
        <v>0</v>
      </c>
      <c r="AN346" s="2">
        <v>0</v>
      </c>
      <c r="AO346" s="2">
        <v>0</v>
      </c>
      <c r="AP346" s="2">
        <v>0</v>
      </c>
      <c r="AQ346" s="2">
        <v>0</v>
      </c>
      <c r="AR346" s="2">
        <v>0</v>
      </c>
      <c r="AS346" s="2">
        <v>0</v>
      </c>
      <c r="AT346" s="2">
        <v>0</v>
      </c>
      <c r="AU346" s="2">
        <v>0</v>
      </c>
      <c r="AV346" s="2">
        <v>1</v>
      </c>
      <c r="AW346" s="2">
        <v>1</v>
      </c>
      <c r="AX346" s="2"/>
      <c r="AY346" s="2"/>
      <c r="AZ346" s="2">
        <v>1</v>
      </c>
      <c r="BA346" s="2">
        <v>1</v>
      </c>
      <c r="BB346" s="2">
        <v>1</v>
      </c>
      <c r="BC346" s="2">
        <v>1</v>
      </c>
      <c r="BD346" s="2" t="s">
        <v>6</v>
      </c>
      <c r="BE346" s="2" t="s">
        <v>6</v>
      </c>
      <c r="BF346" s="2" t="s">
        <v>6</v>
      </c>
      <c r="BG346" s="2" t="s">
        <v>6</v>
      </c>
      <c r="BH346" s="2">
        <v>3</v>
      </c>
      <c r="BI346" s="2">
        <v>1</v>
      </c>
      <c r="BJ346" s="2" t="s">
        <v>468</v>
      </c>
      <c r="BK346" s="2"/>
      <c r="BL346" s="2"/>
      <c r="BM346" s="2">
        <v>3101</v>
      </c>
      <c r="BN346" s="2">
        <v>0</v>
      </c>
      <c r="BO346" s="2" t="s">
        <v>6</v>
      </c>
      <c r="BP346" s="2">
        <v>0</v>
      </c>
      <c r="BQ346" s="2">
        <v>0</v>
      </c>
      <c r="BR346" s="2">
        <v>0</v>
      </c>
      <c r="BS346" s="2">
        <v>1</v>
      </c>
      <c r="BT346" s="2">
        <v>1</v>
      </c>
      <c r="BU346" s="2">
        <v>1</v>
      </c>
      <c r="BV346" s="2">
        <v>1</v>
      </c>
      <c r="BW346" s="2">
        <v>1</v>
      </c>
      <c r="BX346" s="2">
        <v>1</v>
      </c>
      <c r="BY346" s="2" t="s">
        <v>6</v>
      </c>
      <c r="BZ346" s="2">
        <v>0</v>
      </c>
      <c r="CA346" s="2">
        <v>0</v>
      </c>
      <c r="CB346" s="2" t="s">
        <v>6</v>
      </c>
      <c r="CC346" s="2"/>
      <c r="CD346" s="2"/>
      <c r="CE346" s="2">
        <v>0</v>
      </c>
      <c r="CF346" s="2">
        <v>0</v>
      </c>
      <c r="CG346" s="2">
        <v>0</v>
      </c>
      <c r="CH346" s="2"/>
      <c r="CI346" s="2"/>
      <c r="CJ346" s="2"/>
      <c r="CK346" s="2"/>
      <c r="CL346" s="2"/>
      <c r="CM346" s="2">
        <v>0</v>
      </c>
      <c r="CN346" s="2" t="s">
        <v>6</v>
      </c>
      <c r="CO346" s="2">
        <v>0</v>
      </c>
      <c r="CP346" s="2">
        <f t="shared" si="345"/>
        <v>5381</v>
      </c>
      <c r="CQ346" s="2">
        <f t="shared" si="346"/>
        <v>61.4</v>
      </c>
      <c r="CR346" s="2">
        <f t="shared" si="347"/>
        <v>0</v>
      </c>
      <c r="CS346" s="2">
        <f t="shared" si="348"/>
        <v>0</v>
      </c>
      <c r="CT346" s="2">
        <f t="shared" si="349"/>
        <v>0</v>
      </c>
      <c r="CU346" s="2">
        <f t="shared" si="350"/>
        <v>0</v>
      </c>
      <c r="CV346" s="2">
        <f t="shared" si="351"/>
        <v>0</v>
      </c>
      <c r="CW346" s="2">
        <f t="shared" si="352"/>
        <v>0</v>
      </c>
      <c r="CX346" s="2">
        <f t="shared" si="353"/>
        <v>0</v>
      </c>
      <c r="CY346" s="2">
        <f>0</f>
        <v>0</v>
      </c>
      <c r="CZ346" s="2">
        <f>0</f>
        <v>0</v>
      </c>
      <c r="DA346" s="2"/>
      <c r="DB346" s="2"/>
      <c r="DC346" s="2" t="s">
        <v>6</v>
      </c>
      <c r="DD346" s="2" t="s">
        <v>6</v>
      </c>
      <c r="DE346" s="2" t="s">
        <v>6</v>
      </c>
      <c r="DF346" s="2" t="s">
        <v>6</v>
      </c>
      <c r="DG346" s="2" t="s">
        <v>6</v>
      </c>
      <c r="DH346" s="2" t="s">
        <v>6</v>
      </c>
      <c r="DI346" s="2" t="s">
        <v>6</v>
      </c>
      <c r="DJ346" s="2" t="s">
        <v>6</v>
      </c>
      <c r="DK346" s="2" t="s">
        <v>6</v>
      </c>
      <c r="DL346" s="2" t="s">
        <v>6</v>
      </c>
      <c r="DM346" s="2" t="s">
        <v>6</v>
      </c>
      <c r="DN346" s="2">
        <v>0</v>
      </c>
      <c r="DO346" s="2">
        <v>0</v>
      </c>
      <c r="DP346" s="2">
        <v>1</v>
      </c>
      <c r="DQ346" s="2">
        <v>1</v>
      </c>
      <c r="DR346" s="2"/>
      <c r="DS346" s="2"/>
      <c r="DT346" s="2"/>
      <c r="DU346" s="2">
        <v>1013</v>
      </c>
      <c r="DV346" s="2" t="s">
        <v>78</v>
      </c>
      <c r="DW346" s="2" t="s">
        <v>78</v>
      </c>
      <c r="DX346" s="2">
        <v>1</v>
      </c>
      <c r="DY346" s="2"/>
      <c r="DZ346" s="2" t="s">
        <v>6</v>
      </c>
      <c r="EA346" s="2" t="s">
        <v>6</v>
      </c>
      <c r="EB346" s="2" t="s">
        <v>6</v>
      </c>
      <c r="EC346" s="2" t="s">
        <v>6</v>
      </c>
      <c r="ED346" s="2"/>
      <c r="EE346" s="2">
        <v>0</v>
      </c>
      <c r="EF346" s="2">
        <v>0</v>
      </c>
      <c r="EG346" s="2" t="s">
        <v>6</v>
      </c>
      <c r="EH346" s="2">
        <v>0</v>
      </c>
      <c r="EI346" s="2" t="s">
        <v>6</v>
      </c>
      <c r="EJ346" s="2">
        <v>0</v>
      </c>
      <c r="EK346" s="2">
        <v>3101</v>
      </c>
      <c r="EL346" s="2" t="s">
        <v>6</v>
      </c>
      <c r="EM346" s="2" t="s">
        <v>6</v>
      </c>
      <c r="EN346" s="2"/>
      <c r="EO346" s="2" t="s">
        <v>6</v>
      </c>
      <c r="EP346" s="2"/>
      <c r="EQ346" s="2">
        <v>0</v>
      </c>
      <c r="ER346" s="2">
        <v>61.4</v>
      </c>
      <c r="ES346" s="110">
        <f>'1.Лок.смета.и.Акт'!F632</f>
        <v>61.4</v>
      </c>
      <c r="ET346" s="2">
        <v>0</v>
      </c>
      <c r="EU346" s="2">
        <v>0</v>
      </c>
      <c r="EV346" s="2">
        <v>0</v>
      </c>
      <c r="EW346" s="2">
        <v>0</v>
      </c>
      <c r="EX346" s="2">
        <v>0</v>
      </c>
      <c r="EY346" s="2"/>
      <c r="EZ346" s="2"/>
      <c r="FA346" s="2"/>
      <c r="FB346" s="2"/>
      <c r="FC346" s="2"/>
      <c r="FD346" s="2"/>
      <c r="FE346" s="2"/>
      <c r="FF346" s="2"/>
      <c r="FG346" s="2"/>
      <c r="FH346" s="2"/>
      <c r="FI346" s="2"/>
      <c r="FJ346" s="2"/>
      <c r="FK346" s="2"/>
      <c r="FL346" s="2"/>
      <c r="FM346" s="2"/>
      <c r="FN346" s="2"/>
      <c r="FO346" s="2"/>
      <c r="FP346" s="2"/>
      <c r="FQ346" s="2">
        <v>0</v>
      </c>
      <c r="FR346" s="2">
        <f t="shared" si="354"/>
        <v>0</v>
      </c>
      <c r="FS346" s="2">
        <v>0</v>
      </c>
      <c r="FT346" s="2"/>
      <c r="FU346" s="2"/>
      <c r="FV346" s="2"/>
      <c r="FW346" s="2"/>
      <c r="FX346" s="2">
        <v>0</v>
      </c>
      <c r="FY346" s="2">
        <v>0</v>
      </c>
      <c r="FZ346" s="2"/>
      <c r="GA346" s="2" t="s">
        <v>6</v>
      </c>
      <c r="GB346" s="2"/>
      <c r="GC346" s="2"/>
      <c r="GD346" s="2">
        <v>1</v>
      </c>
      <c r="GE346" s="2"/>
      <c r="GF346" s="2">
        <v>-1671398490</v>
      </c>
      <c r="GG346" s="2">
        <v>2</v>
      </c>
      <c r="GH346" s="2">
        <v>1</v>
      </c>
      <c r="GI346" s="2">
        <v>-2</v>
      </c>
      <c r="GJ346" s="2">
        <v>0</v>
      </c>
      <c r="GK346" s="2">
        <v>0</v>
      </c>
      <c r="GL346" s="2">
        <f t="shared" si="355"/>
        <v>0</v>
      </c>
      <c r="GM346" s="2">
        <f t="shared" si="356"/>
        <v>5381</v>
      </c>
      <c r="GN346" s="2">
        <f t="shared" si="357"/>
        <v>5381</v>
      </c>
      <c r="GO346" s="2">
        <f t="shared" si="358"/>
        <v>0</v>
      </c>
      <c r="GP346" s="2">
        <f t="shared" si="359"/>
        <v>0</v>
      </c>
      <c r="GQ346" s="2"/>
      <c r="GR346" s="2">
        <v>0</v>
      </c>
      <c r="GS346" s="2">
        <v>3</v>
      </c>
      <c r="GT346" s="2">
        <v>0</v>
      </c>
      <c r="GU346" s="2" t="s">
        <v>6</v>
      </c>
      <c r="GV346" s="2">
        <f t="shared" si="360"/>
        <v>0</v>
      </c>
      <c r="GW346" s="2">
        <v>1</v>
      </c>
      <c r="GX346" s="2">
        <f t="shared" si="361"/>
        <v>0</v>
      </c>
      <c r="GY346" s="2"/>
      <c r="GZ346" s="2"/>
      <c r="HA346" s="2">
        <v>0</v>
      </c>
      <c r="HB346" s="2">
        <v>0</v>
      </c>
      <c r="HC346" s="2">
        <f t="shared" si="362"/>
        <v>0</v>
      </c>
      <c r="HD346" s="2"/>
      <c r="HE346" s="2" t="s">
        <v>6</v>
      </c>
      <c r="HF346" s="2" t="s">
        <v>6</v>
      </c>
      <c r="HG346" s="2"/>
      <c r="HH346" s="2"/>
      <c r="HI346" s="2"/>
      <c r="HJ346" s="2"/>
      <c r="HK346" s="2"/>
      <c r="HL346" s="2"/>
      <c r="HM346" s="2" t="s">
        <v>6</v>
      </c>
      <c r="HN346" s="2" t="s">
        <v>6</v>
      </c>
      <c r="HO346" s="2" t="s">
        <v>6</v>
      </c>
      <c r="HP346" s="2" t="s">
        <v>6</v>
      </c>
      <c r="HQ346" s="2" t="s">
        <v>6</v>
      </c>
      <c r="HR346" s="2"/>
      <c r="HS346" s="2"/>
      <c r="HT346" s="2"/>
      <c r="HU346" s="2"/>
      <c r="HV346" s="2"/>
      <c r="HW346" s="2"/>
      <c r="HX346" s="2"/>
      <c r="HY346" s="2"/>
      <c r="HZ346" s="2"/>
      <c r="IA346" s="2"/>
      <c r="IB346" s="2"/>
      <c r="IC346" s="2"/>
      <c r="ID346" s="2"/>
      <c r="IE346" s="2"/>
      <c r="IF346" s="2">
        <v>-1</v>
      </c>
      <c r="IG346" s="2"/>
      <c r="IH346" s="2"/>
      <c r="II346" s="2"/>
      <c r="IJ346" s="2"/>
      <c r="IK346" s="2">
        <v>0</v>
      </c>
      <c r="IL346" s="2"/>
      <c r="IM346" s="2"/>
      <c r="IN346" s="2"/>
      <c r="IO346" s="2"/>
      <c r="IP346" s="2"/>
      <c r="IQ346" s="2"/>
      <c r="IR346" s="2"/>
      <c r="IS346" s="2"/>
      <c r="IT346" s="2"/>
      <c r="IU346" s="2"/>
    </row>
    <row r="347" spans="1:255" x14ac:dyDescent="0.2">
      <c r="A347">
        <v>18</v>
      </c>
      <c r="B347">
        <v>1</v>
      </c>
      <c r="C347">
        <v>433</v>
      </c>
      <c r="E347" t="s">
        <v>465</v>
      </c>
      <c r="F347" t="e">
        <f>'2.Лок.смета.и.Акт'!#REF!</f>
        <v>#REF!</v>
      </c>
      <c r="G347" t="s">
        <v>467</v>
      </c>
      <c r="H347" t="s">
        <v>78</v>
      </c>
      <c r="I347">
        <f>I341*J347</f>
        <v>87.637500000000003</v>
      </c>
      <c r="J347">
        <v>1.6788793103448276</v>
      </c>
      <c r="K347">
        <v>1.6788793099999999</v>
      </c>
      <c r="O347">
        <f t="shared" si="331"/>
        <v>21201</v>
      </c>
      <c r="P347">
        <f t="shared" si="332"/>
        <v>21201</v>
      </c>
      <c r="Q347">
        <f t="shared" si="333"/>
        <v>0</v>
      </c>
      <c r="R347">
        <f t="shared" si="334"/>
        <v>0</v>
      </c>
      <c r="S347">
        <f t="shared" si="335"/>
        <v>0</v>
      </c>
      <c r="T347">
        <f t="shared" si="336"/>
        <v>0</v>
      </c>
      <c r="U347">
        <f t="shared" si="337"/>
        <v>0</v>
      </c>
      <c r="V347">
        <f t="shared" si="338"/>
        <v>0</v>
      </c>
      <c r="W347">
        <f t="shared" si="339"/>
        <v>0</v>
      </c>
      <c r="X347">
        <f t="shared" si="340"/>
        <v>0</v>
      </c>
      <c r="Y347">
        <f t="shared" si="341"/>
        <v>0</v>
      </c>
      <c r="AA347">
        <v>86326988</v>
      </c>
      <c r="AB347">
        <f t="shared" si="342"/>
        <v>32</v>
      </c>
      <c r="AC347">
        <f t="shared" si="372"/>
        <v>32</v>
      </c>
      <c r="AD347">
        <f>ROUND((ET347),2)</f>
        <v>0</v>
      </c>
      <c r="AE347">
        <f t="shared" si="373"/>
        <v>0</v>
      </c>
      <c r="AF347">
        <f t="shared" si="374"/>
        <v>0</v>
      </c>
      <c r="AG347">
        <f t="shared" si="343"/>
        <v>0</v>
      </c>
      <c r="AH347">
        <f t="shared" si="375"/>
        <v>0</v>
      </c>
      <c r="AI347">
        <f t="shared" si="376"/>
        <v>0</v>
      </c>
      <c r="AJ347">
        <f t="shared" si="344"/>
        <v>0</v>
      </c>
      <c r="AK347">
        <v>32</v>
      </c>
      <c r="AL347">
        <v>32</v>
      </c>
      <c r="AM347">
        <v>0</v>
      </c>
      <c r="AN347">
        <v>0</v>
      </c>
      <c r="AO347">
        <v>0</v>
      </c>
      <c r="AP347">
        <v>0</v>
      </c>
      <c r="AQ347">
        <v>0</v>
      </c>
      <c r="AR347">
        <v>0</v>
      </c>
      <c r="AS347">
        <v>0</v>
      </c>
      <c r="AT347">
        <v>0</v>
      </c>
      <c r="AU347">
        <v>0</v>
      </c>
      <c r="AV347">
        <v>1</v>
      </c>
      <c r="AW347">
        <v>1</v>
      </c>
      <c r="AZ347">
        <v>1</v>
      </c>
      <c r="BA347">
        <v>1</v>
      </c>
      <c r="BB347">
        <v>1</v>
      </c>
      <c r="BC347">
        <v>7.56</v>
      </c>
      <c r="BD347" t="s">
        <v>6</v>
      </c>
      <c r="BE347" t="s">
        <v>6</v>
      </c>
      <c r="BF347" t="s">
        <v>6</v>
      </c>
      <c r="BG347" t="s">
        <v>6</v>
      </c>
      <c r="BH347">
        <v>3</v>
      </c>
      <c r="BI347">
        <v>1</v>
      </c>
      <c r="BJ347" t="s">
        <v>468</v>
      </c>
      <c r="BM347">
        <v>3101</v>
      </c>
      <c r="BN347">
        <v>0</v>
      </c>
      <c r="BO347" t="s">
        <v>6</v>
      </c>
      <c r="BP347">
        <v>0</v>
      </c>
      <c r="BQ347">
        <v>0</v>
      </c>
      <c r="BR347">
        <v>0</v>
      </c>
      <c r="BS347">
        <v>1</v>
      </c>
      <c r="BT347">
        <v>1</v>
      </c>
      <c r="BU347">
        <v>1</v>
      </c>
      <c r="BV347">
        <v>1</v>
      </c>
      <c r="BW347">
        <v>1</v>
      </c>
      <c r="BX347">
        <v>1</v>
      </c>
      <c r="BY347" t="s">
        <v>6</v>
      </c>
      <c r="BZ347">
        <v>0</v>
      </c>
      <c r="CA347">
        <v>0</v>
      </c>
      <c r="CB347" t="s">
        <v>6</v>
      </c>
      <c r="CE347">
        <v>0</v>
      </c>
      <c r="CF347">
        <v>0</v>
      </c>
      <c r="CG347">
        <v>0</v>
      </c>
      <c r="CM347">
        <v>0</v>
      </c>
      <c r="CN347" t="s">
        <v>6</v>
      </c>
      <c r="CO347">
        <v>0</v>
      </c>
      <c r="CP347">
        <f t="shared" si="345"/>
        <v>21201</v>
      </c>
      <c r="CQ347">
        <f t="shared" si="346"/>
        <v>241.92</v>
      </c>
      <c r="CR347">
        <f t="shared" si="347"/>
        <v>0</v>
      </c>
      <c r="CS347">
        <f t="shared" si="348"/>
        <v>0</v>
      </c>
      <c r="CT347">
        <f t="shared" si="349"/>
        <v>0</v>
      </c>
      <c r="CU347">
        <f t="shared" si="350"/>
        <v>0</v>
      </c>
      <c r="CV347">
        <f t="shared" si="351"/>
        <v>0</v>
      </c>
      <c r="CW347">
        <f t="shared" si="352"/>
        <v>0</v>
      </c>
      <c r="CX347">
        <f t="shared" si="353"/>
        <v>0</v>
      </c>
      <c r="CY347">
        <f>(S347+R347)*(BZ347/100)</f>
        <v>0</v>
      </c>
      <c r="CZ347">
        <f>(S347+R347)*(CA347/100)</f>
        <v>0</v>
      </c>
      <c r="DC347" t="s">
        <v>6</v>
      </c>
      <c r="DD347" t="s">
        <v>6</v>
      </c>
      <c r="DE347" t="s">
        <v>6</v>
      </c>
      <c r="DF347" t="s">
        <v>6</v>
      </c>
      <c r="DG347" t="s">
        <v>6</v>
      </c>
      <c r="DH347" t="s">
        <v>6</v>
      </c>
      <c r="DI347" t="s">
        <v>6</v>
      </c>
      <c r="DJ347" t="s">
        <v>6</v>
      </c>
      <c r="DK347" t="s">
        <v>6</v>
      </c>
      <c r="DL347" t="s">
        <v>6</v>
      </c>
      <c r="DM347" t="s">
        <v>6</v>
      </c>
      <c r="DN347">
        <v>0</v>
      </c>
      <c r="DO347">
        <v>0</v>
      </c>
      <c r="DP347">
        <v>1</v>
      </c>
      <c r="DQ347">
        <v>1</v>
      </c>
      <c r="DU347">
        <v>1013</v>
      </c>
      <c r="DV347" t="s">
        <v>78</v>
      </c>
      <c r="DW347" t="e">
        <f>'2.Лок.смета.и.Акт'!#REF!</f>
        <v>#REF!</v>
      </c>
      <c r="DX347">
        <v>1</v>
      </c>
      <c r="DZ347" t="s">
        <v>6</v>
      </c>
      <c r="EA347" t="s">
        <v>6</v>
      </c>
      <c r="EB347" t="s">
        <v>6</v>
      </c>
      <c r="EC347" t="s">
        <v>6</v>
      </c>
      <c r="EE347">
        <v>0</v>
      </c>
      <c r="EF347">
        <v>0</v>
      </c>
      <c r="EG347" t="s">
        <v>6</v>
      </c>
      <c r="EH347">
        <v>0</v>
      </c>
      <c r="EI347" t="s">
        <v>6</v>
      </c>
      <c r="EJ347">
        <v>0</v>
      </c>
      <c r="EK347">
        <v>3101</v>
      </c>
      <c r="EL347" t="s">
        <v>6</v>
      </c>
      <c r="EM347" t="s">
        <v>6</v>
      </c>
      <c r="EO347" t="s">
        <v>6</v>
      </c>
      <c r="EQ347">
        <v>0</v>
      </c>
      <c r="ER347">
        <v>228.01</v>
      </c>
      <c r="ES347">
        <v>32</v>
      </c>
      <c r="ET347">
        <v>0</v>
      </c>
      <c r="EU347">
        <v>0</v>
      </c>
      <c r="EV347">
        <v>0</v>
      </c>
      <c r="EW347">
        <v>0</v>
      </c>
      <c r="EX347">
        <v>0</v>
      </c>
      <c r="EZ347">
        <v>5</v>
      </c>
      <c r="FC347">
        <v>0</v>
      </c>
      <c r="FD347">
        <v>18</v>
      </c>
      <c r="FF347">
        <v>228.01</v>
      </c>
      <c r="FQ347">
        <v>0</v>
      </c>
      <c r="FR347">
        <f t="shared" si="354"/>
        <v>0</v>
      </c>
      <c r="FS347">
        <v>0</v>
      </c>
      <c r="FX347">
        <v>0</v>
      </c>
      <c r="FY347">
        <v>0</v>
      </c>
      <c r="GA347" t="s">
        <v>469</v>
      </c>
      <c r="GD347">
        <v>1</v>
      </c>
      <c r="GF347">
        <v>-1671398490</v>
      </c>
      <c r="GG347">
        <v>2</v>
      </c>
      <c r="GH347">
        <v>3</v>
      </c>
      <c r="GI347">
        <v>5</v>
      </c>
      <c r="GJ347">
        <v>0</v>
      </c>
      <c r="GK347">
        <v>0</v>
      </c>
      <c r="GL347">
        <f t="shared" si="355"/>
        <v>0</v>
      </c>
      <c r="GM347">
        <f t="shared" si="356"/>
        <v>21201</v>
      </c>
      <c r="GN347">
        <f t="shared" si="357"/>
        <v>21201</v>
      </c>
      <c r="GO347">
        <f t="shared" si="358"/>
        <v>0</v>
      </c>
      <c r="GP347">
        <f t="shared" si="359"/>
        <v>0</v>
      </c>
      <c r="GR347">
        <v>1</v>
      </c>
      <c r="GS347">
        <v>1</v>
      </c>
      <c r="GT347">
        <v>0</v>
      </c>
      <c r="GU347" t="s">
        <v>6</v>
      </c>
      <c r="GV347">
        <f t="shared" si="360"/>
        <v>0</v>
      </c>
      <c r="GW347">
        <v>1</v>
      </c>
      <c r="GX347">
        <f t="shared" si="361"/>
        <v>0</v>
      </c>
      <c r="HA347">
        <v>0</v>
      </c>
      <c r="HB347">
        <v>0</v>
      </c>
      <c r="HC347">
        <f t="shared" si="362"/>
        <v>0</v>
      </c>
      <c r="HE347" t="s">
        <v>39</v>
      </c>
      <c r="HF347" t="s">
        <v>40</v>
      </c>
      <c r="HM347" t="s">
        <v>6</v>
      </c>
      <c r="HN347" t="s">
        <v>6</v>
      </c>
      <c r="HO347" t="s">
        <v>6</v>
      </c>
      <c r="HP347" t="s">
        <v>6</v>
      </c>
      <c r="HQ347" t="s">
        <v>6</v>
      </c>
      <c r="IF347">
        <v>-1</v>
      </c>
      <c r="IK347">
        <v>0</v>
      </c>
    </row>
    <row r="348" spans="1:255" x14ac:dyDescent="0.2">
      <c r="A348" s="2">
        <v>18</v>
      </c>
      <c r="B348" s="2">
        <v>1</v>
      </c>
      <c r="C348" s="2">
        <v>425</v>
      </c>
      <c r="D348" s="2"/>
      <c r="E348" s="2" t="s">
        <v>470</v>
      </c>
      <c r="F348" s="2" t="s">
        <v>87</v>
      </c>
      <c r="G348" s="2" t="s">
        <v>88</v>
      </c>
      <c r="H348" s="2" t="s">
        <v>44</v>
      </c>
      <c r="I348" s="2">
        <f>I340*J348</f>
        <v>88.952062499999997</v>
      </c>
      <c r="J348" s="226">
        <f>'5.Ведомость_списания'!F151</f>
        <v>1.7040624999999998</v>
      </c>
      <c r="K348" s="2">
        <v>1.7040625</v>
      </c>
      <c r="L348" s="2"/>
      <c r="M348" s="2"/>
      <c r="N348" s="2"/>
      <c r="O348" s="2">
        <f t="shared" ref="O348:O379" si="377">ROUND(CP348,0)</f>
        <v>78170</v>
      </c>
      <c r="P348" s="2">
        <f t="shared" ref="P348:P379" si="378">ROUND(CQ348*I348,0)</f>
        <v>78170</v>
      </c>
      <c r="Q348" s="2">
        <f t="shared" ref="Q348:Q379" si="379">ROUND(CR348*I348,0)</f>
        <v>0</v>
      </c>
      <c r="R348" s="2">
        <f t="shared" ref="R348:R379" si="380">ROUND(CS348*I348,0)</f>
        <v>0</v>
      </c>
      <c r="S348" s="2">
        <f t="shared" ref="S348:S379" si="381">ROUND(CT348*I348,0)</f>
        <v>0</v>
      </c>
      <c r="T348" s="2">
        <f t="shared" ref="T348:T379" si="382">ROUND(CU348*I348,0)</f>
        <v>0</v>
      </c>
      <c r="U348" s="2">
        <f t="shared" ref="U348:U379" si="383">CV348*I348</f>
        <v>0</v>
      </c>
      <c r="V348" s="2">
        <f t="shared" ref="V348:V379" si="384">CW348*I348</f>
        <v>0</v>
      </c>
      <c r="W348" s="2">
        <f t="shared" ref="W348:W379" si="385">ROUND(CX348*I348,0)</f>
        <v>0</v>
      </c>
      <c r="X348" s="2">
        <f t="shared" ref="X348:X379" si="386">ROUND(CY348,0)</f>
        <v>0</v>
      </c>
      <c r="Y348" s="2">
        <f t="shared" ref="Y348:Y379" si="387">ROUND(CZ348,0)</f>
        <v>0</v>
      </c>
      <c r="Z348" s="2"/>
      <c r="AA348" s="2">
        <v>86326987</v>
      </c>
      <c r="AB348" s="2">
        <f t="shared" ref="AB348:AB379" si="388">ROUND((AC348+AD348+AF348),2)</f>
        <v>878.79</v>
      </c>
      <c r="AC348" s="2">
        <f t="shared" si="372"/>
        <v>878.79</v>
      </c>
      <c r="AD348" s="2">
        <f>ROUND((((ET348)-(EU348))+AE348),2)</f>
        <v>0</v>
      </c>
      <c r="AE348" s="2">
        <f t="shared" si="373"/>
        <v>0</v>
      </c>
      <c r="AF348" s="2">
        <f t="shared" si="374"/>
        <v>0</v>
      </c>
      <c r="AG348" s="2">
        <f t="shared" ref="AG348:AG379" si="389">ROUND((AP348),2)</f>
        <v>0</v>
      </c>
      <c r="AH348" s="2">
        <f t="shared" si="375"/>
        <v>0</v>
      </c>
      <c r="AI348" s="2">
        <f t="shared" si="376"/>
        <v>0</v>
      </c>
      <c r="AJ348" s="2">
        <f t="shared" ref="AJ348:AJ379" si="390">(AS348)</f>
        <v>0</v>
      </c>
      <c r="AK348" s="2">
        <v>878.79</v>
      </c>
      <c r="AL348" s="110">
        <f>'1.Лок.смета.и.Акт'!F634</f>
        <v>878.79</v>
      </c>
      <c r="AM348" s="2">
        <v>0</v>
      </c>
      <c r="AN348" s="2">
        <v>0</v>
      </c>
      <c r="AO348" s="2">
        <v>0</v>
      </c>
      <c r="AP348" s="2">
        <v>0</v>
      </c>
      <c r="AQ348" s="2">
        <v>0</v>
      </c>
      <c r="AR348" s="2">
        <v>0</v>
      </c>
      <c r="AS348" s="2">
        <v>0</v>
      </c>
      <c r="AT348" s="2">
        <v>0</v>
      </c>
      <c r="AU348" s="2">
        <v>0</v>
      </c>
      <c r="AV348" s="2">
        <v>1</v>
      </c>
      <c r="AW348" s="2">
        <v>1</v>
      </c>
      <c r="AX348" s="2"/>
      <c r="AY348" s="2"/>
      <c r="AZ348" s="2">
        <v>1</v>
      </c>
      <c r="BA348" s="2">
        <v>1</v>
      </c>
      <c r="BB348" s="2">
        <v>1</v>
      </c>
      <c r="BC348" s="2">
        <v>1</v>
      </c>
      <c r="BD348" s="2" t="s">
        <v>6</v>
      </c>
      <c r="BE348" s="2" t="s">
        <v>6</v>
      </c>
      <c r="BF348" s="2" t="s">
        <v>6</v>
      </c>
      <c r="BG348" s="2" t="s">
        <v>6</v>
      </c>
      <c r="BH348" s="2">
        <v>3</v>
      </c>
      <c r="BI348" s="2">
        <v>1</v>
      </c>
      <c r="BJ348" s="2" t="s">
        <v>89</v>
      </c>
      <c r="BK348" s="2"/>
      <c r="BL348" s="2"/>
      <c r="BM348" s="2">
        <v>500003</v>
      </c>
      <c r="BN348" s="2">
        <v>0</v>
      </c>
      <c r="BO348" s="2" t="s">
        <v>6</v>
      </c>
      <c r="BP348" s="2">
        <v>0</v>
      </c>
      <c r="BQ348" s="2">
        <v>22</v>
      </c>
      <c r="BR348" s="2">
        <v>0</v>
      </c>
      <c r="BS348" s="2">
        <v>1</v>
      </c>
      <c r="BT348" s="2">
        <v>1</v>
      </c>
      <c r="BU348" s="2">
        <v>1</v>
      </c>
      <c r="BV348" s="2">
        <v>1</v>
      </c>
      <c r="BW348" s="2">
        <v>1</v>
      </c>
      <c r="BX348" s="2">
        <v>1</v>
      </c>
      <c r="BY348" s="2" t="s">
        <v>6</v>
      </c>
      <c r="BZ348" s="2">
        <v>0</v>
      </c>
      <c r="CA348" s="2">
        <v>0</v>
      </c>
      <c r="CB348" s="2" t="s">
        <v>6</v>
      </c>
      <c r="CC348" s="2"/>
      <c r="CD348" s="2"/>
      <c r="CE348" s="2">
        <v>0</v>
      </c>
      <c r="CF348" s="2">
        <v>0</v>
      </c>
      <c r="CG348" s="2">
        <v>0</v>
      </c>
      <c r="CH348" s="2"/>
      <c r="CI348" s="2"/>
      <c r="CJ348" s="2"/>
      <c r="CK348" s="2"/>
      <c r="CL348" s="2"/>
      <c r="CM348" s="2">
        <v>0</v>
      </c>
      <c r="CN348" s="2" t="s">
        <v>6</v>
      </c>
      <c r="CO348" s="2">
        <v>0</v>
      </c>
      <c r="CP348" s="2">
        <f t="shared" ref="CP348:CP379" si="391">(P348+Q348+S348)</f>
        <v>78170</v>
      </c>
      <c r="CQ348" s="2">
        <f t="shared" ref="CQ348:CQ379" si="392">AC348*BC348</f>
        <v>878.79</v>
      </c>
      <c r="CR348" s="2">
        <f t="shared" ref="CR348:CR379" si="393">AD348*BB348</f>
        <v>0</v>
      </c>
      <c r="CS348" s="2">
        <f t="shared" ref="CS348:CS379" si="394">AE348*BS348</f>
        <v>0</v>
      </c>
      <c r="CT348" s="2">
        <f t="shared" ref="CT348:CT379" si="395">AF348*BA348</f>
        <v>0</v>
      </c>
      <c r="CU348" s="2">
        <f t="shared" ref="CU348:CU379" si="396">AG348</f>
        <v>0</v>
      </c>
      <c r="CV348" s="2">
        <f t="shared" ref="CV348:CV379" si="397">AH348</f>
        <v>0</v>
      </c>
      <c r="CW348" s="2">
        <f t="shared" ref="CW348:CW379" si="398">AI348</f>
        <v>0</v>
      </c>
      <c r="CX348" s="2">
        <f t="shared" ref="CX348:CX379" si="399">AJ348</f>
        <v>0</v>
      </c>
      <c r="CY348" s="2">
        <f>(((S348+(R348*IF(0,0,1)))*AT348)/100)</f>
        <v>0</v>
      </c>
      <c r="CZ348" s="2">
        <f>(((S348+(R348*IF(0,0,1)))*AU348)/100)</f>
        <v>0</v>
      </c>
      <c r="DA348" s="2"/>
      <c r="DB348" s="2"/>
      <c r="DC348" s="2" t="s">
        <v>6</v>
      </c>
      <c r="DD348" s="2" t="s">
        <v>6</v>
      </c>
      <c r="DE348" s="2" t="s">
        <v>6</v>
      </c>
      <c r="DF348" s="2" t="s">
        <v>6</v>
      </c>
      <c r="DG348" s="2" t="s">
        <v>6</v>
      </c>
      <c r="DH348" s="2" t="s">
        <v>6</v>
      </c>
      <c r="DI348" s="2" t="s">
        <v>6</v>
      </c>
      <c r="DJ348" s="2" t="s">
        <v>6</v>
      </c>
      <c r="DK348" s="2" t="s">
        <v>6</v>
      </c>
      <c r="DL348" s="2" t="s">
        <v>6</v>
      </c>
      <c r="DM348" s="2" t="s">
        <v>6</v>
      </c>
      <c r="DN348" s="2">
        <v>0</v>
      </c>
      <c r="DO348" s="2">
        <v>0</v>
      </c>
      <c r="DP348" s="2">
        <v>1</v>
      </c>
      <c r="DQ348" s="2">
        <v>1</v>
      </c>
      <c r="DR348" s="2"/>
      <c r="DS348" s="2"/>
      <c r="DT348" s="2"/>
      <c r="DU348" s="2">
        <v>1007</v>
      </c>
      <c r="DV348" s="2" t="s">
        <v>44</v>
      </c>
      <c r="DW348" s="2" t="s">
        <v>44</v>
      </c>
      <c r="DX348" s="2">
        <v>1</v>
      </c>
      <c r="DY348" s="2"/>
      <c r="DZ348" s="2" t="s">
        <v>6</v>
      </c>
      <c r="EA348" s="2" t="s">
        <v>6</v>
      </c>
      <c r="EB348" s="2" t="s">
        <v>6</v>
      </c>
      <c r="EC348" s="2" t="s">
        <v>6</v>
      </c>
      <c r="ED348" s="2"/>
      <c r="EE348" s="2">
        <v>54938783</v>
      </c>
      <c r="EF348" s="2">
        <v>22</v>
      </c>
      <c r="EG348" s="2" t="s">
        <v>57</v>
      </c>
      <c r="EH348" s="2">
        <v>0</v>
      </c>
      <c r="EI348" s="2" t="s">
        <v>6</v>
      </c>
      <c r="EJ348" s="2">
        <v>1</v>
      </c>
      <c r="EK348" s="2">
        <v>500003</v>
      </c>
      <c r="EL348" s="2" t="s">
        <v>58</v>
      </c>
      <c r="EM348" s="2" t="s">
        <v>59</v>
      </c>
      <c r="EN348" s="2"/>
      <c r="EO348" s="2" t="s">
        <v>6</v>
      </c>
      <c r="EP348" s="2"/>
      <c r="EQ348" s="2">
        <v>0</v>
      </c>
      <c r="ER348" s="2">
        <v>878.79</v>
      </c>
      <c r="ES348" s="110">
        <f>'1.Лок.смета.и.Акт'!F634</f>
        <v>878.79</v>
      </c>
      <c r="ET348" s="2">
        <v>0</v>
      </c>
      <c r="EU348" s="2">
        <v>0</v>
      </c>
      <c r="EV348" s="2">
        <v>0</v>
      </c>
      <c r="EW348" s="2">
        <v>0</v>
      </c>
      <c r="EX348" s="2">
        <v>0</v>
      </c>
      <c r="EY348" s="2"/>
      <c r="EZ348" s="2"/>
      <c r="FA348" s="2"/>
      <c r="FB348" s="2"/>
      <c r="FC348" s="2"/>
      <c r="FD348" s="2"/>
      <c r="FE348" s="2"/>
      <c r="FF348" s="2"/>
      <c r="FG348" s="2"/>
      <c r="FH348" s="2"/>
      <c r="FI348" s="2"/>
      <c r="FJ348" s="2"/>
      <c r="FK348" s="2"/>
      <c r="FL348" s="2"/>
      <c r="FM348" s="2"/>
      <c r="FN348" s="2"/>
      <c r="FO348" s="2"/>
      <c r="FP348" s="2"/>
      <c r="FQ348" s="2">
        <v>0</v>
      </c>
      <c r="FR348" s="2">
        <f t="shared" ref="FR348:FR379" si="400">ROUND(IF(BI348=3,GM348,0),0)</f>
        <v>0</v>
      </c>
      <c r="FS348" s="2">
        <v>0</v>
      </c>
      <c r="FT348" s="2"/>
      <c r="FU348" s="2"/>
      <c r="FV348" s="2"/>
      <c r="FW348" s="2"/>
      <c r="FX348" s="2">
        <v>0</v>
      </c>
      <c r="FY348" s="2">
        <v>0</v>
      </c>
      <c r="FZ348" s="2"/>
      <c r="GA348" s="2" t="s">
        <v>6</v>
      </c>
      <c r="GB348" s="2"/>
      <c r="GC348" s="2"/>
      <c r="GD348" s="2">
        <v>1</v>
      </c>
      <c r="GE348" s="2"/>
      <c r="GF348" s="2">
        <v>-183216560</v>
      </c>
      <c r="GG348" s="2">
        <v>2</v>
      </c>
      <c r="GH348" s="2">
        <v>2</v>
      </c>
      <c r="GI348" s="2">
        <v>-2</v>
      </c>
      <c r="GJ348" s="2">
        <v>0</v>
      </c>
      <c r="GK348" s="2">
        <v>0</v>
      </c>
      <c r="GL348" s="2">
        <f t="shared" ref="GL348:GL379" si="401">ROUND(IF(AND(BH348=3,BI348=3,FS348&lt;&gt;0),P348,0),0)</f>
        <v>0</v>
      </c>
      <c r="GM348" s="2">
        <f t="shared" ref="GM348:GM379" si="402">ROUND(O348+X348+Y348,0)+GX348</f>
        <v>78170</v>
      </c>
      <c r="GN348" s="2">
        <f t="shared" ref="GN348:GN379" si="403">IF(OR(BI348=0,BI348=1),GM348-GX348,0)</f>
        <v>78170</v>
      </c>
      <c r="GO348" s="2">
        <f t="shared" ref="GO348:GO379" si="404">IF(BI348=2,GM348-GX348,0)</f>
        <v>0</v>
      </c>
      <c r="GP348" s="2">
        <f t="shared" ref="GP348:GP379" si="405">IF(BI348=4,GM348-GX348,0)</f>
        <v>0</v>
      </c>
      <c r="GQ348" s="2"/>
      <c r="GR348" s="2">
        <v>0</v>
      </c>
      <c r="GS348" s="2">
        <v>2</v>
      </c>
      <c r="GT348" s="2">
        <v>0</v>
      </c>
      <c r="GU348" s="2" t="s">
        <v>6</v>
      </c>
      <c r="GV348" s="2">
        <f t="shared" ref="GV348:GV379" si="406">ROUND((GT348),2)</f>
        <v>0</v>
      </c>
      <c r="GW348" s="2">
        <v>1</v>
      </c>
      <c r="GX348" s="2">
        <f t="shared" ref="GX348:GX379" si="407">ROUND(HC348*I348,0)</f>
        <v>0</v>
      </c>
      <c r="GY348" s="2"/>
      <c r="GZ348" s="2"/>
      <c r="HA348" s="2">
        <v>0</v>
      </c>
      <c r="HB348" s="2">
        <v>0</v>
      </c>
      <c r="HC348" s="2">
        <f t="shared" ref="HC348:HC379" si="408">GV348*GW348</f>
        <v>0</v>
      </c>
      <c r="HD348" s="2"/>
      <c r="HE348" s="2" t="s">
        <v>6</v>
      </c>
      <c r="HF348" s="2" t="s">
        <v>6</v>
      </c>
      <c r="HG348" s="2"/>
      <c r="HH348" s="2"/>
      <c r="HI348" s="2"/>
      <c r="HJ348" s="2"/>
      <c r="HK348" s="2"/>
      <c r="HL348" s="2"/>
      <c r="HM348" s="2" t="s">
        <v>6</v>
      </c>
      <c r="HN348" s="2" t="s">
        <v>6</v>
      </c>
      <c r="HO348" s="2" t="s">
        <v>6</v>
      </c>
      <c r="HP348" s="2" t="s">
        <v>6</v>
      </c>
      <c r="HQ348" s="2" t="s">
        <v>6</v>
      </c>
      <c r="HR348" s="2"/>
      <c r="HS348" s="2"/>
      <c r="HT348" s="2"/>
      <c r="HU348" s="2"/>
      <c r="HV348" s="2"/>
      <c r="HW348" s="2"/>
      <c r="HX348" s="2"/>
      <c r="HY348" s="2"/>
      <c r="HZ348" s="2"/>
      <c r="IA348" s="2"/>
      <c r="IB348" s="2"/>
      <c r="IC348" s="2"/>
      <c r="ID348" s="2"/>
      <c r="IE348" s="2"/>
      <c r="IF348" s="2">
        <v>-1</v>
      </c>
      <c r="IG348" s="2"/>
      <c r="IH348" s="2"/>
      <c r="II348" s="2"/>
      <c r="IJ348" s="2"/>
      <c r="IK348" s="2">
        <v>0</v>
      </c>
      <c r="IL348" s="2"/>
      <c r="IM348" s="2"/>
      <c r="IN348" s="2"/>
      <c r="IO348" s="2"/>
      <c r="IP348" s="2"/>
      <c r="IQ348" s="2"/>
      <c r="IR348" s="2"/>
      <c r="IS348" s="2"/>
      <c r="IT348" s="2"/>
      <c r="IU348" s="2"/>
    </row>
    <row r="349" spans="1:255" x14ac:dyDescent="0.2">
      <c r="A349">
        <v>18</v>
      </c>
      <c r="B349">
        <v>1</v>
      </c>
      <c r="C349">
        <v>434</v>
      </c>
      <c r="E349" t="s">
        <v>470</v>
      </c>
      <c r="F349" t="e">
        <f>'2.Лок.смета.и.Акт'!#REF!</f>
        <v>#REF!</v>
      </c>
      <c r="G349" t="s">
        <v>88</v>
      </c>
      <c r="H349" t="s">
        <v>44</v>
      </c>
      <c r="I349">
        <f>I341*J349</f>
        <v>88.952062499999997</v>
      </c>
      <c r="J349">
        <v>1.7040624999999998</v>
      </c>
      <c r="K349">
        <v>1.7040625</v>
      </c>
      <c r="O349">
        <f t="shared" si="377"/>
        <v>655666</v>
      </c>
      <c r="P349">
        <f t="shared" si="378"/>
        <v>655666</v>
      </c>
      <c r="Q349">
        <f t="shared" si="379"/>
        <v>0</v>
      </c>
      <c r="R349">
        <f t="shared" si="380"/>
        <v>0</v>
      </c>
      <c r="S349">
        <f t="shared" si="381"/>
        <v>0</v>
      </c>
      <c r="T349">
        <f t="shared" si="382"/>
        <v>0</v>
      </c>
      <c r="U349">
        <f t="shared" si="383"/>
        <v>0</v>
      </c>
      <c r="V349">
        <f t="shared" si="384"/>
        <v>0</v>
      </c>
      <c r="W349">
        <f t="shared" si="385"/>
        <v>0</v>
      </c>
      <c r="X349">
        <f t="shared" si="386"/>
        <v>0</v>
      </c>
      <c r="Y349">
        <f t="shared" si="387"/>
        <v>0</v>
      </c>
      <c r="AA349">
        <v>86326988</v>
      </c>
      <c r="AB349">
        <f t="shared" si="388"/>
        <v>975</v>
      </c>
      <c r="AC349">
        <f t="shared" si="372"/>
        <v>975</v>
      </c>
      <c r="AD349">
        <f>ROUND((((ET349)-(EU349))+AE349),2)</f>
        <v>0</v>
      </c>
      <c r="AE349">
        <f t="shared" si="373"/>
        <v>0</v>
      </c>
      <c r="AF349">
        <f t="shared" si="374"/>
        <v>0</v>
      </c>
      <c r="AG349">
        <f t="shared" si="389"/>
        <v>0</v>
      </c>
      <c r="AH349">
        <f t="shared" si="375"/>
        <v>0</v>
      </c>
      <c r="AI349">
        <f t="shared" si="376"/>
        <v>0</v>
      </c>
      <c r="AJ349">
        <f t="shared" si="390"/>
        <v>0</v>
      </c>
      <c r="AK349">
        <v>975</v>
      </c>
      <c r="AL349">
        <v>975</v>
      </c>
      <c r="AM349">
        <v>0</v>
      </c>
      <c r="AN349">
        <v>0</v>
      </c>
      <c r="AO349">
        <v>0</v>
      </c>
      <c r="AP349">
        <v>0</v>
      </c>
      <c r="AQ349">
        <v>0</v>
      </c>
      <c r="AR349">
        <v>0</v>
      </c>
      <c r="AS349">
        <v>0</v>
      </c>
      <c r="AT349">
        <v>0</v>
      </c>
      <c r="AU349">
        <v>0</v>
      </c>
      <c r="AV349">
        <v>1</v>
      </c>
      <c r="AW349">
        <v>1</v>
      </c>
      <c r="AZ349">
        <v>1</v>
      </c>
      <c r="BA349">
        <v>1</v>
      </c>
      <c r="BB349">
        <v>1</v>
      </c>
      <c r="BC349">
        <v>7.56</v>
      </c>
      <c r="BD349" t="s">
        <v>6</v>
      </c>
      <c r="BE349" t="s">
        <v>6</v>
      </c>
      <c r="BF349" t="s">
        <v>6</v>
      </c>
      <c r="BG349" t="s">
        <v>6</v>
      </c>
      <c r="BH349">
        <v>3</v>
      </c>
      <c r="BI349">
        <v>1</v>
      </c>
      <c r="BJ349" t="s">
        <v>89</v>
      </c>
      <c r="BM349">
        <v>500003</v>
      </c>
      <c r="BN349">
        <v>0</v>
      </c>
      <c r="BO349" t="s">
        <v>6</v>
      </c>
      <c r="BP349">
        <v>0</v>
      </c>
      <c r="BQ349">
        <v>22</v>
      </c>
      <c r="BR349">
        <v>0</v>
      </c>
      <c r="BS349">
        <v>1</v>
      </c>
      <c r="BT349">
        <v>1</v>
      </c>
      <c r="BU349">
        <v>1</v>
      </c>
      <c r="BV349">
        <v>1</v>
      </c>
      <c r="BW349">
        <v>1</v>
      </c>
      <c r="BX349">
        <v>1</v>
      </c>
      <c r="BY349" t="s">
        <v>6</v>
      </c>
      <c r="BZ349">
        <v>0</v>
      </c>
      <c r="CA349">
        <v>0</v>
      </c>
      <c r="CB349" t="s">
        <v>6</v>
      </c>
      <c r="CE349">
        <v>0</v>
      </c>
      <c r="CF349">
        <v>0</v>
      </c>
      <c r="CG349">
        <v>0</v>
      </c>
      <c r="CM349">
        <v>0</v>
      </c>
      <c r="CN349" t="s">
        <v>6</v>
      </c>
      <c r="CO349">
        <v>0</v>
      </c>
      <c r="CP349">
        <f t="shared" si="391"/>
        <v>655666</v>
      </c>
      <c r="CQ349">
        <f t="shared" si="392"/>
        <v>7371</v>
      </c>
      <c r="CR349">
        <f t="shared" si="393"/>
        <v>0</v>
      </c>
      <c r="CS349">
        <f t="shared" si="394"/>
        <v>0</v>
      </c>
      <c r="CT349">
        <f t="shared" si="395"/>
        <v>0</v>
      </c>
      <c r="CU349">
        <f t="shared" si="396"/>
        <v>0</v>
      </c>
      <c r="CV349">
        <f t="shared" si="397"/>
        <v>0</v>
      </c>
      <c r="CW349">
        <f t="shared" si="398"/>
        <v>0</v>
      </c>
      <c r="CX349">
        <f t="shared" si="399"/>
        <v>0</v>
      </c>
      <c r="CY349">
        <f>(S349+R349)*(BZ349/100)</f>
        <v>0</v>
      </c>
      <c r="CZ349">
        <f>(S349+R349)*(CA349/100)</f>
        <v>0</v>
      </c>
      <c r="DC349" t="s">
        <v>6</v>
      </c>
      <c r="DD349" t="s">
        <v>6</v>
      </c>
      <c r="DE349" t="s">
        <v>6</v>
      </c>
      <c r="DF349" t="s">
        <v>6</v>
      </c>
      <c r="DG349" t="s">
        <v>6</v>
      </c>
      <c r="DH349" t="s">
        <v>6</v>
      </c>
      <c r="DI349" t="s">
        <v>6</v>
      </c>
      <c r="DJ349" t="s">
        <v>6</v>
      </c>
      <c r="DK349" t="s">
        <v>6</v>
      </c>
      <c r="DL349" t="s">
        <v>6</v>
      </c>
      <c r="DM349" t="s">
        <v>6</v>
      </c>
      <c r="DN349">
        <v>0</v>
      </c>
      <c r="DO349">
        <v>0</v>
      </c>
      <c r="DP349">
        <v>1</v>
      </c>
      <c r="DQ349">
        <v>1</v>
      </c>
      <c r="DU349">
        <v>1007</v>
      </c>
      <c r="DV349" t="s">
        <v>44</v>
      </c>
      <c r="DW349" t="e">
        <f>'2.Лок.смета.и.Акт'!#REF!</f>
        <v>#REF!</v>
      </c>
      <c r="DX349">
        <v>1</v>
      </c>
      <c r="DZ349" t="s">
        <v>6</v>
      </c>
      <c r="EA349" t="s">
        <v>6</v>
      </c>
      <c r="EB349" t="s">
        <v>6</v>
      </c>
      <c r="EC349" t="s">
        <v>6</v>
      </c>
      <c r="EE349">
        <v>54938783</v>
      </c>
      <c r="EF349">
        <v>22</v>
      </c>
      <c r="EG349" t="s">
        <v>57</v>
      </c>
      <c r="EH349">
        <v>0</v>
      </c>
      <c r="EI349" t="s">
        <v>6</v>
      </c>
      <c r="EJ349">
        <v>1</v>
      </c>
      <c r="EK349">
        <v>500003</v>
      </c>
      <c r="EL349" t="s">
        <v>58</v>
      </c>
      <c r="EM349" t="s">
        <v>59</v>
      </c>
      <c r="EO349" t="s">
        <v>6</v>
      </c>
      <c r="EQ349">
        <v>0</v>
      </c>
      <c r="ER349">
        <v>6948.56</v>
      </c>
      <c r="ES349">
        <v>975</v>
      </c>
      <c r="ET349">
        <v>0</v>
      </c>
      <c r="EU349">
        <v>0</v>
      </c>
      <c r="EV349">
        <v>0</v>
      </c>
      <c r="EW349">
        <v>0</v>
      </c>
      <c r="EX349">
        <v>0</v>
      </c>
      <c r="EZ349">
        <v>5</v>
      </c>
      <c r="FC349">
        <v>0</v>
      </c>
      <c r="FD349">
        <v>18</v>
      </c>
      <c r="FF349">
        <v>6948.56</v>
      </c>
      <c r="FQ349">
        <v>0</v>
      </c>
      <c r="FR349">
        <f t="shared" si="400"/>
        <v>0</v>
      </c>
      <c r="FS349">
        <v>0</v>
      </c>
      <c r="FX349">
        <v>0</v>
      </c>
      <c r="FY349">
        <v>0</v>
      </c>
      <c r="GA349" t="s">
        <v>90</v>
      </c>
      <c r="GD349">
        <v>1</v>
      </c>
      <c r="GF349">
        <v>-183216560</v>
      </c>
      <c r="GG349">
        <v>2</v>
      </c>
      <c r="GH349">
        <v>3</v>
      </c>
      <c r="GI349">
        <v>5</v>
      </c>
      <c r="GJ349">
        <v>0</v>
      </c>
      <c r="GK349">
        <v>0</v>
      </c>
      <c r="GL349">
        <f t="shared" si="401"/>
        <v>0</v>
      </c>
      <c r="GM349">
        <f t="shared" si="402"/>
        <v>655666</v>
      </c>
      <c r="GN349">
        <f t="shared" si="403"/>
        <v>655666</v>
      </c>
      <c r="GO349">
        <f t="shared" si="404"/>
        <v>0</v>
      </c>
      <c r="GP349">
        <f t="shared" si="405"/>
        <v>0</v>
      </c>
      <c r="GR349">
        <v>1</v>
      </c>
      <c r="GS349">
        <v>1</v>
      </c>
      <c r="GT349">
        <v>0</v>
      </c>
      <c r="GU349" t="s">
        <v>6</v>
      </c>
      <c r="GV349">
        <f t="shared" si="406"/>
        <v>0</v>
      </c>
      <c r="GW349">
        <v>1</v>
      </c>
      <c r="GX349">
        <f t="shared" si="407"/>
        <v>0</v>
      </c>
      <c r="HA349">
        <v>0</v>
      </c>
      <c r="HB349">
        <v>0</v>
      </c>
      <c r="HC349">
        <f t="shared" si="408"/>
        <v>0</v>
      </c>
      <c r="HE349" t="s">
        <v>39</v>
      </c>
      <c r="HF349" t="s">
        <v>40</v>
      </c>
      <c r="HM349" t="s">
        <v>6</v>
      </c>
      <c r="HN349" t="s">
        <v>6</v>
      </c>
      <c r="HO349" t="s">
        <v>6</v>
      </c>
      <c r="HP349" t="s">
        <v>6</v>
      </c>
      <c r="HQ349" t="s">
        <v>6</v>
      </c>
      <c r="IF349">
        <v>-1</v>
      </c>
      <c r="IK349">
        <v>0</v>
      </c>
    </row>
    <row r="350" spans="1:255" x14ac:dyDescent="0.2">
      <c r="A350" s="2">
        <v>18</v>
      </c>
      <c r="B350" s="2">
        <v>1</v>
      </c>
      <c r="C350" s="2">
        <v>422</v>
      </c>
      <c r="D350" s="2"/>
      <c r="E350" s="2" t="s">
        <v>471</v>
      </c>
      <c r="F350" s="2" t="s">
        <v>472</v>
      </c>
      <c r="G350" s="2" t="s">
        <v>473</v>
      </c>
      <c r="H350" s="2" t="s">
        <v>103</v>
      </c>
      <c r="I350" s="2">
        <f>I340*J350</f>
        <v>1200.5999999999999</v>
      </c>
      <c r="J350" s="226">
        <f>'5.Ведомость_списания'!F152</f>
        <v>22.999999999999996</v>
      </c>
      <c r="K350" s="2">
        <v>23</v>
      </c>
      <c r="L350" s="2"/>
      <c r="M350" s="2"/>
      <c r="N350" s="2"/>
      <c r="O350" s="2">
        <f t="shared" si="377"/>
        <v>336</v>
      </c>
      <c r="P350" s="2">
        <f t="shared" si="378"/>
        <v>336</v>
      </c>
      <c r="Q350" s="2">
        <f t="shared" si="379"/>
        <v>0</v>
      </c>
      <c r="R350" s="2">
        <f t="shared" si="380"/>
        <v>0</v>
      </c>
      <c r="S350" s="2">
        <f t="shared" si="381"/>
        <v>0</v>
      </c>
      <c r="T350" s="2">
        <f t="shared" si="382"/>
        <v>0</v>
      </c>
      <c r="U350" s="2">
        <f t="shared" si="383"/>
        <v>0</v>
      </c>
      <c r="V350" s="2">
        <f t="shared" si="384"/>
        <v>0</v>
      </c>
      <c r="W350" s="2">
        <f t="shared" si="385"/>
        <v>0</v>
      </c>
      <c r="X350" s="2">
        <f t="shared" si="386"/>
        <v>0</v>
      </c>
      <c r="Y350" s="2">
        <f t="shared" si="387"/>
        <v>0</v>
      </c>
      <c r="Z350" s="2"/>
      <c r="AA350" s="2">
        <v>86326987</v>
      </c>
      <c r="AB350" s="2">
        <f t="shared" si="388"/>
        <v>0.28000000000000003</v>
      </c>
      <c r="AC350" s="2">
        <f t="shared" si="372"/>
        <v>0.28000000000000003</v>
      </c>
      <c r="AD350" s="2">
        <f>ROUND((ET350),2)</f>
        <v>0</v>
      </c>
      <c r="AE350" s="2">
        <f t="shared" si="373"/>
        <v>0</v>
      </c>
      <c r="AF350" s="2">
        <f t="shared" si="374"/>
        <v>0</v>
      </c>
      <c r="AG350" s="2">
        <f t="shared" si="389"/>
        <v>0</v>
      </c>
      <c r="AH350" s="2">
        <f t="shared" si="375"/>
        <v>0</v>
      </c>
      <c r="AI350" s="2">
        <f t="shared" si="376"/>
        <v>0</v>
      </c>
      <c r="AJ350" s="2">
        <f t="shared" si="390"/>
        <v>0</v>
      </c>
      <c r="AK350" s="2">
        <v>0.28000000000000003</v>
      </c>
      <c r="AL350" s="110">
        <f>'1.Лок.смета.и.Акт'!F636</f>
        <v>0.28000000000000003</v>
      </c>
      <c r="AM350" s="2">
        <v>0</v>
      </c>
      <c r="AN350" s="2">
        <v>0</v>
      </c>
      <c r="AO350" s="2">
        <v>0</v>
      </c>
      <c r="AP350" s="2">
        <v>0</v>
      </c>
      <c r="AQ350" s="2">
        <v>0</v>
      </c>
      <c r="AR350" s="2">
        <v>0</v>
      </c>
      <c r="AS350" s="2">
        <v>0</v>
      </c>
      <c r="AT350" s="2">
        <v>0</v>
      </c>
      <c r="AU350" s="2">
        <v>0</v>
      </c>
      <c r="AV350" s="2">
        <v>1</v>
      </c>
      <c r="AW350" s="2">
        <v>1</v>
      </c>
      <c r="AX350" s="2"/>
      <c r="AY350" s="2"/>
      <c r="AZ350" s="2">
        <v>1</v>
      </c>
      <c r="BA350" s="2">
        <v>1</v>
      </c>
      <c r="BB350" s="2">
        <v>1</v>
      </c>
      <c r="BC350" s="2">
        <v>1</v>
      </c>
      <c r="BD350" s="2" t="s">
        <v>6</v>
      </c>
      <c r="BE350" s="2" t="s">
        <v>6</v>
      </c>
      <c r="BF350" s="2" t="s">
        <v>6</v>
      </c>
      <c r="BG350" s="2" t="s">
        <v>6</v>
      </c>
      <c r="BH350" s="2">
        <v>3</v>
      </c>
      <c r="BI350" s="2">
        <v>1</v>
      </c>
      <c r="BJ350" s="2" t="s">
        <v>474</v>
      </c>
      <c r="BK350" s="2"/>
      <c r="BL350" s="2"/>
      <c r="BM350" s="2">
        <v>3101</v>
      </c>
      <c r="BN350" s="2">
        <v>0</v>
      </c>
      <c r="BO350" s="2" t="s">
        <v>6</v>
      </c>
      <c r="BP350" s="2">
        <v>0</v>
      </c>
      <c r="BQ350" s="2">
        <v>0</v>
      </c>
      <c r="BR350" s="2">
        <v>0</v>
      </c>
      <c r="BS350" s="2">
        <v>1</v>
      </c>
      <c r="BT350" s="2">
        <v>1</v>
      </c>
      <c r="BU350" s="2">
        <v>1</v>
      </c>
      <c r="BV350" s="2">
        <v>1</v>
      </c>
      <c r="BW350" s="2">
        <v>1</v>
      </c>
      <c r="BX350" s="2">
        <v>1</v>
      </c>
      <c r="BY350" s="2" t="s">
        <v>6</v>
      </c>
      <c r="BZ350" s="2">
        <v>0</v>
      </c>
      <c r="CA350" s="2">
        <v>0</v>
      </c>
      <c r="CB350" s="2" t="s">
        <v>6</v>
      </c>
      <c r="CC350" s="2"/>
      <c r="CD350" s="2"/>
      <c r="CE350" s="2">
        <v>0</v>
      </c>
      <c r="CF350" s="2">
        <v>0</v>
      </c>
      <c r="CG350" s="2">
        <v>0</v>
      </c>
      <c r="CH350" s="2"/>
      <c r="CI350" s="2"/>
      <c r="CJ350" s="2"/>
      <c r="CK350" s="2"/>
      <c r="CL350" s="2"/>
      <c r="CM350" s="2">
        <v>0</v>
      </c>
      <c r="CN350" s="2" t="s">
        <v>6</v>
      </c>
      <c r="CO350" s="2">
        <v>0</v>
      </c>
      <c r="CP350" s="2">
        <f t="shared" si="391"/>
        <v>336</v>
      </c>
      <c r="CQ350" s="2">
        <f t="shared" si="392"/>
        <v>0.28000000000000003</v>
      </c>
      <c r="CR350" s="2">
        <f t="shared" si="393"/>
        <v>0</v>
      </c>
      <c r="CS350" s="2">
        <f t="shared" si="394"/>
        <v>0</v>
      </c>
      <c r="CT350" s="2">
        <f t="shared" si="395"/>
        <v>0</v>
      </c>
      <c r="CU350" s="2">
        <f t="shared" si="396"/>
        <v>0</v>
      </c>
      <c r="CV350" s="2">
        <f t="shared" si="397"/>
        <v>0</v>
      </c>
      <c r="CW350" s="2">
        <f t="shared" si="398"/>
        <v>0</v>
      </c>
      <c r="CX350" s="2">
        <f t="shared" si="399"/>
        <v>0</v>
      </c>
      <c r="CY350" s="2">
        <f>0</f>
        <v>0</v>
      </c>
      <c r="CZ350" s="2">
        <f>0</f>
        <v>0</v>
      </c>
      <c r="DA350" s="2"/>
      <c r="DB350" s="2"/>
      <c r="DC350" s="2" t="s">
        <v>6</v>
      </c>
      <c r="DD350" s="2" t="s">
        <v>6</v>
      </c>
      <c r="DE350" s="2" t="s">
        <v>6</v>
      </c>
      <c r="DF350" s="2" t="s">
        <v>6</v>
      </c>
      <c r="DG350" s="2" t="s">
        <v>6</v>
      </c>
      <c r="DH350" s="2" t="s">
        <v>6</v>
      </c>
      <c r="DI350" s="2" t="s">
        <v>6</v>
      </c>
      <c r="DJ350" s="2" t="s">
        <v>6</v>
      </c>
      <c r="DK350" s="2" t="s">
        <v>6</v>
      </c>
      <c r="DL350" s="2" t="s">
        <v>6</v>
      </c>
      <c r="DM350" s="2" t="s">
        <v>6</v>
      </c>
      <c r="DN350" s="2">
        <v>0</v>
      </c>
      <c r="DO350" s="2">
        <v>0</v>
      </c>
      <c r="DP350" s="2">
        <v>1</v>
      </c>
      <c r="DQ350" s="2">
        <v>1</v>
      </c>
      <c r="DR350" s="2"/>
      <c r="DS350" s="2"/>
      <c r="DT350" s="2"/>
      <c r="DU350" s="2">
        <v>1013</v>
      </c>
      <c r="DV350" s="2" t="s">
        <v>103</v>
      </c>
      <c r="DW350" s="2" t="s">
        <v>103</v>
      </c>
      <c r="DX350" s="2">
        <v>1</v>
      </c>
      <c r="DY350" s="2"/>
      <c r="DZ350" s="2" t="s">
        <v>6</v>
      </c>
      <c r="EA350" s="2" t="s">
        <v>6</v>
      </c>
      <c r="EB350" s="2" t="s">
        <v>6</v>
      </c>
      <c r="EC350" s="2" t="s">
        <v>6</v>
      </c>
      <c r="ED350" s="2"/>
      <c r="EE350" s="2">
        <v>0</v>
      </c>
      <c r="EF350" s="2">
        <v>0</v>
      </c>
      <c r="EG350" s="2" t="s">
        <v>6</v>
      </c>
      <c r="EH350" s="2">
        <v>0</v>
      </c>
      <c r="EI350" s="2" t="s">
        <v>6</v>
      </c>
      <c r="EJ350" s="2">
        <v>0</v>
      </c>
      <c r="EK350" s="2">
        <v>3101</v>
      </c>
      <c r="EL350" s="2" t="s">
        <v>6</v>
      </c>
      <c r="EM350" s="2" t="s">
        <v>6</v>
      </c>
      <c r="EN350" s="2"/>
      <c r="EO350" s="2" t="s">
        <v>6</v>
      </c>
      <c r="EP350" s="2"/>
      <c r="EQ350" s="2">
        <v>0</v>
      </c>
      <c r="ER350" s="2">
        <v>0.28000000000000003</v>
      </c>
      <c r="ES350" s="110">
        <f>'1.Лок.смета.и.Акт'!F636</f>
        <v>0.28000000000000003</v>
      </c>
      <c r="ET350" s="2">
        <v>0</v>
      </c>
      <c r="EU350" s="2">
        <v>0</v>
      </c>
      <c r="EV350" s="2">
        <v>0</v>
      </c>
      <c r="EW350" s="2">
        <v>0</v>
      </c>
      <c r="EX350" s="2">
        <v>0</v>
      </c>
      <c r="EY350" s="2"/>
      <c r="EZ350" s="2"/>
      <c r="FA350" s="2"/>
      <c r="FB350" s="2"/>
      <c r="FC350" s="2"/>
      <c r="FD350" s="2"/>
      <c r="FE350" s="2"/>
      <c r="FF350" s="2"/>
      <c r="FG350" s="2"/>
      <c r="FH350" s="2"/>
      <c r="FI350" s="2"/>
      <c r="FJ350" s="2"/>
      <c r="FK350" s="2"/>
      <c r="FL350" s="2"/>
      <c r="FM350" s="2"/>
      <c r="FN350" s="2"/>
      <c r="FO350" s="2"/>
      <c r="FP350" s="2"/>
      <c r="FQ350" s="2">
        <v>0</v>
      </c>
      <c r="FR350" s="2">
        <f t="shared" si="400"/>
        <v>0</v>
      </c>
      <c r="FS350" s="2">
        <v>0</v>
      </c>
      <c r="FT350" s="2"/>
      <c r="FU350" s="2"/>
      <c r="FV350" s="2"/>
      <c r="FW350" s="2"/>
      <c r="FX350" s="2">
        <v>0</v>
      </c>
      <c r="FY350" s="2">
        <v>0</v>
      </c>
      <c r="FZ350" s="2"/>
      <c r="GA350" s="2" t="s">
        <v>6</v>
      </c>
      <c r="GB350" s="2"/>
      <c r="GC350" s="2"/>
      <c r="GD350" s="2">
        <v>1</v>
      </c>
      <c r="GE350" s="2"/>
      <c r="GF350" s="2">
        <v>1224859230</v>
      </c>
      <c r="GG350" s="2">
        <v>2</v>
      </c>
      <c r="GH350" s="2">
        <v>1</v>
      </c>
      <c r="GI350" s="2">
        <v>-2</v>
      </c>
      <c r="GJ350" s="2">
        <v>0</v>
      </c>
      <c r="GK350" s="2">
        <v>0</v>
      </c>
      <c r="GL350" s="2">
        <f t="shared" si="401"/>
        <v>0</v>
      </c>
      <c r="GM350" s="2">
        <f t="shared" si="402"/>
        <v>336</v>
      </c>
      <c r="GN350" s="2">
        <f t="shared" si="403"/>
        <v>336</v>
      </c>
      <c r="GO350" s="2">
        <f t="shared" si="404"/>
        <v>0</v>
      </c>
      <c r="GP350" s="2">
        <f t="shared" si="405"/>
        <v>0</v>
      </c>
      <c r="GQ350" s="2"/>
      <c r="GR350" s="2">
        <v>0</v>
      </c>
      <c r="GS350" s="2">
        <v>3</v>
      </c>
      <c r="GT350" s="2">
        <v>0</v>
      </c>
      <c r="GU350" s="2" t="s">
        <v>6</v>
      </c>
      <c r="GV350" s="2">
        <f t="shared" si="406"/>
        <v>0</v>
      </c>
      <c r="GW350" s="2">
        <v>1</v>
      </c>
      <c r="GX350" s="2">
        <f t="shared" si="407"/>
        <v>0</v>
      </c>
      <c r="GY350" s="2"/>
      <c r="GZ350" s="2"/>
      <c r="HA350" s="2">
        <v>0</v>
      </c>
      <c r="HB350" s="2">
        <v>0</v>
      </c>
      <c r="HC350" s="2">
        <f t="shared" si="408"/>
        <v>0</v>
      </c>
      <c r="HD350" s="2"/>
      <c r="HE350" s="2" t="s">
        <v>6</v>
      </c>
      <c r="HF350" s="2" t="s">
        <v>6</v>
      </c>
      <c r="HG350" s="2"/>
      <c r="HH350" s="2"/>
      <c r="HI350" s="2"/>
      <c r="HJ350" s="2"/>
      <c r="HK350" s="2"/>
      <c r="HL350" s="2"/>
      <c r="HM350" s="2" t="s">
        <v>6</v>
      </c>
      <c r="HN350" s="2" t="s">
        <v>6</v>
      </c>
      <c r="HO350" s="2" t="s">
        <v>6</v>
      </c>
      <c r="HP350" s="2" t="s">
        <v>6</v>
      </c>
      <c r="HQ350" s="2" t="s">
        <v>6</v>
      </c>
      <c r="HR350" s="2"/>
      <c r="HS350" s="2"/>
      <c r="HT350" s="2"/>
      <c r="HU350" s="2"/>
      <c r="HV350" s="2"/>
      <c r="HW350" s="2"/>
      <c r="HX350" s="2"/>
      <c r="HY350" s="2"/>
      <c r="HZ350" s="2"/>
      <c r="IA350" s="2"/>
      <c r="IB350" s="2"/>
      <c r="IC350" s="2"/>
      <c r="ID350" s="2"/>
      <c r="IE350" s="2"/>
      <c r="IF350" s="2">
        <v>-1</v>
      </c>
      <c r="IG350" s="2"/>
      <c r="IH350" s="2"/>
      <c r="II350" s="2"/>
      <c r="IJ350" s="2"/>
      <c r="IK350" s="2">
        <v>0</v>
      </c>
      <c r="IL350" s="2"/>
      <c r="IM350" s="2"/>
      <c r="IN350" s="2"/>
      <c r="IO350" s="2"/>
      <c r="IP350" s="2"/>
      <c r="IQ350" s="2"/>
      <c r="IR350" s="2"/>
      <c r="IS350" s="2"/>
      <c r="IT350" s="2"/>
      <c r="IU350" s="2"/>
    </row>
    <row r="351" spans="1:255" x14ac:dyDescent="0.2">
      <c r="A351">
        <v>18</v>
      </c>
      <c r="B351">
        <v>1</v>
      </c>
      <c r="C351">
        <v>431</v>
      </c>
      <c r="E351" t="s">
        <v>471</v>
      </c>
      <c r="F351" t="e">
        <f>'2.Лок.смета.и.Акт'!#REF!</f>
        <v>#REF!</v>
      </c>
      <c r="G351" t="s">
        <v>473</v>
      </c>
      <c r="H351" t="s">
        <v>103</v>
      </c>
      <c r="I351">
        <f>I341*J351</f>
        <v>1200.5999999999999</v>
      </c>
      <c r="J351">
        <v>22.999999999999996</v>
      </c>
      <c r="K351">
        <v>23</v>
      </c>
      <c r="O351">
        <f t="shared" si="377"/>
        <v>998</v>
      </c>
      <c r="P351">
        <f t="shared" si="378"/>
        <v>998</v>
      </c>
      <c r="Q351">
        <f t="shared" si="379"/>
        <v>0</v>
      </c>
      <c r="R351">
        <f t="shared" si="380"/>
        <v>0</v>
      </c>
      <c r="S351">
        <f t="shared" si="381"/>
        <v>0</v>
      </c>
      <c r="T351">
        <f t="shared" si="382"/>
        <v>0</v>
      </c>
      <c r="U351">
        <f t="shared" si="383"/>
        <v>0</v>
      </c>
      <c r="V351">
        <f t="shared" si="384"/>
        <v>0</v>
      </c>
      <c r="W351">
        <f t="shared" si="385"/>
        <v>0</v>
      </c>
      <c r="X351">
        <f t="shared" si="386"/>
        <v>0</v>
      </c>
      <c r="Y351">
        <f t="shared" si="387"/>
        <v>0</v>
      </c>
      <c r="AA351">
        <v>86326988</v>
      </c>
      <c r="AB351">
        <f t="shared" si="388"/>
        <v>0.11</v>
      </c>
      <c r="AC351">
        <f t="shared" si="372"/>
        <v>0.11</v>
      </c>
      <c r="AD351">
        <f>ROUND((ET351),2)</f>
        <v>0</v>
      </c>
      <c r="AE351">
        <f t="shared" si="373"/>
        <v>0</v>
      </c>
      <c r="AF351">
        <f t="shared" si="374"/>
        <v>0</v>
      </c>
      <c r="AG351">
        <f t="shared" si="389"/>
        <v>0</v>
      </c>
      <c r="AH351">
        <f t="shared" si="375"/>
        <v>0</v>
      </c>
      <c r="AI351">
        <f t="shared" si="376"/>
        <v>0</v>
      </c>
      <c r="AJ351">
        <f t="shared" si="390"/>
        <v>0</v>
      </c>
      <c r="AK351">
        <v>0.11</v>
      </c>
      <c r="AL351">
        <v>0.11</v>
      </c>
      <c r="AM351">
        <v>0</v>
      </c>
      <c r="AN351">
        <v>0</v>
      </c>
      <c r="AO351">
        <v>0</v>
      </c>
      <c r="AP351">
        <v>0</v>
      </c>
      <c r="AQ351">
        <v>0</v>
      </c>
      <c r="AR351">
        <v>0</v>
      </c>
      <c r="AS351">
        <v>0</v>
      </c>
      <c r="AT351">
        <v>0</v>
      </c>
      <c r="AU351">
        <v>0</v>
      </c>
      <c r="AV351">
        <v>1</v>
      </c>
      <c r="AW351">
        <v>1</v>
      </c>
      <c r="AZ351">
        <v>1</v>
      </c>
      <c r="BA351">
        <v>1</v>
      </c>
      <c r="BB351">
        <v>1</v>
      </c>
      <c r="BC351">
        <v>7.56</v>
      </c>
      <c r="BD351" t="s">
        <v>6</v>
      </c>
      <c r="BE351" t="s">
        <v>6</v>
      </c>
      <c r="BF351" t="s">
        <v>6</v>
      </c>
      <c r="BG351" t="s">
        <v>6</v>
      </c>
      <c r="BH351">
        <v>3</v>
      </c>
      <c r="BI351">
        <v>1</v>
      </c>
      <c r="BJ351" t="s">
        <v>474</v>
      </c>
      <c r="BM351">
        <v>3101</v>
      </c>
      <c r="BN351">
        <v>0</v>
      </c>
      <c r="BO351" t="s">
        <v>6</v>
      </c>
      <c r="BP351">
        <v>0</v>
      </c>
      <c r="BQ351">
        <v>0</v>
      </c>
      <c r="BR351">
        <v>0</v>
      </c>
      <c r="BS351">
        <v>1</v>
      </c>
      <c r="BT351">
        <v>1</v>
      </c>
      <c r="BU351">
        <v>1</v>
      </c>
      <c r="BV351">
        <v>1</v>
      </c>
      <c r="BW351">
        <v>1</v>
      </c>
      <c r="BX351">
        <v>1</v>
      </c>
      <c r="BY351" t="s">
        <v>6</v>
      </c>
      <c r="BZ351">
        <v>0</v>
      </c>
      <c r="CA351">
        <v>0</v>
      </c>
      <c r="CB351" t="s">
        <v>6</v>
      </c>
      <c r="CE351">
        <v>0</v>
      </c>
      <c r="CF351">
        <v>0</v>
      </c>
      <c r="CG351">
        <v>0</v>
      </c>
      <c r="CM351">
        <v>0</v>
      </c>
      <c r="CN351" t="s">
        <v>6</v>
      </c>
      <c r="CO351">
        <v>0</v>
      </c>
      <c r="CP351">
        <f t="shared" si="391"/>
        <v>998</v>
      </c>
      <c r="CQ351">
        <f t="shared" si="392"/>
        <v>0.83160000000000001</v>
      </c>
      <c r="CR351">
        <f t="shared" si="393"/>
        <v>0</v>
      </c>
      <c r="CS351">
        <f t="shared" si="394"/>
        <v>0</v>
      </c>
      <c r="CT351">
        <f t="shared" si="395"/>
        <v>0</v>
      </c>
      <c r="CU351">
        <f t="shared" si="396"/>
        <v>0</v>
      </c>
      <c r="CV351">
        <f t="shared" si="397"/>
        <v>0</v>
      </c>
      <c r="CW351">
        <f t="shared" si="398"/>
        <v>0</v>
      </c>
      <c r="CX351">
        <f t="shared" si="399"/>
        <v>0</v>
      </c>
      <c r="CY351">
        <f>(S351+R351)*(BZ351/100)</f>
        <v>0</v>
      </c>
      <c r="CZ351">
        <f>(S351+R351)*(CA351/100)</f>
        <v>0</v>
      </c>
      <c r="DC351" t="s">
        <v>6</v>
      </c>
      <c r="DD351" t="s">
        <v>6</v>
      </c>
      <c r="DE351" t="s">
        <v>6</v>
      </c>
      <c r="DF351" t="s">
        <v>6</v>
      </c>
      <c r="DG351" t="s">
        <v>6</v>
      </c>
      <c r="DH351" t="s">
        <v>6</v>
      </c>
      <c r="DI351" t="s">
        <v>6</v>
      </c>
      <c r="DJ351" t="s">
        <v>6</v>
      </c>
      <c r="DK351" t="s">
        <v>6</v>
      </c>
      <c r="DL351" t="s">
        <v>6</v>
      </c>
      <c r="DM351" t="s">
        <v>6</v>
      </c>
      <c r="DN351">
        <v>0</v>
      </c>
      <c r="DO351">
        <v>0</v>
      </c>
      <c r="DP351">
        <v>1</v>
      </c>
      <c r="DQ351">
        <v>1</v>
      </c>
      <c r="DU351">
        <v>1013</v>
      </c>
      <c r="DV351" t="s">
        <v>103</v>
      </c>
      <c r="DW351" t="e">
        <f>'2.Лок.смета.и.Акт'!#REF!</f>
        <v>#REF!</v>
      </c>
      <c r="DX351">
        <v>1</v>
      </c>
      <c r="DZ351" t="s">
        <v>6</v>
      </c>
      <c r="EA351" t="s">
        <v>6</v>
      </c>
      <c r="EB351" t="s">
        <v>6</v>
      </c>
      <c r="EC351" t="s">
        <v>6</v>
      </c>
      <c r="EE351">
        <v>0</v>
      </c>
      <c r="EF351">
        <v>0</v>
      </c>
      <c r="EG351" t="s">
        <v>6</v>
      </c>
      <c r="EH351">
        <v>0</v>
      </c>
      <c r="EI351" t="s">
        <v>6</v>
      </c>
      <c r="EJ351">
        <v>0</v>
      </c>
      <c r="EK351">
        <v>3101</v>
      </c>
      <c r="EL351" t="s">
        <v>6</v>
      </c>
      <c r="EM351" t="s">
        <v>6</v>
      </c>
      <c r="EO351" t="s">
        <v>6</v>
      </c>
      <c r="EQ351">
        <v>0</v>
      </c>
      <c r="ER351">
        <v>0.85</v>
      </c>
      <c r="ES351">
        <v>0.11</v>
      </c>
      <c r="ET351">
        <v>0</v>
      </c>
      <c r="EU351">
        <v>0</v>
      </c>
      <c r="EV351">
        <v>0</v>
      </c>
      <c r="EW351">
        <v>0</v>
      </c>
      <c r="EX351">
        <v>0</v>
      </c>
      <c r="EZ351">
        <v>5</v>
      </c>
      <c r="FC351">
        <v>0</v>
      </c>
      <c r="FD351">
        <v>18</v>
      </c>
      <c r="FF351">
        <v>0.85</v>
      </c>
      <c r="FQ351">
        <v>0</v>
      </c>
      <c r="FR351">
        <f t="shared" si="400"/>
        <v>0</v>
      </c>
      <c r="FS351">
        <v>0</v>
      </c>
      <c r="FX351">
        <v>0</v>
      </c>
      <c r="FY351">
        <v>0</v>
      </c>
      <c r="GA351" t="s">
        <v>475</v>
      </c>
      <c r="GD351">
        <v>1</v>
      </c>
      <c r="GF351">
        <v>1224859230</v>
      </c>
      <c r="GG351">
        <v>2</v>
      </c>
      <c r="GH351">
        <v>3</v>
      </c>
      <c r="GI351">
        <v>5</v>
      </c>
      <c r="GJ351">
        <v>0</v>
      </c>
      <c r="GK351">
        <v>0</v>
      </c>
      <c r="GL351">
        <f t="shared" si="401"/>
        <v>0</v>
      </c>
      <c r="GM351">
        <f t="shared" si="402"/>
        <v>998</v>
      </c>
      <c r="GN351">
        <f t="shared" si="403"/>
        <v>998</v>
      </c>
      <c r="GO351">
        <f t="shared" si="404"/>
        <v>0</v>
      </c>
      <c r="GP351">
        <f t="shared" si="405"/>
        <v>0</v>
      </c>
      <c r="GR351">
        <v>1</v>
      </c>
      <c r="GS351">
        <v>1</v>
      </c>
      <c r="GT351">
        <v>0</v>
      </c>
      <c r="GU351" t="s">
        <v>6</v>
      </c>
      <c r="GV351">
        <f t="shared" si="406"/>
        <v>0</v>
      </c>
      <c r="GW351">
        <v>1</v>
      </c>
      <c r="GX351">
        <f t="shared" si="407"/>
        <v>0</v>
      </c>
      <c r="HA351">
        <v>0</v>
      </c>
      <c r="HB351">
        <v>0</v>
      </c>
      <c r="HC351">
        <f t="shared" si="408"/>
        <v>0</v>
      </c>
      <c r="HE351" t="s">
        <v>39</v>
      </c>
      <c r="HF351" t="s">
        <v>40</v>
      </c>
      <c r="HM351" t="s">
        <v>6</v>
      </c>
      <c r="HN351" t="s">
        <v>6</v>
      </c>
      <c r="HO351" t="s">
        <v>6</v>
      </c>
      <c r="HP351" t="s">
        <v>6</v>
      </c>
      <c r="HQ351" t="s">
        <v>6</v>
      </c>
      <c r="IF351">
        <v>-1</v>
      </c>
      <c r="IK351">
        <v>0</v>
      </c>
    </row>
    <row r="352" spans="1:255" x14ac:dyDescent="0.2">
      <c r="A352" s="2">
        <v>17</v>
      </c>
      <c r="B352" s="2">
        <v>1</v>
      </c>
      <c r="C352" s="2"/>
      <c r="D352" s="2"/>
      <c r="E352" s="2" t="s">
        <v>476</v>
      </c>
      <c r="F352" s="2" t="s">
        <v>135</v>
      </c>
      <c r="G352" s="2" t="s">
        <v>136</v>
      </c>
      <c r="H352" s="2" t="s">
        <v>137</v>
      </c>
      <c r="I352" s="2" t="e">
        <f>'2.Лок.смета.и.Акт'!#REF!</f>
        <v>#REF!</v>
      </c>
      <c r="J352" s="2">
        <v>0</v>
      </c>
      <c r="K352" s="2">
        <v>65.23</v>
      </c>
      <c r="L352" s="2"/>
      <c r="M352" s="2"/>
      <c r="N352" s="2"/>
      <c r="O352" s="2" t="e">
        <f t="shared" si="377"/>
        <v>#REF!</v>
      </c>
      <c r="P352" s="2" t="e">
        <f t="shared" si="378"/>
        <v>#REF!</v>
      </c>
      <c r="Q352" s="2" t="e">
        <f t="shared" si="379"/>
        <v>#REF!</v>
      </c>
      <c r="R352" s="2" t="e">
        <f t="shared" si="380"/>
        <v>#REF!</v>
      </c>
      <c r="S352" s="2" t="e">
        <f t="shared" si="381"/>
        <v>#REF!</v>
      </c>
      <c r="T352" s="2" t="e">
        <f t="shared" si="382"/>
        <v>#REF!</v>
      </c>
      <c r="U352" s="2" t="e">
        <f t="shared" si="383"/>
        <v>#REF!</v>
      </c>
      <c r="V352" s="2" t="e">
        <f t="shared" si="384"/>
        <v>#REF!</v>
      </c>
      <c r="W352" s="2" t="e">
        <f t="shared" si="385"/>
        <v>#REF!</v>
      </c>
      <c r="X352" s="2" t="e">
        <f t="shared" si="386"/>
        <v>#REF!</v>
      </c>
      <c r="Y352" s="2" t="e">
        <f t="shared" si="387"/>
        <v>#REF!</v>
      </c>
      <c r="Z352" s="2"/>
      <c r="AA352" s="2">
        <v>86326987</v>
      </c>
      <c r="AB352" s="2">
        <f t="shared" si="388"/>
        <v>105.9</v>
      </c>
      <c r="AC352" s="2">
        <f t="shared" si="372"/>
        <v>0</v>
      </c>
      <c r="AD352" s="2">
        <f>ROUND((((ET352)-(EU352))+AE352),2)</f>
        <v>105.9</v>
      </c>
      <c r="AE352" s="2">
        <f t="shared" si="373"/>
        <v>11.69</v>
      </c>
      <c r="AF352" s="2">
        <f t="shared" si="374"/>
        <v>0</v>
      </c>
      <c r="AG352" s="2">
        <f t="shared" si="389"/>
        <v>0</v>
      </c>
      <c r="AH352" s="2">
        <f t="shared" si="375"/>
        <v>0</v>
      </c>
      <c r="AI352" s="2">
        <f t="shared" si="376"/>
        <v>1</v>
      </c>
      <c r="AJ352" s="2">
        <f t="shared" si="390"/>
        <v>0</v>
      </c>
      <c r="AK352" s="2">
        <v>105.9</v>
      </c>
      <c r="AL352" s="2">
        <v>0</v>
      </c>
      <c r="AM352" s="2">
        <v>105.9</v>
      </c>
      <c r="AN352" s="2">
        <v>11.69</v>
      </c>
      <c r="AO352" s="2">
        <v>0</v>
      </c>
      <c r="AP352" s="2">
        <v>0</v>
      </c>
      <c r="AQ352" s="2">
        <v>0</v>
      </c>
      <c r="AR352" s="2">
        <v>1</v>
      </c>
      <c r="AS352" s="2">
        <v>0</v>
      </c>
      <c r="AT352" s="2">
        <v>0</v>
      </c>
      <c r="AU352" s="2">
        <v>0</v>
      </c>
      <c r="AV352" s="2">
        <v>1</v>
      </c>
      <c r="AW352" s="2">
        <v>1</v>
      </c>
      <c r="AX352" s="2"/>
      <c r="AY352" s="2"/>
      <c r="AZ352" s="2">
        <v>1</v>
      </c>
      <c r="BA352" s="2">
        <v>1</v>
      </c>
      <c r="BB352" s="2">
        <v>1</v>
      </c>
      <c r="BC352" s="2">
        <v>1</v>
      </c>
      <c r="BD352" s="2" t="s">
        <v>6</v>
      </c>
      <c r="BE352" s="2" t="s">
        <v>6</v>
      </c>
      <c r="BF352" s="2" t="s">
        <v>6</v>
      </c>
      <c r="BG352" s="2" t="s">
        <v>6</v>
      </c>
      <c r="BH352" s="2">
        <v>2</v>
      </c>
      <c r="BI352" s="2">
        <v>1</v>
      </c>
      <c r="BJ352" s="2" t="s">
        <v>138</v>
      </c>
      <c r="BK352" s="2"/>
      <c r="BL352" s="2"/>
      <c r="BM352" s="2">
        <v>400001</v>
      </c>
      <c r="BN352" s="2">
        <v>0</v>
      </c>
      <c r="BO352" s="2" t="s">
        <v>6</v>
      </c>
      <c r="BP352" s="2">
        <v>0</v>
      </c>
      <c r="BQ352" s="2">
        <v>10</v>
      </c>
      <c r="BR352" s="2">
        <v>0</v>
      </c>
      <c r="BS352" s="2">
        <v>1</v>
      </c>
      <c r="BT352" s="2">
        <v>1</v>
      </c>
      <c r="BU352" s="2">
        <v>1</v>
      </c>
      <c r="BV352" s="2">
        <v>1</v>
      </c>
      <c r="BW352" s="2">
        <v>1</v>
      </c>
      <c r="BX352" s="2">
        <v>1</v>
      </c>
      <c r="BY352" s="2" t="s">
        <v>6</v>
      </c>
      <c r="BZ352" s="2">
        <v>0</v>
      </c>
      <c r="CA352" s="2">
        <v>0</v>
      </c>
      <c r="CB352" s="2" t="s">
        <v>6</v>
      </c>
      <c r="CC352" s="2"/>
      <c r="CD352" s="2"/>
      <c r="CE352" s="2">
        <v>0</v>
      </c>
      <c r="CF352" s="2">
        <v>0</v>
      </c>
      <c r="CG352" s="2">
        <v>0</v>
      </c>
      <c r="CH352" s="2"/>
      <c r="CI352" s="2"/>
      <c r="CJ352" s="2"/>
      <c r="CK352" s="2"/>
      <c r="CL352" s="2"/>
      <c r="CM352" s="2">
        <v>0</v>
      </c>
      <c r="CN352" s="2" t="s">
        <v>6</v>
      </c>
      <c r="CO352" s="2">
        <v>0</v>
      </c>
      <c r="CP352" s="2" t="e">
        <f t="shared" si="391"/>
        <v>#REF!</v>
      </c>
      <c r="CQ352" s="2">
        <f t="shared" si="392"/>
        <v>0</v>
      </c>
      <c r="CR352" s="2">
        <f t="shared" si="393"/>
        <v>105.9</v>
      </c>
      <c r="CS352" s="2">
        <f t="shared" si="394"/>
        <v>11.69</v>
      </c>
      <c r="CT352" s="2">
        <f t="shared" si="395"/>
        <v>0</v>
      </c>
      <c r="CU352" s="2">
        <f t="shared" si="396"/>
        <v>0</v>
      </c>
      <c r="CV352" s="2">
        <f t="shared" si="397"/>
        <v>0</v>
      </c>
      <c r="CW352" s="2">
        <f t="shared" si="398"/>
        <v>1</v>
      </c>
      <c r="CX352" s="2">
        <f t="shared" si="399"/>
        <v>0</v>
      </c>
      <c r="CY352" s="2" t="e">
        <f>(((S352+(R352*IF(0,0,1)))*AT352)/100)</f>
        <v>#REF!</v>
      </c>
      <c r="CZ352" s="2" t="e">
        <f>(((S352+(R352*IF(0,0,1)))*AU352)/100)</f>
        <v>#REF!</v>
      </c>
      <c r="DA352" s="2"/>
      <c r="DB352" s="2"/>
      <c r="DC352" s="2" t="s">
        <v>6</v>
      </c>
      <c r="DD352" s="2" t="s">
        <v>6</v>
      </c>
      <c r="DE352" s="2" t="s">
        <v>6</v>
      </c>
      <c r="DF352" s="2" t="s">
        <v>6</v>
      </c>
      <c r="DG352" s="2" t="s">
        <v>6</v>
      </c>
      <c r="DH352" s="2" t="s">
        <v>6</v>
      </c>
      <c r="DI352" s="2" t="s">
        <v>6</v>
      </c>
      <c r="DJ352" s="2" t="s">
        <v>6</v>
      </c>
      <c r="DK352" s="2" t="s">
        <v>6</v>
      </c>
      <c r="DL352" s="2" t="s">
        <v>6</v>
      </c>
      <c r="DM352" s="2" t="s">
        <v>6</v>
      </c>
      <c r="DN352" s="2">
        <v>0</v>
      </c>
      <c r="DO352" s="2">
        <v>0</v>
      </c>
      <c r="DP352" s="2">
        <v>1</v>
      </c>
      <c r="DQ352" s="2">
        <v>1</v>
      </c>
      <c r="DR352" s="2"/>
      <c r="DS352" s="2"/>
      <c r="DT352" s="2"/>
      <c r="DU352" s="2">
        <v>1011</v>
      </c>
      <c r="DV352" s="2" t="s">
        <v>137</v>
      </c>
      <c r="DW352" s="2" t="s">
        <v>137</v>
      </c>
      <c r="DX352" s="2">
        <v>1</v>
      </c>
      <c r="DY352" s="2"/>
      <c r="DZ352" s="2" t="s">
        <v>6</v>
      </c>
      <c r="EA352" s="2" t="s">
        <v>6</v>
      </c>
      <c r="EB352" s="2" t="s">
        <v>6</v>
      </c>
      <c r="EC352" s="2" t="s">
        <v>6</v>
      </c>
      <c r="ED352" s="2"/>
      <c r="EE352" s="2">
        <v>54938780</v>
      </c>
      <c r="EF352" s="2">
        <v>10</v>
      </c>
      <c r="EG352" s="2" t="s">
        <v>139</v>
      </c>
      <c r="EH352" s="2">
        <v>0</v>
      </c>
      <c r="EI352" s="2" t="s">
        <v>6</v>
      </c>
      <c r="EJ352" s="2">
        <v>1</v>
      </c>
      <c r="EK352" s="2">
        <v>400001</v>
      </c>
      <c r="EL352" s="2" t="s">
        <v>140</v>
      </c>
      <c r="EM352" s="2" t="s">
        <v>141</v>
      </c>
      <c r="EN352" s="2"/>
      <c r="EO352" s="2" t="s">
        <v>6</v>
      </c>
      <c r="EP352" s="2"/>
      <c r="EQ352" s="2">
        <v>2097152</v>
      </c>
      <c r="ER352" s="2">
        <v>105.9</v>
      </c>
      <c r="ES352" s="2">
        <v>0</v>
      </c>
      <c r="ET352" s="2">
        <v>105.9</v>
      </c>
      <c r="EU352" s="2">
        <v>11.69</v>
      </c>
      <c r="EV352" s="2">
        <v>0</v>
      </c>
      <c r="EW352" s="2">
        <v>0</v>
      </c>
      <c r="EX352" s="2">
        <v>1</v>
      </c>
      <c r="EY352" s="2">
        <v>0</v>
      </c>
      <c r="EZ352" s="2"/>
      <c r="FA352" s="2"/>
      <c r="FB352" s="2"/>
      <c r="FC352" s="2"/>
      <c r="FD352" s="2"/>
      <c r="FE352" s="2"/>
      <c r="FF352" s="2"/>
      <c r="FG352" s="2"/>
      <c r="FH352" s="2"/>
      <c r="FI352" s="2"/>
      <c r="FJ352" s="2"/>
      <c r="FK352" s="2"/>
      <c r="FL352" s="2"/>
      <c r="FM352" s="2"/>
      <c r="FN352" s="2"/>
      <c r="FO352" s="2"/>
      <c r="FP352" s="2"/>
      <c r="FQ352" s="2">
        <v>0</v>
      </c>
      <c r="FR352" s="2">
        <f t="shared" si="400"/>
        <v>0</v>
      </c>
      <c r="FS352" s="2">
        <v>0</v>
      </c>
      <c r="FT352" s="2"/>
      <c r="FU352" s="2"/>
      <c r="FV352" s="2"/>
      <c r="FW352" s="2"/>
      <c r="FX352" s="2">
        <v>0</v>
      </c>
      <c r="FY352" s="2">
        <v>0</v>
      </c>
      <c r="FZ352" s="2"/>
      <c r="GA352" s="2" t="s">
        <v>6</v>
      </c>
      <c r="GB352" s="2"/>
      <c r="GC352" s="2"/>
      <c r="GD352" s="2">
        <v>1</v>
      </c>
      <c r="GE352" s="2"/>
      <c r="GF352" s="2">
        <v>-450777769</v>
      </c>
      <c r="GG352" s="2">
        <v>2</v>
      </c>
      <c r="GH352" s="2">
        <v>1</v>
      </c>
      <c r="GI352" s="2">
        <v>-2</v>
      </c>
      <c r="GJ352" s="2">
        <v>0</v>
      </c>
      <c r="GK352" s="2">
        <v>0</v>
      </c>
      <c r="GL352" s="2">
        <f t="shared" si="401"/>
        <v>0</v>
      </c>
      <c r="GM352" s="2" t="e">
        <f t="shared" si="402"/>
        <v>#REF!</v>
      </c>
      <c r="GN352" s="2" t="e">
        <f t="shared" si="403"/>
        <v>#REF!</v>
      </c>
      <c r="GO352" s="2">
        <f t="shared" si="404"/>
        <v>0</v>
      </c>
      <c r="GP352" s="2">
        <f t="shared" si="405"/>
        <v>0</v>
      </c>
      <c r="GQ352" s="2"/>
      <c r="GR352" s="2">
        <v>0</v>
      </c>
      <c r="GS352" s="2">
        <v>3</v>
      </c>
      <c r="GT352" s="2">
        <v>0</v>
      </c>
      <c r="GU352" s="2" t="s">
        <v>6</v>
      </c>
      <c r="GV352" s="2">
        <f t="shared" si="406"/>
        <v>0</v>
      </c>
      <c r="GW352" s="2">
        <v>1</v>
      </c>
      <c r="GX352" s="2" t="e">
        <f t="shared" si="407"/>
        <v>#REF!</v>
      </c>
      <c r="GY352" s="2"/>
      <c r="GZ352" s="2"/>
      <c r="HA352" s="2">
        <v>0</v>
      </c>
      <c r="HB352" s="2">
        <v>0</v>
      </c>
      <c r="HC352" s="2">
        <f t="shared" si="408"/>
        <v>0</v>
      </c>
      <c r="HD352" s="2"/>
      <c r="HE352" s="2" t="s">
        <v>6</v>
      </c>
      <c r="HF352" s="2" t="s">
        <v>6</v>
      </c>
      <c r="HG352" s="2"/>
      <c r="HH352" s="2"/>
      <c r="HI352" s="2"/>
      <c r="HJ352" s="2"/>
      <c r="HK352" s="2"/>
      <c r="HL352" s="2"/>
      <c r="HM352" s="2" t="s">
        <v>6</v>
      </c>
      <c r="HN352" s="2" t="s">
        <v>6</v>
      </c>
      <c r="HO352" s="2" t="s">
        <v>6</v>
      </c>
      <c r="HP352" s="2" t="s">
        <v>6</v>
      </c>
      <c r="HQ352" s="2" t="s">
        <v>6</v>
      </c>
      <c r="HR352" s="2"/>
      <c r="HS352" s="2"/>
      <c r="HT352" s="2"/>
      <c r="HU352" s="2"/>
      <c r="HV352" s="2"/>
      <c r="HW352" s="2"/>
      <c r="HX352" s="2"/>
      <c r="HY352" s="2"/>
      <c r="HZ352" s="2"/>
      <c r="IA352" s="2"/>
      <c r="IB352" s="2"/>
      <c r="IC352" s="2"/>
      <c r="ID352" s="2"/>
      <c r="IE352" s="2"/>
      <c r="IF352" s="2">
        <v>-1</v>
      </c>
      <c r="IG352" s="2"/>
      <c r="IH352" s="2"/>
      <c r="II352" s="2"/>
      <c r="IJ352" s="2"/>
      <c r="IK352" s="2">
        <v>0</v>
      </c>
      <c r="IL352" s="2"/>
      <c r="IM352" s="2"/>
      <c r="IN352" s="2"/>
      <c r="IO352" s="2"/>
      <c r="IP352" s="2"/>
      <c r="IQ352" s="2"/>
      <c r="IR352" s="2"/>
      <c r="IS352" s="2"/>
      <c r="IT352" s="2"/>
      <c r="IU352" s="2"/>
    </row>
    <row r="353" spans="1:255" x14ac:dyDescent="0.2">
      <c r="A353">
        <v>17</v>
      </c>
      <c r="B353">
        <v>1</v>
      </c>
      <c r="E353" t="s">
        <v>476</v>
      </c>
      <c r="F353" t="e">
        <f>'2.Лок.смета.и.Акт'!#REF!</f>
        <v>#REF!</v>
      </c>
      <c r="G353" t="s">
        <v>136</v>
      </c>
      <c r="H353" t="s">
        <v>137</v>
      </c>
      <c r="I353" t="e">
        <f>'2.Лок.смета.и.Акт'!#REF!</f>
        <v>#REF!</v>
      </c>
      <c r="J353">
        <v>0</v>
      </c>
      <c r="K353">
        <v>65.23</v>
      </c>
      <c r="O353" t="e">
        <f t="shared" si="377"/>
        <v>#REF!</v>
      </c>
      <c r="P353" t="e">
        <f t="shared" si="378"/>
        <v>#REF!</v>
      </c>
      <c r="Q353" t="e">
        <f t="shared" si="379"/>
        <v>#REF!</v>
      </c>
      <c r="R353" t="e">
        <f t="shared" si="380"/>
        <v>#REF!</v>
      </c>
      <c r="S353" t="e">
        <f t="shared" si="381"/>
        <v>#REF!</v>
      </c>
      <c r="T353" t="e">
        <f t="shared" si="382"/>
        <v>#REF!</v>
      </c>
      <c r="U353" t="e">
        <f t="shared" si="383"/>
        <v>#REF!</v>
      </c>
      <c r="V353" t="e">
        <f t="shared" si="384"/>
        <v>#REF!</v>
      </c>
      <c r="W353" t="e">
        <f t="shared" si="385"/>
        <v>#REF!</v>
      </c>
      <c r="X353" t="e">
        <f t="shared" si="386"/>
        <v>#REF!</v>
      </c>
      <c r="Y353" t="e">
        <f t="shared" si="387"/>
        <v>#REF!</v>
      </c>
      <c r="AA353">
        <v>86326988</v>
      </c>
      <c r="AB353">
        <f t="shared" si="388"/>
        <v>105.9</v>
      </c>
      <c r="AC353">
        <f t="shared" si="372"/>
        <v>0</v>
      </c>
      <c r="AD353">
        <f>ROUND((((ET353)-(EU353))+AE353),2)</f>
        <v>105.9</v>
      </c>
      <c r="AE353">
        <f t="shared" si="373"/>
        <v>11.69</v>
      </c>
      <c r="AF353">
        <f t="shared" si="374"/>
        <v>0</v>
      </c>
      <c r="AG353">
        <f t="shared" si="389"/>
        <v>0</v>
      </c>
      <c r="AH353">
        <f t="shared" si="375"/>
        <v>0</v>
      </c>
      <c r="AI353">
        <f t="shared" si="376"/>
        <v>1</v>
      </c>
      <c r="AJ353">
        <f t="shared" si="390"/>
        <v>0</v>
      </c>
      <c r="AK353">
        <v>105.9</v>
      </c>
      <c r="AL353">
        <v>0</v>
      </c>
      <c r="AM353" s="75">
        <f>'1.Лок.смета.и.Акт'!F641</f>
        <v>105.9</v>
      </c>
      <c r="AN353">
        <v>11.69</v>
      </c>
      <c r="AO353">
        <v>0</v>
      </c>
      <c r="AP353">
        <v>0</v>
      </c>
      <c r="AQ353">
        <v>0</v>
      </c>
      <c r="AR353">
        <v>1</v>
      </c>
      <c r="AS353">
        <v>0</v>
      </c>
      <c r="AT353">
        <v>0</v>
      </c>
      <c r="AU353">
        <v>0</v>
      </c>
      <c r="AV353">
        <v>1</v>
      </c>
      <c r="AW353">
        <v>1</v>
      </c>
      <c r="AZ353">
        <v>1</v>
      </c>
      <c r="BA353">
        <v>1</v>
      </c>
      <c r="BB353">
        <f>'1.Лок.смета.и.Акт'!J641</f>
        <v>7.84</v>
      </c>
      <c r="BC353">
        <v>1</v>
      </c>
      <c r="BD353" t="s">
        <v>6</v>
      </c>
      <c r="BE353" t="s">
        <v>6</v>
      </c>
      <c r="BF353" t="s">
        <v>6</v>
      </c>
      <c r="BG353" t="s">
        <v>6</v>
      </c>
      <c r="BH353">
        <v>2</v>
      </c>
      <c r="BI353">
        <v>1</v>
      </c>
      <c r="BJ353" t="s">
        <v>138</v>
      </c>
      <c r="BM353">
        <v>400001</v>
      </c>
      <c r="BN353">
        <v>0</v>
      </c>
      <c r="BO353" t="s">
        <v>135</v>
      </c>
      <c r="BP353">
        <v>1</v>
      </c>
      <c r="BQ353">
        <v>10</v>
      </c>
      <c r="BR353">
        <v>0</v>
      </c>
      <c r="BS353">
        <v>19.8</v>
      </c>
      <c r="BT353">
        <v>1</v>
      </c>
      <c r="BU353">
        <v>1</v>
      </c>
      <c r="BV353">
        <v>1</v>
      </c>
      <c r="BW353">
        <v>1</v>
      </c>
      <c r="BX353">
        <v>1</v>
      </c>
      <c r="BY353" t="s">
        <v>6</v>
      </c>
      <c r="BZ353">
        <v>0</v>
      </c>
      <c r="CA353">
        <v>0</v>
      </c>
      <c r="CB353" t="s">
        <v>6</v>
      </c>
      <c r="CE353">
        <v>0</v>
      </c>
      <c r="CF353">
        <v>0</v>
      </c>
      <c r="CG353">
        <v>0</v>
      </c>
      <c r="CM353">
        <v>0</v>
      </c>
      <c r="CN353" t="s">
        <v>6</v>
      </c>
      <c r="CO353">
        <v>0</v>
      </c>
      <c r="CP353" t="e">
        <f t="shared" si="391"/>
        <v>#REF!</v>
      </c>
      <c r="CQ353">
        <f t="shared" si="392"/>
        <v>0</v>
      </c>
      <c r="CR353">
        <f t="shared" si="393"/>
        <v>830.25600000000009</v>
      </c>
      <c r="CS353">
        <f t="shared" si="394"/>
        <v>231.46199999999999</v>
      </c>
      <c r="CT353">
        <f t="shared" si="395"/>
        <v>0</v>
      </c>
      <c r="CU353">
        <f t="shared" si="396"/>
        <v>0</v>
      </c>
      <c r="CV353">
        <f t="shared" si="397"/>
        <v>0</v>
      </c>
      <c r="CW353">
        <f t="shared" si="398"/>
        <v>1</v>
      </c>
      <c r="CX353">
        <f t="shared" si="399"/>
        <v>0</v>
      </c>
      <c r="CY353" t="e">
        <f>(S353+R353)*(BZ353/100)</f>
        <v>#REF!</v>
      </c>
      <c r="CZ353" t="e">
        <f>(S353+R353)*(CA353/100)</f>
        <v>#REF!</v>
      </c>
      <c r="DC353" t="s">
        <v>6</v>
      </c>
      <c r="DD353" t="s">
        <v>6</v>
      </c>
      <c r="DE353" t="s">
        <v>6</v>
      </c>
      <c r="DF353" t="s">
        <v>6</v>
      </c>
      <c r="DG353" t="s">
        <v>6</v>
      </c>
      <c r="DH353" t="s">
        <v>6</v>
      </c>
      <c r="DI353" t="s">
        <v>6</v>
      </c>
      <c r="DJ353" t="s">
        <v>6</v>
      </c>
      <c r="DK353" t="s">
        <v>6</v>
      </c>
      <c r="DL353" t="s">
        <v>6</v>
      </c>
      <c r="DM353" t="s">
        <v>6</v>
      </c>
      <c r="DN353">
        <v>0</v>
      </c>
      <c r="DO353">
        <v>0</v>
      </c>
      <c r="DP353">
        <v>1</v>
      </c>
      <c r="DQ353">
        <v>1</v>
      </c>
      <c r="DU353">
        <v>1011</v>
      </c>
      <c r="DV353" t="s">
        <v>137</v>
      </c>
      <c r="DW353" t="e">
        <f>'2.Лок.смета.и.Акт'!#REF!</f>
        <v>#REF!</v>
      </c>
      <c r="DX353">
        <v>1</v>
      </c>
      <c r="DZ353" t="s">
        <v>6</v>
      </c>
      <c r="EA353" t="s">
        <v>6</v>
      </c>
      <c r="EB353" t="s">
        <v>6</v>
      </c>
      <c r="EC353" t="s">
        <v>6</v>
      </c>
      <c r="EE353">
        <v>54938780</v>
      </c>
      <c r="EF353">
        <v>10</v>
      </c>
      <c r="EG353" t="s">
        <v>139</v>
      </c>
      <c r="EH353">
        <v>0</v>
      </c>
      <c r="EI353" t="s">
        <v>6</v>
      </c>
      <c r="EJ353">
        <v>1</v>
      </c>
      <c r="EK353">
        <v>400001</v>
      </c>
      <c r="EL353" t="s">
        <v>140</v>
      </c>
      <c r="EM353" t="s">
        <v>141</v>
      </c>
      <c r="EO353" t="s">
        <v>6</v>
      </c>
      <c r="EQ353">
        <v>2097152</v>
      </c>
      <c r="ER353">
        <v>105.9</v>
      </c>
      <c r="ES353">
        <v>0</v>
      </c>
      <c r="ET353" s="75">
        <f>'1.Лок.смета.и.Акт'!F641</f>
        <v>105.9</v>
      </c>
      <c r="EU353">
        <v>11.69</v>
      </c>
      <c r="EV353">
        <v>0</v>
      </c>
      <c r="EW353">
        <v>0</v>
      </c>
      <c r="EX353">
        <v>1</v>
      </c>
      <c r="EY353">
        <v>0</v>
      </c>
      <c r="FQ353">
        <v>0</v>
      </c>
      <c r="FR353">
        <f t="shared" si="400"/>
        <v>0</v>
      </c>
      <c r="FS353">
        <v>0</v>
      </c>
      <c r="FX353">
        <v>0</v>
      </c>
      <c r="FY353">
        <v>0</v>
      </c>
      <c r="GA353" t="s">
        <v>6</v>
      </c>
      <c r="GD353">
        <v>1</v>
      </c>
      <c r="GF353">
        <v>-450777769</v>
      </c>
      <c r="GG353">
        <v>2</v>
      </c>
      <c r="GH353">
        <v>1</v>
      </c>
      <c r="GI353">
        <v>2</v>
      </c>
      <c r="GJ353">
        <v>0</v>
      </c>
      <c r="GK353">
        <v>0</v>
      </c>
      <c r="GL353">
        <f t="shared" si="401"/>
        <v>0</v>
      </c>
      <c r="GM353" t="e">
        <f t="shared" si="402"/>
        <v>#REF!</v>
      </c>
      <c r="GN353" t="e">
        <f t="shared" si="403"/>
        <v>#REF!</v>
      </c>
      <c r="GO353">
        <f t="shared" si="404"/>
        <v>0</v>
      </c>
      <c r="GP353">
        <f t="shared" si="405"/>
        <v>0</v>
      </c>
      <c r="GR353">
        <v>0</v>
      </c>
      <c r="GS353">
        <v>3</v>
      </c>
      <c r="GT353">
        <v>0</v>
      </c>
      <c r="GU353" t="s">
        <v>6</v>
      </c>
      <c r="GV353">
        <f t="shared" si="406"/>
        <v>0</v>
      </c>
      <c r="GW353">
        <v>1</v>
      </c>
      <c r="GX353" t="e">
        <f t="shared" si="407"/>
        <v>#REF!</v>
      </c>
      <c r="HA353">
        <v>0</v>
      </c>
      <c r="HB353">
        <v>0</v>
      </c>
      <c r="HC353">
        <f t="shared" si="408"/>
        <v>0</v>
      </c>
      <c r="HE353" t="s">
        <v>6</v>
      </c>
      <c r="HF353" t="s">
        <v>6</v>
      </c>
      <c r="HM353" t="s">
        <v>6</v>
      </c>
      <c r="HN353" t="s">
        <v>6</v>
      </c>
      <c r="HO353" t="s">
        <v>6</v>
      </c>
      <c r="HP353" t="s">
        <v>6</v>
      </c>
      <c r="HQ353" t="s">
        <v>6</v>
      </c>
      <c r="IF353">
        <v>-1</v>
      </c>
      <c r="IK353">
        <v>0</v>
      </c>
    </row>
    <row r="354" spans="1:255" x14ac:dyDescent="0.2">
      <c r="A354" s="2">
        <v>17</v>
      </c>
      <c r="B354" s="2">
        <v>1</v>
      </c>
      <c r="C354" s="2">
        <f>ROW(SmtRes!A441)</f>
        <v>441</v>
      </c>
      <c r="D354" s="2">
        <f>ROW(EtalonRes!A363)</f>
        <v>363</v>
      </c>
      <c r="E354" s="2" t="s">
        <v>477</v>
      </c>
      <c r="F354" s="2" t="s">
        <v>355</v>
      </c>
      <c r="G354" s="2" t="s">
        <v>356</v>
      </c>
      <c r="H354" s="2" t="s">
        <v>49</v>
      </c>
      <c r="I354" s="2">
        <f>'2.Лок.смета.и.Акт'!E52</f>
        <v>7.3200000000000001E-2</v>
      </c>
      <c r="J354" s="2">
        <v>0</v>
      </c>
      <c r="K354" s="2">
        <v>7.3200000000000001E-2</v>
      </c>
      <c r="L354" s="2"/>
      <c r="M354" s="2"/>
      <c r="N354" s="2"/>
      <c r="O354" s="2">
        <f t="shared" si="377"/>
        <v>63</v>
      </c>
      <c r="P354" s="2">
        <f t="shared" si="378"/>
        <v>0</v>
      </c>
      <c r="Q354" s="2">
        <f t="shared" si="379"/>
        <v>7</v>
      </c>
      <c r="R354" s="2">
        <f t="shared" si="380"/>
        <v>1</v>
      </c>
      <c r="S354" s="2">
        <f t="shared" si="381"/>
        <v>56</v>
      </c>
      <c r="T354" s="2">
        <f t="shared" si="382"/>
        <v>0</v>
      </c>
      <c r="U354" s="2">
        <f t="shared" si="383"/>
        <v>6.9642846</v>
      </c>
      <c r="V354" s="2">
        <f t="shared" si="384"/>
        <v>5.5749120000000013E-2</v>
      </c>
      <c r="W354" s="2">
        <f t="shared" si="385"/>
        <v>0</v>
      </c>
      <c r="X354" s="2">
        <f t="shared" si="386"/>
        <v>68</v>
      </c>
      <c r="Y354" s="2">
        <f t="shared" si="387"/>
        <v>44</v>
      </c>
      <c r="Z354" s="2"/>
      <c r="AA354" s="2">
        <v>86326987</v>
      </c>
      <c r="AB354" s="2">
        <f t="shared" si="388"/>
        <v>864.46</v>
      </c>
      <c r="AC354" s="2">
        <f>ROUND((ES354+(SUM(SmtRes!BC435:'SmtRes'!BC441)+SUM(EtalonRes!AL357:'EtalonRes'!AL363))),2)</f>
        <v>0</v>
      </c>
      <c r="AD354" s="2">
        <f>ROUND(((((ET354*1.12)+(SUM(SmtRes!BD435:'SmtRes'!BD441)+SUM(EtalonRes!AM357:'EtalonRes'!AM363)))-((EU354*1.12)+(SUM(SmtRes!BE435:'SmtRes'!BE441)+SUM(EtalonRes!AN357:'EtalonRes'!AN363))))+AE354),2)</f>
        <v>102.38</v>
      </c>
      <c r="AE354" s="2">
        <f>ROUND(((EU354*1.12)+(SUM(SmtRes!BE435:'SmtRes'!BE441)+SUM(EtalonRes!AN357:'EtalonRes'!AN363))),2)</f>
        <v>10.36</v>
      </c>
      <c r="AF354" s="2">
        <f>ROUND(((EV354*1.05)),2)</f>
        <v>762.08</v>
      </c>
      <c r="AG354" s="2">
        <f t="shared" si="389"/>
        <v>0</v>
      </c>
      <c r="AH354" s="2">
        <f>((EW354*1.05))</f>
        <v>95.140500000000003</v>
      </c>
      <c r="AI354" s="2">
        <f>((EX354*1.12))</f>
        <v>0.76160000000000017</v>
      </c>
      <c r="AJ354" s="2">
        <f t="shared" si="390"/>
        <v>0</v>
      </c>
      <c r="AK354" s="2">
        <v>6866.66</v>
      </c>
      <c r="AL354" s="2">
        <v>6063.35</v>
      </c>
      <c r="AM354" s="2">
        <v>77.52</v>
      </c>
      <c r="AN354" s="2">
        <v>9.25</v>
      </c>
      <c r="AO354" s="2">
        <v>725.79</v>
      </c>
      <c r="AP354" s="2">
        <v>0</v>
      </c>
      <c r="AQ354" s="2">
        <v>90.61</v>
      </c>
      <c r="AR354" s="2">
        <v>0.68</v>
      </c>
      <c r="AS354" s="2">
        <v>0</v>
      </c>
      <c r="AT354" s="2">
        <v>120</v>
      </c>
      <c r="AU354" s="2">
        <v>77</v>
      </c>
      <c r="AV354" s="2">
        <v>1</v>
      </c>
      <c r="AW354" s="2">
        <v>1</v>
      </c>
      <c r="AX354" s="2"/>
      <c r="AY354" s="2"/>
      <c r="AZ354" s="2">
        <v>1</v>
      </c>
      <c r="BA354" s="2">
        <v>1</v>
      </c>
      <c r="BB354" s="2">
        <v>1</v>
      </c>
      <c r="BC354" s="2">
        <v>1</v>
      </c>
      <c r="BD354" s="2" t="s">
        <v>6</v>
      </c>
      <c r="BE354" s="2" t="s">
        <v>6</v>
      </c>
      <c r="BF354" s="2" t="s">
        <v>6</v>
      </c>
      <c r="BG354" s="2" t="s">
        <v>6</v>
      </c>
      <c r="BH354" s="2">
        <v>0</v>
      </c>
      <c r="BI354" s="2">
        <v>1</v>
      </c>
      <c r="BJ354" s="2" t="s">
        <v>357</v>
      </c>
      <c r="BK354" s="2"/>
      <c r="BL354" s="2"/>
      <c r="BM354" s="2">
        <v>6002</v>
      </c>
      <c r="BN354" s="2">
        <v>0</v>
      </c>
      <c r="BO354" s="2" t="s">
        <v>6</v>
      </c>
      <c r="BP354" s="2">
        <v>0</v>
      </c>
      <c r="BQ354" s="2">
        <v>1</v>
      </c>
      <c r="BR354" s="2">
        <v>0</v>
      </c>
      <c r="BS354" s="2">
        <v>1</v>
      </c>
      <c r="BT354" s="2">
        <v>1</v>
      </c>
      <c r="BU354" s="2">
        <v>1</v>
      </c>
      <c r="BV354" s="2">
        <v>1</v>
      </c>
      <c r="BW354" s="2">
        <v>1</v>
      </c>
      <c r="BX354" s="2">
        <v>1</v>
      </c>
      <c r="BY354" s="2" t="s">
        <v>6</v>
      </c>
      <c r="BZ354" s="2">
        <v>120</v>
      </c>
      <c r="CA354" s="2">
        <v>77</v>
      </c>
      <c r="CB354" s="2" t="s">
        <v>6</v>
      </c>
      <c r="CC354" s="2"/>
      <c r="CD354" s="2"/>
      <c r="CE354" s="2">
        <v>0</v>
      </c>
      <c r="CF354" s="2">
        <v>0</v>
      </c>
      <c r="CG354" s="2">
        <v>0</v>
      </c>
      <c r="CH354" s="2"/>
      <c r="CI354" s="2"/>
      <c r="CJ354" s="2"/>
      <c r="CK354" s="2"/>
      <c r="CL354" s="2"/>
      <c r="CM354" s="2">
        <v>0</v>
      </c>
      <c r="CN354" s="2" t="s">
        <v>23</v>
      </c>
      <c r="CO354" s="2">
        <v>0</v>
      </c>
      <c r="CP354" s="2">
        <f t="shared" si="391"/>
        <v>63</v>
      </c>
      <c r="CQ354" s="2">
        <f t="shared" si="392"/>
        <v>0</v>
      </c>
      <c r="CR354" s="2">
        <f t="shared" si="393"/>
        <v>102.38</v>
      </c>
      <c r="CS354" s="2">
        <f t="shared" si="394"/>
        <v>10.36</v>
      </c>
      <c r="CT354" s="2">
        <f t="shared" si="395"/>
        <v>762.08</v>
      </c>
      <c r="CU354" s="2">
        <f t="shared" si="396"/>
        <v>0</v>
      </c>
      <c r="CV354" s="2">
        <f t="shared" si="397"/>
        <v>95.140500000000003</v>
      </c>
      <c r="CW354" s="2">
        <f t="shared" si="398"/>
        <v>0.76160000000000017</v>
      </c>
      <c r="CX354" s="2">
        <f t="shared" si="399"/>
        <v>0</v>
      </c>
      <c r="CY354" s="2">
        <f>(((S354+(R354*IF(0,0,1)))*AT354)/100)</f>
        <v>68.400000000000006</v>
      </c>
      <c r="CZ354" s="2">
        <f>(((S354+(R354*IF(0,0,1)))*AU354)/100)</f>
        <v>43.89</v>
      </c>
      <c r="DA354" s="2"/>
      <c r="DB354" s="2"/>
      <c r="DC354" s="2" t="s">
        <v>6</v>
      </c>
      <c r="DD354" s="2" t="s">
        <v>6</v>
      </c>
      <c r="DE354" s="2" t="s">
        <v>24</v>
      </c>
      <c r="DF354" s="2" t="s">
        <v>24</v>
      </c>
      <c r="DG354" s="2" t="s">
        <v>25</v>
      </c>
      <c r="DH354" s="2" t="s">
        <v>6</v>
      </c>
      <c r="DI354" s="2" t="s">
        <v>25</v>
      </c>
      <c r="DJ354" s="2" t="s">
        <v>24</v>
      </c>
      <c r="DK354" s="2" t="s">
        <v>6</v>
      </c>
      <c r="DL354" s="2" t="s">
        <v>6</v>
      </c>
      <c r="DM354" s="2" t="s">
        <v>6</v>
      </c>
      <c r="DN354" s="2">
        <v>0</v>
      </c>
      <c r="DO354" s="2">
        <v>0</v>
      </c>
      <c r="DP354" s="2">
        <v>1</v>
      </c>
      <c r="DQ354" s="2">
        <v>1</v>
      </c>
      <c r="DR354" s="2"/>
      <c r="DS354" s="2"/>
      <c r="DT354" s="2"/>
      <c r="DU354" s="2">
        <v>1013</v>
      </c>
      <c r="DV354" s="2" t="s">
        <v>49</v>
      </c>
      <c r="DW354" s="2" t="s">
        <v>49</v>
      </c>
      <c r="DX354" s="2">
        <v>1</v>
      </c>
      <c r="DY354" s="2"/>
      <c r="DZ354" s="2" t="s">
        <v>6</v>
      </c>
      <c r="EA354" s="2" t="s">
        <v>6</v>
      </c>
      <c r="EB354" s="2" t="s">
        <v>6</v>
      </c>
      <c r="EC354" s="2" t="s">
        <v>6</v>
      </c>
      <c r="ED354" s="2"/>
      <c r="EE354" s="2">
        <v>54938592</v>
      </c>
      <c r="EF354" s="2">
        <v>1</v>
      </c>
      <c r="EG354" s="2" t="s">
        <v>26</v>
      </c>
      <c r="EH354" s="2">
        <v>0</v>
      </c>
      <c r="EI354" s="2" t="s">
        <v>6</v>
      </c>
      <c r="EJ354" s="2">
        <v>1</v>
      </c>
      <c r="EK354" s="2">
        <v>6002</v>
      </c>
      <c r="EL354" s="2" t="s">
        <v>27</v>
      </c>
      <c r="EM354" s="2" t="s">
        <v>28</v>
      </c>
      <c r="EN354" s="2"/>
      <c r="EO354" s="2" t="s">
        <v>29</v>
      </c>
      <c r="EP354" s="2"/>
      <c r="EQ354" s="2">
        <v>2228224</v>
      </c>
      <c r="ER354" s="2">
        <v>6866.66</v>
      </c>
      <c r="ES354" s="2">
        <v>6063.35</v>
      </c>
      <c r="ET354" s="2">
        <v>77.52</v>
      </c>
      <c r="EU354" s="2">
        <v>9.25</v>
      </c>
      <c r="EV354" s="2">
        <v>725.79</v>
      </c>
      <c r="EW354" s="2">
        <v>90.61</v>
      </c>
      <c r="EX354" s="2">
        <v>0.68</v>
      </c>
      <c r="EY354" s="2">
        <v>1</v>
      </c>
      <c r="EZ354" s="2"/>
      <c r="FA354" s="2"/>
      <c r="FB354" s="2"/>
      <c r="FC354" s="2"/>
      <c r="FD354" s="2"/>
      <c r="FE354" s="2"/>
      <c r="FF354" s="2"/>
      <c r="FG354" s="2"/>
      <c r="FH354" s="2"/>
      <c r="FI354" s="2"/>
      <c r="FJ354" s="2"/>
      <c r="FK354" s="2"/>
      <c r="FL354" s="2"/>
      <c r="FM354" s="2"/>
      <c r="FN354" s="2"/>
      <c r="FO354" s="2"/>
      <c r="FP354" s="2"/>
      <c r="FQ354" s="2">
        <v>0</v>
      </c>
      <c r="FR354" s="2">
        <f t="shared" si="400"/>
        <v>0</v>
      </c>
      <c r="FS354" s="2">
        <v>0</v>
      </c>
      <c r="FT354" s="2"/>
      <c r="FU354" s="2"/>
      <c r="FV354" s="2"/>
      <c r="FW354" s="2"/>
      <c r="FX354" s="2">
        <v>120</v>
      </c>
      <c r="FY354" s="2">
        <v>77</v>
      </c>
      <c r="FZ354" s="2"/>
      <c r="GA354" s="2" t="s">
        <v>6</v>
      </c>
      <c r="GB354" s="2"/>
      <c r="GC354" s="2"/>
      <c r="GD354" s="2">
        <v>1</v>
      </c>
      <c r="GE354" s="2"/>
      <c r="GF354" s="2">
        <v>1071660367</v>
      </c>
      <c r="GG354" s="2">
        <v>2</v>
      </c>
      <c r="GH354" s="2">
        <v>1</v>
      </c>
      <c r="GI354" s="2">
        <v>-2</v>
      </c>
      <c r="GJ354" s="2">
        <v>0</v>
      </c>
      <c r="GK354" s="2">
        <v>0</v>
      </c>
      <c r="GL354" s="2">
        <f t="shared" si="401"/>
        <v>0</v>
      </c>
      <c r="GM354" s="2">
        <f t="shared" si="402"/>
        <v>175</v>
      </c>
      <c r="GN354" s="2">
        <f t="shared" si="403"/>
        <v>175</v>
      </c>
      <c r="GO354" s="2">
        <f t="shared" si="404"/>
        <v>0</v>
      </c>
      <c r="GP354" s="2">
        <f t="shared" si="405"/>
        <v>0</v>
      </c>
      <c r="GQ354" s="2"/>
      <c r="GR354" s="2">
        <v>0</v>
      </c>
      <c r="GS354" s="2">
        <v>3</v>
      </c>
      <c r="GT354" s="2">
        <v>0</v>
      </c>
      <c r="GU354" s="2" t="s">
        <v>6</v>
      </c>
      <c r="GV354" s="2">
        <f t="shared" si="406"/>
        <v>0</v>
      </c>
      <c r="GW354" s="2">
        <v>1</v>
      </c>
      <c r="GX354" s="2">
        <f t="shared" si="407"/>
        <v>0</v>
      </c>
      <c r="GY354" s="2"/>
      <c r="GZ354" s="2"/>
      <c r="HA354" s="2">
        <v>0</v>
      </c>
      <c r="HB354" s="2">
        <v>0</v>
      </c>
      <c r="HC354" s="2">
        <f t="shared" si="408"/>
        <v>0</v>
      </c>
      <c r="HD354" s="2"/>
      <c r="HE354" s="2" t="s">
        <v>6</v>
      </c>
      <c r="HF354" s="2" t="s">
        <v>6</v>
      </c>
      <c r="HG354" s="2"/>
      <c r="HH354" s="2"/>
      <c r="HI354" s="2"/>
      <c r="HJ354" s="2"/>
      <c r="HK354" s="2"/>
      <c r="HL354" s="2"/>
      <c r="HM354" s="2" t="s">
        <v>6</v>
      </c>
      <c r="HN354" s="2" t="s">
        <v>6</v>
      </c>
      <c r="HO354" s="2" t="s">
        <v>6</v>
      </c>
      <c r="HP354" s="2" t="s">
        <v>6</v>
      </c>
      <c r="HQ354" s="2" t="s">
        <v>6</v>
      </c>
      <c r="HR354" s="2"/>
      <c r="HS354" s="2"/>
      <c r="HT354" s="2"/>
      <c r="HU354" s="2"/>
      <c r="HV354" s="2"/>
      <c r="HW354" s="2"/>
      <c r="HX354" s="2"/>
      <c r="HY354" s="2"/>
      <c r="HZ354" s="2"/>
      <c r="IA354" s="2"/>
      <c r="IB354" s="2"/>
      <c r="IC354" s="2"/>
      <c r="ID354" s="2"/>
      <c r="IE354" s="2"/>
      <c r="IF354" s="2">
        <v>-1</v>
      </c>
      <c r="IG354" s="2"/>
      <c r="IH354" s="2"/>
      <c r="II354" s="2"/>
      <c r="IJ354" s="2"/>
      <c r="IK354" s="2">
        <v>0</v>
      </c>
      <c r="IL354" s="2"/>
      <c r="IM354" s="2"/>
      <c r="IN354" s="2"/>
      <c r="IO354" s="2"/>
      <c r="IP354" s="2"/>
      <c r="IQ354" s="2"/>
      <c r="IR354" s="2"/>
      <c r="IS354" s="2"/>
      <c r="IT354" s="2"/>
      <c r="IU354" s="2"/>
    </row>
    <row r="355" spans="1:255" x14ac:dyDescent="0.2">
      <c r="A355">
        <v>17</v>
      </c>
      <c r="B355">
        <v>1</v>
      </c>
      <c r="C355">
        <f>ROW(SmtRes!A448)</f>
        <v>448</v>
      </c>
      <c r="D355">
        <f>ROW(EtalonRes!A370)</f>
        <v>370</v>
      </c>
      <c r="E355" t="s">
        <v>477</v>
      </c>
      <c r="F355" t="s">
        <v>355</v>
      </c>
      <c r="G355" t="s">
        <v>356</v>
      </c>
      <c r="H355" t="s">
        <v>49</v>
      </c>
      <c r="I355">
        <f>'2.Лок.смета.и.Акт'!E52</f>
        <v>7.3200000000000001E-2</v>
      </c>
      <c r="J355">
        <v>0</v>
      </c>
      <c r="K355">
        <v>7.3200000000000001E-2</v>
      </c>
      <c r="O355">
        <f t="shared" si="377"/>
        <v>1474</v>
      </c>
      <c r="P355">
        <f t="shared" si="378"/>
        <v>0</v>
      </c>
      <c r="Q355">
        <f t="shared" si="379"/>
        <v>59</v>
      </c>
      <c r="R355">
        <f t="shared" si="380"/>
        <v>15</v>
      </c>
      <c r="S355">
        <f t="shared" si="381"/>
        <v>1415</v>
      </c>
      <c r="T355">
        <f t="shared" si="382"/>
        <v>0</v>
      </c>
      <c r="U355" t="e">
        <f t="shared" si="383"/>
        <v>#REF!</v>
      </c>
      <c r="V355">
        <f t="shared" si="384"/>
        <v>5.5749120000000013E-2</v>
      </c>
      <c r="W355">
        <f t="shared" si="385"/>
        <v>0</v>
      </c>
      <c r="X355" t="e">
        <f t="shared" si="386"/>
        <v>#REF!</v>
      </c>
      <c r="Y355" t="e">
        <f t="shared" si="387"/>
        <v>#REF!</v>
      </c>
      <c r="AA355">
        <v>86326988</v>
      </c>
      <c r="AB355">
        <f t="shared" si="388"/>
        <v>864.46</v>
      </c>
      <c r="AC355">
        <f>ROUND((ES355+(SUM(SmtRes!BC442:'SmtRes'!BC448)+SUM(EtalonRes!AL364:'EtalonRes'!AL370))),2)</f>
        <v>0</v>
      </c>
      <c r="AD355">
        <f>ROUND(((((ET355*1.12)+(SUM(SmtRes!BD442:'SmtRes'!BD448)+SUM(EtalonRes!AM364:'EtalonRes'!AM370)))-((EU355*1.12)+(SUM(SmtRes!BE442:'SmtRes'!BE448)+SUM(EtalonRes!AN364:'EtalonRes'!AN370))))+AE355),2)</f>
        <v>102.38</v>
      </c>
      <c r="AE355">
        <f>ROUND(((EU355*1.12)+(SUM(SmtRes!BE442:'SmtRes'!BE448)+SUM(EtalonRes!AN364:'EtalonRes'!AN370))),2)</f>
        <v>10.36</v>
      </c>
      <c r="AF355">
        <f>ROUND(((EV355*1.05)),2)</f>
        <v>762.08</v>
      </c>
      <c r="AG355">
        <f t="shared" si="389"/>
        <v>0</v>
      </c>
      <c r="AH355" t="e">
        <f>((EW355*1.05))</f>
        <v>#REF!</v>
      </c>
      <c r="AI355">
        <f>((EX355*1.12))</f>
        <v>0.76160000000000017</v>
      </c>
      <c r="AJ355">
        <f t="shared" si="390"/>
        <v>0</v>
      </c>
      <c r="AK355">
        <f>AL355+AM355+AO355</f>
        <v>6866.6600000000008</v>
      </c>
      <c r="AL355">
        <v>6063.35</v>
      </c>
      <c r="AM355" s="75">
        <f>'1.Лок.смета.и.Акт'!F646</f>
        <v>77.52</v>
      </c>
      <c r="AN355" s="75">
        <f>'1.Лок.смета.и.Акт'!F647</f>
        <v>9.25</v>
      </c>
      <c r="AO355" s="75">
        <f>'1.Лок.смета.и.Акт'!F645</f>
        <v>725.79</v>
      </c>
      <c r="AP355">
        <v>0</v>
      </c>
      <c r="AQ355" t="e">
        <f>'2.Лок.смета.и.Акт'!#REF!</f>
        <v>#REF!</v>
      </c>
      <c r="AR355">
        <v>0.68</v>
      </c>
      <c r="AS355">
        <v>0</v>
      </c>
      <c r="AT355">
        <v>114</v>
      </c>
      <c r="AU355">
        <v>65</v>
      </c>
      <c r="AV355">
        <v>1</v>
      </c>
      <c r="AW355">
        <v>1</v>
      </c>
      <c r="AZ355">
        <v>1</v>
      </c>
      <c r="BA355">
        <f>'1.Лок.смета.и.Акт'!J645</f>
        <v>25.36</v>
      </c>
      <c r="BB355">
        <f>'1.Лок.смета.и.Акт'!J646</f>
        <v>7.84</v>
      </c>
      <c r="BC355">
        <v>7.56</v>
      </c>
      <c r="BD355" t="s">
        <v>6</v>
      </c>
      <c r="BE355" t="s">
        <v>6</v>
      </c>
      <c r="BF355" t="s">
        <v>6</v>
      </c>
      <c r="BG355" t="s">
        <v>6</v>
      </c>
      <c r="BH355">
        <v>0</v>
      </c>
      <c r="BI355">
        <v>1</v>
      </c>
      <c r="BJ355" t="s">
        <v>357</v>
      </c>
      <c r="BM355">
        <v>6002</v>
      </c>
      <c r="BN355">
        <v>0</v>
      </c>
      <c r="BO355" t="s">
        <v>355</v>
      </c>
      <c r="BP355">
        <v>1</v>
      </c>
      <c r="BQ355">
        <v>1</v>
      </c>
      <c r="BR355">
        <v>0</v>
      </c>
      <c r="BS355">
        <f>'1.Лок.смета.и.Акт'!J647</f>
        <v>19.8</v>
      </c>
      <c r="BT355">
        <v>1</v>
      </c>
      <c r="BU355">
        <v>1</v>
      </c>
      <c r="BV355">
        <v>1</v>
      </c>
      <c r="BW355">
        <v>1</v>
      </c>
      <c r="BX355">
        <v>1</v>
      </c>
      <c r="BY355" t="s">
        <v>6</v>
      </c>
      <c r="BZ355" t="e">
        <f>'2.Лок.смета.и.Акт'!#REF!</f>
        <v>#REF!</v>
      </c>
      <c r="CA355" t="e">
        <f>'2.Лок.смета.и.Акт'!#REF!</f>
        <v>#REF!</v>
      </c>
      <c r="CB355" t="s">
        <v>6</v>
      </c>
      <c r="CE355">
        <v>0</v>
      </c>
      <c r="CF355">
        <v>0</v>
      </c>
      <c r="CG355">
        <v>0</v>
      </c>
      <c r="CM355">
        <v>0</v>
      </c>
      <c r="CN355" t="s">
        <v>23</v>
      </c>
      <c r="CO355">
        <v>0</v>
      </c>
      <c r="CP355">
        <f t="shared" si="391"/>
        <v>1474</v>
      </c>
      <c r="CQ355">
        <f t="shared" si="392"/>
        <v>0</v>
      </c>
      <c r="CR355">
        <f t="shared" si="393"/>
        <v>802.65919999999994</v>
      </c>
      <c r="CS355">
        <f t="shared" si="394"/>
        <v>205.12799999999999</v>
      </c>
      <c r="CT355">
        <f t="shared" si="395"/>
        <v>19326.3488</v>
      </c>
      <c r="CU355">
        <f t="shared" si="396"/>
        <v>0</v>
      </c>
      <c r="CV355" t="e">
        <f t="shared" si="397"/>
        <v>#REF!</v>
      </c>
      <c r="CW355">
        <f t="shared" si="398"/>
        <v>0.76160000000000017</v>
      </c>
      <c r="CX355">
        <f t="shared" si="399"/>
        <v>0</v>
      </c>
      <c r="CY355" t="e">
        <f>(S355+R355)*(BZ355/100)</f>
        <v>#REF!</v>
      </c>
      <c r="CZ355" t="e">
        <f>(S355+R355)*(CA355/100)</f>
        <v>#REF!</v>
      </c>
      <c r="DC355" t="s">
        <v>6</v>
      </c>
      <c r="DD355" t="s">
        <v>6</v>
      </c>
      <c r="DE355" t="s">
        <v>24</v>
      </c>
      <c r="DF355" t="s">
        <v>24</v>
      </c>
      <c r="DG355" t="s">
        <v>25</v>
      </c>
      <c r="DH355" t="s">
        <v>6</v>
      </c>
      <c r="DI355" t="s">
        <v>25</v>
      </c>
      <c r="DJ355" t="s">
        <v>24</v>
      </c>
      <c r="DK355" t="s">
        <v>6</v>
      </c>
      <c r="DL355" t="s">
        <v>6</v>
      </c>
      <c r="DM355" t="s">
        <v>6</v>
      </c>
      <c r="DN355">
        <f>'1.Лок.смета.и.Акт'!E648</f>
        <v>120</v>
      </c>
      <c r="DO355">
        <f>'1.Лок.смета.и.Акт'!E649</f>
        <v>77</v>
      </c>
      <c r="DP355">
        <v>1</v>
      </c>
      <c r="DQ355">
        <v>1</v>
      </c>
      <c r="DU355">
        <v>1013</v>
      </c>
      <c r="DV355" t="s">
        <v>49</v>
      </c>
      <c r="DW355" t="str">
        <f>'2.Лок.смета.и.Акт'!D52</f>
        <v>1 т арматуры, закладных деталей</v>
      </c>
      <c r="DX355">
        <v>1</v>
      </c>
      <c r="DZ355" t="s">
        <v>6</v>
      </c>
      <c r="EA355" t="s">
        <v>6</v>
      </c>
      <c r="EB355" t="s">
        <v>6</v>
      </c>
      <c r="EC355" t="s">
        <v>6</v>
      </c>
      <c r="EE355">
        <v>54938592</v>
      </c>
      <c r="EF355">
        <v>1</v>
      </c>
      <c r="EG355" t="s">
        <v>26</v>
      </c>
      <c r="EH355">
        <v>0</v>
      </c>
      <c r="EI355" t="s">
        <v>6</v>
      </c>
      <c r="EJ355">
        <v>1</v>
      </c>
      <c r="EK355">
        <v>6002</v>
      </c>
      <c r="EL355" t="s">
        <v>27</v>
      </c>
      <c r="EM355" t="s">
        <v>28</v>
      </c>
      <c r="EO355" t="s">
        <v>29</v>
      </c>
      <c r="EQ355">
        <v>2228224</v>
      </c>
      <c r="ER355">
        <f>ES355+ET355+EV355</f>
        <v>6866.6600000000008</v>
      </c>
      <c r="ES355">
        <v>6063.35</v>
      </c>
      <c r="ET355" s="75">
        <f>'1.Лок.смета.и.Акт'!F646</f>
        <v>77.52</v>
      </c>
      <c r="EU355" s="75">
        <f>'1.Лок.смета.и.Акт'!F647</f>
        <v>9.25</v>
      </c>
      <c r="EV355" s="75">
        <f>'1.Лок.смета.и.Акт'!F645</f>
        <v>725.79</v>
      </c>
      <c r="EW355" t="e">
        <f>'2.Лок.смета.и.Акт'!#REF!</f>
        <v>#REF!</v>
      </c>
      <c r="EX355">
        <v>0.68</v>
      </c>
      <c r="EY355">
        <v>1</v>
      </c>
      <c r="FQ355">
        <v>0</v>
      </c>
      <c r="FR355">
        <f t="shared" si="400"/>
        <v>0</v>
      </c>
      <c r="FS355">
        <v>0</v>
      </c>
      <c r="FX355">
        <v>120</v>
      </c>
      <c r="FY355">
        <v>77</v>
      </c>
      <c r="GA355" t="s">
        <v>6</v>
      </c>
      <c r="GD355">
        <v>1</v>
      </c>
      <c r="GF355">
        <v>1071660367</v>
      </c>
      <c r="GG355">
        <v>2</v>
      </c>
      <c r="GH355">
        <v>1</v>
      </c>
      <c r="GI355">
        <v>2</v>
      </c>
      <c r="GJ355">
        <v>0</v>
      </c>
      <c r="GK355">
        <v>0</v>
      </c>
      <c r="GL355">
        <f t="shared" si="401"/>
        <v>0</v>
      </c>
      <c r="GM355" t="e">
        <f t="shared" si="402"/>
        <v>#REF!</v>
      </c>
      <c r="GN355" t="e">
        <f t="shared" si="403"/>
        <v>#REF!</v>
      </c>
      <c r="GO355">
        <f t="shared" si="404"/>
        <v>0</v>
      </c>
      <c r="GP355">
        <f t="shared" si="405"/>
        <v>0</v>
      </c>
      <c r="GR355">
        <v>0</v>
      </c>
      <c r="GS355">
        <v>3</v>
      </c>
      <c r="GT355">
        <v>0</v>
      </c>
      <c r="GU355" t="s">
        <v>6</v>
      </c>
      <c r="GV355">
        <f t="shared" si="406"/>
        <v>0</v>
      </c>
      <c r="GW355">
        <v>1015.2</v>
      </c>
      <c r="GX355">
        <f t="shared" si="407"/>
        <v>0</v>
      </c>
      <c r="HA355">
        <v>0</v>
      </c>
      <c r="HB355">
        <v>0</v>
      </c>
      <c r="HC355">
        <f t="shared" si="408"/>
        <v>0</v>
      </c>
      <c r="HE355" t="s">
        <v>6</v>
      </c>
      <c r="HF355" t="s">
        <v>6</v>
      </c>
      <c r="HM355" t="s">
        <v>6</v>
      </c>
      <c r="HN355" t="s">
        <v>6</v>
      </c>
      <c r="HO355" t="s">
        <v>6</v>
      </c>
      <c r="HP355" t="s">
        <v>6</v>
      </c>
      <c r="HQ355" t="s">
        <v>6</v>
      </c>
      <c r="IF355">
        <v>-1</v>
      </c>
      <c r="IK355">
        <v>0</v>
      </c>
    </row>
    <row r="356" spans="1:255" x14ac:dyDescent="0.2">
      <c r="A356" s="2">
        <v>18</v>
      </c>
      <c r="B356" s="2">
        <v>1</v>
      </c>
      <c r="C356" s="2">
        <v>440</v>
      </c>
      <c r="D356" s="2"/>
      <c r="E356" s="2" t="s">
        <v>478</v>
      </c>
      <c r="F356" s="2" t="s">
        <v>316</v>
      </c>
      <c r="G356" s="2" t="s">
        <v>317</v>
      </c>
      <c r="H356" s="2" t="s">
        <v>33</v>
      </c>
      <c r="I356" s="2">
        <f>I354*J356</f>
        <v>4.3899999999999999E-4</v>
      </c>
      <c r="J356" s="226">
        <f>'5.Ведомость_списания'!F154</f>
        <v>5.9972677595628411E-3</v>
      </c>
      <c r="K356" s="2">
        <v>6.0000000000000001E-3</v>
      </c>
      <c r="L356" s="2"/>
      <c r="M356" s="2"/>
      <c r="N356" s="2"/>
      <c r="O356" s="2">
        <f t="shared" si="377"/>
        <v>5</v>
      </c>
      <c r="P356" s="2">
        <f t="shared" si="378"/>
        <v>5</v>
      </c>
      <c r="Q356" s="2">
        <f t="shared" si="379"/>
        <v>0</v>
      </c>
      <c r="R356" s="2">
        <f t="shared" si="380"/>
        <v>0</v>
      </c>
      <c r="S356" s="2">
        <f t="shared" si="381"/>
        <v>0</v>
      </c>
      <c r="T356" s="2">
        <f t="shared" si="382"/>
        <v>0</v>
      </c>
      <c r="U356" s="2">
        <f t="shared" si="383"/>
        <v>0</v>
      </c>
      <c r="V356" s="2">
        <f t="shared" si="384"/>
        <v>0</v>
      </c>
      <c r="W356" s="2">
        <f t="shared" si="385"/>
        <v>0</v>
      </c>
      <c r="X356" s="2">
        <f t="shared" si="386"/>
        <v>0</v>
      </c>
      <c r="Y356" s="2">
        <f t="shared" si="387"/>
        <v>0</v>
      </c>
      <c r="Z356" s="2"/>
      <c r="AA356" s="2">
        <v>86326987</v>
      </c>
      <c r="AB356" s="2">
        <f t="shared" si="388"/>
        <v>10559.12</v>
      </c>
      <c r="AC356" s="2">
        <f>ROUND((ES356),2)</f>
        <v>10559.12</v>
      </c>
      <c r="AD356" s="2">
        <f>ROUND((((ET356)-(EU356))+AE356),2)</f>
        <v>0</v>
      </c>
      <c r="AE356" s="2">
        <f t="shared" ref="AE356:AF359" si="409">ROUND((EU356),2)</f>
        <v>0</v>
      </c>
      <c r="AF356" s="2">
        <f t="shared" si="409"/>
        <v>0</v>
      </c>
      <c r="AG356" s="2">
        <f t="shared" si="389"/>
        <v>0</v>
      </c>
      <c r="AH356" s="2">
        <f t="shared" ref="AH356:AI359" si="410">(EW356)</f>
        <v>0</v>
      </c>
      <c r="AI356" s="2">
        <f t="shared" si="410"/>
        <v>0</v>
      </c>
      <c r="AJ356" s="2">
        <f t="shared" si="390"/>
        <v>22.28</v>
      </c>
      <c r="AK356" s="2">
        <v>10559.12</v>
      </c>
      <c r="AL356" s="110">
        <f>'1.Лок.смета.и.Акт'!F651</f>
        <v>10559.12</v>
      </c>
      <c r="AM356" s="2">
        <v>0</v>
      </c>
      <c r="AN356" s="2">
        <v>0</v>
      </c>
      <c r="AO356" s="2">
        <v>0</v>
      </c>
      <c r="AP356" s="2">
        <v>0</v>
      </c>
      <c r="AQ356" s="2">
        <v>0</v>
      </c>
      <c r="AR356" s="2">
        <v>0</v>
      </c>
      <c r="AS356" s="2">
        <v>22.28</v>
      </c>
      <c r="AT356" s="2">
        <v>0</v>
      </c>
      <c r="AU356" s="2">
        <v>0</v>
      </c>
      <c r="AV356" s="2">
        <v>1</v>
      </c>
      <c r="AW356" s="2">
        <v>1</v>
      </c>
      <c r="AX356" s="2"/>
      <c r="AY356" s="2"/>
      <c r="AZ356" s="2">
        <v>1</v>
      </c>
      <c r="BA356" s="2">
        <v>1</v>
      </c>
      <c r="BB356" s="2">
        <v>1</v>
      </c>
      <c r="BC356" s="2">
        <v>1</v>
      </c>
      <c r="BD356" s="2" t="s">
        <v>6</v>
      </c>
      <c r="BE356" s="2" t="s">
        <v>6</v>
      </c>
      <c r="BF356" s="2" t="s">
        <v>6</v>
      </c>
      <c r="BG356" s="2" t="s">
        <v>6</v>
      </c>
      <c r="BH356" s="2">
        <v>3</v>
      </c>
      <c r="BI356" s="2">
        <v>1</v>
      </c>
      <c r="BJ356" s="2" t="s">
        <v>318</v>
      </c>
      <c r="BK356" s="2"/>
      <c r="BL356" s="2"/>
      <c r="BM356" s="2">
        <v>500001</v>
      </c>
      <c r="BN356" s="2">
        <v>0</v>
      </c>
      <c r="BO356" s="2" t="s">
        <v>6</v>
      </c>
      <c r="BP356" s="2">
        <v>0</v>
      </c>
      <c r="BQ356" s="2">
        <v>20</v>
      </c>
      <c r="BR356" s="2">
        <v>0</v>
      </c>
      <c r="BS356" s="2">
        <v>1</v>
      </c>
      <c r="BT356" s="2">
        <v>1</v>
      </c>
      <c r="BU356" s="2">
        <v>1</v>
      </c>
      <c r="BV356" s="2">
        <v>1</v>
      </c>
      <c r="BW356" s="2">
        <v>1</v>
      </c>
      <c r="BX356" s="2">
        <v>1</v>
      </c>
      <c r="BY356" s="2" t="s">
        <v>6</v>
      </c>
      <c r="BZ356" s="2">
        <v>0</v>
      </c>
      <c r="CA356" s="2">
        <v>0</v>
      </c>
      <c r="CB356" s="2" t="s">
        <v>6</v>
      </c>
      <c r="CC356" s="2"/>
      <c r="CD356" s="2"/>
      <c r="CE356" s="2">
        <v>0</v>
      </c>
      <c r="CF356" s="2">
        <v>0</v>
      </c>
      <c r="CG356" s="2">
        <v>0</v>
      </c>
      <c r="CH356" s="2"/>
      <c r="CI356" s="2"/>
      <c r="CJ356" s="2"/>
      <c r="CK356" s="2"/>
      <c r="CL356" s="2"/>
      <c r="CM356" s="2">
        <v>0</v>
      </c>
      <c r="CN356" s="2" t="s">
        <v>6</v>
      </c>
      <c r="CO356" s="2">
        <v>0</v>
      </c>
      <c r="CP356" s="2">
        <f t="shared" si="391"/>
        <v>5</v>
      </c>
      <c r="CQ356" s="2">
        <f t="shared" si="392"/>
        <v>10559.12</v>
      </c>
      <c r="CR356" s="2">
        <f t="shared" si="393"/>
        <v>0</v>
      </c>
      <c r="CS356" s="2">
        <f t="shared" si="394"/>
        <v>0</v>
      </c>
      <c r="CT356" s="2">
        <f t="shared" si="395"/>
        <v>0</v>
      </c>
      <c r="CU356" s="2">
        <f t="shared" si="396"/>
        <v>0</v>
      </c>
      <c r="CV356" s="2">
        <f t="shared" si="397"/>
        <v>0</v>
      </c>
      <c r="CW356" s="2">
        <f t="shared" si="398"/>
        <v>0</v>
      </c>
      <c r="CX356" s="2">
        <f t="shared" si="399"/>
        <v>22.28</v>
      </c>
      <c r="CY356" s="2">
        <f>(((S356+(R356*IF(0,0,1)))*AT356)/100)</f>
        <v>0</v>
      </c>
      <c r="CZ356" s="2">
        <f>(((S356+(R356*IF(0,0,1)))*AU356)/100)</f>
        <v>0</v>
      </c>
      <c r="DA356" s="2"/>
      <c r="DB356" s="2"/>
      <c r="DC356" s="2" t="s">
        <v>6</v>
      </c>
      <c r="DD356" s="2" t="s">
        <v>6</v>
      </c>
      <c r="DE356" s="2" t="s">
        <v>6</v>
      </c>
      <c r="DF356" s="2" t="s">
        <v>6</v>
      </c>
      <c r="DG356" s="2" t="s">
        <v>6</v>
      </c>
      <c r="DH356" s="2" t="s">
        <v>6</v>
      </c>
      <c r="DI356" s="2" t="s">
        <v>6</v>
      </c>
      <c r="DJ356" s="2" t="s">
        <v>6</v>
      </c>
      <c r="DK356" s="2" t="s">
        <v>6</v>
      </c>
      <c r="DL356" s="2" t="s">
        <v>6</v>
      </c>
      <c r="DM356" s="2" t="s">
        <v>6</v>
      </c>
      <c r="DN356" s="2">
        <v>0</v>
      </c>
      <c r="DO356" s="2">
        <v>0</v>
      </c>
      <c r="DP356" s="2">
        <v>1</v>
      </c>
      <c r="DQ356" s="2">
        <v>1</v>
      </c>
      <c r="DR356" s="2"/>
      <c r="DS356" s="2"/>
      <c r="DT356" s="2"/>
      <c r="DU356" s="2">
        <v>1009</v>
      </c>
      <c r="DV356" s="2" t="s">
        <v>33</v>
      </c>
      <c r="DW356" s="2" t="s">
        <v>33</v>
      </c>
      <c r="DX356" s="2">
        <v>1000</v>
      </c>
      <c r="DY356" s="2"/>
      <c r="DZ356" s="2" t="s">
        <v>6</v>
      </c>
      <c r="EA356" s="2" t="s">
        <v>6</v>
      </c>
      <c r="EB356" s="2" t="s">
        <v>6</v>
      </c>
      <c r="EC356" s="2" t="s">
        <v>6</v>
      </c>
      <c r="ED356" s="2"/>
      <c r="EE356" s="2">
        <v>54938781</v>
      </c>
      <c r="EF356" s="2">
        <v>20</v>
      </c>
      <c r="EG356" s="2" t="s">
        <v>35</v>
      </c>
      <c r="EH356" s="2">
        <v>0</v>
      </c>
      <c r="EI356" s="2" t="s">
        <v>6</v>
      </c>
      <c r="EJ356" s="2">
        <v>1</v>
      </c>
      <c r="EK356" s="2">
        <v>500001</v>
      </c>
      <c r="EL356" s="2" t="s">
        <v>36</v>
      </c>
      <c r="EM356" s="2" t="s">
        <v>37</v>
      </c>
      <c r="EN356" s="2"/>
      <c r="EO356" s="2" t="s">
        <v>6</v>
      </c>
      <c r="EP356" s="2"/>
      <c r="EQ356" s="2">
        <v>0</v>
      </c>
      <c r="ER356" s="2">
        <v>10559.12</v>
      </c>
      <c r="ES356" s="110">
        <f>'1.Лок.смета.и.Акт'!F651</f>
        <v>10559.12</v>
      </c>
      <c r="ET356" s="2">
        <v>0</v>
      </c>
      <c r="EU356" s="2">
        <v>0</v>
      </c>
      <c r="EV356" s="2">
        <v>0</v>
      </c>
      <c r="EW356" s="2">
        <v>0</v>
      </c>
      <c r="EX356" s="2">
        <v>0</v>
      </c>
      <c r="EY356" s="2"/>
      <c r="EZ356" s="2"/>
      <c r="FA356" s="2"/>
      <c r="FB356" s="2"/>
      <c r="FC356" s="2"/>
      <c r="FD356" s="2"/>
      <c r="FE356" s="2"/>
      <c r="FF356" s="2"/>
      <c r="FG356" s="2"/>
      <c r="FH356" s="2"/>
      <c r="FI356" s="2"/>
      <c r="FJ356" s="2"/>
      <c r="FK356" s="2"/>
      <c r="FL356" s="2"/>
      <c r="FM356" s="2"/>
      <c r="FN356" s="2"/>
      <c r="FO356" s="2"/>
      <c r="FP356" s="2"/>
      <c r="FQ356" s="2">
        <v>0</v>
      </c>
      <c r="FR356" s="2">
        <f t="shared" si="400"/>
        <v>0</v>
      </c>
      <c r="FS356" s="2">
        <v>0</v>
      </c>
      <c r="FT356" s="2"/>
      <c r="FU356" s="2"/>
      <c r="FV356" s="2"/>
      <c r="FW356" s="2"/>
      <c r="FX356" s="2">
        <v>0</v>
      </c>
      <c r="FY356" s="2">
        <v>0</v>
      </c>
      <c r="FZ356" s="2"/>
      <c r="GA356" s="2" t="s">
        <v>6</v>
      </c>
      <c r="GB356" s="2"/>
      <c r="GC356" s="2"/>
      <c r="GD356" s="2">
        <v>1</v>
      </c>
      <c r="GE356" s="2"/>
      <c r="GF356" s="2">
        <v>1988624183</v>
      </c>
      <c r="GG356" s="2">
        <v>2</v>
      </c>
      <c r="GH356" s="2">
        <v>0</v>
      </c>
      <c r="GI356" s="2">
        <v>-2</v>
      </c>
      <c r="GJ356" s="2">
        <v>0</v>
      </c>
      <c r="GK356" s="2">
        <v>0</v>
      </c>
      <c r="GL356" s="2">
        <f t="shared" si="401"/>
        <v>0</v>
      </c>
      <c r="GM356" s="2">
        <f t="shared" si="402"/>
        <v>5</v>
      </c>
      <c r="GN356" s="2">
        <f t="shared" si="403"/>
        <v>5</v>
      </c>
      <c r="GO356" s="2">
        <f t="shared" si="404"/>
        <v>0</v>
      </c>
      <c r="GP356" s="2">
        <f t="shared" si="405"/>
        <v>0</v>
      </c>
      <c r="GQ356" s="2"/>
      <c r="GR356" s="2">
        <v>0</v>
      </c>
      <c r="GS356" s="2">
        <v>3</v>
      </c>
      <c r="GT356" s="2">
        <v>0</v>
      </c>
      <c r="GU356" s="2" t="s">
        <v>6</v>
      </c>
      <c r="GV356" s="2">
        <f t="shared" si="406"/>
        <v>0</v>
      </c>
      <c r="GW356" s="2">
        <v>1</v>
      </c>
      <c r="GX356" s="2">
        <f t="shared" si="407"/>
        <v>0</v>
      </c>
      <c r="GY356" s="2"/>
      <c r="GZ356" s="2"/>
      <c r="HA356" s="2">
        <v>0</v>
      </c>
      <c r="HB356" s="2">
        <v>0</v>
      </c>
      <c r="HC356" s="2">
        <f t="shared" si="408"/>
        <v>0</v>
      </c>
      <c r="HD356" s="2"/>
      <c r="HE356" s="2" t="s">
        <v>6</v>
      </c>
      <c r="HF356" s="2" t="s">
        <v>6</v>
      </c>
      <c r="HG356" s="2"/>
      <c r="HH356" s="2"/>
      <c r="HI356" s="2"/>
      <c r="HJ356" s="2"/>
      <c r="HK356" s="2"/>
      <c r="HL356" s="2"/>
      <c r="HM356" s="2" t="s">
        <v>6</v>
      </c>
      <c r="HN356" s="2" t="s">
        <v>6</v>
      </c>
      <c r="HO356" s="2" t="s">
        <v>6</v>
      </c>
      <c r="HP356" s="2" t="s">
        <v>6</v>
      </c>
      <c r="HQ356" s="2" t="s">
        <v>6</v>
      </c>
      <c r="HR356" s="2"/>
      <c r="HS356" s="2"/>
      <c r="HT356" s="2"/>
      <c r="HU356" s="2"/>
      <c r="HV356" s="2"/>
      <c r="HW356" s="2"/>
      <c r="HX356" s="2"/>
      <c r="HY356" s="2"/>
      <c r="HZ356" s="2"/>
      <c r="IA356" s="2"/>
      <c r="IB356" s="2"/>
      <c r="IC356" s="2"/>
      <c r="ID356" s="2"/>
      <c r="IE356" s="2"/>
      <c r="IF356" s="2">
        <v>-1</v>
      </c>
      <c r="IG356" s="2"/>
      <c r="IH356" s="2"/>
      <c r="II356" s="2"/>
      <c r="IJ356" s="2"/>
      <c r="IK356" s="2">
        <v>0</v>
      </c>
      <c r="IL356" s="2"/>
      <c r="IM356" s="2"/>
      <c r="IN356" s="2"/>
      <c r="IO356" s="2"/>
      <c r="IP356" s="2"/>
      <c r="IQ356" s="2"/>
      <c r="IR356" s="2"/>
      <c r="IS356" s="2"/>
      <c r="IT356" s="2"/>
      <c r="IU356" s="2"/>
    </row>
    <row r="357" spans="1:255" x14ac:dyDescent="0.2">
      <c r="A357">
        <v>18</v>
      </c>
      <c r="B357">
        <v>1</v>
      </c>
      <c r="C357">
        <v>447</v>
      </c>
      <c r="E357" t="s">
        <v>478</v>
      </c>
      <c r="F357" t="e">
        <f>'2.Лок.смета.и.Акт'!#REF!</f>
        <v>#REF!</v>
      </c>
      <c r="G357" t="s">
        <v>317</v>
      </c>
      <c r="H357" t="s">
        <v>33</v>
      </c>
      <c r="I357">
        <f>I355*J357</f>
        <v>4.3899999999999999E-4</v>
      </c>
      <c r="J357">
        <v>5.9972677595628411E-3</v>
      </c>
      <c r="K357">
        <v>6.0000000000000001E-3</v>
      </c>
      <c r="O357">
        <f t="shared" si="377"/>
        <v>45</v>
      </c>
      <c r="P357">
        <f t="shared" si="378"/>
        <v>45</v>
      </c>
      <c r="Q357">
        <f t="shared" si="379"/>
        <v>0</v>
      </c>
      <c r="R357">
        <f t="shared" si="380"/>
        <v>0</v>
      </c>
      <c r="S357">
        <f t="shared" si="381"/>
        <v>0</v>
      </c>
      <c r="T357">
        <f t="shared" si="382"/>
        <v>0</v>
      </c>
      <c r="U357">
        <f t="shared" si="383"/>
        <v>0</v>
      </c>
      <c r="V357">
        <f t="shared" si="384"/>
        <v>0</v>
      </c>
      <c r="W357">
        <f t="shared" si="385"/>
        <v>0</v>
      </c>
      <c r="X357">
        <f t="shared" si="386"/>
        <v>0</v>
      </c>
      <c r="Y357">
        <f t="shared" si="387"/>
        <v>0</v>
      </c>
      <c r="AA357">
        <v>86326988</v>
      </c>
      <c r="AB357">
        <f t="shared" si="388"/>
        <v>13505.55</v>
      </c>
      <c r="AC357">
        <f>ROUND((ES357),2)</f>
        <v>13505.55</v>
      </c>
      <c r="AD357">
        <f>ROUND((((ET357)-(EU357))+AE357),2)</f>
        <v>0</v>
      </c>
      <c r="AE357">
        <f t="shared" si="409"/>
        <v>0</v>
      </c>
      <c r="AF357">
        <f t="shared" si="409"/>
        <v>0</v>
      </c>
      <c r="AG357">
        <f t="shared" si="389"/>
        <v>0</v>
      </c>
      <c r="AH357">
        <f t="shared" si="410"/>
        <v>0</v>
      </c>
      <c r="AI357">
        <f t="shared" si="410"/>
        <v>0</v>
      </c>
      <c r="AJ357">
        <f t="shared" si="390"/>
        <v>22.28</v>
      </c>
      <c r="AK357">
        <v>13505.55</v>
      </c>
      <c r="AL357">
        <v>13505.55</v>
      </c>
      <c r="AM357">
        <v>0</v>
      </c>
      <c r="AN357">
        <v>0</v>
      </c>
      <c r="AO357">
        <v>0</v>
      </c>
      <c r="AP357">
        <v>0</v>
      </c>
      <c r="AQ357">
        <v>0</v>
      </c>
      <c r="AR357">
        <v>0</v>
      </c>
      <c r="AS357">
        <v>22.28</v>
      </c>
      <c r="AT357">
        <v>0</v>
      </c>
      <c r="AU357">
        <v>0</v>
      </c>
      <c r="AV357">
        <v>1</v>
      </c>
      <c r="AW357">
        <v>1</v>
      </c>
      <c r="AZ357">
        <v>1</v>
      </c>
      <c r="BA357">
        <v>1</v>
      </c>
      <c r="BB357">
        <v>1</v>
      </c>
      <c r="BC357">
        <v>7.56</v>
      </c>
      <c r="BD357" t="s">
        <v>6</v>
      </c>
      <c r="BE357" t="s">
        <v>6</v>
      </c>
      <c r="BF357" t="s">
        <v>6</v>
      </c>
      <c r="BG357" t="s">
        <v>6</v>
      </c>
      <c r="BH357">
        <v>3</v>
      </c>
      <c r="BI357">
        <v>1</v>
      </c>
      <c r="BJ357" t="s">
        <v>318</v>
      </c>
      <c r="BM357">
        <v>500001</v>
      </c>
      <c r="BN357">
        <v>0</v>
      </c>
      <c r="BO357" t="s">
        <v>6</v>
      </c>
      <c r="BP357">
        <v>0</v>
      </c>
      <c r="BQ357">
        <v>20</v>
      </c>
      <c r="BR357">
        <v>0</v>
      </c>
      <c r="BS357">
        <v>1</v>
      </c>
      <c r="BT357">
        <v>1</v>
      </c>
      <c r="BU357">
        <v>1</v>
      </c>
      <c r="BV357">
        <v>1</v>
      </c>
      <c r="BW357">
        <v>1</v>
      </c>
      <c r="BX357">
        <v>1</v>
      </c>
      <c r="BY357" t="s">
        <v>6</v>
      </c>
      <c r="BZ357">
        <v>0</v>
      </c>
      <c r="CA357">
        <v>0</v>
      </c>
      <c r="CB357" t="s">
        <v>6</v>
      </c>
      <c r="CE357">
        <v>0</v>
      </c>
      <c r="CF357">
        <v>0</v>
      </c>
      <c r="CG357">
        <v>0</v>
      </c>
      <c r="CM357">
        <v>0</v>
      </c>
      <c r="CN357" t="s">
        <v>6</v>
      </c>
      <c r="CO357">
        <v>0</v>
      </c>
      <c r="CP357">
        <f t="shared" si="391"/>
        <v>45</v>
      </c>
      <c r="CQ357">
        <f t="shared" si="392"/>
        <v>102101.95799999998</v>
      </c>
      <c r="CR357">
        <f t="shared" si="393"/>
        <v>0</v>
      </c>
      <c r="CS357">
        <f t="shared" si="394"/>
        <v>0</v>
      </c>
      <c r="CT357">
        <f t="shared" si="395"/>
        <v>0</v>
      </c>
      <c r="CU357">
        <f t="shared" si="396"/>
        <v>0</v>
      </c>
      <c r="CV357">
        <f t="shared" si="397"/>
        <v>0</v>
      </c>
      <c r="CW357">
        <f t="shared" si="398"/>
        <v>0</v>
      </c>
      <c r="CX357">
        <f t="shared" si="399"/>
        <v>22.28</v>
      </c>
      <c r="CY357">
        <f>(S357+R357)*(BZ357/100)</f>
        <v>0</v>
      </c>
      <c r="CZ357">
        <f>(S357+R357)*(CA357/100)</f>
        <v>0</v>
      </c>
      <c r="DC357" t="s">
        <v>6</v>
      </c>
      <c r="DD357" t="s">
        <v>6</v>
      </c>
      <c r="DE357" t="s">
        <v>6</v>
      </c>
      <c r="DF357" t="s">
        <v>6</v>
      </c>
      <c r="DG357" t="s">
        <v>6</v>
      </c>
      <c r="DH357" t="s">
        <v>6</v>
      </c>
      <c r="DI357" t="s">
        <v>6</v>
      </c>
      <c r="DJ357" t="s">
        <v>6</v>
      </c>
      <c r="DK357" t="s">
        <v>6</v>
      </c>
      <c r="DL357" t="s">
        <v>6</v>
      </c>
      <c r="DM357" t="s">
        <v>6</v>
      </c>
      <c r="DN357">
        <v>0</v>
      </c>
      <c r="DO357">
        <v>0</v>
      </c>
      <c r="DP357">
        <v>1</v>
      </c>
      <c r="DQ357">
        <v>1</v>
      </c>
      <c r="DU357">
        <v>1009</v>
      </c>
      <c r="DV357" t="s">
        <v>33</v>
      </c>
      <c r="DW357" t="e">
        <f>'2.Лок.смета.и.Акт'!#REF!</f>
        <v>#REF!</v>
      </c>
      <c r="DX357">
        <v>1000</v>
      </c>
      <c r="DZ357" t="s">
        <v>6</v>
      </c>
      <c r="EA357" t="s">
        <v>6</v>
      </c>
      <c r="EB357" t="s">
        <v>6</v>
      </c>
      <c r="EC357" t="s">
        <v>6</v>
      </c>
      <c r="EE357">
        <v>54938781</v>
      </c>
      <c r="EF357">
        <v>20</v>
      </c>
      <c r="EG357" t="s">
        <v>35</v>
      </c>
      <c r="EH357">
        <v>0</v>
      </c>
      <c r="EI357" t="s">
        <v>6</v>
      </c>
      <c r="EJ357">
        <v>1</v>
      </c>
      <c r="EK357">
        <v>500001</v>
      </c>
      <c r="EL357" t="s">
        <v>36</v>
      </c>
      <c r="EM357" t="s">
        <v>37</v>
      </c>
      <c r="EO357" t="s">
        <v>6</v>
      </c>
      <c r="EQ357">
        <v>0</v>
      </c>
      <c r="ER357">
        <v>96250</v>
      </c>
      <c r="ES357">
        <v>13505.55</v>
      </c>
      <c r="ET357">
        <v>0</v>
      </c>
      <c r="EU357">
        <v>0</v>
      </c>
      <c r="EV357">
        <v>0</v>
      </c>
      <c r="EW357">
        <v>0</v>
      </c>
      <c r="EX357">
        <v>0</v>
      </c>
      <c r="EZ357">
        <v>5</v>
      </c>
      <c r="FC357">
        <v>0</v>
      </c>
      <c r="FD357">
        <v>18</v>
      </c>
      <c r="FF357">
        <v>96250</v>
      </c>
      <c r="FQ357">
        <v>0</v>
      </c>
      <c r="FR357">
        <f t="shared" si="400"/>
        <v>0</v>
      </c>
      <c r="FS357">
        <v>0</v>
      </c>
      <c r="FX357">
        <v>0</v>
      </c>
      <c r="FY357">
        <v>0</v>
      </c>
      <c r="GA357" t="s">
        <v>319</v>
      </c>
      <c r="GD357">
        <v>1</v>
      </c>
      <c r="GF357">
        <v>1988624183</v>
      </c>
      <c r="GG357">
        <v>2</v>
      </c>
      <c r="GH357">
        <v>3</v>
      </c>
      <c r="GI357">
        <v>5</v>
      </c>
      <c r="GJ357">
        <v>0</v>
      </c>
      <c r="GK357">
        <v>0</v>
      </c>
      <c r="GL357">
        <f t="shared" si="401"/>
        <v>0</v>
      </c>
      <c r="GM357">
        <f t="shared" si="402"/>
        <v>45</v>
      </c>
      <c r="GN357">
        <f t="shared" si="403"/>
        <v>45</v>
      </c>
      <c r="GO357">
        <f t="shared" si="404"/>
        <v>0</v>
      </c>
      <c r="GP357">
        <f t="shared" si="405"/>
        <v>0</v>
      </c>
      <c r="GR357">
        <v>1</v>
      </c>
      <c r="GS357">
        <v>1</v>
      </c>
      <c r="GT357">
        <v>0</v>
      </c>
      <c r="GU357" t="s">
        <v>6</v>
      </c>
      <c r="GV357">
        <f t="shared" si="406"/>
        <v>0</v>
      </c>
      <c r="GW357">
        <v>1</v>
      </c>
      <c r="GX357">
        <f t="shared" si="407"/>
        <v>0</v>
      </c>
      <c r="HA357">
        <v>0</v>
      </c>
      <c r="HB357">
        <v>0</v>
      </c>
      <c r="HC357">
        <f t="shared" si="408"/>
        <v>0</v>
      </c>
      <c r="HE357" t="s">
        <v>39</v>
      </c>
      <c r="HF357" t="s">
        <v>40</v>
      </c>
      <c r="HM357" t="s">
        <v>6</v>
      </c>
      <c r="HN357" t="s">
        <v>6</v>
      </c>
      <c r="HO357" t="s">
        <v>6</v>
      </c>
      <c r="HP357" t="s">
        <v>6</v>
      </c>
      <c r="HQ357" t="s">
        <v>6</v>
      </c>
      <c r="IF357">
        <v>-1</v>
      </c>
      <c r="IK357">
        <v>0</v>
      </c>
    </row>
    <row r="358" spans="1:255" x14ac:dyDescent="0.2">
      <c r="A358" s="2">
        <v>18</v>
      </c>
      <c r="B358" s="2">
        <v>1</v>
      </c>
      <c r="C358" s="2">
        <v>441</v>
      </c>
      <c r="D358" s="2"/>
      <c r="E358" s="2" t="s">
        <v>479</v>
      </c>
      <c r="F358" s="2" t="s">
        <v>480</v>
      </c>
      <c r="G358" s="2" t="s">
        <v>481</v>
      </c>
      <c r="H358" s="2" t="s">
        <v>33</v>
      </c>
      <c r="I358" s="2">
        <f>I354*J358</f>
        <v>7.2108000000000005E-2</v>
      </c>
      <c r="J358" s="226">
        <f>'5.Ведомость_списания'!F155</f>
        <v>0.98508196721311481</v>
      </c>
      <c r="K358" s="2">
        <v>0.98507800000000001</v>
      </c>
      <c r="L358" s="2"/>
      <c r="M358" s="2"/>
      <c r="N358" s="2"/>
      <c r="O358" s="2">
        <f t="shared" si="377"/>
        <v>1051</v>
      </c>
      <c r="P358" s="2">
        <f t="shared" si="378"/>
        <v>1051</v>
      </c>
      <c r="Q358" s="2">
        <f t="shared" si="379"/>
        <v>0</v>
      </c>
      <c r="R358" s="2">
        <f t="shared" si="380"/>
        <v>0</v>
      </c>
      <c r="S358" s="2">
        <f t="shared" si="381"/>
        <v>0</v>
      </c>
      <c r="T358" s="2">
        <f t="shared" si="382"/>
        <v>0</v>
      </c>
      <c r="U358" s="2">
        <f t="shared" si="383"/>
        <v>0</v>
      </c>
      <c r="V358" s="2">
        <f t="shared" si="384"/>
        <v>0</v>
      </c>
      <c r="W358" s="2">
        <f t="shared" si="385"/>
        <v>0</v>
      </c>
      <c r="X358" s="2">
        <f t="shared" si="386"/>
        <v>0</v>
      </c>
      <c r="Y358" s="2">
        <f t="shared" si="387"/>
        <v>0</v>
      </c>
      <c r="Z358" s="2"/>
      <c r="AA358" s="2">
        <v>86326987</v>
      </c>
      <c r="AB358" s="2">
        <f t="shared" si="388"/>
        <v>14571.47</v>
      </c>
      <c r="AC358" s="2">
        <f>ROUND((ES358),2)</f>
        <v>14571.47</v>
      </c>
      <c r="AD358" s="2">
        <f>ROUND((((ET358)-(EU358))+AE358),2)</f>
        <v>0</v>
      </c>
      <c r="AE358" s="2">
        <f t="shared" si="409"/>
        <v>0</v>
      </c>
      <c r="AF358" s="2">
        <f t="shared" si="409"/>
        <v>0</v>
      </c>
      <c r="AG358" s="2">
        <f t="shared" si="389"/>
        <v>0</v>
      </c>
      <c r="AH358" s="2">
        <f t="shared" si="410"/>
        <v>0</v>
      </c>
      <c r="AI358" s="2">
        <f t="shared" si="410"/>
        <v>0</v>
      </c>
      <c r="AJ358" s="2">
        <f t="shared" si="390"/>
        <v>0</v>
      </c>
      <c r="AK358" s="2">
        <v>14571.47</v>
      </c>
      <c r="AL358" s="110">
        <f>'1.Лок.смета.и.Акт'!F653</f>
        <v>14571.47</v>
      </c>
      <c r="AM358" s="2">
        <v>0</v>
      </c>
      <c r="AN358" s="2">
        <v>0</v>
      </c>
      <c r="AO358" s="2">
        <v>0</v>
      </c>
      <c r="AP358" s="2">
        <v>0</v>
      </c>
      <c r="AQ358" s="2">
        <v>0</v>
      </c>
      <c r="AR358" s="2">
        <v>0</v>
      </c>
      <c r="AS358" s="2">
        <v>0</v>
      </c>
      <c r="AT358" s="2">
        <v>0</v>
      </c>
      <c r="AU358" s="2">
        <v>0</v>
      </c>
      <c r="AV358" s="2">
        <v>1</v>
      </c>
      <c r="AW358" s="2">
        <v>1</v>
      </c>
      <c r="AX358" s="2"/>
      <c r="AY358" s="2"/>
      <c r="AZ358" s="2">
        <v>1</v>
      </c>
      <c r="BA358" s="2">
        <v>1</v>
      </c>
      <c r="BB358" s="2">
        <v>1</v>
      </c>
      <c r="BC358" s="2">
        <v>1</v>
      </c>
      <c r="BD358" s="2" t="s">
        <v>6</v>
      </c>
      <c r="BE358" s="2" t="s">
        <v>6</v>
      </c>
      <c r="BF358" s="2" t="s">
        <v>6</v>
      </c>
      <c r="BG358" s="2" t="s">
        <v>6</v>
      </c>
      <c r="BH358" s="2">
        <v>3</v>
      </c>
      <c r="BI358" s="2">
        <v>1</v>
      </c>
      <c r="BJ358" s="2" t="s">
        <v>482</v>
      </c>
      <c r="BK358" s="2"/>
      <c r="BL358" s="2"/>
      <c r="BM358" s="2">
        <v>500003</v>
      </c>
      <c r="BN358" s="2">
        <v>0</v>
      </c>
      <c r="BO358" s="2" t="s">
        <v>6</v>
      </c>
      <c r="BP358" s="2">
        <v>0</v>
      </c>
      <c r="BQ358" s="2">
        <v>22</v>
      </c>
      <c r="BR358" s="2">
        <v>0</v>
      </c>
      <c r="BS358" s="2">
        <v>1</v>
      </c>
      <c r="BT358" s="2">
        <v>1</v>
      </c>
      <c r="BU358" s="2">
        <v>1</v>
      </c>
      <c r="BV358" s="2">
        <v>1</v>
      </c>
      <c r="BW358" s="2">
        <v>1</v>
      </c>
      <c r="BX358" s="2">
        <v>1</v>
      </c>
      <c r="BY358" s="2" t="s">
        <v>6</v>
      </c>
      <c r="BZ358" s="2">
        <v>0</v>
      </c>
      <c r="CA358" s="2">
        <v>0</v>
      </c>
      <c r="CB358" s="2" t="s">
        <v>6</v>
      </c>
      <c r="CC358" s="2"/>
      <c r="CD358" s="2"/>
      <c r="CE358" s="2">
        <v>0</v>
      </c>
      <c r="CF358" s="2">
        <v>0</v>
      </c>
      <c r="CG358" s="2">
        <v>0</v>
      </c>
      <c r="CH358" s="2"/>
      <c r="CI358" s="2"/>
      <c r="CJ358" s="2"/>
      <c r="CK358" s="2"/>
      <c r="CL358" s="2"/>
      <c r="CM358" s="2">
        <v>0</v>
      </c>
      <c r="CN358" s="2" t="s">
        <v>6</v>
      </c>
      <c r="CO358" s="2">
        <v>0</v>
      </c>
      <c r="CP358" s="2">
        <f t="shared" si="391"/>
        <v>1051</v>
      </c>
      <c r="CQ358" s="2">
        <f t="shared" si="392"/>
        <v>14571.47</v>
      </c>
      <c r="CR358" s="2">
        <f t="shared" si="393"/>
        <v>0</v>
      </c>
      <c r="CS358" s="2">
        <f t="shared" si="394"/>
        <v>0</v>
      </c>
      <c r="CT358" s="2">
        <f t="shared" si="395"/>
        <v>0</v>
      </c>
      <c r="CU358" s="2">
        <f t="shared" si="396"/>
        <v>0</v>
      </c>
      <c r="CV358" s="2">
        <f t="shared" si="397"/>
        <v>0</v>
      </c>
      <c r="CW358" s="2">
        <f t="shared" si="398"/>
        <v>0</v>
      </c>
      <c r="CX358" s="2">
        <f t="shared" si="399"/>
        <v>0</v>
      </c>
      <c r="CY358" s="2">
        <f>(((S358+(R358*IF(0,0,1)))*AT358)/100)</f>
        <v>0</v>
      </c>
      <c r="CZ358" s="2">
        <f>(((S358+(R358*IF(0,0,1)))*AU358)/100)</f>
        <v>0</v>
      </c>
      <c r="DA358" s="2"/>
      <c r="DB358" s="2"/>
      <c r="DC358" s="2" t="s">
        <v>6</v>
      </c>
      <c r="DD358" s="2" t="s">
        <v>6</v>
      </c>
      <c r="DE358" s="2" t="s">
        <v>6</v>
      </c>
      <c r="DF358" s="2" t="s">
        <v>6</v>
      </c>
      <c r="DG358" s="2" t="s">
        <v>6</v>
      </c>
      <c r="DH358" s="2" t="s">
        <v>6</v>
      </c>
      <c r="DI358" s="2" t="s">
        <v>6</v>
      </c>
      <c r="DJ358" s="2" t="s">
        <v>6</v>
      </c>
      <c r="DK358" s="2" t="s">
        <v>6</v>
      </c>
      <c r="DL358" s="2" t="s">
        <v>6</v>
      </c>
      <c r="DM358" s="2" t="s">
        <v>6</v>
      </c>
      <c r="DN358" s="2">
        <v>0</v>
      </c>
      <c r="DO358" s="2">
        <v>0</v>
      </c>
      <c r="DP358" s="2">
        <v>1</v>
      </c>
      <c r="DQ358" s="2">
        <v>1</v>
      </c>
      <c r="DR358" s="2"/>
      <c r="DS358" s="2"/>
      <c r="DT358" s="2"/>
      <c r="DU358" s="2">
        <v>1009</v>
      </c>
      <c r="DV358" s="2" t="s">
        <v>33</v>
      </c>
      <c r="DW358" s="2" t="s">
        <v>33</v>
      </c>
      <c r="DX358" s="2">
        <v>1000</v>
      </c>
      <c r="DY358" s="2"/>
      <c r="DZ358" s="2" t="s">
        <v>6</v>
      </c>
      <c r="EA358" s="2" t="s">
        <v>6</v>
      </c>
      <c r="EB358" s="2" t="s">
        <v>6</v>
      </c>
      <c r="EC358" s="2" t="s">
        <v>6</v>
      </c>
      <c r="ED358" s="2"/>
      <c r="EE358" s="2">
        <v>54938783</v>
      </c>
      <c r="EF358" s="2">
        <v>22</v>
      </c>
      <c r="EG358" s="2" t="s">
        <v>57</v>
      </c>
      <c r="EH358" s="2">
        <v>0</v>
      </c>
      <c r="EI358" s="2" t="s">
        <v>6</v>
      </c>
      <c r="EJ358" s="2">
        <v>1</v>
      </c>
      <c r="EK358" s="2">
        <v>500003</v>
      </c>
      <c r="EL358" s="2" t="s">
        <v>58</v>
      </c>
      <c r="EM358" s="2" t="s">
        <v>59</v>
      </c>
      <c r="EN358" s="2"/>
      <c r="EO358" s="2" t="s">
        <v>6</v>
      </c>
      <c r="EP358" s="2"/>
      <c r="EQ358" s="2">
        <v>0</v>
      </c>
      <c r="ER358" s="2">
        <v>14571.47</v>
      </c>
      <c r="ES358" s="110">
        <f>'1.Лок.смета.и.Акт'!F653</f>
        <v>14571.47</v>
      </c>
      <c r="ET358" s="2">
        <v>0</v>
      </c>
      <c r="EU358" s="2">
        <v>0</v>
      </c>
      <c r="EV358" s="2">
        <v>0</v>
      </c>
      <c r="EW358" s="2">
        <v>0</v>
      </c>
      <c r="EX358" s="2">
        <v>0</v>
      </c>
      <c r="EY358" s="2"/>
      <c r="EZ358" s="2"/>
      <c r="FA358" s="2"/>
      <c r="FB358" s="2"/>
      <c r="FC358" s="2"/>
      <c r="FD358" s="2"/>
      <c r="FE358" s="2"/>
      <c r="FF358" s="2"/>
      <c r="FG358" s="2"/>
      <c r="FH358" s="2"/>
      <c r="FI358" s="2"/>
      <c r="FJ358" s="2"/>
      <c r="FK358" s="2"/>
      <c r="FL358" s="2"/>
      <c r="FM358" s="2"/>
      <c r="FN358" s="2"/>
      <c r="FO358" s="2"/>
      <c r="FP358" s="2"/>
      <c r="FQ358" s="2">
        <v>0</v>
      </c>
      <c r="FR358" s="2">
        <f t="shared" si="400"/>
        <v>0</v>
      </c>
      <c r="FS358" s="2">
        <v>0</v>
      </c>
      <c r="FT358" s="2"/>
      <c r="FU358" s="2"/>
      <c r="FV358" s="2"/>
      <c r="FW358" s="2"/>
      <c r="FX358" s="2">
        <v>0</v>
      </c>
      <c r="FY358" s="2">
        <v>0</v>
      </c>
      <c r="FZ358" s="2"/>
      <c r="GA358" s="2" t="s">
        <v>6</v>
      </c>
      <c r="GB358" s="2"/>
      <c r="GC358" s="2"/>
      <c r="GD358" s="2">
        <v>1</v>
      </c>
      <c r="GE358" s="2"/>
      <c r="GF358" s="2">
        <v>-574378917</v>
      </c>
      <c r="GG358" s="2">
        <v>2</v>
      </c>
      <c r="GH358" s="2">
        <v>2</v>
      </c>
      <c r="GI358" s="2">
        <v>-2</v>
      </c>
      <c r="GJ358" s="2">
        <v>0</v>
      </c>
      <c r="GK358" s="2">
        <v>0</v>
      </c>
      <c r="GL358" s="2">
        <f t="shared" si="401"/>
        <v>0</v>
      </c>
      <c r="GM358" s="2">
        <f t="shared" si="402"/>
        <v>1051</v>
      </c>
      <c r="GN358" s="2">
        <f t="shared" si="403"/>
        <v>1051</v>
      </c>
      <c r="GO358" s="2">
        <f t="shared" si="404"/>
        <v>0</v>
      </c>
      <c r="GP358" s="2">
        <f t="shared" si="405"/>
        <v>0</v>
      </c>
      <c r="GQ358" s="2"/>
      <c r="GR358" s="2">
        <v>0</v>
      </c>
      <c r="GS358" s="2">
        <v>2</v>
      </c>
      <c r="GT358" s="2">
        <v>0</v>
      </c>
      <c r="GU358" s="2" t="s">
        <v>6</v>
      </c>
      <c r="GV358" s="2">
        <f t="shared" si="406"/>
        <v>0</v>
      </c>
      <c r="GW358" s="2">
        <v>1</v>
      </c>
      <c r="GX358" s="2">
        <f t="shared" si="407"/>
        <v>0</v>
      </c>
      <c r="GY358" s="2"/>
      <c r="GZ358" s="2"/>
      <c r="HA358" s="2">
        <v>0</v>
      </c>
      <c r="HB358" s="2">
        <v>0</v>
      </c>
      <c r="HC358" s="2">
        <f t="shared" si="408"/>
        <v>0</v>
      </c>
      <c r="HD358" s="2"/>
      <c r="HE358" s="2" t="s">
        <v>6</v>
      </c>
      <c r="HF358" s="2" t="s">
        <v>6</v>
      </c>
      <c r="HG358" s="2"/>
      <c r="HH358" s="2"/>
      <c r="HI358" s="2"/>
      <c r="HJ358" s="2"/>
      <c r="HK358" s="2"/>
      <c r="HL358" s="2"/>
      <c r="HM358" s="2" t="s">
        <v>6</v>
      </c>
      <c r="HN358" s="2" t="s">
        <v>6</v>
      </c>
      <c r="HO358" s="2" t="s">
        <v>6</v>
      </c>
      <c r="HP358" s="2" t="s">
        <v>6</v>
      </c>
      <c r="HQ358" s="2" t="s">
        <v>6</v>
      </c>
      <c r="HR358" s="2"/>
      <c r="HS358" s="2"/>
      <c r="HT358" s="2"/>
      <c r="HU358" s="2"/>
      <c r="HV358" s="2"/>
      <c r="HW358" s="2"/>
      <c r="HX358" s="2"/>
      <c r="HY358" s="2"/>
      <c r="HZ358" s="2"/>
      <c r="IA358" s="2"/>
      <c r="IB358" s="2"/>
      <c r="IC358" s="2"/>
      <c r="ID358" s="2"/>
      <c r="IE358" s="2"/>
      <c r="IF358" s="2">
        <v>-1</v>
      </c>
      <c r="IG358" s="2"/>
      <c r="IH358" s="2"/>
      <c r="II358" s="2"/>
      <c r="IJ358" s="2"/>
      <c r="IK358" s="2">
        <v>0</v>
      </c>
      <c r="IL358" s="2"/>
      <c r="IM358" s="2"/>
      <c r="IN358" s="2"/>
      <c r="IO358" s="2"/>
      <c r="IP358" s="2"/>
      <c r="IQ358" s="2"/>
      <c r="IR358" s="2"/>
      <c r="IS358" s="2"/>
      <c r="IT358" s="2"/>
      <c r="IU358" s="2"/>
    </row>
    <row r="359" spans="1:255" x14ac:dyDescent="0.2">
      <c r="A359">
        <v>18</v>
      </c>
      <c r="B359">
        <v>1</v>
      </c>
      <c r="C359">
        <v>448</v>
      </c>
      <c r="E359" t="s">
        <v>479</v>
      </c>
      <c r="F359" t="e">
        <f>'2.Лок.смета.и.Акт'!#REF!</f>
        <v>#REF!</v>
      </c>
      <c r="G359" t="s">
        <v>481</v>
      </c>
      <c r="H359" t="s">
        <v>33</v>
      </c>
      <c r="I359">
        <f>I355*J359</f>
        <v>7.2108000000000005E-2</v>
      </c>
      <c r="J359">
        <v>0.98508196721311481</v>
      </c>
      <c r="K359">
        <v>0.98507800000000001</v>
      </c>
      <c r="O359">
        <f t="shared" si="377"/>
        <v>8458</v>
      </c>
      <c r="P359">
        <f t="shared" si="378"/>
        <v>8458</v>
      </c>
      <c r="Q359">
        <f t="shared" si="379"/>
        <v>0</v>
      </c>
      <c r="R359">
        <f t="shared" si="380"/>
        <v>0</v>
      </c>
      <c r="S359">
        <f t="shared" si="381"/>
        <v>0</v>
      </c>
      <c r="T359">
        <f t="shared" si="382"/>
        <v>0</v>
      </c>
      <c r="U359">
        <f t="shared" si="383"/>
        <v>0</v>
      </c>
      <c r="V359">
        <f t="shared" si="384"/>
        <v>0</v>
      </c>
      <c r="W359">
        <f t="shared" si="385"/>
        <v>0</v>
      </c>
      <c r="X359">
        <f t="shared" si="386"/>
        <v>0</v>
      </c>
      <c r="Y359">
        <f t="shared" si="387"/>
        <v>0</v>
      </c>
      <c r="AA359">
        <v>86326988</v>
      </c>
      <c r="AB359">
        <f t="shared" si="388"/>
        <v>15515.92</v>
      </c>
      <c r="AC359">
        <f>ROUND((ES359),2)</f>
        <v>15515.92</v>
      </c>
      <c r="AD359">
        <f>ROUND((((ET359)-(EU359))+AE359),2)</f>
        <v>0</v>
      </c>
      <c r="AE359">
        <f t="shared" si="409"/>
        <v>0</v>
      </c>
      <c r="AF359">
        <f t="shared" si="409"/>
        <v>0</v>
      </c>
      <c r="AG359">
        <f t="shared" si="389"/>
        <v>0</v>
      </c>
      <c r="AH359">
        <f t="shared" si="410"/>
        <v>0</v>
      </c>
      <c r="AI359">
        <f t="shared" si="410"/>
        <v>0</v>
      </c>
      <c r="AJ359">
        <f t="shared" si="390"/>
        <v>0</v>
      </c>
      <c r="AK359">
        <v>15515.92</v>
      </c>
      <c r="AL359">
        <v>15515.92</v>
      </c>
      <c r="AM359">
        <v>0</v>
      </c>
      <c r="AN359">
        <v>0</v>
      </c>
      <c r="AO359">
        <v>0</v>
      </c>
      <c r="AP359">
        <v>0</v>
      </c>
      <c r="AQ359">
        <v>0</v>
      </c>
      <c r="AR359">
        <v>0</v>
      </c>
      <c r="AS359">
        <v>0</v>
      </c>
      <c r="AT359">
        <v>0</v>
      </c>
      <c r="AU359">
        <v>0</v>
      </c>
      <c r="AV359">
        <v>1</v>
      </c>
      <c r="AW359">
        <v>1</v>
      </c>
      <c r="AZ359">
        <v>1</v>
      </c>
      <c r="BA359">
        <v>1</v>
      </c>
      <c r="BB359">
        <v>1</v>
      </c>
      <c r="BC359">
        <v>7.56</v>
      </c>
      <c r="BD359" t="s">
        <v>6</v>
      </c>
      <c r="BE359" t="s">
        <v>6</v>
      </c>
      <c r="BF359" t="s">
        <v>6</v>
      </c>
      <c r="BG359" t="s">
        <v>6</v>
      </c>
      <c r="BH359">
        <v>3</v>
      </c>
      <c r="BI359">
        <v>1</v>
      </c>
      <c r="BJ359" t="s">
        <v>482</v>
      </c>
      <c r="BM359">
        <v>500003</v>
      </c>
      <c r="BN359">
        <v>0</v>
      </c>
      <c r="BO359" t="s">
        <v>6</v>
      </c>
      <c r="BP359">
        <v>0</v>
      </c>
      <c r="BQ359">
        <v>22</v>
      </c>
      <c r="BR359">
        <v>0</v>
      </c>
      <c r="BS359">
        <v>1</v>
      </c>
      <c r="BT359">
        <v>1</v>
      </c>
      <c r="BU359">
        <v>1</v>
      </c>
      <c r="BV359">
        <v>1</v>
      </c>
      <c r="BW359">
        <v>1</v>
      </c>
      <c r="BX359">
        <v>1</v>
      </c>
      <c r="BY359" t="s">
        <v>6</v>
      </c>
      <c r="BZ359">
        <v>0</v>
      </c>
      <c r="CA359">
        <v>0</v>
      </c>
      <c r="CB359" t="s">
        <v>6</v>
      </c>
      <c r="CE359">
        <v>0</v>
      </c>
      <c r="CF359">
        <v>0</v>
      </c>
      <c r="CG359">
        <v>0</v>
      </c>
      <c r="CM359">
        <v>0</v>
      </c>
      <c r="CN359" t="s">
        <v>6</v>
      </c>
      <c r="CO359">
        <v>0</v>
      </c>
      <c r="CP359">
        <f t="shared" si="391"/>
        <v>8458</v>
      </c>
      <c r="CQ359">
        <f t="shared" si="392"/>
        <v>117300.35519999999</v>
      </c>
      <c r="CR359">
        <f t="shared" si="393"/>
        <v>0</v>
      </c>
      <c r="CS359">
        <f t="shared" si="394"/>
        <v>0</v>
      </c>
      <c r="CT359">
        <f t="shared" si="395"/>
        <v>0</v>
      </c>
      <c r="CU359">
        <f t="shared" si="396"/>
        <v>0</v>
      </c>
      <c r="CV359">
        <f t="shared" si="397"/>
        <v>0</v>
      </c>
      <c r="CW359">
        <f t="shared" si="398"/>
        <v>0</v>
      </c>
      <c r="CX359">
        <f t="shared" si="399"/>
        <v>0</v>
      </c>
      <c r="CY359">
        <f>(S359+R359)*(BZ359/100)</f>
        <v>0</v>
      </c>
      <c r="CZ359">
        <f>(S359+R359)*(CA359/100)</f>
        <v>0</v>
      </c>
      <c r="DC359" t="s">
        <v>6</v>
      </c>
      <c r="DD359" t="s">
        <v>6</v>
      </c>
      <c r="DE359" t="s">
        <v>6</v>
      </c>
      <c r="DF359" t="s">
        <v>6</v>
      </c>
      <c r="DG359" t="s">
        <v>6</v>
      </c>
      <c r="DH359" t="s">
        <v>6</v>
      </c>
      <c r="DI359" t="s">
        <v>6</v>
      </c>
      <c r="DJ359" t="s">
        <v>6</v>
      </c>
      <c r="DK359" t="s">
        <v>6</v>
      </c>
      <c r="DL359" t="s">
        <v>6</v>
      </c>
      <c r="DM359" t="s">
        <v>6</v>
      </c>
      <c r="DN359">
        <v>0</v>
      </c>
      <c r="DO359">
        <v>0</v>
      </c>
      <c r="DP359">
        <v>1</v>
      </c>
      <c r="DQ359">
        <v>1</v>
      </c>
      <c r="DU359">
        <v>1009</v>
      </c>
      <c r="DV359" t="s">
        <v>33</v>
      </c>
      <c r="DW359" t="e">
        <f>'2.Лок.смета.и.Акт'!#REF!</f>
        <v>#REF!</v>
      </c>
      <c r="DX359">
        <v>1000</v>
      </c>
      <c r="DZ359" t="s">
        <v>6</v>
      </c>
      <c r="EA359" t="s">
        <v>6</v>
      </c>
      <c r="EB359" t="s">
        <v>6</v>
      </c>
      <c r="EC359" t="s">
        <v>6</v>
      </c>
      <c r="EE359">
        <v>54938783</v>
      </c>
      <c r="EF359">
        <v>22</v>
      </c>
      <c r="EG359" t="s">
        <v>57</v>
      </c>
      <c r="EH359">
        <v>0</v>
      </c>
      <c r="EI359" t="s">
        <v>6</v>
      </c>
      <c r="EJ359">
        <v>1</v>
      </c>
      <c r="EK359">
        <v>500003</v>
      </c>
      <c r="EL359" t="s">
        <v>58</v>
      </c>
      <c r="EM359" t="s">
        <v>59</v>
      </c>
      <c r="EO359" t="s">
        <v>6</v>
      </c>
      <c r="EQ359">
        <v>0</v>
      </c>
      <c r="ER359">
        <v>111949.22</v>
      </c>
      <c r="ES359">
        <v>15515.92</v>
      </c>
      <c r="ET359">
        <v>0</v>
      </c>
      <c r="EU359">
        <v>0</v>
      </c>
      <c r="EV359">
        <v>0</v>
      </c>
      <c r="EW359">
        <v>0</v>
      </c>
      <c r="EX359">
        <v>0</v>
      </c>
      <c r="EZ359">
        <v>5</v>
      </c>
      <c r="FC359">
        <v>0</v>
      </c>
      <c r="FD359">
        <v>18</v>
      </c>
      <c r="FF359">
        <v>111949.22</v>
      </c>
      <c r="FQ359">
        <v>0</v>
      </c>
      <c r="FR359">
        <f t="shared" si="400"/>
        <v>0</v>
      </c>
      <c r="FS359">
        <v>0</v>
      </c>
      <c r="FX359">
        <v>0</v>
      </c>
      <c r="FY359">
        <v>0</v>
      </c>
      <c r="GA359" t="s">
        <v>483</v>
      </c>
      <c r="GD359">
        <v>1</v>
      </c>
      <c r="GF359">
        <v>-574378917</v>
      </c>
      <c r="GG359">
        <v>2</v>
      </c>
      <c r="GH359">
        <v>3</v>
      </c>
      <c r="GI359">
        <v>5</v>
      </c>
      <c r="GJ359">
        <v>0</v>
      </c>
      <c r="GK359">
        <v>0</v>
      </c>
      <c r="GL359">
        <f t="shared" si="401"/>
        <v>0</v>
      </c>
      <c r="GM359">
        <f t="shared" si="402"/>
        <v>8458</v>
      </c>
      <c r="GN359">
        <f t="shared" si="403"/>
        <v>8458</v>
      </c>
      <c r="GO359">
        <f t="shared" si="404"/>
        <v>0</v>
      </c>
      <c r="GP359">
        <f t="shared" si="405"/>
        <v>0</v>
      </c>
      <c r="GR359">
        <v>1</v>
      </c>
      <c r="GS359">
        <v>1</v>
      </c>
      <c r="GT359">
        <v>0</v>
      </c>
      <c r="GU359" t="s">
        <v>6</v>
      </c>
      <c r="GV359">
        <f t="shared" si="406"/>
        <v>0</v>
      </c>
      <c r="GW359">
        <v>1</v>
      </c>
      <c r="GX359">
        <f t="shared" si="407"/>
        <v>0</v>
      </c>
      <c r="HA359">
        <v>0</v>
      </c>
      <c r="HB359">
        <v>0</v>
      </c>
      <c r="HC359">
        <f t="shared" si="408"/>
        <v>0</v>
      </c>
      <c r="HE359" t="s">
        <v>39</v>
      </c>
      <c r="HF359" t="s">
        <v>61</v>
      </c>
      <c r="HM359" t="s">
        <v>6</v>
      </c>
      <c r="HN359" t="s">
        <v>6</v>
      </c>
      <c r="HO359" t="s">
        <v>6</v>
      </c>
      <c r="HP359" t="s">
        <v>6</v>
      </c>
      <c r="HQ359" t="s">
        <v>6</v>
      </c>
      <c r="IF359">
        <v>-1</v>
      </c>
      <c r="IK359">
        <v>0</v>
      </c>
    </row>
    <row r="360" spans="1:255" x14ac:dyDescent="0.2">
      <c r="A360" s="2">
        <v>17</v>
      </c>
      <c r="B360" s="2">
        <v>1</v>
      </c>
      <c r="C360" s="2">
        <f>ROW(SmtRes!A456)</f>
        <v>456</v>
      </c>
      <c r="D360" s="2">
        <f>ROW(EtalonRes!A377)</f>
        <v>377</v>
      </c>
      <c r="E360" s="2" t="s">
        <v>484</v>
      </c>
      <c r="F360" s="2" t="s">
        <v>369</v>
      </c>
      <c r="G360" s="2" t="s">
        <v>370</v>
      </c>
      <c r="H360" s="2" t="s">
        <v>49</v>
      </c>
      <c r="I360" s="2">
        <f>'2.Лок.смета.и.Акт'!E53</f>
        <v>0.05</v>
      </c>
      <c r="J360" s="2">
        <v>0</v>
      </c>
      <c r="K360" s="2">
        <v>0.2</v>
      </c>
      <c r="L360" s="2"/>
      <c r="M360" s="2"/>
      <c r="N360" s="2"/>
      <c r="O360" s="2">
        <f t="shared" si="377"/>
        <v>15</v>
      </c>
      <c r="P360" s="2">
        <f t="shared" si="378"/>
        <v>0</v>
      </c>
      <c r="Q360" s="2">
        <f t="shared" si="379"/>
        <v>4</v>
      </c>
      <c r="R360" s="2">
        <f t="shared" si="380"/>
        <v>0</v>
      </c>
      <c r="S360" s="2">
        <f t="shared" si="381"/>
        <v>11</v>
      </c>
      <c r="T360" s="2">
        <f t="shared" si="382"/>
        <v>0</v>
      </c>
      <c r="U360" s="2">
        <f t="shared" si="383"/>
        <v>1.4322000000000001</v>
      </c>
      <c r="V360" s="2">
        <f t="shared" si="384"/>
        <v>3.1360000000000006E-2</v>
      </c>
      <c r="W360" s="2">
        <f t="shared" si="385"/>
        <v>0</v>
      </c>
      <c r="X360" s="2">
        <f t="shared" si="386"/>
        <v>13</v>
      </c>
      <c r="Y360" s="2">
        <f t="shared" si="387"/>
        <v>8</v>
      </c>
      <c r="Z360" s="2"/>
      <c r="AA360" s="2">
        <v>86326987</v>
      </c>
      <c r="AB360" s="2">
        <f t="shared" si="388"/>
        <v>316.27999999999997</v>
      </c>
      <c r="AC360" s="2">
        <f>ROUND((ES360+(SUM(SmtRes!BC449:'SmtRes'!BC456)+SUM(EtalonRes!AL371:'EtalonRes'!AL377))),2)</f>
        <v>0</v>
      </c>
      <c r="AD360" s="2">
        <f>ROUND(((((ET360*1.12)+(SUM(SmtRes!BD449:'SmtRes'!BD456)+SUM(EtalonRes!AM371:'EtalonRes'!AM377)))-((EU360*1.12)+(SUM(SmtRes!BE449:'SmtRes'!BE456)+SUM(EtalonRes!AN371:'EtalonRes'!AN377))))+AE360),2)</f>
        <v>86.84</v>
      </c>
      <c r="AE360" s="2">
        <f>ROUND(((EU360*1.12)+(SUM(SmtRes!BE449:'SmtRes'!BE456)+SUM(EtalonRes!AN371:'EtalonRes'!AN377))),2)</f>
        <v>8.5299999999999994</v>
      </c>
      <c r="AF360" s="2">
        <f>ROUND(((EV360*1.05)),2)</f>
        <v>229.44</v>
      </c>
      <c r="AG360" s="2">
        <f t="shared" si="389"/>
        <v>0</v>
      </c>
      <c r="AH360" s="2">
        <f>((EW360*1.05))</f>
        <v>28.644000000000002</v>
      </c>
      <c r="AI360" s="2">
        <f>((EX360*1.12))</f>
        <v>0.62720000000000009</v>
      </c>
      <c r="AJ360" s="2">
        <f t="shared" si="390"/>
        <v>0</v>
      </c>
      <c r="AK360" s="2">
        <v>6348.38</v>
      </c>
      <c r="AL360" s="2">
        <v>6063.35</v>
      </c>
      <c r="AM360" s="2">
        <v>66.52</v>
      </c>
      <c r="AN360" s="2">
        <v>7.62</v>
      </c>
      <c r="AO360" s="2">
        <v>218.51</v>
      </c>
      <c r="AP360" s="2">
        <v>0</v>
      </c>
      <c r="AQ360" s="2">
        <v>27.28</v>
      </c>
      <c r="AR360" s="2">
        <v>0.56000000000000005</v>
      </c>
      <c r="AS360" s="2">
        <v>0</v>
      </c>
      <c r="AT360" s="2">
        <v>120</v>
      </c>
      <c r="AU360" s="2">
        <v>77</v>
      </c>
      <c r="AV360" s="2">
        <v>1</v>
      </c>
      <c r="AW360" s="2">
        <v>1</v>
      </c>
      <c r="AX360" s="2"/>
      <c r="AY360" s="2"/>
      <c r="AZ360" s="2">
        <v>1</v>
      </c>
      <c r="BA360" s="2">
        <v>1</v>
      </c>
      <c r="BB360" s="2">
        <v>1</v>
      </c>
      <c r="BC360" s="2">
        <v>1</v>
      </c>
      <c r="BD360" s="2" t="s">
        <v>6</v>
      </c>
      <c r="BE360" s="2" t="s">
        <v>6</v>
      </c>
      <c r="BF360" s="2" t="s">
        <v>6</v>
      </c>
      <c r="BG360" s="2" t="s">
        <v>6</v>
      </c>
      <c r="BH360" s="2">
        <v>0</v>
      </c>
      <c r="BI360" s="2">
        <v>1</v>
      </c>
      <c r="BJ360" s="2" t="s">
        <v>371</v>
      </c>
      <c r="BK360" s="2"/>
      <c r="BL360" s="2"/>
      <c r="BM360" s="2">
        <v>6002</v>
      </c>
      <c r="BN360" s="2">
        <v>0</v>
      </c>
      <c r="BO360" s="2" t="s">
        <v>6</v>
      </c>
      <c r="BP360" s="2">
        <v>0</v>
      </c>
      <c r="BQ360" s="2">
        <v>1</v>
      </c>
      <c r="BR360" s="2">
        <v>0</v>
      </c>
      <c r="BS360" s="2">
        <v>1</v>
      </c>
      <c r="BT360" s="2">
        <v>1</v>
      </c>
      <c r="BU360" s="2">
        <v>1</v>
      </c>
      <c r="BV360" s="2">
        <v>1</v>
      </c>
      <c r="BW360" s="2">
        <v>1</v>
      </c>
      <c r="BX360" s="2">
        <v>1</v>
      </c>
      <c r="BY360" s="2" t="s">
        <v>6</v>
      </c>
      <c r="BZ360" s="2">
        <v>120</v>
      </c>
      <c r="CA360" s="2">
        <v>77</v>
      </c>
      <c r="CB360" s="2" t="s">
        <v>6</v>
      </c>
      <c r="CC360" s="2"/>
      <c r="CD360" s="2"/>
      <c r="CE360" s="2">
        <v>0</v>
      </c>
      <c r="CF360" s="2">
        <v>0</v>
      </c>
      <c r="CG360" s="2">
        <v>0</v>
      </c>
      <c r="CH360" s="2"/>
      <c r="CI360" s="2"/>
      <c r="CJ360" s="2"/>
      <c r="CK360" s="2"/>
      <c r="CL360" s="2"/>
      <c r="CM360" s="2">
        <v>0</v>
      </c>
      <c r="CN360" s="2" t="s">
        <v>23</v>
      </c>
      <c r="CO360" s="2">
        <v>0</v>
      </c>
      <c r="CP360" s="2">
        <f t="shared" si="391"/>
        <v>15</v>
      </c>
      <c r="CQ360" s="2">
        <f t="shared" si="392"/>
        <v>0</v>
      </c>
      <c r="CR360" s="2">
        <f t="shared" si="393"/>
        <v>86.84</v>
      </c>
      <c r="CS360" s="2">
        <f t="shared" si="394"/>
        <v>8.5299999999999994</v>
      </c>
      <c r="CT360" s="2">
        <f t="shared" si="395"/>
        <v>229.44</v>
      </c>
      <c r="CU360" s="2">
        <f t="shared" si="396"/>
        <v>0</v>
      </c>
      <c r="CV360" s="2">
        <f t="shared" si="397"/>
        <v>28.644000000000002</v>
      </c>
      <c r="CW360" s="2">
        <f t="shared" si="398"/>
        <v>0.62720000000000009</v>
      </c>
      <c r="CX360" s="2">
        <f t="shared" si="399"/>
        <v>0</v>
      </c>
      <c r="CY360" s="2">
        <f>(((S360+(R360*IF(0,0,1)))*AT360)/100)</f>
        <v>13.2</v>
      </c>
      <c r="CZ360" s="2">
        <f>(((S360+(R360*IF(0,0,1)))*AU360)/100)</f>
        <v>8.4700000000000006</v>
      </c>
      <c r="DA360" s="2"/>
      <c r="DB360" s="2"/>
      <c r="DC360" s="2" t="s">
        <v>6</v>
      </c>
      <c r="DD360" s="2" t="s">
        <v>6</v>
      </c>
      <c r="DE360" s="2" t="s">
        <v>24</v>
      </c>
      <c r="DF360" s="2" t="s">
        <v>24</v>
      </c>
      <c r="DG360" s="2" t="s">
        <v>25</v>
      </c>
      <c r="DH360" s="2" t="s">
        <v>6</v>
      </c>
      <c r="DI360" s="2" t="s">
        <v>25</v>
      </c>
      <c r="DJ360" s="2" t="s">
        <v>24</v>
      </c>
      <c r="DK360" s="2" t="s">
        <v>6</v>
      </c>
      <c r="DL360" s="2" t="s">
        <v>6</v>
      </c>
      <c r="DM360" s="2" t="s">
        <v>6</v>
      </c>
      <c r="DN360" s="2">
        <v>0</v>
      </c>
      <c r="DO360" s="2">
        <v>0</v>
      </c>
      <c r="DP360" s="2">
        <v>1</v>
      </c>
      <c r="DQ360" s="2">
        <v>1</v>
      </c>
      <c r="DR360" s="2"/>
      <c r="DS360" s="2"/>
      <c r="DT360" s="2"/>
      <c r="DU360" s="2">
        <v>1013</v>
      </c>
      <c r="DV360" s="2" t="s">
        <v>49</v>
      </c>
      <c r="DW360" s="2" t="s">
        <v>49</v>
      </c>
      <c r="DX360" s="2">
        <v>1</v>
      </c>
      <c r="DY360" s="2"/>
      <c r="DZ360" s="2" t="s">
        <v>6</v>
      </c>
      <c r="EA360" s="2" t="s">
        <v>6</v>
      </c>
      <c r="EB360" s="2" t="s">
        <v>6</v>
      </c>
      <c r="EC360" s="2" t="s">
        <v>6</v>
      </c>
      <c r="ED360" s="2"/>
      <c r="EE360" s="2">
        <v>54938592</v>
      </c>
      <c r="EF360" s="2">
        <v>1</v>
      </c>
      <c r="EG360" s="2" t="s">
        <v>26</v>
      </c>
      <c r="EH360" s="2">
        <v>0</v>
      </c>
      <c r="EI360" s="2" t="s">
        <v>6</v>
      </c>
      <c r="EJ360" s="2">
        <v>1</v>
      </c>
      <c r="EK360" s="2">
        <v>6002</v>
      </c>
      <c r="EL360" s="2" t="s">
        <v>27</v>
      </c>
      <c r="EM360" s="2" t="s">
        <v>28</v>
      </c>
      <c r="EN360" s="2"/>
      <c r="EO360" s="2" t="s">
        <v>29</v>
      </c>
      <c r="EP360" s="2"/>
      <c r="EQ360" s="2">
        <v>2228224</v>
      </c>
      <c r="ER360" s="2">
        <v>6348.38</v>
      </c>
      <c r="ES360" s="2">
        <v>6063.35</v>
      </c>
      <c r="ET360" s="2">
        <v>66.52</v>
      </c>
      <c r="EU360" s="2">
        <v>7.62</v>
      </c>
      <c r="EV360" s="2">
        <v>218.51</v>
      </c>
      <c r="EW360" s="2">
        <v>27.28</v>
      </c>
      <c r="EX360" s="2">
        <v>0.56000000000000005</v>
      </c>
      <c r="EY360" s="2">
        <v>1</v>
      </c>
      <c r="EZ360" s="2"/>
      <c r="FA360" s="2"/>
      <c r="FB360" s="2"/>
      <c r="FC360" s="2"/>
      <c r="FD360" s="2"/>
      <c r="FE360" s="2"/>
      <c r="FF360" s="2"/>
      <c r="FG360" s="2"/>
      <c r="FH360" s="2"/>
      <c r="FI360" s="2"/>
      <c r="FJ360" s="2"/>
      <c r="FK360" s="2"/>
      <c r="FL360" s="2"/>
      <c r="FM360" s="2"/>
      <c r="FN360" s="2"/>
      <c r="FO360" s="2"/>
      <c r="FP360" s="2"/>
      <c r="FQ360" s="2">
        <v>0</v>
      </c>
      <c r="FR360" s="2">
        <f t="shared" si="400"/>
        <v>0</v>
      </c>
      <c r="FS360" s="2">
        <v>0</v>
      </c>
      <c r="FT360" s="2"/>
      <c r="FU360" s="2"/>
      <c r="FV360" s="2"/>
      <c r="FW360" s="2"/>
      <c r="FX360" s="2">
        <v>120</v>
      </c>
      <c r="FY360" s="2">
        <v>77</v>
      </c>
      <c r="FZ360" s="2"/>
      <c r="GA360" s="2" t="s">
        <v>6</v>
      </c>
      <c r="GB360" s="2"/>
      <c r="GC360" s="2"/>
      <c r="GD360" s="2">
        <v>1</v>
      </c>
      <c r="GE360" s="2"/>
      <c r="GF360" s="2">
        <v>-1211872554</v>
      </c>
      <c r="GG360" s="2">
        <v>2</v>
      </c>
      <c r="GH360" s="2">
        <v>1</v>
      </c>
      <c r="GI360" s="2">
        <v>-2</v>
      </c>
      <c r="GJ360" s="2">
        <v>0</v>
      </c>
      <c r="GK360" s="2">
        <v>0</v>
      </c>
      <c r="GL360" s="2">
        <f t="shared" si="401"/>
        <v>0</v>
      </c>
      <c r="GM360" s="2">
        <f t="shared" si="402"/>
        <v>36</v>
      </c>
      <c r="GN360" s="2">
        <f t="shared" si="403"/>
        <v>36</v>
      </c>
      <c r="GO360" s="2">
        <f t="shared" si="404"/>
        <v>0</v>
      </c>
      <c r="GP360" s="2">
        <f t="shared" si="405"/>
        <v>0</v>
      </c>
      <c r="GQ360" s="2"/>
      <c r="GR360" s="2">
        <v>0</v>
      </c>
      <c r="GS360" s="2">
        <v>3</v>
      </c>
      <c r="GT360" s="2">
        <v>0</v>
      </c>
      <c r="GU360" s="2" t="s">
        <v>6</v>
      </c>
      <c r="GV360" s="2">
        <f t="shared" si="406"/>
        <v>0</v>
      </c>
      <c r="GW360" s="2">
        <v>1</v>
      </c>
      <c r="GX360" s="2">
        <f t="shared" si="407"/>
        <v>0</v>
      </c>
      <c r="GY360" s="2"/>
      <c r="GZ360" s="2"/>
      <c r="HA360" s="2">
        <v>0</v>
      </c>
      <c r="HB360" s="2">
        <v>0</v>
      </c>
      <c r="HC360" s="2">
        <f t="shared" si="408"/>
        <v>0</v>
      </c>
      <c r="HD360" s="2"/>
      <c r="HE360" s="2" t="s">
        <v>6</v>
      </c>
      <c r="HF360" s="2" t="s">
        <v>6</v>
      </c>
      <c r="HG360" s="2"/>
      <c r="HH360" s="2"/>
      <c r="HI360" s="2"/>
      <c r="HJ360" s="2"/>
      <c r="HK360" s="2"/>
      <c r="HL360" s="2"/>
      <c r="HM360" s="2" t="s">
        <v>6</v>
      </c>
      <c r="HN360" s="2" t="s">
        <v>6</v>
      </c>
      <c r="HO360" s="2" t="s">
        <v>6</v>
      </c>
      <c r="HP360" s="2" t="s">
        <v>6</v>
      </c>
      <c r="HQ360" s="2" t="s">
        <v>6</v>
      </c>
      <c r="HR360" s="2"/>
      <c r="HS360" s="2"/>
      <c r="HT360" s="2"/>
      <c r="HU360" s="2"/>
      <c r="HV360" s="2"/>
      <c r="HW360" s="2"/>
      <c r="HX360" s="2"/>
      <c r="HY360" s="2"/>
      <c r="HZ360" s="2"/>
      <c r="IA360" s="2"/>
      <c r="IB360" s="2"/>
      <c r="IC360" s="2"/>
      <c r="ID360" s="2"/>
      <c r="IE360" s="2"/>
      <c r="IF360" s="2">
        <v>-1</v>
      </c>
      <c r="IG360" s="2"/>
      <c r="IH360" s="2"/>
      <c r="II360" s="2"/>
      <c r="IJ360" s="2"/>
      <c r="IK360" s="2">
        <v>0</v>
      </c>
      <c r="IL360" s="2"/>
      <c r="IM360" s="2"/>
      <c r="IN360" s="2"/>
      <c r="IO360" s="2"/>
      <c r="IP360" s="2"/>
      <c r="IQ360" s="2"/>
      <c r="IR360" s="2"/>
      <c r="IS360" s="2"/>
      <c r="IT360" s="2"/>
      <c r="IU360" s="2"/>
    </row>
    <row r="361" spans="1:255" x14ac:dyDescent="0.2">
      <c r="A361">
        <v>17</v>
      </c>
      <c r="B361">
        <v>1</v>
      </c>
      <c r="C361">
        <f>ROW(SmtRes!A464)</f>
        <v>464</v>
      </c>
      <c r="D361">
        <f>ROW(EtalonRes!A384)</f>
        <v>384</v>
      </c>
      <c r="E361" t="s">
        <v>484</v>
      </c>
      <c r="F361" t="s">
        <v>369</v>
      </c>
      <c r="G361" t="s">
        <v>370</v>
      </c>
      <c r="H361" t="s">
        <v>49</v>
      </c>
      <c r="I361">
        <f>'2.Лок.смета.и.Акт'!E53</f>
        <v>0.05</v>
      </c>
      <c r="J361">
        <v>0</v>
      </c>
      <c r="K361">
        <v>0.2</v>
      </c>
      <c r="O361">
        <f t="shared" si="377"/>
        <v>325</v>
      </c>
      <c r="P361">
        <f t="shared" si="378"/>
        <v>0</v>
      </c>
      <c r="Q361">
        <f t="shared" si="379"/>
        <v>34</v>
      </c>
      <c r="R361">
        <f t="shared" si="380"/>
        <v>8</v>
      </c>
      <c r="S361">
        <f t="shared" si="381"/>
        <v>291</v>
      </c>
      <c r="T361">
        <f t="shared" si="382"/>
        <v>0</v>
      </c>
      <c r="U361" t="e">
        <f t="shared" si="383"/>
        <v>#REF!</v>
      </c>
      <c r="V361">
        <f t="shared" si="384"/>
        <v>3.1360000000000006E-2</v>
      </c>
      <c r="W361">
        <f t="shared" si="385"/>
        <v>0</v>
      </c>
      <c r="X361" t="e">
        <f t="shared" si="386"/>
        <v>#REF!</v>
      </c>
      <c r="Y361" t="e">
        <f t="shared" si="387"/>
        <v>#REF!</v>
      </c>
      <c r="AA361">
        <v>86326988</v>
      </c>
      <c r="AB361">
        <f t="shared" si="388"/>
        <v>316.27999999999997</v>
      </c>
      <c r="AC361">
        <f>ROUND((ES361+(SUM(SmtRes!BC457:'SmtRes'!BC464)+SUM(EtalonRes!AL378:'EtalonRes'!AL384))),2)</f>
        <v>0</v>
      </c>
      <c r="AD361">
        <f>ROUND(((((ET361*1.12)+(SUM(SmtRes!BD457:'SmtRes'!BD464)+SUM(EtalonRes!AM378:'EtalonRes'!AM384)))-((EU361*1.12)+(SUM(SmtRes!BE457:'SmtRes'!BE464)+SUM(EtalonRes!AN378:'EtalonRes'!AN384))))+AE361),2)</f>
        <v>86.84</v>
      </c>
      <c r="AE361">
        <f>ROUND(((EU361*1.12)+(SUM(SmtRes!BE457:'SmtRes'!BE464)+SUM(EtalonRes!AN378:'EtalonRes'!AN384))),2)</f>
        <v>8.5299999999999994</v>
      </c>
      <c r="AF361">
        <f>ROUND(((EV361*1.05)),2)</f>
        <v>229.44</v>
      </c>
      <c r="AG361">
        <f t="shared" si="389"/>
        <v>0</v>
      </c>
      <c r="AH361" t="e">
        <f>((EW361*1.05))</f>
        <v>#REF!</v>
      </c>
      <c r="AI361">
        <f>((EX361*1.12))</f>
        <v>0.62720000000000009</v>
      </c>
      <c r="AJ361">
        <f t="shared" si="390"/>
        <v>0</v>
      </c>
      <c r="AK361">
        <f>AL361+AM361+AO361</f>
        <v>6348.380000000001</v>
      </c>
      <c r="AL361">
        <v>6063.35</v>
      </c>
      <c r="AM361" s="75">
        <f>'1.Лок.смета.и.Акт'!F660</f>
        <v>66.52</v>
      </c>
      <c r="AN361" s="75">
        <f>'1.Лок.смета.и.Акт'!F661</f>
        <v>7.62</v>
      </c>
      <c r="AO361" s="75">
        <f>'1.Лок.смета.и.Акт'!F659</f>
        <v>218.51</v>
      </c>
      <c r="AP361">
        <v>0</v>
      </c>
      <c r="AQ361" t="e">
        <f>'2.Лок.смета.и.Акт'!#REF!</f>
        <v>#REF!</v>
      </c>
      <c r="AR361">
        <v>0.56000000000000005</v>
      </c>
      <c r="AS361">
        <v>0</v>
      </c>
      <c r="AT361">
        <v>114</v>
      </c>
      <c r="AU361">
        <v>65</v>
      </c>
      <c r="AV361">
        <v>1</v>
      </c>
      <c r="AW361">
        <v>1</v>
      </c>
      <c r="AZ361">
        <v>1</v>
      </c>
      <c r="BA361">
        <f>'1.Лок.смета.и.Акт'!J659</f>
        <v>25.36</v>
      </c>
      <c r="BB361">
        <f>'1.Лок.смета.и.Акт'!J660</f>
        <v>7.84</v>
      </c>
      <c r="BC361">
        <v>7.56</v>
      </c>
      <c r="BD361" t="s">
        <v>6</v>
      </c>
      <c r="BE361" t="s">
        <v>6</v>
      </c>
      <c r="BF361" t="s">
        <v>6</v>
      </c>
      <c r="BG361" t="s">
        <v>6</v>
      </c>
      <c r="BH361">
        <v>0</v>
      </c>
      <c r="BI361">
        <v>1</v>
      </c>
      <c r="BJ361" t="s">
        <v>371</v>
      </c>
      <c r="BM361">
        <v>6002</v>
      </c>
      <c r="BN361">
        <v>0</v>
      </c>
      <c r="BO361" t="s">
        <v>369</v>
      </c>
      <c r="BP361">
        <v>1</v>
      </c>
      <c r="BQ361">
        <v>1</v>
      </c>
      <c r="BR361">
        <v>0</v>
      </c>
      <c r="BS361">
        <f>'1.Лок.смета.и.Акт'!J661</f>
        <v>19.8</v>
      </c>
      <c r="BT361">
        <v>1</v>
      </c>
      <c r="BU361">
        <v>1</v>
      </c>
      <c r="BV361">
        <v>1</v>
      </c>
      <c r="BW361">
        <v>1</v>
      </c>
      <c r="BX361">
        <v>1</v>
      </c>
      <c r="BY361" t="s">
        <v>6</v>
      </c>
      <c r="BZ361" t="e">
        <f>'2.Лок.смета.и.Акт'!#REF!</f>
        <v>#REF!</v>
      </c>
      <c r="CA361" t="e">
        <f>'2.Лок.смета.и.Акт'!#REF!</f>
        <v>#REF!</v>
      </c>
      <c r="CB361" t="s">
        <v>6</v>
      </c>
      <c r="CE361">
        <v>0</v>
      </c>
      <c r="CF361">
        <v>0</v>
      </c>
      <c r="CG361">
        <v>0</v>
      </c>
      <c r="CM361">
        <v>0</v>
      </c>
      <c r="CN361" t="s">
        <v>23</v>
      </c>
      <c r="CO361">
        <v>0</v>
      </c>
      <c r="CP361">
        <f t="shared" si="391"/>
        <v>325</v>
      </c>
      <c r="CQ361">
        <f t="shared" si="392"/>
        <v>0</v>
      </c>
      <c r="CR361">
        <f t="shared" si="393"/>
        <v>680.82560000000001</v>
      </c>
      <c r="CS361">
        <f t="shared" si="394"/>
        <v>168.89400000000001</v>
      </c>
      <c r="CT361">
        <f t="shared" si="395"/>
        <v>5818.5983999999999</v>
      </c>
      <c r="CU361">
        <f t="shared" si="396"/>
        <v>0</v>
      </c>
      <c r="CV361" t="e">
        <f t="shared" si="397"/>
        <v>#REF!</v>
      </c>
      <c r="CW361">
        <f t="shared" si="398"/>
        <v>0.62720000000000009</v>
      </c>
      <c r="CX361">
        <f t="shared" si="399"/>
        <v>0</v>
      </c>
      <c r="CY361" t="e">
        <f>(S361+R361)*(BZ361/100)</f>
        <v>#REF!</v>
      </c>
      <c r="CZ361" t="e">
        <f>(S361+R361)*(CA361/100)</f>
        <v>#REF!</v>
      </c>
      <c r="DC361" t="s">
        <v>6</v>
      </c>
      <c r="DD361" t="s">
        <v>6</v>
      </c>
      <c r="DE361" t="s">
        <v>24</v>
      </c>
      <c r="DF361" t="s">
        <v>24</v>
      </c>
      <c r="DG361" t="s">
        <v>25</v>
      </c>
      <c r="DH361" t="s">
        <v>6</v>
      </c>
      <c r="DI361" t="s">
        <v>25</v>
      </c>
      <c r="DJ361" t="s">
        <v>24</v>
      </c>
      <c r="DK361" t="s">
        <v>6</v>
      </c>
      <c r="DL361" t="s">
        <v>6</v>
      </c>
      <c r="DM361" t="s">
        <v>6</v>
      </c>
      <c r="DN361">
        <f>'1.Лок.смета.и.Акт'!E662</f>
        <v>120</v>
      </c>
      <c r="DO361">
        <f>'1.Лок.смета.и.Акт'!E663</f>
        <v>77</v>
      </c>
      <c r="DP361">
        <v>1</v>
      </c>
      <c r="DQ361">
        <v>1</v>
      </c>
      <c r="DU361">
        <v>1013</v>
      </c>
      <c r="DV361" t="s">
        <v>49</v>
      </c>
      <c r="DW361" t="str">
        <f>'2.Лок.смета.и.Акт'!D53</f>
        <v>1 т арматуры, закладных деталей</v>
      </c>
      <c r="DX361">
        <v>1</v>
      </c>
      <c r="DZ361" t="s">
        <v>6</v>
      </c>
      <c r="EA361" t="s">
        <v>6</v>
      </c>
      <c r="EB361" t="s">
        <v>6</v>
      </c>
      <c r="EC361" t="s">
        <v>6</v>
      </c>
      <c r="EE361">
        <v>54938592</v>
      </c>
      <c r="EF361">
        <v>1</v>
      </c>
      <c r="EG361" t="s">
        <v>26</v>
      </c>
      <c r="EH361">
        <v>0</v>
      </c>
      <c r="EI361" t="s">
        <v>6</v>
      </c>
      <c r="EJ361">
        <v>1</v>
      </c>
      <c r="EK361">
        <v>6002</v>
      </c>
      <c r="EL361" t="s">
        <v>27</v>
      </c>
      <c r="EM361" t="s">
        <v>28</v>
      </c>
      <c r="EO361" t="s">
        <v>29</v>
      </c>
      <c r="EQ361">
        <v>2228224</v>
      </c>
      <c r="ER361">
        <f>ES361+ET361+EV361</f>
        <v>6348.380000000001</v>
      </c>
      <c r="ES361">
        <v>6063.35</v>
      </c>
      <c r="ET361" s="75">
        <f>'1.Лок.смета.и.Акт'!F660</f>
        <v>66.52</v>
      </c>
      <c r="EU361" s="75">
        <f>'1.Лок.смета.и.Акт'!F661</f>
        <v>7.62</v>
      </c>
      <c r="EV361" s="75">
        <f>'1.Лок.смета.и.Акт'!F659</f>
        <v>218.51</v>
      </c>
      <c r="EW361" t="e">
        <f>'2.Лок.смета.и.Акт'!#REF!</f>
        <v>#REF!</v>
      </c>
      <c r="EX361">
        <v>0.56000000000000005</v>
      </c>
      <c r="EY361">
        <v>1</v>
      </c>
      <c r="FQ361">
        <v>0</v>
      </c>
      <c r="FR361">
        <f t="shared" si="400"/>
        <v>0</v>
      </c>
      <c r="FS361">
        <v>0</v>
      </c>
      <c r="FX361">
        <v>120</v>
      </c>
      <c r="FY361">
        <v>77</v>
      </c>
      <c r="GA361" t="s">
        <v>6</v>
      </c>
      <c r="GD361">
        <v>1</v>
      </c>
      <c r="GF361">
        <v>-1211872554</v>
      </c>
      <c r="GG361">
        <v>2</v>
      </c>
      <c r="GH361">
        <v>1</v>
      </c>
      <c r="GI361">
        <v>2</v>
      </c>
      <c r="GJ361">
        <v>0</v>
      </c>
      <c r="GK361">
        <v>0</v>
      </c>
      <c r="GL361">
        <f t="shared" si="401"/>
        <v>0</v>
      </c>
      <c r="GM361" t="e">
        <f t="shared" si="402"/>
        <v>#REF!</v>
      </c>
      <c r="GN361" t="e">
        <f t="shared" si="403"/>
        <v>#REF!</v>
      </c>
      <c r="GO361">
        <f t="shared" si="404"/>
        <v>0</v>
      </c>
      <c r="GP361">
        <f t="shared" si="405"/>
        <v>0</v>
      </c>
      <c r="GR361">
        <v>0</v>
      </c>
      <c r="GS361">
        <v>3</v>
      </c>
      <c r="GT361">
        <v>0</v>
      </c>
      <c r="GU361" t="s">
        <v>6</v>
      </c>
      <c r="GV361">
        <f t="shared" si="406"/>
        <v>0</v>
      </c>
      <c r="GW361">
        <v>1015.2</v>
      </c>
      <c r="GX361">
        <f t="shared" si="407"/>
        <v>0</v>
      </c>
      <c r="HA361">
        <v>0</v>
      </c>
      <c r="HB361">
        <v>0</v>
      </c>
      <c r="HC361">
        <f t="shared" si="408"/>
        <v>0</v>
      </c>
      <c r="HE361" t="s">
        <v>6</v>
      </c>
      <c r="HF361" t="s">
        <v>6</v>
      </c>
      <c r="HM361" t="s">
        <v>6</v>
      </c>
      <c r="HN361" t="s">
        <v>6</v>
      </c>
      <c r="HO361" t="s">
        <v>6</v>
      </c>
      <c r="HP361" t="s">
        <v>6</v>
      </c>
      <c r="HQ361" t="s">
        <v>6</v>
      </c>
      <c r="IF361">
        <v>-1</v>
      </c>
      <c r="IK361">
        <v>0</v>
      </c>
    </row>
    <row r="362" spans="1:255" x14ac:dyDescent="0.2">
      <c r="A362" s="2">
        <v>18</v>
      </c>
      <c r="B362" s="2">
        <v>1</v>
      </c>
      <c r="C362" s="2">
        <v>454</v>
      </c>
      <c r="D362" s="2"/>
      <c r="E362" s="2" t="s">
        <v>485</v>
      </c>
      <c r="F362" s="2" t="s">
        <v>316</v>
      </c>
      <c r="G362" s="2" t="s">
        <v>317</v>
      </c>
      <c r="H362" s="2" t="s">
        <v>33</v>
      </c>
      <c r="I362" s="2">
        <f>I360*J362</f>
        <v>2.9999999999999997E-4</v>
      </c>
      <c r="J362" s="226">
        <f>'5.Ведомость_списания'!F157</f>
        <v>5.9999999999999993E-3</v>
      </c>
      <c r="K362" s="2">
        <v>6.0000000000000001E-3</v>
      </c>
      <c r="L362" s="2"/>
      <c r="M362" s="2"/>
      <c r="N362" s="2"/>
      <c r="O362" s="2">
        <f t="shared" si="377"/>
        <v>3</v>
      </c>
      <c r="P362" s="2">
        <f t="shared" si="378"/>
        <v>3</v>
      </c>
      <c r="Q362" s="2">
        <f t="shared" si="379"/>
        <v>0</v>
      </c>
      <c r="R362" s="2">
        <f t="shared" si="380"/>
        <v>0</v>
      </c>
      <c r="S362" s="2">
        <f t="shared" si="381"/>
        <v>0</v>
      </c>
      <c r="T362" s="2">
        <f t="shared" si="382"/>
        <v>0</v>
      </c>
      <c r="U362" s="2">
        <f t="shared" si="383"/>
        <v>0</v>
      </c>
      <c r="V362" s="2">
        <f t="shared" si="384"/>
        <v>0</v>
      </c>
      <c r="W362" s="2">
        <f t="shared" si="385"/>
        <v>0</v>
      </c>
      <c r="X362" s="2">
        <f t="shared" si="386"/>
        <v>0</v>
      </c>
      <c r="Y362" s="2">
        <f t="shared" si="387"/>
        <v>0</v>
      </c>
      <c r="Z362" s="2"/>
      <c r="AA362" s="2">
        <v>86326987</v>
      </c>
      <c r="AB362" s="2">
        <f t="shared" si="388"/>
        <v>10559.12</v>
      </c>
      <c r="AC362" s="2">
        <f t="shared" ref="AC362:AC367" si="411">ROUND((ES362),2)</f>
        <v>10559.12</v>
      </c>
      <c r="AD362" s="2">
        <f t="shared" ref="AD362:AD373" si="412">ROUND((((ET362)-(EU362))+AE362),2)</f>
        <v>0</v>
      </c>
      <c r="AE362" s="2">
        <f t="shared" ref="AE362:AE373" si="413">ROUND((EU362),2)</f>
        <v>0</v>
      </c>
      <c r="AF362" s="2">
        <f t="shared" ref="AF362:AF373" si="414">ROUND((EV362),2)</f>
        <v>0</v>
      </c>
      <c r="AG362" s="2">
        <f t="shared" si="389"/>
        <v>0</v>
      </c>
      <c r="AH362" s="2">
        <f t="shared" ref="AH362:AH373" si="415">(EW362)</f>
        <v>0</v>
      </c>
      <c r="AI362" s="2">
        <f t="shared" ref="AI362:AI373" si="416">(EX362)</f>
        <v>0</v>
      </c>
      <c r="AJ362" s="2">
        <f t="shared" si="390"/>
        <v>22.28</v>
      </c>
      <c r="AK362" s="2">
        <v>10559.12</v>
      </c>
      <c r="AL362" s="110">
        <f>'1.Лок.смета.и.Акт'!F665</f>
        <v>10559.12</v>
      </c>
      <c r="AM362" s="2">
        <v>0</v>
      </c>
      <c r="AN362" s="2">
        <v>0</v>
      </c>
      <c r="AO362" s="2">
        <v>0</v>
      </c>
      <c r="AP362" s="2">
        <v>0</v>
      </c>
      <c r="AQ362" s="2">
        <v>0</v>
      </c>
      <c r="AR362" s="2">
        <v>0</v>
      </c>
      <c r="AS362" s="2">
        <v>22.28</v>
      </c>
      <c r="AT362" s="2">
        <v>0</v>
      </c>
      <c r="AU362" s="2">
        <v>0</v>
      </c>
      <c r="AV362" s="2">
        <v>1</v>
      </c>
      <c r="AW362" s="2">
        <v>1</v>
      </c>
      <c r="AX362" s="2"/>
      <c r="AY362" s="2"/>
      <c r="AZ362" s="2">
        <v>1</v>
      </c>
      <c r="BA362" s="2">
        <v>1</v>
      </c>
      <c r="BB362" s="2">
        <v>1</v>
      </c>
      <c r="BC362" s="2">
        <v>1</v>
      </c>
      <c r="BD362" s="2" t="s">
        <v>6</v>
      </c>
      <c r="BE362" s="2" t="s">
        <v>6</v>
      </c>
      <c r="BF362" s="2" t="s">
        <v>6</v>
      </c>
      <c r="BG362" s="2" t="s">
        <v>6</v>
      </c>
      <c r="BH362" s="2">
        <v>3</v>
      </c>
      <c r="BI362" s="2">
        <v>1</v>
      </c>
      <c r="BJ362" s="2" t="s">
        <v>318</v>
      </c>
      <c r="BK362" s="2"/>
      <c r="BL362" s="2"/>
      <c r="BM362" s="2">
        <v>500001</v>
      </c>
      <c r="BN362" s="2">
        <v>0</v>
      </c>
      <c r="BO362" s="2" t="s">
        <v>6</v>
      </c>
      <c r="BP362" s="2">
        <v>0</v>
      </c>
      <c r="BQ362" s="2">
        <v>20</v>
      </c>
      <c r="BR362" s="2">
        <v>0</v>
      </c>
      <c r="BS362" s="2">
        <v>1</v>
      </c>
      <c r="BT362" s="2">
        <v>1</v>
      </c>
      <c r="BU362" s="2">
        <v>1</v>
      </c>
      <c r="BV362" s="2">
        <v>1</v>
      </c>
      <c r="BW362" s="2">
        <v>1</v>
      </c>
      <c r="BX362" s="2">
        <v>1</v>
      </c>
      <c r="BY362" s="2" t="s">
        <v>6</v>
      </c>
      <c r="BZ362" s="2">
        <v>0</v>
      </c>
      <c r="CA362" s="2">
        <v>0</v>
      </c>
      <c r="CB362" s="2" t="s">
        <v>6</v>
      </c>
      <c r="CC362" s="2"/>
      <c r="CD362" s="2"/>
      <c r="CE362" s="2">
        <v>0</v>
      </c>
      <c r="CF362" s="2">
        <v>0</v>
      </c>
      <c r="CG362" s="2">
        <v>0</v>
      </c>
      <c r="CH362" s="2"/>
      <c r="CI362" s="2"/>
      <c r="CJ362" s="2"/>
      <c r="CK362" s="2"/>
      <c r="CL362" s="2"/>
      <c r="CM362" s="2">
        <v>0</v>
      </c>
      <c r="CN362" s="2" t="s">
        <v>6</v>
      </c>
      <c r="CO362" s="2">
        <v>0</v>
      </c>
      <c r="CP362" s="2">
        <f t="shared" si="391"/>
        <v>3</v>
      </c>
      <c r="CQ362" s="2">
        <f t="shared" si="392"/>
        <v>10559.12</v>
      </c>
      <c r="CR362" s="2">
        <f t="shared" si="393"/>
        <v>0</v>
      </c>
      <c r="CS362" s="2">
        <f t="shared" si="394"/>
        <v>0</v>
      </c>
      <c r="CT362" s="2">
        <f t="shared" si="395"/>
        <v>0</v>
      </c>
      <c r="CU362" s="2">
        <f t="shared" si="396"/>
        <v>0</v>
      </c>
      <c r="CV362" s="2">
        <f t="shared" si="397"/>
        <v>0</v>
      </c>
      <c r="CW362" s="2">
        <f t="shared" si="398"/>
        <v>0</v>
      </c>
      <c r="CX362" s="2">
        <f t="shared" si="399"/>
        <v>22.28</v>
      </c>
      <c r="CY362" s="2">
        <f>(((S362+(R362*IF(0,0,1)))*AT362)/100)</f>
        <v>0</v>
      </c>
      <c r="CZ362" s="2">
        <f>(((S362+(R362*IF(0,0,1)))*AU362)/100)</f>
        <v>0</v>
      </c>
      <c r="DA362" s="2"/>
      <c r="DB362" s="2"/>
      <c r="DC362" s="2" t="s">
        <v>6</v>
      </c>
      <c r="DD362" s="2" t="s">
        <v>6</v>
      </c>
      <c r="DE362" s="2" t="s">
        <v>6</v>
      </c>
      <c r="DF362" s="2" t="s">
        <v>6</v>
      </c>
      <c r="DG362" s="2" t="s">
        <v>6</v>
      </c>
      <c r="DH362" s="2" t="s">
        <v>6</v>
      </c>
      <c r="DI362" s="2" t="s">
        <v>6</v>
      </c>
      <c r="DJ362" s="2" t="s">
        <v>6</v>
      </c>
      <c r="DK362" s="2" t="s">
        <v>6</v>
      </c>
      <c r="DL362" s="2" t="s">
        <v>6</v>
      </c>
      <c r="DM362" s="2" t="s">
        <v>6</v>
      </c>
      <c r="DN362" s="2">
        <v>0</v>
      </c>
      <c r="DO362" s="2">
        <v>0</v>
      </c>
      <c r="DP362" s="2">
        <v>1</v>
      </c>
      <c r="DQ362" s="2">
        <v>1</v>
      </c>
      <c r="DR362" s="2"/>
      <c r="DS362" s="2"/>
      <c r="DT362" s="2"/>
      <c r="DU362" s="2">
        <v>1009</v>
      </c>
      <c r="DV362" s="2" t="s">
        <v>33</v>
      </c>
      <c r="DW362" s="2" t="s">
        <v>33</v>
      </c>
      <c r="DX362" s="2">
        <v>1000</v>
      </c>
      <c r="DY362" s="2"/>
      <c r="DZ362" s="2" t="s">
        <v>6</v>
      </c>
      <c r="EA362" s="2" t="s">
        <v>6</v>
      </c>
      <c r="EB362" s="2" t="s">
        <v>6</v>
      </c>
      <c r="EC362" s="2" t="s">
        <v>6</v>
      </c>
      <c r="ED362" s="2"/>
      <c r="EE362" s="2">
        <v>54938781</v>
      </c>
      <c r="EF362" s="2">
        <v>20</v>
      </c>
      <c r="EG362" s="2" t="s">
        <v>35</v>
      </c>
      <c r="EH362" s="2">
        <v>0</v>
      </c>
      <c r="EI362" s="2" t="s">
        <v>6</v>
      </c>
      <c r="EJ362" s="2">
        <v>1</v>
      </c>
      <c r="EK362" s="2">
        <v>500001</v>
      </c>
      <c r="EL362" s="2" t="s">
        <v>36</v>
      </c>
      <c r="EM362" s="2" t="s">
        <v>37</v>
      </c>
      <c r="EN362" s="2"/>
      <c r="EO362" s="2" t="s">
        <v>6</v>
      </c>
      <c r="EP362" s="2"/>
      <c r="EQ362" s="2">
        <v>0</v>
      </c>
      <c r="ER362" s="2">
        <v>10559.12</v>
      </c>
      <c r="ES362" s="110">
        <f>'1.Лок.смета.и.Акт'!F665</f>
        <v>10559.12</v>
      </c>
      <c r="ET362" s="2">
        <v>0</v>
      </c>
      <c r="EU362" s="2">
        <v>0</v>
      </c>
      <c r="EV362" s="2">
        <v>0</v>
      </c>
      <c r="EW362" s="2">
        <v>0</v>
      </c>
      <c r="EX362" s="2">
        <v>0</v>
      </c>
      <c r="EY362" s="2"/>
      <c r="EZ362" s="2"/>
      <c r="FA362" s="2"/>
      <c r="FB362" s="2"/>
      <c r="FC362" s="2"/>
      <c r="FD362" s="2"/>
      <c r="FE362" s="2"/>
      <c r="FF362" s="2"/>
      <c r="FG362" s="2"/>
      <c r="FH362" s="2"/>
      <c r="FI362" s="2"/>
      <c r="FJ362" s="2"/>
      <c r="FK362" s="2"/>
      <c r="FL362" s="2"/>
      <c r="FM362" s="2"/>
      <c r="FN362" s="2"/>
      <c r="FO362" s="2"/>
      <c r="FP362" s="2"/>
      <c r="FQ362" s="2">
        <v>0</v>
      </c>
      <c r="FR362" s="2">
        <f t="shared" si="400"/>
        <v>0</v>
      </c>
      <c r="FS362" s="2">
        <v>0</v>
      </c>
      <c r="FT362" s="2"/>
      <c r="FU362" s="2"/>
      <c r="FV362" s="2"/>
      <c r="FW362" s="2"/>
      <c r="FX362" s="2">
        <v>0</v>
      </c>
      <c r="FY362" s="2">
        <v>0</v>
      </c>
      <c r="FZ362" s="2"/>
      <c r="GA362" s="2" t="s">
        <v>6</v>
      </c>
      <c r="GB362" s="2"/>
      <c r="GC362" s="2"/>
      <c r="GD362" s="2">
        <v>1</v>
      </c>
      <c r="GE362" s="2"/>
      <c r="GF362" s="2">
        <v>1988624183</v>
      </c>
      <c r="GG362" s="2">
        <v>2</v>
      </c>
      <c r="GH362" s="2">
        <v>0</v>
      </c>
      <c r="GI362" s="2">
        <v>-2</v>
      </c>
      <c r="GJ362" s="2">
        <v>0</v>
      </c>
      <c r="GK362" s="2">
        <v>0</v>
      </c>
      <c r="GL362" s="2">
        <f t="shared" si="401"/>
        <v>0</v>
      </c>
      <c r="GM362" s="2">
        <f t="shared" si="402"/>
        <v>3</v>
      </c>
      <c r="GN362" s="2">
        <f t="shared" si="403"/>
        <v>3</v>
      </c>
      <c r="GO362" s="2">
        <f t="shared" si="404"/>
        <v>0</v>
      </c>
      <c r="GP362" s="2">
        <f t="shared" si="405"/>
        <v>0</v>
      </c>
      <c r="GQ362" s="2"/>
      <c r="GR362" s="2">
        <v>0</v>
      </c>
      <c r="GS362" s="2">
        <v>3</v>
      </c>
      <c r="GT362" s="2">
        <v>0</v>
      </c>
      <c r="GU362" s="2" t="s">
        <v>6</v>
      </c>
      <c r="GV362" s="2">
        <f t="shared" si="406"/>
        <v>0</v>
      </c>
      <c r="GW362" s="2">
        <v>1</v>
      </c>
      <c r="GX362" s="2">
        <f t="shared" si="407"/>
        <v>0</v>
      </c>
      <c r="GY362" s="2"/>
      <c r="GZ362" s="2"/>
      <c r="HA362" s="2">
        <v>0</v>
      </c>
      <c r="HB362" s="2">
        <v>0</v>
      </c>
      <c r="HC362" s="2">
        <f t="shared" si="408"/>
        <v>0</v>
      </c>
      <c r="HD362" s="2"/>
      <c r="HE362" s="2" t="s">
        <v>6</v>
      </c>
      <c r="HF362" s="2" t="s">
        <v>6</v>
      </c>
      <c r="HG362" s="2"/>
      <c r="HH362" s="2"/>
      <c r="HI362" s="2"/>
      <c r="HJ362" s="2"/>
      <c r="HK362" s="2"/>
      <c r="HL362" s="2"/>
      <c r="HM362" s="2" t="s">
        <v>6</v>
      </c>
      <c r="HN362" s="2" t="s">
        <v>6</v>
      </c>
      <c r="HO362" s="2" t="s">
        <v>6</v>
      </c>
      <c r="HP362" s="2" t="s">
        <v>6</v>
      </c>
      <c r="HQ362" s="2" t="s">
        <v>6</v>
      </c>
      <c r="HR362" s="2"/>
      <c r="HS362" s="2"/>
      <c r="HT362" s="2"/>
      <c r="HU362" s="2"/>
      <c r="HV362" s="2"/>
      <c r="HW362" s="2"/>
      <c r="HX362" s="2"/>
      <c r="HY362" s="2"/>
      <c r="HZ362" s="2"/>
      <c r="IA362" s="2"/>
      <c r="IB362" s="2"/>
      <c r="IC362" s="2"/>
      <c r="ID362" s="2"/>
      <c r="IE362" s="2"/>
      <c r="IF362" s="2">
        <v>-1</v>
      </c>
      <c r="IG362" s="2"/>
      <c r="IH362" s="2"/>
      <c r="II362" s="2"/>
      <c r="IJ362" s="2"/>
      <c r="IK362" s="2">
        <v>0</v>
      </c>
      <c r="IL362" s="2"/>
      <c r="IM362" s="2"/>
      <c r="IN362" s="2"/>
      <c r="IO362" s="2"/>
      <c r="IP362" s="2"/>
      <c r="IQ362" s="2"/>
      <c r="IR362" s="2"/>
      <c r="IS362" s="2"/>
      <c r="IT362" s="2"/>
      <c r="IU362" s="2"/>
    </row>
    <row r="363" spans="1:255" x14ac:dyDescent="0.2">
      <c r="A363">
        <v>18</v>
      </c>
      <c r="B363">
        <v>1</v>
      </c>
      <c r="C363">
        <v>462</v>
      </c>
      <c r="E363" t="s">
        <v>485</v>
      </c>
      <c r="F363" t="e">
        <f>'2.Лок.смета.и.Акт'!#REF!</f>
        <v>#REF!</v>
      </c>
      <c r="G363" t="s">
        <v>317</v>
      </c>
      <c r="H363" t="s">
        <v>33</v>
      </c>
      <c r="I363">
        <f>I361*J363</f>
        <v>2.9999999999999997E-4</v>
      </c>
      <c r="J363">
        <v>5.9999999999999993E-3</v>
      </c>
      <c r="K363">
        <v>6.0000000000000001E-3</v>
      </c>
      <c r="O363">
        <f t="shared" si="377"/>
        <v>31</v>
      </c>
      <c r="P363">
        <f t="shared" si="378"/>
        <v>31</v>
      </c>
      <c r="Q363">
        <f t="shared" si="379"/>
        <v>0</v>
      </c>
      <c r="R363">
        <f t="shared" si="380"/>
        <v>0</v>
      </c>
      <c r="S363">
        <f t="shared" si="381"/>
        <v>0</v>
      </c>
      <c r="T363">
        <f t="shared" si="382"/>
        <v>0</v>
      </c>
      <c r="U363">
        <f t="shared" si="383"/>
        <v>0</v>
      </c>
      <c r="V363">
        <f t="shared" si="384"/>
        <v>0</v>
      </c>
      <c r="W363">
        <f t="shared" si="385"/>
        <v>0</v>
      </c>
      <c r="X363">
        <f t="shared" si="386"/>
        <v>0</v>
      </c>
      <c r="Y363">
        <f t="shared" si="387"/>
        <v>0</v>
      </c>
      <c r="AA363">
        <v>86326988</v>
      </c>
      <c r="AB363">
        <f t="shared" si="388"/>
        <v>13505.55</v>
      </c>
      <c r="AC363">
        <f t="shared" si="411"/>
        <v>13505.55</v>
      </c>
      <c r="AD363">
        <f t="shared" si="412"/>
        <v>0</v>
      </c>
      <c r="AE363">
        <f t="shared" si="413"/>
        <v>0</v>
      </c>
      <c r="AF363">
        <f t="shared" si="414"/>
        <v>0</v>
      </c>
      <c r="AG363">
        <f t="shared" si="389"/>
        <v>0</v>
      </c>
      <c r="AH363">
        <f t="shared" si="415"/>
        <v>0</v>
      </c>
      <c r="AI363">
        <f t="shared" si="416"/>
        <v>0</v>
      </c>
      <c r="AJ363">
        <f t="shared" si="390"/>
        <v>22.28</v>
      </c>
      <c r="AK363">
        <v>13505.55</v>
      </c>
      <c r="AL363">
        <v>13505.55</v>
      </c>
      <c r="AM363">
        <v>0</v>
      </c>
      <c r="AN363">
        <v>0</v>
      </c>
      <c r="AO363">
        <v>0</v>
      </c>
      <c r="AP363">
        <v>0</v>
      </c>
      <c r="AQ363">
        <v>0</v>
      </c>
      <c r="AR363">
        <v>0</v>
      </c>
      <c r="AS363">
        <v>22.28</v>
      </c>
      <c r="AT363">
        <v>0</v>
      </c>
      <c r="AU363">
        <v>0</v>
      </c>
      <c r="AV363">
        <v>1</v>
      </c>
      <c r="AW363">
        <v>1</v>
      </c>
      <c r="AZ363">
        <v>1</v>
      </c>
      <c r="BA363">
        <v>1</v>
      </c>
      <c r="BB363">
        <v>1</v>
      </c>
      <c r="BC363">
        <v>7.56</v>
      </c>
      <c r="BD363" t="s">
        <v>6</v>
      </c>
      <c r="BE363" t="s">
        <v>6</v>
      </c>
      <c r="BF363" t="s">
        <v>6</v>
      </c>
      <c r="BG363" t="s">
        <v>6</v>
      </c>
      <c r="BH363">
        <v>3</v>
      </c>
      <c r="BI363">
        <v>1</v>
      </c>
      <c r="BJ363" t="s">
        <v>318</v>
      </c>
      <c r="BM363">
        <v>500001</v>
      </c>
      <c r="BN363">
        <v>0</v>
      </c>
      <c r="BO363" t="s">
        <v>6</v>
      </c>
      <c r="BP363">
        <v>0</v>
      </c>
      <c r="BQ363">
        <v>20</v>
      </c>
      <c r="BR363">
        <v>0</v>
      </c>
      <c r="BS363">
        <v>1</v>
      </c>
      <c r="BT363">
        <v>1</v>
      </c>
      <c r="BU363">
        <v>1</v>
      </c>
      <c r="BV363">
        <v>1</v>
      </c>
      <c r="BW363">
        <v>1</v>
      </c>
      <c r="BX363">
        <v>1</v>
      </c>
      <c r="BY363" t="s">
        <v>6</v>
      </c>
      <c r="BZ363">
        <v>0</v>
      </c>
      <c r="CA363">
        <v>0</v>
      </c>
      <c r="CB363" t="s">
        <v>6</v>
      </c>
      <c r="CE363">
        <v>0</v>
      </c>
      <c r="CF363">
        <v>0</v>
      </c>
      <c r="CG363">
        <v>0</v>
      </c>
      <c r="CM363">
        <v>0</v>
      </c>
      <c r="CN363" t="s">
        <v>6</v>
      </c>
      <c r="CO363">
        <v>0</v>
      </c>
      <c r="CP363">
        <f t="shared" si="391"/>
        <v>31</v>
      </c>
      <c r="CQ363">
        <f t="shared" si="392"/>
        <v>102101.95799999998</v>
      </c>
      <c r="CR363">
        <f t="shared" si="393"/>
        <v>0</v>
      </c>
      <c r="CS363">
        <f t="shared" si="394"/>
        <v>0</v>
      </c>
      <c r="CT363">
        <f t="shared" si="395"/>
        <v>0</v>
      </c>
      <c r="CU363">
        <f t="shared" si="396"/>
        <v>0</v>
      </c>
      <c r="CV363">
        <f t="shared" si="397"/>
        <v>0</v>
      </c>
      <c r="CW363">
        <f t="shared" si="398"/>
        <v>0</v>
      </c>
      <c r="CX363">
        <f t="shared" si="399"/>
        <v>22.28</v>
      </c>
      <c r="CY363">
        <f>(S363+R363)*(BZ363/100)</f>
        <v>0</v>
      </c>
      <c r="CZ363">
        <f>(S363+R363)*(CA363/100)</f>
        <v>0</v>
      </c>
      <c r="DC363" t="s">
        <v>6</v>
      </c>
      <c r="DD363" t="s">
        <v>6</v>
      </c>
      <c r="DE363" t="s">
        <v>6</v>
      </c>
      <c r="DF363" t="s">
        <v>6</v>
      </c>
      <c r="DG363" t="s">
        <v>6</v>
      </c>
      <c r="DH363" t="s">
        <v>6</v>
      </c>
      <c r="DI363" t="s">
        <v>6</v>
      </c>
      <c r="DJ363" t="s">
        <v>6</v>
      </c>
      <c r="DK363" t="s">
        <v>6</v>
      </c>
      <c r="DL363" t="s">
        <v>6</v>
      </c>
      <c r="DM363" t="s">
        <v>6</v>
      </c>
      <c r="DN363">
        <v>0</v>
      </c>
      <c r="DO363">
        <v>0</v>
      </c>
      <c r="DP363">
        <v>1</v>
      </c>
      <c r="DQ363">
        <v>1</v>
      </c>
      <c r="DU363">
        <v>1009</v>
      </c>
      <c r="DV363" t="s">
        <v>33</v>
      </c>
      <c r="DW363" t="e">
        <f>'2.Лок.смета.и.Акт'!#REF!</f>
        <v>#REF!</v>
      </c>
      <c r="DX363">
        <v>1000</v>
      </c>
      <c r="DZ363" t="s">
        <v>6</v>
      </c>
      <c r="EA363" t="s">
        <v>6</v>
      </c>
      <c r="EB363" t="s">
        <v>6</v>
      </c>
      <c r="EC363" t="s">
        <v>6</v>
      </c>
      <c r="EE363">
        <v>54938781</v>
      </c>
      <c r="EF363">
        <v>20</v>
      </c>
      <c r="EG363" t="s">
        <v>35</v>
      </c>
      <c r="EH363">
        <v>0</v>
      </c>
      <c r="EI363" t="s">
        <v>6</v>
      </c>
      <c r="EJ363">
        <v>1</v>
      </c>
      <c r="EK363">
        <v>500001</v>
      </c>
      <c r="EL363" t="s">
        <v>36</v>
      </c>
      <c r="EM363" t="s">
        <v>37</v>
      </c>
      <c r="EO363" t="s">
        <v>6</v>
      </c>
      <c r="EQ363">
        <v>0</v>
      </c>
      <c r="ER363">
        <v>96250</v>
      </c>
      <c r="ES363">
        <v>13505.55</v>
      </c>
      <c r="ET363">
        <v>0</v>
      </c>
      <c r="EU363">
        <v>0</v>
      </c>
      <c r="EV363">
        <v>0</v>
      </c>
      <c r="EW363">
        <v>0</v>
      </c>
      <c r="EX363">
        <v>0</v>
      </c>
      <c r="EZ363">
        <v>5</v>
      </c>
      <c r="FC363">
        <v>0</v>
      </c>
      <c r="FD363">
        <v>18</v>
      </c>
      <c r="FF363">
        <v>96250</v>
      </c>
      <c r="FQ363">
        <v>0</v>
      </c>
      <c r="FR363">
        <f t="shared" si="400"/>
        <v>0</v>
      </c>
      <c r="FS363">
        <v>0</v>
      </c>
      <c r="FX363">
        <v>0</v>
      </c>
      <c r="FY363">
        <v>0</v>
      </c>
      <c r="GA363" t="s">
        <v>319</v>
      </c>
      <c r="GD363">
        <v>1</v>
      </c>
      <c r="GF363">
        <v>1988624183</v>
      </c>
      <c r="GG363">
        <v>2</v>
      </c>
      <c r="GH363">
        <v>3</v>
      </c>
      <c r="GI363">
        <v>5</v>
      </c>
      <c r="GJ363">
        <v>0</v>
      </c>
      <c r="GK363">
        <v>0</v>
      </c>
      <c r="GL363">
        <f t="shared" si="401"/>
        <v>0</v>
      </c>
      <c r="GM363">
        <f t="shared" si="402"/>
        <v>31</v>
      </c>
      <c r="GN363">
        <f t="shared" si="403"/>
        <v>31</v>
      </c>
      <c r="GO363">
        <f t="shared" si="404"/>
        <v>0</v>
      </c>
      <c r="GP363">
        <f t="shared" si="405"/>
        <v>0</v>
      </c>
      <c r="GR363">
        <v>1</v>
      </c>
      <c r="GS363">
        <v>1</v>
      </c>
      <c r="GT363">
        <v>0</v>
      </c>
      <c r="GU363" t="s">
        <v>6</v>
      </c>
      <c r="GV363">
        <f t="shared" si="406"/>
        <v>0</v>
      </c>
      <c r="GW363">
        <v>1</v>
      </c>
      <c r="GX363">
        <f t="shared" si="407"/>
        <v>0</v>
      </c>
      <c r="HA363">
        <v>0</v>
      </c>
      <c r="HB363">
        <v>0</v>
      </c>
      <c r="HC363">
        <f t="shared" si="408"/>
        <v>0</v>
      </c>
      <c r="HE363" t="s">
        <v>39</v>
      </c>
      <c r="HF363" t="s">
        <v>40</v>
      </c>
      <c r="HM363" t="s">
        <v>6</v>
      </c>
      <c r="HN363" t="s">
        <v>6</v>
      </c>
      <c r="HO363" t="s">
        <v>6</v>
      </c>
      <c r="HP363" t="s">
        <v>6</v>
      </c>
      <c r="HQ363" t="s">
        <v>6</v>
      </c>
      <c r="IF363">
        <v>-1</v>
      </c>
      <c r="IK363">
        <v>0</v>
      </c>
    </row>
    <row r="364" spans="1:255" x14ac:dyDescent="0.2">
      <c r="A364" s="2">
        <v>18</v>
      </c>
      <c r="B364" s="2">
        <v>1</v>
      </c>
      <c r="C364" s="2">
        <v>455</v>
      </c>
      <c r="D364" s="2"/>
      <c r="E364" s="2" t="s">
        <v>486</v>
      </c>
      <c r="F364" s="2" t="s">
        <v>487</v>
      </c>
      <c r="G364" s="2" t="s">
        <v>488</v>
      </c>
      <c r="H364" s="2" t="s">
        <v>33</v>
      </c>
      <c r="I364" s="2">
        <f>I360*J364</f>
        <v>4.7324999999999999E-2</v>
      </c>
      <c r="J364" s="226">
        <f>'5.Ведомость_списания'!F158</f>
        <v>0.9464999999999999</v>
      </c>
      <c r="K364" s="2">
        <v>0.94650000000000001</v>
      </c>
      <c r="L364" s="2"/>
      <c r="M364" s="2"/>
      <c r="N364" s="2"/>
      <c r="O364" s="2">
        <f t="shared" si="377"/>
        <v>775</v>
      </c>
      <c r="P364" s="2">
        <f t="shared" si="378"/>
        <v>775</v>
      </c>
      <c r="Q364" s="2">
        <f t="shared" si="379"/>
        <v>0</v>
      </c>
      <c r="R364" s="2">
        <f t="shared" si="380"/>
        <v>0</v>
      </c>
      <c r="S364" s="2">
        <f t="shared" si="381"/>
        <v>0</v>
      </c>
      <c r="T364" s="2">
        <f t="shared" si="382"/>
        <v>0</v>
      </c>
      <c r="U364" s="2">
        <f t="shared" si="383"/>
        <v>0</v>
      </c>
      <c r="V364" s="2">
        <f t="shared" si="384"/>
        <v>0</v>
      </c>
      <c r="W364" s="2">
        <f t="shared" si="385"/>
        <v>0</v>
      </c>
      <c r="X364" s="2">
        <f t="shared" si="386"/>
        <v>0</v>
      </c>
      <c r="Y364" s="2">
        <f t="shared" si="387"/>
        <v>0</v>
      </c>
      <c r="Z364" s="2"/>
      <c r="AA364" s="2">
        <v>86326987</v>
      </c>
      <c r="AB364" s="2">
        <f t="shared" si="388"/>
        <v>16366.06</v>
      </c>
      <c r="AC364" s="2">
        <f t="shared" si="411"/>
        <v>16366.06</v>
      </c>
      <c r="AD364" s="2">
        <f t="shared" si="412"/>
        <v>0</v>
      </c>
      <c r="AE364" s="2">
        <f t="shared" si="413"/>
        <v>0</v>
      </c>
      <c r="AF364" s="2">
        <f t="shared" si="414"/>
        <v>0</v>
      </c>
      <c r="AG364" s="2">
        <f t="shared" si="389"/>
        <v>0</v>
      </c>
      <c r="AH364" s="2">
        <f t="shared" si="415"/>
        <v>0</v>
      </c>
      <c r="AI364" s="2">
        <f t="shared" si="416"/>
        <v>0</v>
      </c>
      <c r="AJ364" s="2">
        <f t="shared" si="390"/>
        <v>0</v>
      </c>
      <c r="AK364" s="2">
        <v>16366.06</v>
      </c>
      <c r="AL364" s="110">
        <f>'1.Лок.смета.и.Акт'!F667</f>
        <v>16366.06</v>
      </c>
      <c r="AM364" s="2">
        <v>0</v>
      </c>
      <c r="AN364" s="2">
        <v>0</v>
      </c>
      <c r="AO364" s="2">
        <v>0</v>
      </c>
      <c r="AP364" s="2">
        <v>0</v>
      </c>
      <c r="AQ364" s="2">
        <v>0</v>
      </c>
      <c r="AR364" s="2">
        <v>0</v>
      </c>
      <c r="AS364" s="2">
        <v>0</v>
      </c>
      <c r="AT364" s="2">
        <v>0</v>
      </c>
      <c r="AU364" s="2">
        <v>0</v>
      </c>
      <c r="AV364" s="2">
        <v>1</v>
      </c>
      <c r="AW364" s="2">
        <v>1</v>
      </c>
      <c r="AX364" s="2"/>
      <c r="AY364" s="2"/>
      <c r="AZ364" s="2">
        <v>1</v>
      </c>
      <c r="BA364" s="2">
        <v>1</v>
      </c>
      <c r="BB364" s="2">
        <v>1</v>
      </c>
      <c r="BC364" s="2">
        <v>1</v>
      </c>
      <c r="BD364" s="2" t="s">
        <v>6</v>
      </c>
      <c r="BE364" s="2" t="s">
        <v>6</v>
      </c>
      <c r="BF364" s="2" t="s">
        <v>6</v>
      </c>
      <c r="BG364" s="2" t="s">
        <v>6</v>
      </c>
      <c r="BH364" s="2">
        <v>3</v>
      </c>
      <c r="BI364" s="2">
        <v>1</v>
      </c>
      <c r="BJ364" s="2" t="s">
        <v>489</v>
      </c>
      <c r="BK364" s="2"/>
      <c r="BL364" s="2"/>
      <c r="BM364" s="2">
        <v>500003</v>
      </c>
      <c r="BN364" s="2">
        <v>0</v>
      </c>
      <c r="BO364" s="2" t="s">
        <v>6</v>
      </c>
      <c r="BP364" s="2">
        <v>0</v>
      </c>
      <c r="BQ364" s="2">
        <v>22</v>
      </c>
      <c r="BR364" s="2">
        <v>0</v>
      </c>
      <c r="BS364" s="2">
        <v>1</v>
      </c>
      <c r="BT364" s="2">
        <v>1</v>
      </c>
      <c r="BU364" s="2">
        <v>1</v>
      </c>
      <c r="BV364" s="2">
        <v>1</v>
      </c>
      <c r="BW364" s="2">
        <v>1</v>
      </c>
      <c r="BX364" s="2">
        <v>1</v>
      </c>
      <c r="BY364" s="2" t="s">
        <v>6</v>
      </c>
      <c r="BZ364" s="2">
        <v>0</v>
      </c>
      <c r="CA364" s="2">
        <v>0</v>
      </c>
      <c r="CB364" s="2" t="s">
        <v>6</v>
      </c>
      <c r="CC364" s="2"/>
      <c r="CD364" s="2"/>
      <c r="CE364" s="2">
        <v>0</v>
      </c>
      <c r="CF364" s="2">
        <v>0</v>
      </c>
      <c r="CG364" s="2">
        <v>0</v>
      </c>
      <c r="CH364" s="2"/>
      <c r="CI364" s="2"/>
      <c r="CJ364" s="2"/>
      <c r="CK364" s="2"/>
      <c r="CL364" s="2"/>
      <c r="CM364" s="2">
        <v>0</v>
      </c>
      <c r="CN364" s="2" t="s">
        <v>6</v>
      </c>
      <c r="CO364" s="2">
        <v>0</v>
      </c>
      <c r="CP364" s="2">
        <f t="shared" si="391"/>
        <v>775</v>
      </c>
      <c r="CQ364" s="2">
        <f t="shared" si="392"/>
        <v>16366.06</v>
      </c>
      <c r="CR364" s="2">
        <f t="shared" si="393"/>
        <v>0</v>
      </c>
      <c r="CS364" s="2">
        <f t="shared" si="394"/>
        <v>0</v>
      </c>
      <c r="CT364" s="2">
        <f t="shared" si="395"/>
        <v>0</v>
      </c>
      <c r="CU364" s="2">
        <f t="shared" si="396"/>
        <v>0</v>
      </c>
      <c r="CV364" s="2">
        <f t="shared" si="397"/>
        <v>0</v>
      </c>
      <c r="CW364" s="2">
        <f t="shared" si="398"/>
        <v>0</v>
      </c>
      <c r="CX364" s="2">
        <f t="shared" si="399"/>
        <v>0</v>
      </c>
      <c r="CY364" s="2">
        <f>(((S364+(R364*IF(0,0,1)))*AT364)/100)</f>
        <v>0</v>
      </c>
      <c r="CZ364" s="2">
        <f>(((S364+(R364*IF(0,0,1)))*AU364)/100)</f>
        <v>0</v>
      </c>
      <c r="DA364" s="2"/>
      <c r="DB364" s="2"/>
      <c r="DC364" s="2" t="s">
        <v>6</v>
      </c>
      <c r="DD364" s="2" t="s">
        <v>6</v>
      </c>
      <c r="DE364" s="2" t="s">
        <v>6</v>
      </c>
      <c r="DF364" s="2" t="s">
        <v>6</v>
      </c>
      <c r="DG364" s="2" t="s">
        <v>6</v>
      </c>
      <c r="DH364" s="2" t="s">
        <v>6</v>
      </c>
      <c r="DI364" s="2" t="s">
        <v>6</v>
      </c>
      <c r="DJ364" s="2" t="s">
        <v>6</v>
      </c>
      <c r="DK364" s="2" t="s">
        <v>6</v>
      </c>
      <c r="DL364" s="2" t="s">
        <v>6</v>
      </c>
      <c r="DM364" s="2" t="s">
        <v>6</v>
      </c>
      <c r="DN364" s="2">
        <v>0</v>
      </c>
      <c r="DO364" s="2">
        <v>0</v>
      </c>
      <c r="DP364" s="2">
        <v>1</v>
      </c>
      <c r="DQ364" s="2">
        <v>1</v>
      </c>
      <c r="DR364" s="2"/>
      <c r="DS364" s="2"/>
      <c r="DT364" s="2"/>
      <c r="DU364" s="2">
        <v>1009</v>
      </c>
      <c r="DV364" s="2" t="s">
        <v>33</v>
      </c>
      <c r="DW364" s="2" t="s">
        <v>33</v>
      </c>
      <c r="DX364" s="2">
        <v>1000</v>
      </c>
      <c r="DY364" s="2"/>
      <c r="DZ364" s="2" t="s">
        <v>6</v>
      </c>
      <c r="EA364" s="2" t="s">
        <v>6</v>
      </c>
      <c r="EB364" s="2" t="s">
        <v>6</v>
      </c>
      <c r="EC364" s="2" t="s">
        <v>6</v>
      </c>
      <c r="ED364" s="2"/>
      <c r="EE364" s="2">
        <v>54938783</v>
      </c>
      <c r="EF364" s="2">
        <v>22</v>
      </c>
      <c r="EG364" s="2" t="s">
        <v>57</v>
      </c>
      <c r="EH364" s="2">
        <v>0</v>
      </c>
      <c r="EI364" s="2" t="s">
        <v>6</v>
      </c>
      <c r="EJ364" s="2">
        <v>1</v>
      </c>
      <c r="EK364" s="2">
        <v>500003</v>
      </c>
      <c r="EL364" s="2" t="s">
        <v>58</v>
      </c>
      <c r="EM364" s="2" t="s">
        <v>59</v>
      </c>
      <c r="EN364" s="2"/>
      <c r="EO364" s="2" t="s">
        <v>6</v>
      </c>
      <c r="EP364" s="2"/>
      <c r="EQ364" s="2">
        <v>0</v>
      </c>
      <c r="ER364" s="2">
        <v>16366.06</v>
      </c>
      <c r="ES364" s="110">
        <f>'1.Лок.смета.и.Акт'!F667</f>
        <v>16366.06</v>
      </c>
      <c r="ET364" s="2">
        <v>0</v>
      </c>
      <c r="EU364" s="2">
        <v>0</v>
      </c>
      <c r="EV364" s="2">
        <v>0</v>
      </c>
      <c r="EW364" s="2">
        <v>0</v>
      </c>
      <c r="EX364" s="2">
        <v>0</v>
      </c>
      <c r="EY364" s="2"/>
      <c r="EZ364" s="2"/>
      <c r="FA364" s="2"/>
      <c r="FB364" s="2"/>
      <c r="FC364" s="2"/>
      <c r="FD364" s="2"/>
      <c r="FE364" s="2"/>
      <c r="FF364" s="2"/>
      <c r="FG364" s="2"/>
      <c r="FH364" s="2"/>
      <c r="FI364" s="2"/>
      <c r="FJ364" s="2"/>
      <c r="FK364" s="2"/>
      <c r="FL364" s="2"/>
      <c r="FM364" s="2"/>
      <c r="FN364" s="2"/>
      <c r="FO364" s="2"/>
      <c r="FP364" s="2"/>
      <c r="FQ364" s="2">
        <v>0</v>
      </c>
      <c r="FR364" s="2">
        <f t="shared" si="400"/>
        <v>0</v>
      </c>
      <c r="FS364" s="2">
        <v>0</v>
      </c>
      <c r="FT364" s="2"/>
      <c r="FU364" s="2"/>
      <c r="FV364" s="2"/>
      <c r="FW364" s="2"/>
      <c r="FX364" s="2">
        <v>0</v>
      </c>
      <c r="FY364" s="2">
        <v>0</v>
      </c>
      <c r="FZ364" s="2"/>
      <c r="GA364" s="2" t="s">
        <v>6</v>
      </c>
      <c r="GB364" s="2"/>
      <c r="GC364" s="2"/>
      <c r="GD364" s="2">
        <v>1</v>
      </c>
      <c r="GE364" s="2"/>
      <c r="GF364" s="2">
        <v>-777531494</v>
      </c>
      <c r="GG364" s="2">
        <v>2</v>
      </c>
      <c r="GH364" s="2">
        <v>2</v>
      </c>
      <c r="GI364" s="2">
        <v>-2</v>
      </c>
      <c r="GJ364" s="2">
        <v>0</v>
      </c>
      <c r="GK364" s="2">
        <v>0</v>
      </c>
      <c r="GL364" s="2">
        <f t="shared" si="401"/>
        <v>0</v>
      </c>
      <c r="GM364" s="2">
        <f t="shared" si="402"/>
        <v>775</v>
      </c>
      <c r="GN364" s="2">
        <f t="shared" si="403"/>
        <v>775</v>
      </c>
      <c r="GO364" s="2">
        <f t="shared" si="404"/>
        <v>0</v>
      </c>
      <c r="GP364" s="2">
        <f t="shared" si="405"/>
        <v>0</v>
      </c>
      <c r="GQ364" s="2"/>
      <c r="GR364" s="2">
        <v>0</v>
      </c>
      <c r="GS364" s="2">
        <v>2</v>
      </c>
      <c r="GT364" s="2">
        <v>0</v>
      </c>
      <c r="GU364" s="2" t="s">
        <v>6</v>
      </c>
      <c r="GV364" s="2">
        <f t="shared" si="406"/>
        <v>0</v>
      </c>
      <c r="GW364" s="2">
        <v>1</v>
      </c>
      <c r="GX364" s="2">
        <f t="shared" si="407"/>
        <v>0</v>
      </c>
      <c r="GY364" s="2"/>
      <c r="GZ364" s="2"/>
      <c r="HA364" s="2">
        <v>0</v>
      </c>
      <c r="HB364" s="2">
        <v>0</v>
      </c>
      <c r="HC364" s="2">
        <f t="shared" si="408"/>
        <v>0</v>
      </c>
      <c r="HD364" s="2"/>
      <c r="HE364" s="2" t="s">
        <v>6</v>
      </c>
      <c r="HF364" s="2" t="s">
        <v>6</v>
      </c>
      <c r="HG364" s="2"/>
      <c r="HH364" s="2"/>
      <c r="HI364" s="2"/>
      <c r="HJ364" s="2"/>
      <c r="HK364" s="2"/>
      <c r="HL364" s="2"/>
      <c r="HM364" s="2" t="s">
        <v>6</v>
      </c>
      <c r="HN364" s="2" t="s">
        <v>6</v>
      </c>
      <c r="HO364" s="2" t="s">
        <v>6</v>
      </c>
      <c r="HP364" s="2" t="s">
        <v>6</v>
      </c>
      <c r="HQ364" s="2" t="s">
        <v>6</v>
      </c>
      <c r="HR364" s="2"/>
      <c r="HS364" s="2"/>
      <c r="HT364" s="2"/>
      <c r="HU364" s="2"/>
      <c r="HV364" s="2"/>
      <c r="HW364" s="2"/>
      <c r="HX364" s="2"/>
      <c r="HY364" s="2"/>
      <c r="HZ364" s="2"/>
      <c r="IA364" s="2"/>
      <c r="IB364" s="2"/>
      <c r="IC364" s="2"/>
      <c r="ID364" s="2"/>
      <c r="IE364" s="2"/>
      <c r="IF364" s="2">
        <v>-1</v>
      </c>
      <c r="IG364" s="2"/>
      <c r="IH364" s="2"/>
      <c r="II364" s="2"/>
      <c r="IJ364" s="2"/>
      <c r="IK364" s="2">
        <v>0</v>
      </c>
      <c r="IL364" s="2"/>
      <c r="IM364" s="2"/>
      <c r="IN364" s="2"/>
      <c r="IO364" s="2"/>
      <c r="IP364" s="2"/>
      <c r="IQ364" s="2"/>
      <c r="IR364" s="2"/>
      <c r="IS364" s="2"/>
      <c r="IT364" s="2"/>
      <c r="IU364" s="2"/>
    </row>
    <row r="365" spans="1:255" x14ac:dyDescent="0.2">
      <c r="A365">
        <v>18</v>
      </c>
      <c r="B365">
        <v>1</v>
      </c>
      <c r="C365">
        <v>463</v>
      </c>
      <c r="E365" t="s">
        <v>486</v>
      </c>
      <c r="F365" t="e">
        <f>'2.Лок.смета.и.Акт'!#REF!</f>
        <v>#REF!</v>
      </c>
      <c r="G365" t="s">
        <v>488</v>
      </c>
      <c r="H365" t="s">
        <v>33</v>
      </c>
      <c r="I365">
        <f>I361*J365</f>
        <v>4.7324999999999999E-2</v>
      </c>
      <c r="J365">
        <v>0.9464999999999999</v>
      </c>
      <c r="K365">
        <v>0.94650000000000001</v>
      </c>
      <c r="O365">
        <f t="shared" si="377"/>
        <v>6408</v>
      </c>
      <c r="P365">
        <f t="shared" si="378"/>
        <v>6408</v>
      </c>
      <c r="Q365">
        <f t="shared" si="379"/>
        <v>0</v>
      </c>
      <c r="R365">
        <f t="shared" si="380"/>
        <v>0</v>
      </c>
      <c r="S365">
        <f t="shared" si="381"/>
        <v>0</v>
      </c>
      <c r="T365">
        <f t="shared" si="382"/>
        <v>0</v>
      </c>
      <c r="U365">
        <f t="shared" si="383"/>
        <v>0</v>
      </c>
      <c r="V365">
        <f t="shared" si="384"/>
        <v>0</v>
      </c>
      <c r="W365">
        <f t="shared" si="385"/>
        <v>0</v>
      </c>
      <c r="X365">
        <f t="shared" si="386"/>
        <v>0</v>
      </c>
      <c r="Y365">
        <f t="shared" si="387"/>
        <v>0</v>
      </c>
      <c r="AA365">
        <v>86326988</v>
      </c>
      <c r="AB365">
        <f t="shared" si="388"/>
        <v>17910.759999999998</v>
      </c>
      <c r="AC365">
        <f t="shared" si="411"/>
        <v>17910.759999999998</v>
      </c>
      <c r="AD365">
        <f t="shared" si="412"/>
        <v>0</v>
      </c>
      <c r="AE365">
        <f t="shared" si="413"/>
        <v>0</v>
      </c>
      <c r="AF365">
        <f t="shared" si="414"/>
        <v>0</v>
      </c>
      <c r="AG365">
        <f t="shared" si="389"/>
        <v>0</v>
      </c>
      <c r="AH365">
        <f t="shared" si="415"/>
        <v>0</v>
      </c>
      <c r="AI365">
        <f t="shared" si="416"/>
        <v>0</v>
      </c>
      <c r="AJ365">
        <f t="shared" si="390"/>
        <v>0</v>
      </c>
      <c r="AK365">
        <v>17910.760000000002</v>
      </c>
      <c r="AL365">
        <v>17910.760000000002</v>
      </c>
      <c r="AM365">
        <v>0</v>
      </c>
      <c r="AN365">
        <v>0</v>
      </c>
      <c r="AO365">
        <v>0</v>
      </c>
      <c r="AP365">
        <v>0</v>
      </c>
      <c r="AQ365">
        <v>0</v>
      </c>
      <c r="AR365">
        <v>0</v>
      </c>
      <c r="AS365">
        <v>0</v>
      </c>
      <c r="AT365">
        <v>0</v>
      </c>
      <c r="AU365">
        <v>0</v>
      </c>
      <c r="AV365">
        <v>1</v>
      </c>
      <c r="AW365">
        <v>1</v>
      </c>
      <c r="AZ365">
        <v>1</v>
      </c>
      <c r="BA365">
        <v>1</v>
      </c>
      <c r="BB365">
        <v>1</v>
      </c>
      <c r="BC365">
        <v>7.56</v>
      </c>
      <c r="BD365" t="s">
        <v>6</v>
      </c>
      <c r="BE365" t="s">
        <v>6</v>
      </c>
      <c r="BF365" t="s">
        <v>6</v>
      </c>
      <c r="BG365" t="s">
        <v>6</v>
      </c>
      <c r="BH365">
        <v>3</v>
      </c>
      <c r="BI365">
        <v>1</v>
      </c>
      <c r="BJ365" t="s">
        <v>489</v>
      </c>
      <c r="BM365">
        <v>500003</v>
      </c>
      <c r="BN365">
        <v>0</v>
      </c>
      <c r="BO365" t="s">
        <v>6</v>
      </c>
      <c r="BP365">
        <v>0</v>
      </c>
      <c r="BQ365">
        <v>22</v>
      </c>
      <c r="BR365">
        <v>0</v>
      </c>
      <c r="BS365">
        <v>1</v>
      </c>
      <c r="BT365">
        <v>1</v>
      </c>
      <c r="BU365">
        <v>1</v>
      </c>
      <c r="BV365">
        <v>1</v>
      </c>
      <c r="BW365">
        <v>1</v>
      </c>
      <c r="BX365">
        <v>1</v>
      </c>
      <c r="BY365" t="s">
        <v>6</v>
      </c>
      <c r="BZ365">
        <v>0</v>
      </c>
      <c r="CA365">
        <v>0</v>
      </c>
      <c r="CB365" t="s">
        <v>6</v>
      </c>
      <c r="CE365">
        <v>0</v>
      </c>
      <c r="CF365">
        <v>0</v>
      </c>
      <c r="CG365">
        <v>0</v>
      </c>
      <c r="CM365">
        <v>0</v>
      </c>
      <c r="CN365" t="s">
        <v>6</v>
      </c>
      <c r="CO365">
        <v>0</v>
      </c>
      <c r="CP365">
        <f t="shared" si="391"/>
        <v>6408</v>
      </c>
      <c r="CQ365">
        <f t="shared" si="392"/>
        <v>135405.34559999997</v>
      </c>
      <c r="CR365">
        <f t="shared" si="393"/>
        <v>0</v>
      </c>
      <c r="CS365">
        <f t="shared" si="394"/>
        <v>0</v>
      </c>
      <c r="CT365">
        <f t="shared" si="395"/>
        <v>0</v>
      </c>
      <c r="CU365">
        <f t="shared" si="396"/>
        <v>0</v>
      </c>
      <c r="CV365">
        <f t="shared" si="397"/>
        <v>0</v>
      </c>
      <c r="CW365">
        <f t="shared" si="398"/>
        <v>0</v>
      </c>
      <c r="CX365">
        <f t="shared" si="399"/>
        <v>0</v>
      </c>
      <c r="CY365">
        <f>(S365+R365)*(BZ365/100)</f>
        <v>0</v>
      </c>
      <c r="CZ365">
        <f>(S365+R365)*(CA365/100)</f>
        <v>0</v>
      </c>
      <c r="DC365" t="s">
        <v>6</v>
      </c>
      <c r="DD365" t="s">
        <v>6</v>
      </c>
      <c r="DE365" t="s">
        <v>6</v>
      </c>
      <c r="DF365" t="s">
        <v>6</v>
      </c>
      <c r="DG365" t="s">
        <v>6</v>
      </c>
      <c r="DH365" t="s">
        <v>6</v>
      </c>
      <c r="DI365" t="s">
        <v>6</v>
      </c>
      <c r="DJ365" t="s">
        <v>6</v>
      </c>
      <c r="DK365" t="s">
        <v>6</v>
      </c>
      <c r="DL365" t="s">
        <v>6</v>
      </c>
      <c r="DM365" t="s">
        <v>6</v>
      </c>
      <c r="DN365">
        <v>0</v>
      </c>
      <c r="DO365">
        <v>0</v>
      </c>
      <c r="DP365">
        <v>1</v>
      </c>
      <c r="DQ365">
        <v>1</v>
      </c>
      <c r="DU365">
        <v>1009</v>
      </c>
      <c r="DV365" t="s">
        <v>33</v>
      </c>
      <c r="DW365" t="e">
        <f>'2.Лок.смета.и.Акт'!#REF!</f>
        <v>#REF!</v>
      </c>
      <c r="DX365">
        <v>1000</v>
      </c>
      <c r="DZ365" t="s">
        <v>6</v>
      </c>
      <c r="EA365" t="s">
        <v>6</v>
      </c>
      <c r="EB365" t="s">
        <v>6</v>
      </c>
      <c r="EC365" t="s">
        <v>6</v>
      </c>
      <c r="EE365">
        <v>54938783</v>
      </c>
      <c r="EF365">
        <v>22</v>
      </c>
      <c r="EG365" t="s">
        <v>57</v>
      </c>
      <c r="EH365">
        <v>0</v>
      </c>
      <c r="EI365" t="s">
        <v>6</v>
      </c>
      <c r="EJ365">
        <v>1</v>
      </c>
      <c r="EK365">
        <v>500003</v>
      </c>
      <c r="EL365" t="s">
        <v>58</v>
      </c>
      <c r="EM365" t="s">
        <v>59</v>
      </c>
      <c r="EO365" t="s">
        <v>6</v>
      </c>
      <c r="EQ365">
        <v>0</v>
      </c>
      <c r="ER365">
        <v>129228.19</v>
      </c>
      <c r="ES365">
        <v>17910.760000000002</v>
      </c>
      <c r="ET365">
        <v>0</v>
      </c>
      <c r="EU365">
        <v>0</v>
      </c>
      <c r="EV365">
        <v>0</v>
      </c>
      <c r="EW365">
        <v>0</v>
      </c>
      <c r="EX365">
        <v>0</v>
      </c>
      <c r="EZ365">
        <v>5</v>
      </c>
      <c r="FC365">
        <v>0</v>
      </c>
      <c r="FD365">
        <v>18</v>
      </c>
      <c r="FF365">
        <v>129228.19</v>
      </c>
      <c r="FQ365">
        <v>0</v>
      </c>
      <c r="FR365">
        <f t="shared" si="400"/>
        <v>0</v>
      </c>
      <c r="FS365">
        <v>0</v>
      </c>
      <c r="FX365">
        <v>0</v>
      </c>
      <c r="FY365">
        <v>0</v>
      </c>
      <c r="GA365" t="s">
        <v>490</v>
      </c>
      <c r="GD365">
        <v>1</v>
      </c>
      <c r="GF365">
        <v>-777531494</v>
      </c>
      <c r="GG365">
        <v>2</v>
      </c>
      <c r="GH365">
        <v>3</v>
      </c>
      <c r="GI365">
        <v>5</v>
      </c>
      <c r="GJ365">
        <v>0</v>
      </c>
      <c r="GK365">
        <v>0</v>
      </c>
      <c r="GL365">
        <f t="shared" si="401"/>
        <v>0</v>
      </c>
      <c r="GM365">
        <f t="shared" si="402"/>
        <v>6408</v>
      </c>
      <c r="GN365">
        <f t="shared" si="403"/>
        <v>6408</v>
      </c>
      <c r="GO365">
        <f t="shared" si="404"/>
        <v>0</v>
      </c>
      <c r="GP365">
        <f t="shared" si="405"/>
        <v>0</v>
      </c>
      <c r="GR365">
        <v>1</v>
      </c>
      <c r="GS365">
        <v>1</v>
      </c>
      <c r="GT365">
        <v>0</v>
      </c>
      <c r="GU365" t="s">
        <v>6</v>
      </c>
      <c r="GV365">
        <f t="shared" si="406"/>
        <v>0</v>
      </c>
      <c r="GW365">
        <v>1</v>
      </c>
      <c r="GX365">
        <f t="shared" si="407"/>
        <v>0</v>
      </c>
      <c r="HA365">
        <v>0</v>
      </c>
      <c r="HB365">
        <v>0</v>
      </c>
      <c r="HC365">
        <f t="shared" si="408"/>
        <v>0</v>
      </c>
      <c r="HE365" t="s">
        <v>39</v>
      </c>
      <c r="HF365" t="s">
        <v>61</v>
      </c>
      <c r="HM365" t="s">
        <v>6</v>
      </c>
      <c r="HN365" t="s">
        <v>6</v>
      </c>
      <c r="HO365" t="s">
        <v>6</v>
      </c>
      <c r="HP365" t="s">
        <v>6</v>
      </c>
      <c r="HQ365" t="s">
        <v>6</v>
      </c>
      <c r="IF365">
        <v>-1</v>
      </c>
      <c r="IK365">
        <v>0</v>
      </c>
    </row>
    <row r="366" spans="1:255" x14ac:dyDescent="0.2">
      <c r="A366" s="2">
        <v>18</v>
      </c>
      <c r="B366" s="2">
        <v>1</v>
      </c>
      <c r="C366" s="2">
        <v>456</v>
      </c>
      <c r="D366" s="2"/>
      <c r="E366" s="2" t="s">
        <v>491</v>
      </c>
      <c r="F366" s="2" t="s">
        <v>480</v>
      </c>
      <c r="G366" s="2" t="s">
        <v>492</v>
      </c>
      <c r="H366" s="2" t="s">
        <v>33</v>
      </c>
      <c r="I366" s="2">
        <f>I360*J366</f>
        <v>2.6949999999999999E-3</v>
      </c>
      <c r="J366" s="226">
        <f>'5.Ведомость_списания'!F159</f>
        <v>5.3899999999999997E-2</v>
      </c>
      <c r="K366" s="2">
        <v>5.3900000000000003E-2</v>
      </c>
      <c r="L366" s="2"/>
      <c r="M366" s="2"/>
      <c r="N366" s="2"/>
      <c r="O366" s="2">
        <f t="shared" si="377"/>
        <v>39</v>
      </c>
      <c r="P366" s="2">
        <f t="shared" si="378"/>
        <v>39</v>
      </c>
      <c r="Q366" s="2">
        <f t="shared" si="379"/>
        <v>0</v>
      </c>
      <c r="R366" s="2">
        <f t="shared" si="380"/>
        <v>0</v>
      </c>
      <c r="S366" s="2">
        <f t="shared" si="381"/>
        <v>0</v>
      </c>
      <c r="T366" s="2">
        <f t="shared" si="382"/>
        <v>0</v>
      </c>
      <c r="U366" s="2">
        <f t="shared" si="383"/>
        <v>0</v>
      </c>
      <c r="V366" s="2">
        <f t="shared" si="384"/>
        <v>0</v>
      </c>
      <c r="W366" s="2">
        <f t="shared" si="385"/>
        <v>0</v>
      </c>
      <c r="X366" s="2">
        <f t="shared" si="386"/>
        <v>0</v>
      </c>
      <c r="Y366" s="2">
        <f t="shared" si="387"/>
        <v>0</v>
      </c>
      <c r="Z366" s="2"/>
      <c r="AA366" s="2">
        <v>86326987</v>
      </c>
      <c r="AB366" s="2">
        <f t="shared" si="388"/>
        <v>14571.47</v>
      </c>
      <c r="AC366" s="2">
        <f t="shared" si="411"/>
        <v>14571.47</v>
      </c>
      <c r="AD366" s="2">
        <f t="shared" si="412"/>
        <v>0</v>
      </c>
      <c r="AE366" s="2">
        <f t="shared" si="413"/>
        <v>0</v>
      </c>
      <c r="AF366" s="2">
        <f t="shared" si="414"/>
        <v>0</v>
      </c>
      <c r="AG366" s="2">
        <f t="shared" si="389"/>
        <v>0</v>
      </c>
      <c r="AH366" s="2">
        <f t="shared" si="415"/>
        <v>0</v>
      </c>
      <c r="AI366" s="2">
        <f t="shared" si="416"/>
        <v>0</v>
      </c>
      <c r="AJ366" s="2">
        <f t="shared" si="390"/>
        <v>0</v>
      </c>
      <c r="AK366" s="2">
        <v>14571.47</v>
      </c>
      <c r="AL366" s="110">
        <f>'1.Лок.смета.и.Акт'!F669</f>
        <v>14571.47</v>
      </c>
      <c r="AM366" s="2">
        <v>0</v>
      </c>
      <c r="AN366" s="2">
        <v>0</v>
      </c>
      <c r="AO366" s="2">
        <v>0</v>
      </c>
      <c r="AP366" s="2">
        <v>0</v>
      </c>
      <c r="AQ366" s="2">
        <v>0</v>
      </c>
      <c r="AR366" s="2">
        <v>0</v>
      </c>
      <c r="AS366" s="2">
        <v>0</v>
      </c>
      <c r="AT366" s="2">
        <v>0</v>
      </c>
      <c r="AU366" s="2">
        <v>0</v>
      </c>
      <c r="AV366" s="2">
        <v>1</v>
      </c>
      <c r="AW366" s="2">
        <v>1</v>
      </c>
      <c r="AX366" s="2"/>
      <c r="AY366" s="2"/>
      <c r="AZ366" s="2">
        <v>1</v>
      </c>
      <c r="BA366" s="2">
        <v>1</v>
      </c>
      <c r="BB366" s="2">
        <v>1</v>
      </c>
      <c r="BC366" s="2">
        <v>1</v>
      </c>
      <c r="BD366" s="2" t="s">
        <v>6</v>
      </c>
      <c r="BE366" s="2" t="s">
        <v>6</v>
      </c>
      <c r="BF366" s="2" t="s">
        <v>6</v>
      </c>
      <c r="BG366" s="2" t="s">
        <v>6</v>
      </c>
      <c r="BH366" s="2">
        <v>3</v>
      </c>
      <c r="BI366" s="2">
        <v>1</v>
      </c>
      <c r="BJ366" s="2" t="s">
        <v>482</v>
      </c>
      <c r="BK366" s="2"/>
      <c r="BL366" s="2"/>
      <c r="BM366" s="2">
        <v>500003</v>
      </c>
      <c r="BN366" s="2">
        <v>0</v>
      </c>
      <c r="BO366" s="2" t="s">
        <v>6</v>
      </c>
      <c r="BP366" s="2">
        <v>0</v>
      </c>
      <c r="BQ366" s="2">
        <v>22</v>
      </c>
      <c r="BR366" s="2">
        <v>0</v>
      </c>
      <c r="BS366" s="2">
        <v>1</v>
      </c>
      <c r="BT366" s="2">
        <v>1</v>
      </c>
      <c r="BU366" s="2">
        <v>1</v>
      </c>
      <c r="BV366" s="2">
        <v>1</v>
      </c>
      <c r="BW366" s="2">
        <v>1</v>
      </c>
      <c r="BX366" s="2">
        <v>1</v>
      </c>
      <c r="BY366" s="2" t="s">
        <v>6</v>
      </c>
      <c r="BZ366" s="2">
        <v>0</v>
      </c>
      <c r="CA366" s="2">
        <v>0</v>
      </c>
      <c r="CB366" s="2" t="s">
        <v>6</v>
      </c>
      <c r="CC366" s="2"/>
      <c r="CD366" s="2"/>
      <c r="CE366" s="2">
        <v>0</v>
      </c>
      <c r="CF366" s="2">
        <v>0</v>
      </c>
      <c r="CG366" s="2">
        <v>0</v>
      </c>
      <c r="CH366" s="2"/>
      <c r="CI366" s="2"/>
      <c r="CJ366" s="2"/>
      <c r="CK366" s="2"/>
      <c r="CL366" s="2"/>
      <c r="CM366" s="2">
        <v>0</v>
      </c>
      <c r="CN366" s="2" t="s">
        <v>6</v>
      </c>
      <c r="CO366" s="2">
        <v>0</v>
      </c>
      <c r="CP366" s="2">
        <f t="shared" si="391"/>
        <v>39</v>
      </c>
      <c r="CQ366" s="2">
        <f t="shared" si="392"/>
        <v>14571.47</v>
      </c>
      <c r="CR366" s="2">
        <f t="shared" si="393"/>
        <v>0</v>
      </c>
      <c r="CS366" s="2">
        <f t="shared" si="394"/>
        <v>0</v>
      </c>
      <c r="CT366" s="2">
        <f t="shared" si="395"/>
        <v>0</v>
      </c>
      <c r="CU366" s="2">
        <f t="shared" si="396"/>
        <v>0</v>
      </c>
      <c r="CV366" s="2">
        <f t="shared" si="397"/>
        <v>0</v>
      </c>
      <c r="CW366" s="2">
        <f t="shared" si="398"/>
        <v>0</v>
      </c>
      <c r="CX366" s="2">
        <f t="shared" si="399"/>
        <v>0</v>
      </c>
      <c r="CY366" s="2">
        <f>(((S366+(R366*IF(0,0,1)))*AT366)/100)</f>
        <v>0</v>
      </c>
      <c r="CZ366" s="2">
        <f>(((S366+(R366*IF(0,0,1)))*AU366)/100)</f>
        <v>0</v>
      </c>
      <c r="DA366" s="2"/>
      <c r="DB366" s="2"/>
      <c r="DC366" s="2" t="s">
        <v>6</v>
      </c>
      <c r="DD366" s="2" t="s">
        <v>6</v>
      </c>
      <c r="DE366" s="2" t="s">
        <v>6</v>
      </c>
      <c r="DF366" s="2" t="s">
        <v>6</v>
      </c>
      <c r="DG366" s="2" t="s">
        <v>6</v>
      </c>
      <c r="DH366" s="2" t="s">
        <v>6</v>
      </c>
      <c r="DI366" s="2" t="s">
        <v>6</v>
      </c>
      <c r="DJ366" s="2" t="s">
        <v>6</v>
      </c>
      <c r="DK366" s="2" t="s">
        <v>6</v>
      </c>
      <c r="DL366" s="2" t="s">
        <v>6</v>
      </c>
      <c r="DM366" s="2" t="s">
        <v>6</v>
      </c>
      <c r="DN366" s="2">
        <v>0</v>
      </c>
      <c r="DO366" s="2">
        <v>0</v>
      </c>
      <c r="DP366" s="2">
        <v>1</v>
      </c>
      <c r="DQ366" s="2">
        <v>1</v>
      </c>
      <c r="DR366" s="2"/>
      <c r="DS366" s="2"/>
      <c r="DT366" s="2"/>
      <c r="DU366" s="2">
        <v>1009</v>
      </c>
      <c r="DV366" s="2" t="s">
        <v>33</v>
      </c>
      <c r="DW366" s="2" t="s">
        <v>33</v>
      </c>
      <c r="DX366" s="2">
        <v>1000</v>
      </c>
      <c r="DY366" s="2"/>
      <c r="DZ366" s="2" t="s">
        <v>6</v>
      </c>
      <c r="EA366" s="2" t="s">
        <v>6</v>
      </c>
      <c r="EB366" s="2" t="s">
        <v>6</v>
      </c>
      <c r="EC366" s="2" t="s">
        <v>6</v>
      </c>
      <c r="ED366" s="2"/>
      <c r="EE366" s="2">
        <v>54938783</v>
      </c>
      <c r="EF366" s="2">
        <v>22</v>
      </c>
      <c r="EG366" s="2" t="s">
        <v>57</v>
      </c>
      <c r="EH366" s="2">
        <v>0</v>
      </c>
      <c r="EI366" s="2" t="s">
        <v>6</v>
      </c>
      <c r="EJ366" s="2">
        <v>1</v>
      </c>
      <c r="EK366" s="2">
        <v>500003</v>
      </c>
      <c r="EL366" s="2" t="s">
        <v>58</v>
      </c>
      <c r="EM366" s="2" t="s">
        <v>59</v>
      </c>
      <c r="EN366" s="2"/>
      <c r="EO366" s="2" t="s">
        <v>6</v>
      </c>
      <c r="EP366" s="2"/>
      <c r="EQ366" s="2">
        <v>0</v>
      </c>
      <c r="ER366" s="2">
        <v>14571.47</v>
      </c>
      <c r="ES366" s="110">
        <f>'1.Лок.смета.и.Акт'!F669</f>
        <v>14571.47</v>
      </c>
      <c r="ET366" s="2">
        <v>0</v>
      </c>
      <c r="EU366" s="2">
        <v>0</v>
      </c>
      <c r="EV366" s="2">
        <v>0</v>
      </c>
      <c r="EW366" s="2">
        <v>0</v>
      </c>
      <c r="EX366" s="2">
        <v>0</v>
      </c>
      <c r="EY366" s="2"/>
      <c r="EZ366" s="2"/>
      <c r="FA366" s="2"/>
      <c r="FB366" s="2"/>
      <c r="FC366" s="2"/>
      <c r="FD366" s="2"/>
      <c r="FE366" s="2"/>
      <c r="FF366" s="2"/>
      <c r="FG366" s="2"/>
      <c r="FH366" s="2"/>
      <c r="FI366" s="2"/>
      <c r="FJ366" s="2"/>
      <c r="FK366" s="2"/>
      <c r="FL366" s="2"/>
      <c r="FM366" s="2"/>
      <c r="FN366" s="2"/>
      <c r="FO366" s="2"/>
      <c r="FP366" s="2"/>
      <c r="FQ366" s="2">
        <v>0</v>
      </c>
      <c r="FR366" s="2">
        <f t="shared" si="400"/>
        <v>0</v>
      </c>
      <c r="FS366" s="2">
        <v>0</v>
      </c>
      <c r="FT366" s="2"/>
      <c r="FU366" s="2"/>
      <c r="FV366" s="2"/>
      <c r="FW366" s="2"/>
      <c r="FX366" s="2">
        <v>0</v>
      </c>
      <c r="FY366" s="2">
        <v>0</v>
      </c>
      <c r="FZ366" s="2"/>
      <c r="GA366" s="2" t="s">
        <v>6</v>
      </c>
      <c r="GB366" s="2"/>
      <c r="GC366" s="2"/>
      <c r="GD366" s="2">
        <v>1</v>
      </c>
      <c r="GE366" s="2"/>
      <c r="GF366" s="2">
        <v>1055029466</v>
      </c>
      <c r="GG366" s="2">
        <v>2</v>
      </c>
      <c r="GH366" s="2">
        <v>2</v>
      </c>
      <c r="GI366" s="2">
        <v>-2</v>
      </c>
      <c r="GJ366" s="2">
        <v>0</v>
      </c>
      <c r="GK366" s="2">
        <v>0</v>
      </c>
      <c r="GL366" s="2">
        <f t="shared" si="401"/>
        <v>0</v>
      </c>
      <c r="GM366" s="2">
        <f t="shared" si="402"/>
        <v>39</v>
      </c>
      <c r="GN366" s="2">
        <f t="shared" si="403"/>
        <v>39</v>
      </c>
      <c r="GO366" s="2">
        <f t="shared" si="404"/>
        <v>0</v>
      </c>
      <c r="GP366" s="2">
        <f t="shared" si="405"/>
        <v>0</v>
      </c>
      <c r="GQ366" s="2"/>
      <c r="GR366" s="2">
        <v>0</v>
      </c>
      <c r="GS366" s="2">
        <v>2</v>
      </c>
      <c r="GT366" s="2">
        <v>0</v>
      </c>
      <c r="GU366" s="2" t="s">
        <v>6</v>
      </c>
      <c r="GV366" s="2">
        <f t="shared" si="406"/>
        <v>0</v>
      </c>
      <c r="GW366" s="2">
        <v>1</v>
      </c>
      <c r="GX366" s="2">
        <f t="shared" si="407"/>
        <v>0</v>
      </c>
      <c r="GY366" s="2"/>
      <c r="GZ366" s="2"/>
      <c r="HA366" s="2">
        <v>0</v>
      </c>
      <c r="HB366" s="2">
        <v>0</v>
      </c>
      <c r="HC366" s="2">
        <f t="shared" si="408"/>
        <v>0</v>
      </c>
      <c r="HD366" s="2"/>
      <c r="HE366" s="2" t="s">
        <v>6</v>
      </c>
      <c r="HF366" s="2" t="s">
        <v>6</v>
      </c>
      <c r="HG366" s="2"/>
      <c r="HH366" s="2"/>
      <c r="HI366" s="2"/>
      <c r="HJ366" s="2"/>
      <c r="HK366" s="2"/>
      <c r="HL366" s="2"/>
      <c r="HM366" s="2" t="s">
        <v>6</v>
      </c>
      <c r="HN366" s="2" t="s">
        <v>6</v>
      </c>
      <c r="HO366" s="2" t="s">
        <v>6</v>
      </c>
      <c r="HP366" s="2" t="s">
        <v>6</v>
      </c>
      <c r="HQ366" s="2" t="s">
        <v>6</v>
      </c>
      <c r="HR366" s="2"/>
      <c r="HS366" s="2"/>
      <c r="HT366" s="2"/>
      <c r="HU366" s="2"/>
      <c r="HV366" s="2"/>
      <c r="HW366" s="2"/>
      <c r="HX366" s="2"/>
      <c r="HY366" s="2"/>
      <c r="HZ366" s="2"/>
      <c r="IA366" s="2"/>
      <c r="IB366" s="2"/>
      <c r="IC366" s="2"/>
      <c r="ID366" s="2"/>
      <c r="IE366" s="2"/>
      <c r="IF366" s="2">
        <v>-1</v>
      </c>
      <c r="IG366" s="2"/>
      <c r="IH366" s="2"/>
      <c r="II366" s="2"/>
      <c r="IJ366" s="2"/>
      <c r="IK366" s="2">
        <v>0</v>
      </c>
      <c r="IL366" s="2"/>
      <c r="IM366" s="2"/>
      <c r="IN366" s="2"/>
      <c r="IO366" s="2"/>
      <c r="IP366" s="2"/>
      <c r="IQ366" s="2"/>
      <c r="IR366" s="2"/>
      <c r="IS366" s="2"/>
      <c r="IT366" s="2"/>
      <c r="IU366" s="2"/>
    </row>
    <row r="367" spans="1:255" x14ac:dyDescent="0.2">
      <c r="A367">
        <v>18</v>
      </c>
      <c r="B367">
        <v>1</v>
      </c>
      <c r="C367">
        <v>464</v>
      </c>
      <c r="E367" t="s">
        <v>491</v>
      </c>
      <c r="F367" t="e">
        <f>'2.Лок.смета.и.Акт'!#REF!</f>
        <v>#REF!</v>
      </c>
      <c r="G367" t="s">
        <v>492</v>
      </c>
      <c r="H367" t="s">
        <v>33</v>
      </c>
      <c r="I367">
        <f>I361*J367</f>
        <v>2.6949999999999999E-3</v>
      </c>
      <c r="J367">
        <v>5.3899999999999997E-2</v>
      </c>
      <c r="K367">
        <v>5.3900000000000003E-2</v>
      </c>
      <c r="O367">
        <f t="shared" si="377"/>
        <v>316</v>
      </c>
      <c r="P367">
        <f t="shared" si="378"/>
        <v>316</v>
      </c>
      <c r="Q367">
        <f t="shared" si="379"/>
        <v>0</v>
      </c>
      <c r="R367">
        <f t="shared" si="380"/>
        <v>0</v>
      </c>
      <c r="S367">
        <f t="shared" si="381"/>
        <v>0</v>
      </c>
      <c r="T367">
        <f t="shared" si="382"/>
        <v>0</v>
      </c>
      <c r="U367">
        <f t="shared" si="383"/>
        <v>0</v>
      </c>
      <c r="V367">
        <f t="shared" si="384"/>
        <v>0</v>
      </c>
      <c r="W367">
        <f t="shared" si="385"/>
        <v>0</v>
      </c>
      <c r="X367">
        <f t="shared" si="386"/>
        <v>0</v>
      </c>
      <c r="Y367">
        <f t="shared" si="387"/>
        <v>0</v>
      </c>
      <c r="AA367">
        <v>86326988</v>
      </c>
      <c r="AB367">
        <f t="shared" si="388"/>
        <v>15515.92</v>
      </c>
      <c r="AC367">
        <f t="shared" si="411"/>
        <v>15515.92</v>
      </c>
      <c r="AD367">
        <f t="shared" si="412"/>
        <v>0</v>
      </c>
      <c r="AE367">
        <f t="shared" si="413"/>
        <v>0</v>
      </c>
      <c r="AF367">
        <f t="shared" si="414"/>
        <v>0</v>
      </c>
      <c r="AG367">
        <f t="shared" si="389"/>
        <v>0</v>
      </c>
      <c r="AH367">
        <f t="shared" si="415"/>
        <v>0</v>
      </c>
      <c r="AI367">
        <f t="shared" si="416"/>
        <v>0</v>
      </c>
      <c r="AJ367">
        <f t="shared" si="390"/>
        <v>0</v>
      </c>
      <c r="AK367">
        <v>15515.92</v>
      </c>
      <c r="AL367">
        <v>15515.92</v>
      </c>
      <c r="AM367">
        <v>0</v>
      </c>
      <c r="AN367">
        <v>0</v>
      </c>
      <c r="AO367">
        <v>0</v>
      </c>
      <c r="AP367">
        <v>0</v>
      </c>
      <c r="AQ367">
        <v>0</v>
      </c>
      <c r="AR367">
        <v>0</v>
      </c>
      <c r="AS367">
        <v>0</v>
      </c>
      <c r="AT367">
        <v>0</v>
      </c>
      <c r="AU367">
        <v>0</v>
      </c>
      <c r="AV367">
        <v>1</v>
      </c>
      <c r="AW367">
        <v>1</v>
      </c>
      <c r="AZ367">
        <v>1</v>
      </c>
      <c r="BA367">
        <v>1</v>
      </c>
      <c r="BB367">
        <v>1</v>
      </c>
      <c r="BC367">
        <v>7.56</v>
      </c>
      <c r="BD367" t="s">
        <v>6</v>
      </c>
      <c r="BE367" t="s">
        <v>6</v>
      </c>
      <c r="BF367" t="s">
        <v>6</v>
      </c>
      <c r="BG367" t="s">
        <v>6</v>
      </c>
      <c r="BH367">
        <v>3</v>
      </c>
      <c r="BI367">
        <v>1</v>
      </c>
      <c r="BJ367" t="s">
        <v>482</v>
      </c>
      <c r="BM367">
        <v>500003</v>
      </c>
      <c r="BN367">
        <v>0</v>
      </c>
      <c r="BO367" t="s">
        <v>6</v>
      </c>
      <c r="BP367">
        <v>0</v>
      </c>
      <c r="BQ367">
        <v>22</v>
      </c>
      <c r="BR367">
        <v>0</v>
      </c>
      <c r="BS367">
        <v>1</v>
      </c>
      <c r="BT367">
        <v>1</v>
      </c>
      <c r="BU367">
        <v>1</v>
      </c>
      <c r="BV367">
        <v>1</v>
      </c>
      <c r="BW367">
        <v>1</v>
      </c>
      <c r="BX367">
        <v>1</v>
      </c>
      <c r="BY367" t="s">
        <v>6</v>
      </c>
      <c r="BZ367">
        <v>0</v>
      </c>
      <c r="CA367">
        <v>0</v>
      </c>
      <c r="CB367" t="s">
        <v>6</v>
      </c>
      <c r="CE367">
        <v>0</v>
      </c>
      <c r="CF367">
        <v>0</v>
      </c>
      <c r="CG367">
        <v>0</v>
      </c>
      <c r="CM367">
        <v>0</v>
      </c>
      <c r="CN367" t="s">
        <v>6</v>
      </c>
      <c r="CO367">
        <v>0</v>
      </c>
      <c r="CP367">
        <f t="shared" si="391"/>
        <v>316</v>
      </c>
      <c r="CQ367">
        <f t="shared" si="392"/>
        <v>117300.35519999999</v>
      </c>
      <c r="CR367">
        <f t="shared" si="393"/>
        <v>0</v>
      </c>
      <c r="CS367">
        <f t="shared" si="394"/>
        <v>0</v>
      </c>
      <c r="CT367">
        <f t="shared" si="395"/>
        <v>0</v>
      </c>
      <c r="CU367">
        <f t="shared" si="396"/>
        <v>0</v>
      </c>
      <c r="CV367">
        <f t="shared" si="397"/>
        <v>0</v>
      </c>
      <c r="CW367">
        <f t="shared" si="398"/>
        <v>0</v>
      </c>
      <c r="CX367">
        <f t="shared" si="399"/>
        <v>0</v>
      </c>
      <c r="CY367">
        <f>(S367+R367)*(BZ367/100)</f>
        <v>0</v>
      </c>
      <c r="CZ367">
        <f>(S367+R367)*(CA367/100)</f>
        <v>0</v>
      </c>
      <c r="DC367" t="s">
        <v>6</v>
      </c>
      <c r="DD367" t="s">
        <v>6</v>
      </c>
      <c r="DE367" t="s">
        <v>6</v>
      </c>
      <c r="DF367" t="s">
        <v>6</v>
      </c>
      <c r="DG367" t="s">
        <v>6</v>
      </c>
      <c r="DH367" t="s">
        <v>6</v>
      </c>
      <c r="DI367" t="s">
        <v>6</v>
      </c>
      <c r="DJ367" t="s">
        <v>6</v>
      </c>
      <c r="DK367" t="s">
        <v>6</v>
      </c>
      <c r="DL367" t="s">
        <v>6</v>
      </c>
      <c r="DM367" t="s">
        <v>6</v>
      </c>
      <c r="DN367">
        <v>0</v>
      </c>
      <c r="DO367">
        <v>0</v>
      </c>
      <c r="DP367">
        <v>1</v>
      </c>
      <c r="DQ367">
        <v>1</v>
      </c>
      <c r="DU367">
        <v>1009</v>
      </c>
      <c r="DV367" t="s">
        <v>33</v>
      </c>
      <c r="DW367" t="e">
        <f>'2.Лок.смета.и.Акт'!#REF!</f>
        <v>#REF!</v>
      </c>
      <c r="DX367">
        <v>1000</v>
      </c>
      <c r="DZ367" t="s">
        <v>6</v>
      </c>
      <c r="EA367" t="s">
        <v>6</v>
      </c>
      <c r="EB367" t="s">
        <v>6</v>
      </c>
      <c r="EC367" t="s">
        <v>6</v>
      </c>
      <c r="EE367">
        <v>54938783</v>
      </c>
      <c r="EF367">
        <v>22</v>
      </c>
      <c r="EG367" t="s">
        <v>57</v>
      </c>
      <c r="EH367">
        <v>0</v>
      </c>
      <c r="EI367" t="s">
        <v>6</v>
      </c>
      <c r="EJ367">
        <v>1</v>
      </c>
      <c r="EK367">
        <v>500003</v>
      </c>
      <c r="EL367" t="s">
        <v>58</v>
      </c>
      <c r="EM367" t="s">
        <v>59</v>
      </c>
      <c r="EO367" t="s">
        <v>6</v>
      </c>
      <c r="EQ367">
        <v>0</v>
      </c>
      <c r="ER367">
        <v>111949.22</v>
      </c>
      <c r="ES367">
        <v>15515.92</v>
      </c>
      <c r="ET367">
        <v>0</v>
      </c>
      <c r="EU367">
        <v>0</v>
      </c>
      <c r="EV367">
        <v>0</v>
      </c>
      <c r="EW367">
        <v>0</v>
      </c>
      <c r="EX367">
        <v>0</v>
      </c>
      <c r="EZ367">
        <v>5</v>
      </c>
      <c r="FC367">
        <v>0</v>
      </c>
      <c r="FD367">
        <v>18</v>
      </c>
      <c r="FF367">
        <v>111949.22</v>
      </c>
      <c r="FQ367">
        <v>0</v>
      </c>
      <c r="FR367">
        <f t="shared" si="400"/>
        <v>0</v>
      </c>
      <c r="FS367">
        <v>0</v>
      </c>
      <c r="FX367">
        <v>0</v>
      </c>
      <c r="FY367">
        <v>0</v>
      </c>
      <c r="GA367" t="s">
        <v>483</v>
      </c>
      <c r="GD367">
        <v>1</v>
      </c>
      <c r="GF367">
        <v>1055029466</v>
      </c>
      <c r="GG367">
        <v>2</v>
      </c>
      <c r="GH367">
        <v>3</v>
      </c>
      <c r="GI367">
        <v>5</v>
      </c>
      <c r="GJ367">
        <v>0</v>
      </c>
      <c r="GK367">
        <v>0</v>
      </c>
      <c r="GL367">
        <f t="shared" si="401"/>
        <v>0</v>
      </c>
      <c r="GM367">
        <f t="shared" si="402"/>
        <v>316</v>
      </c>
      <c r="GN367">
        <f t="shared" si="403"/>
        <v>316</v>
      </c>
      <c r="GO367">
        <f t="shared" si="404"/>
        <v>0</v>
      </c>
      <c r="GP367">
        <f t="shared" si="405"/>
        <v>0</v>
      </c>
      <c r="GR367">
        <v>1</v>
      </c>
      <c r="GS367">
        <v>1</v>
      </c>
      <c r="GT367">
        <v>0</v>
      </c>
      <c r="GU367" t="s">
        <v>6</v>
      </c>
      <c r="GV367">
        <f t="shared" si="406"/>
        <v>0</v>
      </c>
      <c r="GW367">
        <v>1</v>
      </c>
      <c r="GX367">
        <f t="shared" si="407"/>
        <v>0</v>
      </c>
      <c r="HA367">
        <v>0</v>
      </c>
      <c r="HB367">
        <v>0</v>
      </c>
      <c r="HC367">
        <f t="shared" si="408"/>
        <v>0</v>
      </c>
      <c r="HE367" t="s">
        <v>39</v>
      </c>
      <c r="HF367" t="s">
        <v>61</v>
      </c>
      <c r="HM367" t="s">
        <v>6</v>
      </c>
      <c r="HN367" t="s">
        <v>6</v>
      </c>
      <c r="HO367" t="s">
        <v>6</v>
      </c>
      <c r="HP367" t="s">
        <v>6</v>
      </c>
      <c r="HQ367" t="s">
        <v>6</v>
      </c>
      <c r="IF367">
        <v>-1</v>
      </c>
      <c r="IK367">
        <v>0</v>
      </c>
    </row>
    <row r="368" spans="1:255" x14ac:dyDescent="0.2">
      <c r="A368" s="2">
        <v>17</v>
      </c>
      <c r="B368" s="2">
        <v>1</v>
      </c>
      <c r="C368" s="2">
        <f>ROW(SmtRes!A469)</f>
        <v>469</v>
      </c>
      <c r="D368" s="2">
        <f>ROW(EtalonRes!A389)</f>
        <v>389</v>
      </c>
      <c r="E368" s="2" t="s">
        <v>493</v>
      </c>
      <c r="F368" s="2" t="s">
        <v>494</v>
      </c>
      <c r="G368" s="2" t="s">
        <v>495</v>
      </c>
      <c r="H368" s="2" t="s">
        <v>496</v>
      </c>
      <c r="I368" s="2">
        <f>'2.Лок.смета.и.Акт'!E54</f>
        <v>4.0750000000000001E-2</v>
      </c>
      <c r="J368" s="2">
        <v>0</v>
      </c>
      <c r="K368" s="2">
        <v>0.16300000000000001</v>
      </c>
      <c r="L368" s="2"/>
      <c r="M368" s="2"/>
      <c r="N368" s="2"/>
      <c r="O368" s="2">
        <f t="shared" si="377"/>
        <v>28</v>
      </c>
      <c r="P368" s="2">
        <f t="shared" si="378"/>
        <v>0</v>
      </c>
      <c r="Q368" s="2">
        <f t="shared" si="379"/>
        <v>10</v>
      </c>
      <c r="R368" s="2">
        <f t="shared" si="380"/>
        <v>0</v>
      </c>
      <c r="S368" s="2">
        <f t="shared" si="381"/>
        <v>18</v>
      </c>
      <c r="T368" s="2">
        <f t="shared" si="382"/>
        <v>0</v>
      </c>
      <c r="U368" s="2">
        <f t="shared" si="383"/>
        <v>1.7400250000000002</v>
      </c>
      <c r="V368" s="2">
        <f t="shared" si="384"/>
        <v>0</v>
      </c>
      <c r="W368" s="2">
        <f t="shared" si="385"/>
        <v>0</v>
      </c>
      <c r="X368" s="2">
        <f t="shared" si="386"/>
        <v>23</v>
      </c>
      <c r="Y368" s="2">
        <f t="shared" si="387"/>
        <v>15</v>
      </c>
      <c r="Z368" s="2"/>
      <c r="AA368" s="2">
        <v>86326987</v>
      </c>
      <c r="AB368" s="2">
        <f t="shared" si="388"/>
        <v>695.57</v>
      </c>
      <c r="AC368" s="2">
        <f>ROUND((ES368+(SUM(SmtRes!BC465:'SmtRes'!BC469)+SUM(EtalonRes!AL385:'EtalonRes'!AL389))),2)</f>
        <v>0</v>
      </c>
      <c r="AD368" s="2">
        <f t="shared" si="412"/>
        <v>255.76</v>
      </c>
      <c r="AE368" s="2">
        <f t="shared" si="413"/>
        <v>0</v>
      </c>
      <c r="AF368" s="2">
        <f t="shared" si="414"/>
        <v>439.81</v>
      </c>
      <c r="AG368" s="2">
        <f t="shared" si="389"/>
        <v>0</v>
      </c>
      <c r="AH368" s="2">
        <f t="shared" si="415"/>
        <v>42.7</v>
      </c>
      <c r="AI368" s="2">
        <f t="shared" si="416"/>
        <v>0</v>
      </c>
      <c r="AJ368" s="2">
        <f t="shared" si="390"/>
        <v>0</v>
      </c>
      <c r="AK368" s="2">
        <v>15154.3</v>
      </c>
      <c r="AL368" s="2">
        <v>14458.73</v>
      </c>
      <c r="AM368" s="2">
        <v>255.76</v>
      </c>
      <c r="AN368" s="2">
        <v>0</v>
      </c>
      <c r="AO368" s="2">
        <v>439.81</v>
      </c>
      <c r="AP368" s="2">
        <v>0</v>
      </c>
      <c r="AQ368" s="2">
        <v>42.7</v>
      </c>
      <c r="AR368" s="2">
        <v>0</v>
      </c>
      <c r="AS368" s="2">
        <v>0</v>
      </c>
      <c r="AT368" s="2">
        <v>130</v>
      </c>
      <c r="AU368" s="2">
        <v>85</v>
      </c>
      <c r="AV368" s="2">
        <v>1</v>
      </c>
      <c r="AW368" s="2">
        <v>1</v>
      </c>
      <c r="AX368" s="2"/>
      <c r="AY368" s="2"/>
      <c r="AZ368" s="2">
        <v>1</v>
      </c>
      <c r="BA368" s="2">
        <v>1</v>
      </c>
      <c r="BB368" s="2">
        <v>1</v>
      </c>
      <c r="BC368" s="2">
        <v>1</v>
      </c>
      <c r="BD368" s="2" t="s">
        <v>6</v>
      </c>
      <c r="BE368" s="2" t="s">
        <v>6</v>
      </c>
      <c r="BF368" s="2" t="s">
        <v>6</v>
      </c>
      <c r="BG368" s="2" t="s">
        <v>6</v>
      </c>
      <c r="BH368" s="2">
        <v>0</v>
      </c>
      <c r="BI368" s="2">
        <v>1</v>
      </c>
      <c r="BJ368" s="2" t="s">
        <v>497</v>
      </c>
      <c r="BK368" s="2"/>
      <c r="BL368" s="2"/>
      <c r="BM368" s="2">
        <v>7001</v>
      </c>
      <c r="BN368" s="2">
        <v>0</v>
      </c>
      <c r="BO368" s="2" t="s">
        <v>6</v>
      </c>
      <c r="BP368" s="2">
        <v>0</v>
      </c>
      <c r="BQ368" s="2">
        <v>1</v>
      </c>
      <c r="BR368" s="2">
        <v>0</v>
      </c>
      <c r="BS368" s="2">
        <v>1</v>
      </c>
      <c r="BT368" s="2">
        <v>1</v>
      </c>
      <c r="BU368" s="2">
        <v>1</v>
      </c>
      <c r="BV368" s="2">
        <v>1</v>
      </c>
      <c r="BW368" s="2">
        <v>1</v>
      </c>
      <c r="BX368" s="2">
        <v>1</v>
      </c>
      <c r="BY368" s="2" t="s">
        <v>6</v>
      </c>
      <c r="BZ368" s="2">
        <v>130</v>
      </c>
      <c r="CA368" s="2">
        <v>85</v>
      </c>
      <c r="CB368" s="2" t="s">
        <v>6</v>
      </c>
      <c r="CC368" s="2"/>
      <c r="CD368" s="2"/>
      <c r="CE368" s="2">
        <v>0</v>
      </c>
      <c r="CF368" s="2">
        <v>0</v>
      </c>
      <c r="CG368" s="2">
        <v>0</v>
      </c>
      <c r="CH368" s="2"/>
      <c r="CI368" s="2"/>
      <c r="CJ368" s="2"/>
      <c r="CK368" s="2"/>
      <c r="CL368" s="2"/>
      <c r="CM368" s="2">
        <v>0</v>
      </c>
      <c r="CN368" s="2" t="s">
        <v>6</v>
      </c>
      <c r="CO368" s="2">
        <v>0</v>
      </c>
      <c r="CP368" s="2">
        <f t="shared" si="391"/>
        <v>28</v>
      </c>
      <c r="CQ368" s="2">
        <f t="shared" si="392"/>
        <v>0</v>
      </c>
      <c r="CR368" s="2">
        <f t="shared" si="393"/>
        <v>255.76</v>
      </c>
      <c r="CS368" s="2">
        <f t="shared" si="394"/>
        <v>0</v>
      </c>
      <c r="CT368" s="2">
        <f t="shared" si="395"/>
        <v>439.81</v>
      </c>
      <c r="CU368" s="2">
        <f t="shared" si="396"/>
        <v>0</v>
      </c>
      <c r="CV368" s="2">
        <f t="shared" si="397"/>
        <v>42.7</v>
      </c>
      <c r="CW368" s="2">
        <f t="shared" si="398"/>
        <v>0</v>
      </c>
      <c r="CX368" s="2">
        <f t="shared" si="399"/>
        <v>0</v>
      </c>
      <c r="CY368" s="2">
        <f>(((S368+(R368*IF(0,0,1)))*AT368)/100)</f>
        <v>23.4</v>
      </c>
      <c r="CZ368" s="2">
        <f>(((S368+(R368*IF(0,0,1)))*AU368)/100)</f>
        <v>15.3</v>
      </c>
      <c r="DA368" s="2"/>
      <c r="DB368" s="2"/>
      <c r="DC368" s="2" t="s">
        <v>6</v>
      </c>
      <c r="DD368" s="2" t="s">
        <v>6</v>
      </c>
      <c r="DE368" s="2" t="s">
        <v>6</v>
      </c>
      <c r="DF368" s="2" t="s">
        <v>6</v>
      </c>
      <c r="DG368" s="2" t="s">
        <v>6</v>
      </c>
      <c r="DH368" s="2" t="s">
        <v>6</v>
      </c>
      <c r="DI368" s="2" t="s">
        <v>6</v>
      </c>
      <c r="DJ368" s="2" t="s">
        <v>6</v>
      </c>
      <c r="DK368" s="2" t="s">
        <v>6</v>
      </c>
      <c r="DL368" s="2" t="s">
        <v>6</v>
      </c>
      <c r="DM368" s="2" t="s">
        <v>6</v>
      </c>
      <c r="DN368" s="2">
        <v>0</v>
      </c>
      <c r="DO368" s="2">
        <v>0</v>
      </c>
      <c r="DP368" s="2">
        <v>1</v>
      </c>
      <c r="DQ368" s="2">
        <v>1</v>
      </c>
      <c r="DR368" s="2"/>
      <c r="DS368" s="2"/>
      <c r="DT368" s="2"/>
      <c r="DU368" s="2">
        <v>1013</v>
      </c>
      <c r="DV368" s="2" t="s">
        <v>496</v>
      </c>
      <c r="DW368" s="2" t="s">
        <v>496</v>
      </c>
      <c r="DX368" s="2">
        <v>1</v>
      </c>
      <c r="DY368" s="2"/>
      <c r="DZ368" s="2" t="s">
        <v>6</v>
      </c>
      <c r="EA368" s="2" t="s">
        <v>6</v>
      </c>
      <c r="EB368" s="2" t="s">
        <v>6</v>
      </c>
      <c r="EC368" s="2" t="s">
        <v>6</v>
      </c>
      <c r="ED368" s="2"/>
      <c r="EE368" s="2">
        <v>54938594</v>
      </c>
      <c r="EF368" s="2">
        <v>1</v>
      </c>
      <c r="EG368" s="2" t="s">
        <v>26</v>
      </c>
      <c r="EH368" s="2">
        <v>0</v>
      </c>
      <c r="EI368" s="2" t="s">
        <v>6</v>
      </c>
      <c r="EJ368" s="2">
        <v>1</v>
      </c>
      <c r="EK368" s="2">
        <v>7001</v>
      </c>
      <c r="EL368" s="2" t="s">
        <v>498</v>
      </c>
      <c r="EM368" s="2" t="s">
        <v>499</v>
      </c>
      <c r="EN368" s="2"/>
      <c r="EO368" s="2" t="s">
        <v>6</v>
      </c>
      <c r="EP368" s="2"/>
      <c r="EQ368" s="2">
        <v>2228224</v>
      </c>
      <c r="ER368" s="2">
        <v>15154.3</v>
      </c>
      <c r="ES368" s="2">
        <v>14458.73</v>
      </c>
      <c r="ET368" s="2">
        <v>255.76</v>
      </c>
      <c r="EU368" s="2">
        <v>0</v>
      </c>
      <c r="EV368" s="2">
        <v>439.81</v>
      </c>
      <c r="EW368" s="2">
        <v>42.7</v>
      </c>
      <c r="EX368" s="2">
        <v>0</v>
      </c>
      <c r="EY368" s="2">
        <v>1</v>
      </c>
      <c r="EZ368" s="2"/>
      <c r="FA368" s="2"/>
      <c r="FB368" s="2"/>
      <c r="FC368" s="2"/>
      <c r="FD368" s="2"/>
      <c r="FE368" s="2"/>
      <c r="FF368" s="2"/>
      <c r="FG368" s="2"/>
      <c r="FH368" s="2"/>
      <c r="FI368" s="2"/>
      <c r="FJ368" s="2"/>
      <c r="FK368" s="2"/>
      <c r="FL368" s="2"/>
      <c r="FM368" s="2"/>
      <c r="FN368" s="2"/>
      <c r="FO368" s="2"/>
      <c r="FP368" s="2"/>
      <c r="FQ368" s="2">
        <v>0</v>
      </c>
      <c r="FR368" s="2">
        <f t="shared" si="400"/>
        <v>0</v>
      </c>
      <c r="FS368" s="2">
        <v>0</v>
      </c>
      <c r="FT368" s="2"/>
      <c r="FU368" s="2"/>
      <c r="FV368" s="2"/>
      <c r="FW368" s="2"/>
      <c r="FX368" s="2">
        <v>130</v>
      </c>
      <c r="FY368" s="2">
        <v>85</v>
      </c>
      <c r="FZ368" s="2"/>
      <c r="GA368" s="2" t="s">
        <v>6</v>
      </c>
      <c r="GB368" s="2"/>
      <c r="GC368" s="2"/>
      <c r="GD368" s="2">
        <v>1</v>
      </c>
      <c r="GE368" s="2"/>
      <c r="GF368" s="2">
        <v>-1599537868</v>
      </c>
      <c r="GG368" s="2">
        <v>2</v>
      </c>
      <c r="GH368" s="2">
        <v>1</v>
      </c>
      <c r="GI368" s="2">
        <v>-2</v>
      </c>
      <c r="GJ368" s="2">
        <v>0</v>
      </c>
      <c r="GK368" s="2">
        <v>0</v>
      </c>
      <c r="GL368" s="2">
        <f t="shared" si="401"/>
        <v>0</v>
      </c>
      <c r="GM368" s="2">
        <f t="shared" si="402"/>
        <v>66</v>
      </c>
      <c r="GN368" s="2">
        <f t="shared" si="403"/>
        <v>66</v>
      </c>
      <c r="GO368" s="2">
        <f t="shared" si="404"/>
        <v>0</v>
      </c>
      <c r="GP368" s="2">
        <f t="shared" si="405"/>
        <v>0</v>
      </c>
      <c r="GQ368" s="2"/>
      <c r="GR368" s="2">
        <v>0</v>
      </c>
      <c r="GS368" s="2">
        <v>3</v>
      </c>
      <c r="GT368" s="2">
        <v>0</v>
      </c>
      <c r="GU368" s="2" t="s">
        <v>6</v>
      </c>
      <c r="GV368" s="2">
        <f t="shared" si="406"/>
        <v>0</v>
      </c>
      <c r="GW368" s="2">
        <v>1</v>
      </c>
      <c r="GX368" s="2">
        <f t="shared" si="407"/>
        <v>0</v>
      </c>
      <c r="GY368" s="2"/>
      <c r="GZ368" s="2"/>
      <c r="HA368" s="2">
        <v>0</v>
      </c>
      <c r="HB368" s="2">
        <v>0</v>
      </c>
      <c r="HC368" s="2">
        <f t="shared" si="408"/>
        <v>0</v>
      </c>
      <c r="HD368" s="2"/>
      <c r="HE368" s="2" t="s">
        <v>6</v>
      </c>
      <c r="HF368" s="2" t="s">
        <v>6</v>
      </c>
      <c r="HG368" s="2"/>
      <c r="HH368" s="2"/>
      <c r="HI368" s="2"/>
      <c r="HJ368" s="2"/>
      <c r="HK368" s="2"/>
      <c r="HL368" s="2"/>
      <c r="HM368" s="2" t="s">
        <v>6</v>
      </c>
      <c r="HN368" s="2" t="s">
        <v>6</v>
      </c>
      <c r="HO368" s="2" t="s">
        <v>6</v>
      </c>
      <c r="HP368" s="2" t="s">
        <v>6</v>
      </c>
      <c r="HQ368" s="2" t="s">
        <v>6</v>
      </c>
      <c r="HR368" s="2"/>
      <c r="HS368" s="2"/>
      <c r="HT368" s="2"/>
      <c r="HU368" s="2"/>
      <c r="HV368" s="2"/>
      <c r="HW368" s="2"/>
      <c r="HX368" s="2"/>
      <c r="HY368" s="2"/>
      <c r="HZ368" s="2"/>
      <c r="IA368" s="2"/>
      <c r="IB368" s="2"/>
      <c r="IC368" s="2"/>
      <c r="ID368" s="2"/>
      <c r="IE368" s="2"/>
      <c r="IF368" s="2">
        <v>-1</v>
      </c>
      <c r="IG368" s="2"/>
      <c r="IH368" s="2"/>
      <c r="II368" s="2"/>
      <c r="IJ368" s="2"/>
      <c r="IK368" s="2">
        <v>0</v>
      </c>
      <c r="IL368" s="2"/>
      <c r="IM368" s="2"/>
      <c r="IN368" s="2"/>
      <c r="IO368" s="2"/>
      <c r="IP368" s="2"/>
      <c r="IQ368" s="2"/>
      <c r="IR368" s="2"/>
      <c r="IS368" s="2"/>
      <c r="IT368" s="2"/>
      <c r="IU368" s="2"/>
    </row>
    <row r="369" spans="1:255" x14ac:dyDescent="0.2">
      <c r="A369">
        <v>17</v>
      </c>
      <c r="B369">
        <v>1</v>
      </c>
      <c r="C369">
        <f>ROW(SmtRes!A474)</f>
        <v>474</v>
      </c>
      <c r="D369">
        <f>ROW(EtalonRes!A394)</f>
        <v>394</v>
      </c>
      <c r="E369" t="s">
        <v>493</v>
      </c>
      <c r="F369" t="s">
        <v>494</v>
      </c>
      <c r="G369" t="s">
        <v>495</v>
      </c>
      <c r="H369" t="s">
        <v>496</v>
      </c>
      <c r="I369">
        <f>'2.Лок.смета.и.Акт'!E54</f>
        <v>4.0750000000000001E-2</v>
      </c>
      <c r="J369">
        <v>0</v>
      </c>
      <c r="K369">
        <v>0.16300000000000001</v>
      </c>
      <c r="O369">
        <f t="shared" si="377"/>
        <v>556</v>
      </c>
      <c r="P369">
        <f t="shared" si="378"/>
        <v>0</v>
      </c>
      <c r="Q369">
        <f t="shared" si="379"/>
        <v>97</v>
      </c>
      <c r="R369">
        <f t="shared" si="380"/>
        <v>0</v>
      </c>
      <c r="S369">
        <f t="shared" si="381"/>
        <v>459</v>
      </c>
      <c r="T369">
        <f t="shared" si="382"/>
        <v>0</v>
      </c>
      <c r="U369" t="e">
        <f t="shared" si="383"/>
        <v>#REF!</v>
      </c>
      <c r="V369">
        <f t="shared" si="384"/>
        <v>0</v>
      </c>
      <c r="W369">
        <f t="shared" si="385"/>
        <v>0</v>
      </c>
      <c r="X369" t="e">
        <f t="shared" si="386"/>
        <v>#REF!</v>
      </c>
      <c r="Y369" t="e">
        <f t="shared" si="387"/>
        <v>#REF!</v>
      </c>
      <c r="AA369">
        <v>86326988</v>
      </c>
      <c r="AB369">
        <f t="shared" si="388"/>
        <v>695.57</v>
      </c>
      <c r="AC369">
        <f>ROUND((ES369+(SUM(SmtRes!BC470:'SmtRes'!BC474)+SUM(EtalonRes!AL390:'EtalonRes'!AL394))),2)</f>
        <v>0</v>
      </c>
      <c r="AD369">
        <f t="shared" si="412"/>
        <v>255.76</v>
      </c>
      <c r="AE369">
        <f t="shared" si="413"/>
        <v>0</v>
      </c>
      <c r="AF369">
        <f t="shared" si="414"/>
        <v>439.81</v>
      </c>
      <c r="AG369">
        <f t="shared" si="389"/>
        <v>0</v>
      </c>
      <c r="AH369" t="e">
        <f t="shared" si="415"/>
        <v>#REF!</v>
      </c>
      <c r="AI369">
        <f t="shared" si="416"/>
        <v>0</v>
      </c>
      <c r="AJ369">
        <f t="shared" si="390"/>
        <v>0</v>
      </c>
      <c r="AK369">
        <f>AL369+AM369+AO369</f>
        <v>15154.3</v>
      </c>
      <c r="AL369">
        <v>14458.73</v>
      </c>
      <c r="AM369" s="75">
        <f>'1.Лок.смета.и.Акт'!F676</f>
        <v>255.76</v>
      </c>
      <c r="AN369">
        <v>0</v>
      </c>
      <c r="AO369" s="75">
        <f>'1.Лок.смета.и.Акт'!F675</f>
        <v>439.81</v>
      </c>
      <c r="AP369">
        <v>0</v>
      </c>
      <c r="AQ369" t="e">
        <f>'2.Лок.смета.и.Акт'!#REF!</f>
        <v>#REF!</v>
      </c>
      <c r="AR369">
        <v>0</v>
      </c>
      <c r="AS369">
        <v>0</v>
      </c>
      <c r="AT369">
        <v>124</v>
      </c>
      <c r="AU369">
        <v>72</v>
      </c>
      <c r="AV369">
        <v>1</v>
      </c>
      <c r="AW369">
        <v>1</v>
      </c>
      <c r="AZ369">
        <v>1</v>
      </c>
      <c r="BA369">
        <f>'1.Лок.смета.и.Акт'!J675</f>
        <v>25.6</v>
      </c>
      <c r="BB369">
        <f>'1.Лок.смета.и.Акт'!J676</f>
        <v>9.3000000000000007</v>
      </c>
      <c r="BC369">
        <v>7.56</v>
      </c>
      <c r="BD369" t="s">
        <v>6</v>
      </c>
      <c r="BE369" t="s">
        <v>6</v>
      </c>
      <c r="BF369" t="s">
        <v>6</v>
      </c>
      <c r="BG369" t="s">
        <v>6</v>
      </c>
      <c r="BH369">
        <v>0</v>
      </c>
      <c r="BI369">
        <v>1</v>
      </c>
      <c r="BJ369" t="s">
        <v>497</v>
      </c>
      <c r="BM369">
        <v>7001</v>
      </c>
      <c r="BN369">
        <v>0</v>
      </c>
      <c r="BO369" t="s">
        <v>494</v>
      </c>
      <c r="BP369">
        <v>1</v>
      </c>
      <c r="BQ369">
        <v>1</v>
      </c>
      <c r="BR369">
        <v>0</v>
      </c>
      <c r="BS369">
        <v>19.8</v>
      </c>
      <c r="BT369">
        <v>1</v>
      </c>
      <c r="BU369">
        <v>1</v>
      </c>
      <c r="BV369">
        <v>1</v>
      </c>
      <c r="BW369">
        <v>1</v>
      </c>
      <c r="BX369">
        <v>1</v>
      </c>
      <c r="BY369" t="s">
        <v>6</v>
      </c>
      <c r="BZ369" t="e">
        <f>'2.Лок.смета.и.Акт'!#REF!</f>
        <v>#REF!</v>
      </c>
      <c r="CA369" t="e">
        <f>'2.Лок.смета.и.Акт'!#REF!</f>
        <v>#REF!</v>
      </c>
      <c r="CB369" t="s">
        <v>6</v>
      </c>
      <c r="CE369">
        <v>0</v>
      </c>
      <c r="CF369">
        <v>0</v>
      </c>
      <c r="CG369">
        <v>0</v>
      </c>
      <c r="CM369">
        <v>0</v>
      </c>
      <c r="CN369" t="s">
        <v>6</v>
      </c>
      <c r="CO369">
        <v>0</v>
      </c>
      <c r="CP369">
        <f t="shared" si="391"/>
        <v>556</v>
      </c>
      <c r="CQ369">
        <f t="shared" si="392"/>
        <v>0</v>
      </c>
      <c r="CR369">
        <f t="shared" si="393"/>
        <v>2378.5680000000002</v>
      </c>
      <c r="CS369">
        <f t="shared" si="394"/>
        <v>0</v>
      </c>
      <c r="CT369">
        <f t="shared" si="395"/>
        <v>11259.136</v>
      </c>
      <c r="CU369">
        <f t="shared" si="396"/>
        <v>0</v>
      </c>
      <c r="CV369" t="e">
        <f t="shared" si="397"/>
        <v>#REF!</v>
      </c>
      <c r="CW369">
        <f t="shared" si="398"/>
        <v>0</v>
      </c>
      <c r="CX369">
        <f t="shared" si="399"/>
        <v>0</v>
      </c>
      <c r="CY369" t="e">
        <f>(S369+R369)*(BZ369/100)</f>
        <v>#REF!</v>
      </c>
      <c r="CZ369" t="e">
        <f>(S369+R369)*(CA369/100)</f>
        <v>#REF!</v>
      </c>
      <c r="DC369" t="s">
        <v>6</v>
      </c>
      <c r="DD369" t="s">
        <v>6</v>
      </c>
      <c r="DE369" t="s">
        <v>6</v>
      </c>
      <c r="DF369" t="s">
        <v>6</v>
      </c>
      <c r="DG369" t="s">
        <v>6</v>
      </c>
      <c r="DH369" t="s">
        <v>6</v>
      </c>
      <c r="DI369" t="s">
        <v>6</v>
      </c>
      <c r="DJ369" t="s">
        <v>6</v>
      </c>
      <c r="DK369" t="s">
        <v>6</v>
      </c>
      <c r="DL369" t="s">
        <v>6</v>
      </c>
      <c r="DM369" t="s">
        <v>6</v>
      </c>
      <c r="DN369">
        <f>'1.Лок.смета.и.Акт'!E677</f>
        <v>130</v>
      </c>
      <c r="DO369">
        <f>'1.Лок.смета.и.Акт'!E678</f>
        <v>85</v>
      </c>
      <c r="DP369">
        <v>1</v>
      </c>
      <c r="DQ369">
        <v>1</v>
      </c>
      <c r="DU369">
        <v>1013</v>
      </c>
      <c r="DV369" t="s">
        <v>496</v>
      </c>
      <c r="DW369" t="str">
        <f>'2.Лок.смета.и.Акт'!D54</f>
        <v>1 т стальных элементов</v>
      </c>
      <c r="DX369">
        <v>1</v>
      </c>
      <c r="DZ369" t="s">
        <v>6</v>
      </c>
      <c r="EA369" t="s">
        <v>6</v>
      </c>
      <c r="EB369" t="s">
        <v>6</v>
      </c>
      <c r="EC369" t="s">
        <v>6</v>
      </c>
      <c r="EE369">
        <v>54938594</v>
      </c>
      <c r="EF369">
        <v>1</v>
      </c>
      <c r="EG369" t="s">
        <v>26</v>
      </c>
      <c r="EH369">
        <v>0</v>
      </c>
      <c r="EI369" t="s">
        <v>6</v>
      </c>
      <c r="EJ369">
        <v>1</v>
      </c>
      <c r="EK369">
        <v>7001</v>
      </c>
      <c r="EL369" t="s">
        <v>498</v>
      </c>
      <c r="EM369" t="s">
        <v>499</v>
      </c>
      <c r="EO369" t="s">
        <v>6</v>
      </c>
      <c r="EQ369">
        <v>2228224</v>
      </c>
      <c r="ER369">
        <f>ES369+ET369+EV369</f>
        <v>15154.3</v>
      </c>
      <c r="ES369">
        <v>14458.73</v>
      </c>
      <c r="ET369" s="75">
        <f>'1.Лок.смета.и.Акт'!F676</f>
        <v>255.76</v>
      </c>
      <c r="EU369">
        <v>0</v>
      </c>
      <c r="EV369" s="75">
        <f>'1.Лок.смета.и.Акт'!F675</f>
        <v>439.81</v>
      </c>
      <c r="EW369" t="e">
        <f>'2.Лок.смета.и.Акт'!#REF!</f>
        <v>#REF!</v>
      </c>
      <c r="EX369">
        <v>0</v>
      </c>
      <c r="EY369">
        <v>1</v>
      </c>
      <c r="FQ369">
        <v>0</v>
      </c>
      <c r="FR369">
        <f t="shared" si="400"/>
        <v>0</v>
      </c>
      <c r="FS369">
        <v>0</v>
      </c>
      <c r="FX369">
        <v>130</v>
      </c>
      <c r="FY369">
        <v>85</v>
      </c>
      <c r="GA369" t="s">
        <v>6</v>
      </c>
      <c r="GD369">
        <v>1</v>
      </c>
      <c r="GF369">
        <v>-1599537868</v>
      </c>
      <c r="GG369">
        <v>2</v>
      </c>
      <c r="GH369">
        <v>1</v>
      </c>
      <c r="GI369">
        <v>2</v>
      </c>
      <c r="GJ369">
        <v>0</v>
      </c>
      <c r="GK369">
        <v>0</v>
      </c>
      <c r="GL369">
        <f t="shared" si="401"/>
        <v>0</v>
      </c>
      <c r="GM369" t="e">
        <f t="shared" si="402"/>
        <v>#REF!</v>
      </c>
      <c r="GN369" t="e">
        <f t="shared" si="403"/>
        <v>#REF!</v>
      </c>
      <c r="GO369">
        <f t="shared" si="404"/>
        <v>0</v>
      </c>
      <c r="GP369">
        <f t="shared" si="405"/>
        <v>0</v>
      </c>
      <c r="GR369">
        <v>0</v>
      </c>
      <c r="GS369">
        <v>3</v>
      </c>
      <c r="GT369">
        <v>0</v>
      </c>
      <c r="GU369" t="s">
        <v>6</v>
      </c>
      <c r="GV369">
        <f t="shared" si="406"/>
        <v>0</v>
      </c>
      <c r="GW369">
        <v>1008.3</v>
      </c>
      <c r="GX369">
        <f t="shared" si="407"/>
        <v>0</v>
      </c>
      <c r="HA369">
        <v>0</v>
      </c>
      <c r="HB369">
        <v>0</v>
      </c>
      <c r="HC369">
        <f t="shared" si="408"/>
        <v>0</v>
      </c>
      <c r="HE369" t="s">
        <v>6</v>
      </c>
      <c r="HF369" t="s">
        <v>6</v>
      </c>
      <c r="HM369" t="s">
        <v>6</v>
      </c>
      <c r="HN369" t="s">
        <v>6</v>
      </c>
      <c r="HO369" t="s">
        <v>6</v>
      </c>
      <c r="HP369" t="s">
        <v>6</v>
      </c>
      <c r="HQ369" t="s">
        <v>6</v>
      </c>
      <c r="IF369">
        <v>-1</v>
      </c>
      <c r="IK369">
        <v>0</v>
      </c>
    </row>
    <row r="370" spans="1:255" x14ac:dyDescent="0.2">
      <c r="A370" s="2">
        <v>18</v>
      </c>
      <c r="B370" s="2">
        <v>1</v>
      </c>
      <c r="C370" s="2">
        <v>468</v>
      </c>
      <c r="D370" s="2"/>
      <c r="E370" s="2" t="s">
        <v>500</v>
      </c>
      <c r="F370" s="2" t="s">
        <v>501</v>
      </c>
      <c r="G370" s="2" t="s">
        <v>502</v>
      </c>
      <c r="H370" s="2" t="s">
        <v>33</v>
      </c>
      <c r="I370" s="2">
        <f>I368*J370</f>
        <v>1.6299999999999997E-3</v>
      </c>
      <c r="J370" s="226">
        <f>'5.Ведомость_списания'!F161</f>
        <v>3.9999999999999994E-2</v>
      </c>
      <c r="K370" s="2">
        <v>0.04</v>
      </c>
      <c r="L370" s="2"/>
      <c r="M370" s="2"/>
      <c r="N370" s="2"/>
      <c r="O370" s="2">
        <f t="shared" si="377"/>
        <v>17</v>
      </c>
      <c r="P370" s="2">
        <f t="shared" si="378"/>
        <v>17</v>
      </c>
      <c r="Q370" s="2">
        <f t="shared" si="379"/>
        <v>0</v>
      </c>
      <c r="R370" s="2">
        <f t="shared" si="380"/>
        <v>0</v>
      </c>
      <c r="S370" s="2">
        <f t="shared" si="381"/>
        <v>0</v>
      </c>
      <c r="T370" s="2">
        <f t="shared" si="382"/>
        <v>0</v>
      </c>
      <c r="U370" s="2">
        <f t="shared" si="383"/>
        <v>0</v>
      </c>
      <c r="V370" s="2">
        <f t="shared" si="384"/>
        <v>0</v>
      </c>
      <c r="W370" s="2">
        <f t="shared" si="385"/>
        <v>0</v>
      </c>
      <c r="X370" s="2">
        <f t="shared" si="386"/>
        <v>0</v>
      </c>
      <c r="Y370" s="2">
        <f t="shared" si="387"/>
        <v>0</v>
      </c>
      <c r="Z370" s="2"/>
      <c r="AA370" s="2">
        <v>86326987</v>
      </c>
      <c r="AB370" s="2">
        <f t="shared" si="388"/>
        <v>10380</v>
      </c>
      <c r="AC370" s="2">
        <f>ROUND((ES370),2)</f>
        <v>10380</v>
      </c>
      <c r="AD370" s="2">
        <f t="shared" si="412"/>
        <v>0</v>
      </c>
      <c r="AE370" s="2">
        <f t="shared" si="413"/>
        <v>0</v>
      </c>
      <c r="AF370" s="2">
        <f t="shared" si="414"/>
        <v>0</v>
      </c>
      <c r="AG370" s="2">
        <f t="shared" si="389"/>
        <v>0</v>
      </c>
      <c r="AH370" s="2">
        <f t="shared" si="415"/>
        <v>0</v>
      </c>
      <c r="AI370" s="2">
        <f t="shared" si="416"/>
        <v>0</v>
      </c>
      <c r="AJ370" s="2">
        <f t="shared" si="390"/>
        <v>46.68</v>
      </c>
      <c r="AK370" s="2">
        <v>10380</v>
      </c>
      <c r="AL370" s="110">
        <f>'1.Лок.смета.и.Акт'!F680</f>
        <v>10380</v>
      </c>
      <c r="AM370" s="2">
        <v>0</v>
      </c>
      <c r="AN370" s="2">
        <v>0</v>
      </c>
      <c r="AO370" s="2">
        <v>0</v>
      </c>
      <c r="AP370" s="2">
        <v>0</v>
      </c>
      <c r="AQ370" s="2">
        <v>0</v>
      </c>
      <c r="AR370" s="2">
        <v>0</v>
      </c>
      <c r="AS370" s="2">
        <v>46.68</v>
      </c>
      <c r="AT370" s="2">
        <v>0</v>
      </c>
      <c r="AU370" s="2">
        <v>0</v>
      </c>
      <c r="AV370" s="2">
        <v>1</v>
      </c>
      <c r="AW370" s="2">
        <v>1</v>
      </c>
      <c r="AX370" s="2"/>
      <c r="AY370" s="2"/>
      <c r="AZ370" s="2">
        <v>1</v>
      </c>
      <c r="BA370" s="2">
        <v>1</v>
      </c>
      <c r="BB370" s="2">
        <v>1</v>
      </c>
      <c r="BC370" s="2">
        <v>1</v>
      </c>
      <c r="BD370" s="2" t="s">
        <v>6</v>
      </c>
      <c r="BE370" s="2" t="s">
        <v>6</v>
      </c>
      <c r="BF370" s="2" t="s">
        <v>6</v>
      </c>
      <c r="BG370" s="2" t="s">
        <v>6</v>
      </c>
      <c r="BH370" s="2">
        <v>3</v>
      </c>
      <c r="BI370" s="2">
        <v>1</v>
      </c>
      <c r="BJ370" s="2" t="s">
        <v>503</v>
      </c>
      <c r="BK370" s="2"/>
      <c r="BL370" s="2"/>
      <c r="BM370" s="2">
        <v>500001</v>
      </c>
      <c r="BN370" s="2">
        <v>0</v>
      </c>
      <c r="BO370" s="2" t="s">
        <v>6</v>
      </c>
      <c r="BP370" s="2">
        <v>0</v>
      </c>
      <c r="BQ370" s="2">
        <v>20</v>
      </c>
      <c r="BR370" s="2">
        <v>0</v>
      </c>
      <c r="BS370" s="2">
        <v>1</v>
      </c>
      <c r="BT370" s="2">
        <v>1</v>
      </c>
      <c r="BU370" s="2">
        <v>1</v>
      </c>
      <c r="BV370" s="2">
        <v>1</v>
      </c>
      <c r="BW370" s="2">
        <v>1</v>
      </c>
      <c r="BX370" s="2">
        <v>1</v>
      </c>
      <c r="BY370" s="2" t="s">
        <v>6</v>
      </c>
      <c r="BZ370" s="2">
        <v>0</v>
      </c>
      <c r="CA370" s="2">
        <v>0</v>
      </c>
      <c r="CB370" s="2" t="s">
        <v>6</v>
      </c>
      <c r="CC370" s="2"/>
      <c r="CD370" s="2"/>
      <c r="CE370" s="2">
        <v>0</v>
      </c>
      <c r="CF370" s="2">
        <v>0</v>
      </c>
      <c r="CG370" s="2">
        <v>0</v>
      </c>
      <c r="CH370" s="2"/>
      <c r="CI370" s="2"/>
      <c r="CJ370" s="2"/>
      <c r="CK370" s="2"/>
      <c r="CL370" s="2"/>
      <c r="CM370" s="2">
        <v>0</v>
      </c>
      <c r="CN370" s="2" t="s">
        <v>6</v>
      </c>
      <c r="CO370" s="2">
        <v>0</v>
      </c>
      <c r="CP370" s="2">
        <f t="shared" si="391"/>
        <v>17</v>
      </c>
      <c r="CQ370" s="2">
        <f t="shared" si="392"/>
        <v>10380</v>
      </c>
      <c r="CR370" s="2">
        <f t="shared" si="393"/>
        <v>0</v>
      </c>
      <c r="CS370" s="2">
        <f t="shared" si="394"/>
        <v>0</v>
      </c>
      <c r="CT370" s="2">
        <f t="shared" si="395"/>
        <v>0</v>
      </c>
      <c r="CU370" s="2">
        <f t="shared" si="396"/>
        <v>0</v>
      </c>
      <c r="CV370" s="2">
        <f t="shared" si="397"/>
        <v>0</v>
      </c>
      <c r="CW370" s="2">
        <f t="shared" si="398"/>
        <v>0</v>
      </c>
      <c r="CX370" s="2">
        <f t="shared" si="399"/>
        <v>46.68</v>
      </c>
      <c r="CY370" s="2">
        <f>(((S370+(R370*IF(0,0,1)))*AT370)/100)</f>
        <v>0</v>
      </c>
      <c r="CZ370" s="2">
        <f>(((S370+(R370*IF(0,0,1)))*AU370)/100)</f>
        <v>0</v>
      </c>
      <c r="DA370" s="2"/>
      <c r="DB370" s="2"/>
      <c r="DC370" s="2" t="s">
        <v>6</v>
      </c>
      <c r="DD370" s="2" t="s">
        <v>6</v>
      </c>
      <c r="DE370" s="2" t="s">
        <v>6</v>
      </c>
      <c r="DF370" s="2" t="s">
        <v>6</v>
      </c>
      <c r="DG370" s="2" t="s">
        <v>6</v>
      </c>
      <c r="DH370" s="2" t="s">
        <v>6</v>
      </c>
      <c r="DI370" s="2" t="s">
        <v>6</v>
      </c>
      <c r="DJ370" s="2" t="s">
        <v>6</v>
      </c>
      <c r="DK370" s="2" t="s">
        <v>6</v>
      </c>
      <c r="DL370" s="2" t="s">
        <v>6</v>
      </c>
      <c r="DM370" s="2" t="s">
        <v>6</v>
      </c>
      <c r="DN370" s="2">
        <v>0</v>
      </c>
      <c r="DO370" s="2">
        <v>0</v>
      </c>
      <c r="DP370" s="2">
        <v>1</v>
      </c>
      <c r="DQ370" s="2">
        <v>1</v>
      </c>
      <c r="DR370" s="2"/>
      <c r="DS370" s="2"/>
      <c r="DT370" s="2"/>
      <c r="DU370" s="2">
        <v>1009</v>
      </c>
      <c r="DV370" s="2" t="s">
        <v>33</v>
      </c>
      <c r="DW370" s="2" t="s">
        <v>33</v>
      </c>
      <c r="DX370" s="2">
        <v>1000</v>
      </c>
      <c r="DY370" s="2"/>
      <c r="DZ370" s="2" t="s">
        <v>6</v>
      </c>
      <c r="EA370" s="2" t="s">
        <v>6</v>
      </c>
      <c r="EB370" s="2" t="s">
        <v>6</v>
      </c>
      <c r="EC370" s="2" t="s">
        <v>6</v>
      </c>
      <c r="ED370" s="2"/>
      <c r="EE370" s="2">
        <v>54938781</v>
      </c>
      <c r="EF370" s="2">
        <v>20</v>
      </c>
      <c r="EG370" s="2" t="s">
        <v>35</v>
      </c>
      <c r="EH370" s="2">
        <v>0</v>
      </c>
      <c r="EI370" s="2" t="s">
        <v>6</v>
      </c>
      <c r="EJ370" s="2">
        <v>1</v>
      </c>
      <c r="EK370" s="2">
        <v>500001</v>
      </c>
      <c r="EL370" s="2" t="s">
        <v>36</v>
      </c>
      <c r="EM370" s="2" t="s">
        <v>37</v>
      </c>
      <c r="EN370" s="2"/>
      <c r="EO370" s="2" t="s">
        <v>6</v>
      </c>
      <c r="EP370" s="2"/>
      <c r="EQ370" s="2">
        <v>0</v>
      </c>
      <c r="ER370" s="2">
        <v>10380</v>
      </c>
      <c r="ES370" s="110">
        <f>'1.Лок.смета.и.Акт'!F680</f>
        <v>10380</v>
      </c>
      <c r="ET370" s="2">
        <v>0</v>
      </c>
      <c r="EU370" s="2">
        <v>0</v>
      </c>
      <c r="EV370" s="2">
        <v>0</v>
      </c>
      <c r="EW370" s="2">
        <v>0</v>
      </c>
      <c r="EX370" s="2">
        <v>0</v>
      </c>
      <c r="EY370" s="2"/>
      <c r="EZ370" s="2"/>
      <c r="FA370" s="2"/>
      <c r="FB370" s="2"/>
      <c r="FC370" s="2"/>
      <c r="FD370" s="2"/>
      <c r="FE370" s="2"/>
      <c r="FF370" s="2"/>
      <c r="FG370" s="2"/>
      <c r="FH370" s="2"/>
      <c r="FI370" s="2"/>
      <c r="FJ370" s="2"/>
      <c r="FK370" s="2"/>
      <c r="FL370" s="2"/>
      <c r="FM370" s="2"/>
      <c r="FN370" s="2"/>
      <c r="FO370" s="2"/>
      <c r="FP370" s="2"/>
      <c r="FQ370" s="2">
        <v>0</v>
      </c>
      <c r="FR370" s="2">
        <f t="shared" si="400"/>
        <v>0</v>
      </c>
      <c r="FS370" s="2">
        <v>0</v>
      </c>
      <c r="FT370" s="2"/>
      <c r="FU370" s="2"/>
      <c r="FV370" s="2"/>
      <c r="FW370" s="2"/>
      <c r="FX370" s="2">
        <v>0</v>
      </c>
      <c r="FY370" s="2">
        <v>0</v>
      </c>
      <c r="FZ370" s="2"/>
      <c r="GA370" s="2" t="s">
        <v>6</v>
      </c>
      <c r="GB370" s="2"/>
      <c r="GC370" s="2"/>
      <c r="GD370" s="2">
        <v>1</v>
      </c>
      <c r="GE370" s="2"/>
      <c r="GF370" s="2">
        <v>-256068961</v>
      </c>
      <c r="GG370" s="2">
        <v>2</v>
      </c>
      <c r="GH370" s="2">
        <v>1</v>
      </c>
      <c r="GI370" s="2">
        <v>-2</v>
      </c>
      <c r="GJ370" s="2">
        <v>0</v>
      </c>
      <c r="GK370" s="2">
        <v>0</v>
      </c>
      <c r="GL370" s="2">
        <f t="shared" si="401"/>
        <v>0</v>
      </c>
      <c r="GM370" s="2">
        <f t="shared" si="402"/>
        <v>17</v>
      </c>
      <c r="GN370" s="2">
        <f t="shared" si="403"/>
        <v>17</v>
      </c>
      <c r="GO370" s="2">
        <f t="shared" si="404"/>
        <v>0</v>
      </c>
      <c r="GP370" s="2">
        <f t="shared" si="405"/>
        <v>0</v>
      </c>
      <c r="GQ370" s="2"/>
      <c r="GR370" s="2">
        <v>0</v>
      </c>
      <c r="GS370" s="2">
        <v>3</v>
      </c>
      <c r="GT370" s="2">
        <v>0</v>
      </c>
      <c r="GU370" s="2" t="s">
        <v>6</v>
      </c>
      <c r="GV370" s="2">
        <f t="shared" si="406"/>
        <v>0</v>
      </c>
      <c r="GW370" s="2">
        <v>1</v>
      </c>
      <c r="GX370" s="2">
        <f t="shared" si="407"/>
        <v>0</v>
      </c>
      <c r="GY370" s="2"/>
      <c r="GZ370" s="2"/>
      <c r="HA370" s="2">
        <v>0</v>
      </c>
      <c r="HB370" s="2">
        <v>0</v>
      </c>
      <c r="HC370" s="2">
        <f t="shared" si="408"/>
        <v>0</v>
      </c>
      <c r="HD370" s="2"/>
      <c r="HE370" s="2" t="s">
        <v>6</v>
      </c>
      <c r="HF370" s="2" t="s">
        <v>6</v>
      </c>
      <c r="HG370" s="2"/>
      <c r="HH370" s="2"/>
      <c r="HI370" s="2"/>
      <c r="HJ370" s="2"/>
      <c r="HK370" s="2"/>
      <c r="HL370" s="2"/>
      <c r="HM370" s="2" t="s">
        <v>6</v>
      </c>
      <c r="HN370" s="2" t="s">
        <v>6</v>
      </c>
      <c r="HO370" s="2" t="s">
        <v>6</v>
      </c>
      <c r="HP370" s="2" t="s">
        <v>6</v>
      </c>
      <c r="HQ370" s="2" t="s">
        <v>6</v>
      </c>
      <c r="HR370" s="2"/>
      <c r="HS370" s="2"/>
      <c r="HT370" s="2"/>
      <c r="HU370" s="2"/>
      <c r="HV370" s="2"/>
      <c r="HW370" s="2"/>
      <c r="HX370" s="2"/>
      <c r="HY370" s="2"/>
      <c r="HZ370" s="2"/>
      <c r="IA370" s="2"/>
      <c r="IB370" s="2"/>
      <c r="IC370" s="2"/>
      <c r="ID370" s="2"/>
      <c r="IE370" s="2"/>
      <c r="IF370" s="2">
        <v>-1</v>
      </c>
      <c r="IG370" s="2"/>
      <c r="IH370" s="2"/>
      <c r="II370" s="2"/>
      <c r="IJ370" s="2"/>
      <c r="IK370" s="2">
        <v>0</v>
      </c>
      <c r="IL370" s="2"/>
      <c r="IM370" s="2"/>
      <c r="IN370" s="2"/>
      <c r="IO370" s="2"/>
      <c r="IP370" s="2"/>
      <c r="IQ370" s="2"/>
      <c r="IR370" s="2"/>
      <c r="IS370" s="2"/>
      <c r="IT370" s="2"/>
      <c r="IU370" s="2"/>
    </row>
    <row r="371" spans="1:255" x14ac:dyDescent="0.2">
      <c r="A371">
        <v>18</v>
      </c>
      <c r="B371">
        <v>1</v>
      </c>
      <c r="C371">
        <v>473</v>
      </c>
      <c r="E371" t="s">
        <v>500</v>
      </c>
      <c r="F371" t="e">
        <f>'2.Лок.смета.и.Акт'!#REF!</f>
        <v>#REF!</v>
      </c>
      <c r="G371" t="s">
        <v>502</v>
      </c>
      <c r="H371" t="s">
        <v>33</v>
      </c>
      <c r="I371">
        <f>I369*J371</f>
        <v>1.6299999999999997E-3</v>
      </c>
      <c r="J371">
        <v>3.9999999999999994E-2</v>
      </c>
      <c r="K371">
        <v>0.04</v>
      </c>
      <c r="O371">
        <f t="shared" si="377"/>
        <v>303</v>
      </c>
      <c r="P371">
        <f t="shared" si="378"/>
        <v>303</v>
      </c>
      <c r="Q371">
        <f t="shared" si="379"/>
        <v>0</v>
      </c>
      <c r="R371">
        <f t="shared" si="380"/>
        <v>0</v>
      </c>
      <c r="S371">
        <f t="shared" si="381"/>
        <v>0</v>
      </c>
      <c r="T371">
        <f t="shared" si="382"/>
        <v>0</v>
      </c>
      <c r="U371">
        <f t="shared" si="383"/>
        <v>0</v>
      </c>
      <c r="V371">
        <f t="shared" si="384"/>
        <v>0</v>
      </c>
      <c r="W371">
        <f t="shared" si="385"/>
        <v>0</v>
      </c>
      <c r="X371">
        <f t="shared" si="386"/>
        <v>0</v>
      </c>
      <c r="Y371">
        <f t="shared" si="387"/>
        <v>0</v>
      </c>
      <c r="AA371">
        <v>86326988</v>
      </c>
      <c r="AB371">
        <f t="shared" si="388"/>
        <v>24555.56</v>
      </c>
      <c r="AC371">
        <f>ROUND((ES371),2)</f>
        <v>24555.56</v>
      </c>
      <c r="AD371">
        <f t="shared" si="412"/>
        <v>0</v>
      </c>
      <c r="AE371">
        <f t="shared" si="413"/>
        <v>0</v>
      </c>
      <c r="AF371">
        <f t="shared" si="414"/>
        <v>0</v>
      </c>
      <c r="AG371">
        <f t="shared" si="389"/>
        <v>0</v>
      </c>
      <c r="AH371">
        <f t="shared" si="415"/>
        <v>0</v>
      </c>
      <c r="AI371">
        <f t="shared" si="416"/>
        <v>0</v>
      </c>
      <c r="AJ371">
        <f t="shared" si="390"/>
        <v>46.68</v>
      </c>
      <c r="AK371">
        <v>24555.56</v>
      </c>
      <c r="AL371">
        <v>24555.56</v>
      </c>
      <c r="AM371">
        <v>0</v>
      </c>
      <c r="AN371">
        <v>0</v>
      </c>
      <c r="AO371">
        <v>0</v>
      </c>
      <c r="AP371">
        <v>0</v>
      </c>
      <c r="AQ371">
        <v>0</v>
      </c>
      <c r="AR371">
        <v>0</v>
      </c>
      <c r="AS371">
        <v>46.68</v>
      </c>
      <c r="AT371">
        <v>0</v>
      </c>
      <c r="AU371">
        <v>0</v>
      </c>
      <c r="AV371">
        <v>1</v>
      </c>
      <c r="AW371">
        <v>1</v>
      </c>
      <c r="AZ371">
        <v>1</v>
      </c>
      <c r="BA371">
        <v>1</v>
      </c>
      <c r="BB371">
        <v>1</v>
      </c>
      <c r="BC371">
        <v>7.56</v>
      </c>
      <c r="BD371" t="s">
        <v>6</v>
      </c>
      <c r="BE371" t="s">
        <v>6</v>
      </c>
      <c r="BF371" t="s">
        <v>6</v>
      </c>
      <c r="BG371" t="s">
        <v>6</v>
      </c>
      <c r="BH371">
        <v>3</v>
      </c>
      <c r="BI371">
        <v>1</v>
      </c>
      <c r="BJ371" t="s">
        <v>503</v>
      </c>
      <c r="BM371">
        <v>500001</v>
      </c>
      <c r="BN371">
        <v>0</v>
      </c>
      <c r="BO371" t="s">
        <v>6</v>
      </c>
      <c r="BP371">
        <v>0</v>
      </c>
      <c r="BQ371">
        <v>20</v>
      </c>
      <c r="BR371">
        <v>0</v>
      </c>
      <c r="BS371">
        <v>1</v>
      </c>
      <c r="BT371">
        <v>1</v>
      </c>
      <c r="BU371">
        <v>1</v>
      </c>
      <c r="BV371">
        <v>1</v>
      </c>
      <c r="BW371">
        <v>1</v>
      </c>
      <c r="BX371">
        <v>1</v>
      </c>
      <c r="BY371" t="s">
        <v>6</v>
      </c>
      <c r="BZ371">
        <v>0</v>
      </c>
      <c r="CA371">
        <v>0</v>
      </c>
      <c r="CB371" t="s">
        <v>6</v>
      </c>
      <c r="CE371">
        <v>0</v>
      </c>
      <c r="CF371">
        <v>0</v>
      </c>
      <c r="CG371">
        <v>0</v>
      </c>
      <c r="CM371">
        <v>0</v>
      </c>
      <c r="CN371" t="s">
        <v>6</v>
      </c>
      <c r="CO371">
        <v>0</v>
      </c>
      <c r="CP371">
        <f t="shared" si="391"/>
        <v>303</v>
      </c>
      <c r="CQ371">
        <f t="shared" si="392"/>
        <v>185640.0336</v>
      </c>
      <c r="CR371">
        <f t="shared" si="393"/>
        <v>0</v>
      </c>
      <c r="CS371">
        <f t="shared" si="394"/>
        <v>0</v>
      </c>
      <c r="CT371">
        <f t="shared" si="395"/>
        <v>0</v>
      </c>
      <c r="CU371">
        <f t="shared" si="396"/>
        <v>0</v>
      </c>
      <c r="CV371">
        <f t="shared" si="397"/>
        <v>0</v>
      </c>
      <c r="CW371">
        <f t="shared" si="398"/>
        <v>0</v>
      </c>
      <c r="CX371">
        <f t="shared" si="399"/>
        <v>46.68</v>
      </c>
      <c r="CY371">
        <f>(S371+R371)*(BZ371/100)</f>
        <v>0</v>
      </c>
      <c r="CZ371">
        <f>(S371+R371)*(CA371/100)</f>
        <v>0</v>
      </c>
      <c r="DC371" t="s">
        <v>6</v>
      </c>
      <c r="DD371" t="s">
        <v>6</v>
      </c>
      <c r="DE371" t="s">
        <v>6</v>
      </c>
      <c r="DF371" t="s">
        <v>6</v>
      </c>
      <c r="DG371" t="s">
        <v>6</v>
      </c>
      <c r="DH371" t="s">
        <v>6</v>
      </c>
      <c r="DI371" t="s">
        <v>6</v>
      </c>
      <c r="DJ371" t="s">
        <v>6</v>
      </c>
      <c r="DK371" t="s">
        <v>6</v>
      </c>
      <c r="DL371" t="s">
        <v>6</v>
      </c>
      <c r="DM371" t="s">
        <v>6</v>
      </c>
      <c r="DN371">
        <v>0</v>
      </c>
      <c r="DO371">
        <v>0</v>
      </c>
      <c r="DP371">
        <v>1</v>
      </c>
      <c r="DQ371">
        <v>1</v>
      </c>
      <c r="DU371">
        <v>1009</v>
      </c>
      <c r="DV371" t="s">
        <v>33</v>
      </c>
      <c r="DW371" t="e">
        <f>'2.Лок.смета.и.Акт'!#REF!</f>
        <v>#REF!</v>
      </c>
      <c r="DX371">
        <v>1000</v>
      </c>
      <c r="DZ371" t="s">
        <v>6</v>
      </c>
      <c r="EA371" t="s">
        <v>6</v>
      </c>
      <c r="EB371" t="s">
        <v>6</v>
      </c>
      <c r="EC371" t="s">
        <v>6</v>
      </c>
      <c r="EE371">
        <v>54938781</v>
      </c>
      <c r="EF371">
        <v>20</v>
      </c>
      <c r="EG371" t="s">
        <v>35</v>
      </c>
      <c r="EH371">
        <v>0</v>
      </c>
      <c r="EI371" t="s">
        <v>6</v>
      </c>
      <c r="EJ371">
        <v>1</v>
      </c>
      <c r="EK371">
        <v>500001</v>
      </c>
      <c r="EL371" t="s">
        <v>36</v>
      </c>
      <c r="EM371" t="s">
        <v>37</v>
      </c>
      <c r="EO371" t="s">
        <v>6</v>
      </c>
      <c r="EQ371">
        <v>0</v>
      </c>
      <c r="ER371">
        <v>175000</v>
      </c>
      <c r="ES371">
        <v>24555.56</v>
      </c>
      <c r="ET371">
        <v>0</v>
      </c>
      <c r="EU371">
        <v>0</v>
      </c>
      <c r="EV371">
        <v>0</v>
      </c>
      <c r="EW371">
        <v>0</v>
      </c>
      <c r="EX371">
        <v>0</v>
      </c>
      <c r="EZ371">
        <v>5</v>
      </c>
      <c r="FC371">
        <v>0</v>
      </c>
      <c r="FD371">
        <v>18</v>
      </c>
      <c r="FF371">
        <v>175000</v>
      </c>
      <c r="FQ371">
        <v>0</v>
      </c>
      <c r="FR371">
        <f t="shared" si="400"/>
        <v>0</v>
      </c>
      <c r="FS371">
        <v>0</v>
      </c>
      <c r="FX371">
        <v>0</v>
      </c>
      <c r="FY371">
        <v>0</v>
      </c>
      <c r="GA371" t="s">
        <v>504</v>
      </c>
      <c r="GD371">
        <v>1</v>
      </c>
      <c r="GF371">
        <v>-256068961</v>
      </c>
      <c r="GG371">
        <v>2</v>
      </c>
      <c r="GH371">
        <v>3</v>
      </c>
      <c r="GI371">
        <v>5</v>
      </c>
      <c r="GJ371">
        <v>0</v>
      </c>
      <c r="GK371">
        <v>0</v>
      </c>
      <c r="GL371">
        <f t="shared" si="401"/>
        <v>0</v>
      </c>
      <c r="GM371">
        <f t="shared" si="402"/>
        <v>303</v>
      </c>
      <c r="GN371">
        <f t="shared" si="403"/>
        <v>303</v>
      </c>
      <c r="GO371">
        <f t="shared" si="404"/>
        <v>0</v>
      </c>
      <c r="GP371">
        <f t="shared" si="405"/>
        <v>0</v>
      </c>
      <c r="GR371">
        <v>1</v>
      </c>
      <c r="GS371">
        <v>1</v>
      </c>
      <c r="GT371">
        <v>0</v>
      </c>
      <c r="GU371" t="s">
        <v>6</v>
      </c>
      <c r="GV371">
        <f t="shared" si="406"/>
        <v>0</v>
      </c>
      <c r="GW371">
        <v>1</v>
      </c>
      <c r="GX371">
        <f t="shared" si="407"/>
        <v>0</v>
      </c>
      <c r="HA371">
        <v>0</v>
      </c>
      <c r="HB371">
        <v>0</v>
      </c>
      <c r="HC371">
        <f t="shared" si="408"/>
        <v>0</v>
      </c>
      <c r="HE371" t="s">
        <v>39</v>
      </c>
      <c r="HF371" t="s">
        <v>40</v>
      </c>
      <c r="HM371" t="s">
        <v>6</v>
      </c>
      <c r="HN371" t="s">
        <v>6</v>
      </c>
      <c r="HO371" t="s">
        <v>6</v>
      </c>
      <c r="HP371" t="s">
        <v>6</v>
      </c>
      <c r="HQ371" t="s">
        <v>6</v>
      </c>
      <c r="IF371">
        <v>-1</v>
      </c>
      <c r="IK371">
        <v>0</v>
      </c>
    </row>
    <row r="372" spans="1:255" x14ac:dyDescent="0.2">
      <c r="A372" s="2">
        <v>18</v>
      </c>
      <c r="B372" s="2">
        <v>1</v>
      </c>
      <c r="C372" s="2">
        <v>469</v>
      </c>
      <c r="D372" s="2"/>
      <c r="E372" s="2" t="s">
        <v>505</v>
      </c>
      <c r="F372" s="2" t="s">
        <v>506</v>
      </c>
      <c r="G372" s="2" t="s">
        <v>507</v>
      </c>
      <c r="H372" s="2" t="s">
        <v>33</v>
      </c>
      <c r="I372" s="2">
        <f>I368*J372</f>
        <v>4.0750000000000001E-2</v>
      </c>
      <c r="J372" s="226">
        <f>'5.Ведомость_списания'!F162</f>
        <v>1</v>
      </c>
      <c r="K372" s="2">
        <v>1</v>
      </c>
      <c r="L372" s="2"/>
      <c r="M372" s="2"/>
      <c r="N372" s="2"/>
      <c r="O372" s="2">
        <f t="shared" si="377"/>
        <v>629</v>
      </c>
      <c r="P372" s="2">
        <f t="shared" si="378"/>
        <v>629</v>
      </c>
      <c r="Q372" s="2">
        <f t="shared" si="379"/>
        <v>0</v>
      </c>
      <c r="R372" s="2">
        <f t="shared" si="380"/>
        <v>0</v>
      </c>
      <c r="S372" s="2">
        <f t="shared" si="381"/>
        <v>0</v>
      </c>
      <c r="T372" s="2">
        <f t="shared" si="382"/>
        <v>0</v>
      </c>
      <c r="U372" s="2">
        <f t="shared" si="383"/>
        <v>0</v>
      </c>
      <c r="V372" s="2">
        <f t="shared" si="384"/>
        <v>0</v>
      </c>
      <c r="W372" s="2">
        <f t="shared" si="385"/>
        <v>0</v>
      </c>
      <c r="X372" s="2">
        <f t="shared" si="386"/>
        <v>0</v>
      </c>
      <c r="Y372" s="2">
        <f t="shared" si="387"/>
        <v>0</v>
      </c>
      <c r="Z372" s="2"/>
      <c r="AA372" s="2">
        <v>86326987</v>
      </c>
      <c r="AB372" s="2">
        <f t="shared" si="388"/>
        <v>15447.19</v>
      </c>
      <c r="AC372" s="2">
        <f>ROUND((ES372),2)</f>
        <v>15447.19</v>
      </c>
      <c r="AD372" s="2">
        <f t="shared" si="412"/>
        <v>0</v>
      </c>
      <c r="AE372" s="2">
        <f t="shared" si="413"/>
        <v>0</v>
      </c>
      <c r="AF372" s="2">
        <f t="shared" si="414"/>
        <v>0</v>
      </c>
      <c r="AG372" s="2">
        <f t="shared" si="389"/>
        <v>0</v>
      </c>
      <c r="AH372" s="2">
        <f t="shared" si="415"/>
        <v>0</v>
      </c>
      <c r="AI372" s="2">
        <f t="shared" si="416"/>
        <v>0</v>
      </c>
      <c r="AJ372" s="2">
        <f t="shared" si="390"/>
        <v>0</v>
      </c>
      <c r="AK372" s="2">
        <v>15447.19</v>
      </c>
      <c r="AL372" s="110">
        <f>'1.Лок.смета.и.Акт'!F682</f>
        <v>15447.19</v>
      </c>
      <c r="AM372" s="2">
        <v>0</v>
      </c>
      <c r="AN372" s="2">
        <v>0</v>
      </c>
      <c r="AO372" s="2">
        <v>0</v>
      </c>
      <c r="AP372" s="2">
        <v>0</v>
      </c>
      <c r="AQ372" s="2">
        <v>0</v>
      </c>
      <c r="AR372" s="2">
        <v>0</v>
      </c>
      <c r="AS372" s="2">
        <v>0</v>
      </c>
      <c r="AT372" s="2">
        <v>0</v>
      </c>
      <c r="AU372" s="2">
        <v>0</v>
      </c>
      <c r="AV372" s="2">
        <v>1</v>
      </c>
      <c r="AW372" s="2">
        <v>1</v>
      </c>
      <c r="AX372" s="2"/>
      <c r="AY372" s="2"/>
      <c r="AZ372" s="2">
        <v>1</v>
      </c>
      <c r="BA372" s="2">
        <v>1</v>
      </c>
      <c r="BB372" s="2">
        <v>1</v>
      </c>
      <c r="BC372" s="2">
        <v>1</v>
      </c>
      <c r="BD372" s="2" t="s">
        <v>6</v>
      </c>
      <c r="BE372" s="2" t="s">
        <v>6</v>
      </c>
      <c r="BF372" s="2" t="s">
        <v>6</v>
      </c>
      <c r="BG372" s="2" t="s">
        <v>6</v>
      </c>
      <c r="BH372" s="2">
        <v>3</v>
      </c>
      <c r="BI372" s="2">
        <v>1</v>
      </c>
      <c r="BJ372" s="2" t="s">
        <v>508</v>
      </c>
      <c r="BK372" s="2"/>
      <c r="BL372" s="2"/>
      <c r="BM372" s="2">
        <v>500003</v>
      </c>
      <c r="BN372" s="2">
        <v>0</v>
      </c>
      <c r="BO372" s="2" t="s">
        <v>6</v>
      </c>
      <c r="BP372" s="2">
        <v>0</v>
      </c>
      <c r="BQ372" s="2">
        <v>22</v>
      </c>
      <c r="BR372" s="2">
        <v>0</v>
      </c>
      <c r="BS372" s="2">
        <v>1</v>
      </c>
      <c r="BT372" s="2">
        <v>1</v>
      </c>
      <c r="BU372" s="2">
        <v>1</v>
      </c>
      <c r="BV372" s="2">
        <v>1</v>
      </c>
      <c r="BW372" s="2">
        <v>1</v>
      </c>
      <c r="BX372" s="2">
        <v>1</v>
      </c>
      <c r="BY372" s="2" t="s">
        <v>6</v>
      </c>
      <c r="BZ372" s="2">
        <v>0</v>
      </c>
      <c r="CA372" s="2">
        <v>0</v>
      </c>
      <c r="CB372" s="2" t="s">
        <v>6</v>
      </c>
      <c r="CC372" s="2"/>
      <c r="CD372" s="2"/>
      <c r="CE372" s="2">
        <v>0</v>
      </c>
      <c r="CF372" s="2">
        <v>0</v>
      </c>
      <c r="CG372" s="2">
        <v>0</v>
      </c>
      <c r="CH372" s="2"/>
      <c r="CI372" s="2"/>
      <c r="CJ372" s="2"/>
      <c r="CK372" s="2"/>
      <c r="CL372" s="2"/>
      <c r="CM372" s="2">
        <v>0</v>
      </c>
      <c r="CN372" s="2" t="s">
        <v>6</v>
      </c>
      <c r="CO372" s="2">
        <v>0</v>
      </c>
      <c r="CP372" s="2">
        <f t="shared" si="391"/>
        <v>629</v>
      </c>
      <c r="CQ372" s="2">
        <f t="shared" si="392"/>
        <v>15447.19</v>
      </c>
      <c r="CR372" s="2">
        <f t="shared" si="393"/>
        <v>0</v>
      </c>
      <c r="CS372" s="2">
        <f t="shared" si="394"/>
        <v>0</v>
      </c>
      <c r="CT372" s="2">
        <f t="shared" si="395"/>
        <v>0</v>
      </c>
      <c r="CU372" s="2">
        <f t="shared" si="396"/>
        <v>0</v>
      </c>
      <c r="CV372" s="2">
        <f t="shared" si="397"/>
        <v>0</v>
      </c>
      <c r="CW372" s="2">
        <f t="shared" si="398"/>
        <v>0</v>
      </c>
      <c r="CX372" s="2">
        <f t="shared" si="399"/>
        <v>0</v>
      </c>
      <c r="CY372" s="2">
        <f>(((S372+(R372*IF(0,0,1)))*AT372)/100)</f>
        <v>0</v>
      </c>
      <c r="CZ372" s="2">
        <f>(((S372+(R372*IF(0,0,1)))*AU372)/100)</f>
        <v>0</v>
      </c>
      <c r="DA372" s="2"/>
      <c r="DB372" s="2"/>
      <c r="DC372" s="2" t="s">
        <v>6</v>
      </c>
      <c r="DD372" s="2" t="s">
        <v>6</v>
      </c>
      <c r="DE372" s="2" t="s">
        <v>6</v>
      </c>
      <c r="DF372" s="2" t="s">
        <v>6</v>
      </c>
      <c r="DG372" s="2" t="s">
        <v>6</v>
      </c>
      <c r="DH372" s="2" t="s">
        <v>6</v>
      </c>
      <c r="DI372" s="2" t="s">
        <v>6</v>
      </c>
      <c r="DJ372" s="2" t="s">
        <v>6</v>
      </c>
      <c r="DK372" s="2" t="s">
        <v>6</v>
      </c>
      <c r="DL372" s="2" t="s">
        <v>6</v>
      </c>
      <c r="DM372" s="2" t="s">
        <v>6</v>
      </c>
      <c r="DN372" s="2">
        <v>0</v>
      </c>
      <c r="DO372" s="2">
        <v>0</v>
      </c>
      <c r="DP372" s="2">
        <v>1</v>
      </c>
      <c r="DQ372" s="2">
        <v>1</v>
      </c>
      <c r="DR372" s="2"/>
      <c r="DS372" s="2"/>
      <c r="DT372" s="2"/>
      <c r="DU372" s="2">
        <v>1009</v>
      </c>
      <c r="DV372" s="2" t="s">
        <v>33</v>
      </c>
      <c r="DW372" s="2" t="s">
        <v>33</v>
      </c>
      <c r="DX372" s="2">
        <v>1000</v>
      </c>
      <c r="DY372" s="2"/>
      <c r="DZ372" s="2" t="s">
        <v>6</v>
      </c>
      <c r="EA372" s="2" t="s">
        <v>6</v>
      </c>
      <c r="EB372" s="2" t="s">
        <v>6</v>
      </c>
      <c r="EC372" s="2" t="s">
        <v>6</v>
      </c>
      <c r="ED372" s="2"/>
      <c r="EE372" s="2">
        <v>54938783</v>
      </c>
      <c r="EF372" s="2">
        <v>22</v>
      </c>
      <c r="EG372" s="2" t="s">
        <v>57</v>
      </c>
      <c r="EH372" s="2">
        <v>0</v>
      </c>
      <c r="EI372" s="2" t="s">
        <v>6</v>
      </c>
      <c r="EJ372" s="2">
        <v>1</v>
      </c>
      <c r="EK372" s="2">
        <v>500003</v>
      </c>
      <c r="EL372" s="2" t="s">
        <v>58</v>
      </c>
      <c r="EM372" s="2" t="s">
        <v>59</v>
      </c>
      <c r="EN372" s="2"/>
      <c r="EO372" s="2" t="s">
        <v>6</v>
      </c>
      <c r="EP372" s="2"/>
      <c r="EQ372" s="2">
        <v>0</v>
      </c>
      <c r="ER372" s="2">
        <v>15447.19</v>
      </c>
      <c r="ES372" s="110">
        <f>'1.Лок.смета.и.Акт'!F682</f>
        <v>15447.19</v>
      </c>
      <c r="ET372" s="2">
        <v>0</v>
      </c>
      <c r="EU372" s="2">
        <v>0</v>
      </c>
      <c r="EV372" s="2">
        <v>0</v>
      </c>
      <c r="EW372" s="2">
        <v>0</v>
      </c>
      <c r="EX372" s="2">
        <v>0</v>
      </c>
      <c r="EY372" s="2"/>
      <c r="EZ372" s="2"/>
      <c r="FA372" s="2"/>
      <c r="FB372" s="2"/>
      <c r="FC372" s="2"/>
      <c r="FD372" s="2"/>
      <c r="FE372" s="2"/>
      <c r="FF372" s="2"/>
      <c r="FG372" s="2"/>
      <c r="FH372" s="2"/>
      <c r="FI372" s="2"/>
      <c r="FJ372" s="2"/>
      <c r="FK372" s="2"/>
      <c r="FL372" s="2"/>
      <c r="FM372" s="2"/>
      <c r="FN372" s="2"/>
      <c r="FO372" s="2"/>
      <c r="FP372" s="2"/>
      <c r="FQ372" s="2">
        <v>0</v>
      </c>
      <c r="FR372" s="2">
        <f t="shared" si="400"/>
        <v>0</v>
      </c>
      <c r="FS372" s="2">
        <v>0</v>
      </c>
      <c r="FT372" s="2"/>
      <c r="FU372" s="2"/>
      <c r="FV372" s="2"/>
      <c r="FW372" s="2"/>
      <c r="FX372" s="2">
        <v>0</v>
      </c>
      <c r="FY372" s="2">
        <v>0</v>
      </c>
      <c r="FZ372" s="2"/>
      <c r="GA372" s="2" t="s">
        <v>6</v>
      </c>
      <c r="GB372" s="2"/>
      <c r="GC372" s="2"/>
      <c r="GD372" s="2">
        <v>1</v>
      </c>
      <c r="GE372" s="2"/>
      <c r="GF372" s="2">
        <v>-1554091006</v>
      </c>
      <c r="GG372" s="2">
        <v>2</v>
      </c>
      <c r="GH372" s="2">
        <v>2</v>
      </c>
      <c r="GI372" s="2">
        <v>-2</v>
      </c>
      <c r="GJ372" s="2">
        <v>0</v>
      </c>
      <c r="GK372" s="2">
        <v>0</v>
      </c>
      <c r="GL372" s="2">
        <f t="shared" si="401"/>
        <v>0</v>
      </c>
      <c r="GM372" s="2">
        <f t="shared" si="402"/>
        <v>629</v>
      </c>
      <c r="GN372" s="2">
        <f t="shared" si="403"/>
        <v>629</v>
      </c>
      <c r="GO372" s="2">
        <f t="shared" si="404"/>
        <v>0</v>
      </c>
      <c r="GP372" s="2">
        <f t="shared" si="405"/>
        <v>0</v>
      </c>
      <c r="GQ372" s="2"/>
      <c r="GR372" s="2">
        <v>0</v>
      </c>
      <c r="GS372" s="2">
        <v>2</v>
      </c>
      <c r="GT372" s="2">
        <v>0</v>
      </c>
      <c r="GU372" s="2" t="s">
        <v>6</v>
      </c>
      <c r="GV372" s="2">
        <f t="shared" si="406"/>
        <v>0</v>
      </c>
      <c r="GW372" s="2">
        <v>1</v>
      </c>
      <c r="GX372" s="2">
        <f t="shared" si="407"/>
        <v>0</v>
      </c>
      <c r="GY372" s="2"/>
      <c r="GZ372" s="2"/>
      <c r="HA372" s="2">
        <v>0</v>
      </c>
      <c r="HB372" s="2">
        <v>0</v>
      </c>
      <c r="HC372" s="2">
        <f t="shared" si="408"/>
        <v>0</v>
      </c>
      <c r="HD372" s="2"/>
      <c r="HE372" s="2" t="s">
        <v>6</v>
      </c>
      <c r="HF372" s="2" t="s">
        <v>6</v>
      </c>
      <c r="HG372" s="2"/>
      <c r="HH372" s="2"/>
      <c r="HI372" s="2"/>
      <c r="HJ372" s="2"/>
      <c r="HK372" s="2"/>
      <c r="HL372" s="2"/>
      <c r="HM372" s="2" t="s">
        <v>6</v>
      </c>
      <c r="HN372" s="2" t="s">
        <v>6</v>
      </c>
      <c r="HO372" s="2" t="s">
        <v>6</v>
      </c>
      <c r="HP372" s="2" t="s">
        <v>6</v>
      </c>
      <c r="HQ372" s="2" t="s">
        <v>6</v>
      </c>
      <c r="HR372" s="2"/>
      <c r="HS372" s="2"/>
      <c r="HT372" s="2"/>
      <c r="HU372" s="2"/>
      <c r="HV372" s="2"/>
      <c r="HW372" s="2"/>
      <c r="HX372" s="2"/>
      <c r="HY372" s="2"/>
      <c r="HZ372" s="2"/>
      <c r="IA372" s="2"/>
      <c r="IB372" s="2"/>
      <c r="IC372" s="2"/>
      <c r="ID372" s="2"/>
      <c r="IE372" s="2"/>
      <c r="IF372" s="2">
        <v>-1</v>
      </c>
      <c r="IG372" s="2"/>
      <c r="IH372" s="2"/>
      <c r="II372" s="2"/>
      <c r="IJ372" s="2"/>
      <c r="IK372" s="2">
        <v>0</v>
      </c>
      <c r="IL372" s="2"/>
      <c r="IM372" s="2"/>
      <c r="IN372" s="2"/>
      <c r="IO372" s="2"/>
      <c r="IP372" s="2"/>
      <c r="IQ372" s="2"/>
      <c r="IR372" s="2"/>
      <c r="IS372" s="2"/>
      <c r="IT372" s="2"/>
      <c r="IU372" s="2"/>
    </row>
    <row r="373" spans="1:255" x14ac:dyDescent="0.2">
      <c r="A373">
        <v>18</v>
      </c>
      <c r="B373">
        <v>1</v>
      </c>
      <c r="C373">
        <v>474</v>
      </c>
      <c r="E373" t="s">
        <v>505</v>
      </c>
      <c r="F373" t="e">
        <f>'2.Лок.смета.и.Акт'!#REF!</f>
        <v>#REF!</v>
      </c>
      <c r="G373" t="s">
        <v>507</v>
      </c>
      <c r="H373" t="s">
        <v>33</v>
      </c>
      <c r="I373">
        <f>I369*J373</f>
        <v>4.0750000000000001E-2</v>
      </c>
      <c r="J373">
        <v>1</v>
      </c>
      <c r="K373">
        <v>1</v>
      </c>
      <c r="O373">
        <f t="shared" si="377"/>
        <v>5305</v>
      </c>
      <c r="P373">
        <f t="shared" si="378"/>
        <v>5305</v>
      </c>
      <c r="Q373">
        <f t="shared" si="379"/>
        <v>0</v>
      </c>
      <c r="R373">
        <f t="shared" si="380"/>
        <v>0</v>
      </c>
      <c r="S373">
        <f t="shared" si="381"/>
        <v>0</v>
      </c>
      <c r="T373">
        <f t="shared" si="382"/>
        <v>0</v>
      </c>
      <c r="U373">
        <f t="shared" si="383"/>
        <v>0</v>
      </c>
      <c r="V373">
        <f t="shared" si="384"/>
        <v>0</v>
      </c>
      <c r="W373">
        <f t="shared" si="385"/>
        <v>0</v>
      </c>
      <c r="X373">
        <f t="shared" si="386"/>
        <v>0</v>
      </c>
      <c r="Y373">
        <f t="shared" si="387"/>
        <v>0</v>
      </c>
      <c r="AA373">
        <v>86326988</v>
      </c>
      <c r="AB373">
        <f t="shared" si="388"/>
        <v>17221.71</v>
      </c>
      <c r="AC373">
        <f>ROUND((ES373),2)</f>
        <v>17221.71</v>
      </c>
      <c r="AD373">
        <f t="shared" si="412"/>
        <v>0</v>
      </c>
      <c r="AE373">
        <f t="shared" si="413"/>
        <v>0</v>
      </c>
      <c r="AF373">
        <f t="shared" si="414"/>
        <v>0</v>
      </c>
      <c r="AG373">
        <f t="shared" si="389"/>
        <v>0</v>
      </c>
      <c r="AH373">
        <f t="shared" si="415"/>
        <v>0</v>
      </c>
      <c r="AI373">
        <f t="shared" si="416"/>
        <v>0</v>
      </c>
      <c r="AJ373">
        <f t="shared" si="390"/>
        <v>0</v>
      </c>
      <c r="AK373">
        <v>17221.71</v>
      </c>
      <c r="AL373">
        <v>17221.71</v>
      </c>
      <c r="AM373">
        <v>0</v>
      </c>
      <c r="AN373">
        <v>0</v>
      </c>
      <c r="AO373">
        <v>0</v>
      </c>
      <c r="AP373">
        <v>0</v>
      </c>
      <c r="AQ373">
        <v>0</v>
      </c>
      <c r="AR373">
        <v>0</v>
      </c>
      <c r="AS373">
        <v>0</v>
      </c>
      <c r="AT373">
        <v>0</v>
      </c>
      <c r="AU373">
        <v>0</v>
      </c>
      <c r="AV373">
        <v>1</v>
      </c>
      <c r="AW373">
        <v>1</v>
      </c>
      <c r="AZ373">
        <v>1</v>
      </c>
      <c r="BA373">
        <v>1</v>
      </c>
      <c r="BB373">
        <v>1</v>
      </c>
      <c r="BC373">
        <v>7.56</v>
      </c>
      <c r="BD373" t="s">
        <v>6</v>
      </c>
      <c r="BE373" t="s">
        <v>6</v>
      </c>
      <c r="BF373" t="s">
        <v>6</v>
      </c>
      <c r="BG373" t="s">
        <v>6</v>
      </c>
      <c r="BH373">
        <v>3</v>
      </c>
      <c r="BI373">
        <v>1</v>
      </c>
      <c r="BJ373" t="s">
        <v>508</v>
      </c>
      <c r="BM373">
        <v>500003</v>
      </c>
      <c r="BN373">
        <v>0</v>
      </c>
      <c r="BO373" t="s">
        <v>6</v>
      </c>
      <c r="BP373">
        <v>0</v>
      </c>
      <c r="BQ373">
        <v>22</v>
      </c>
      <c r="BR373">
        <v>0</v>
      </c>
      <c r="BS373">
        <v>1</v>
      </c>
      <c r="BT373">
        <v>1</v>
      </c>
      <c r="BU373">
        <v>1</v>
      </c>
      <c r="BV373">
        <v>1</v>
      </c>
      <c r="BW373">
        <v>1</v>
      </c>
      <c r="BX373">
        <v>1</v>
      </c>
      <c r="BY373" t="s">
        <v>6</v>
      </c>
      <c r="BZ373">
        <v>0</v>
      </c>
      <c r="CA373">
        <v>0</v>
      </c>
      <c r="CB373" t="s">
        <v>6</v>
      </c>
      <c r="CE373">
        <v>0</v>
      </c>
      <c r="CF373">
        <v>0</v>
      </c>
      <c r="CG373">
        <v>0</v>
      </c>
      <c r="CM373">
        <v>0</v>
      </c>
      <c r="CN373" t="s">
        <v>6</v>
      </c>
      <c r="CO373">
        <v>0</v>
      </c>
      <c r="CP373">
        <f t="shared" si="391"/>
        <v>5305</v>
      </c>
      <c r="CQ373">
        <f t="shared" si="392"/>
        <v>130196.12759999999</v>
      </c>
      <c r="CR373">
        <f t="shared" si="393"/>
        <v>0</v>
      </c>
      <c r="CS373">
        <f t="shared" si="394"/>
        <v>0</v>
      </c>
      <c r="CT373">
        <f t="shared" si="395"/>
        <v>0</v>
      </c>
      <c r="CU373">
        <f t="shared" si="396"/>
        <v>0</v>
      </c>
      <c r="CV373">
        <f t="shared" si="397"/>
        <v>0</v>
      </c>
      <c r="CW373">
        <f t="shared" si="398"/>
        <v>0</v>
      </c>
      <c r="CX373">
        <f t="shared" si="399"/>
        <v>0</v>
      </c>
      <c r="CY373">
        <f>(S373+R373)*(BZ373/100)</f>
        <v>0</v>
      </c>
      <c r="CZ373">
        <f>(S373+R373)*(CA373/100)</f>
        <v>0</v>
      </c>
      <c r="DC373" t="s">
        <v>6</v>
      </c>
      <c r="DD373" t="s">
        <v>6</v>
      </c>
      <c r="DE373" t="s">
        <v>6</v>
      </c>
      <c r="DF373" t="s">
        <v>6</v>
      </c>
      <c r="DG373" t="s">
        <v>6</v>
      </c>
      <c r="DH373" t="s">
        <v>6</v>
      </c>
      <c r="DI373" t="s">
        <v>6</v>
      </c>
      <c r="DJ373" t="s">
        <v>6</v>
      </c>
      <c r="DK373" t="s">
        <v>6</v>
      </c>
      <c r="DL373" t="s">
        <v>6</v>
      </c>
      <c r="DM373" t="s">
        <v>6</v>
      </c>
      <c r="DN373">
        <v>0</v>
      </c>
      <c r="DO373">
        <v>0</v>
      </c>
      <c r="DP373">
        <v>1</v>
      </c>
      <c r="DQ373">
        <v>1</v>
      </c>
      <c r="DU373">
        <v>1009</v>
      </c>
      <c r="DV373" t="s">
        <v>33</v>
      </c>
      <c r="DW373" t="e">
        <f>'2.Лок.смета.и.Акт'!#REF!</f>
        <v>#REF!</v>
      </c>
      <c r="DX373">
        <v>1000</v>
      </c>
      <c r="DZ373" t="s">
        <v>6</v>
      </c>
      <c r="EA373" t="s">
        <v>6</v>
      </c>
      <c r="EB373" t="s">
        <v>6</v>
      </c>
      <c r="EC373" t="s">
        <v>6</v>
      </c>
      <c r="EE373">
        <v>54938783</v>
      </c>
      <c r="EF373">
        <v>22</v>
      </c>
      <c r="EG373" t="s">
        <v>57</v>
      </c>
      <c r="EH373">
        <v>0</v>
      </c>
      <c r="EI373" t="s">
        <v>6</v>
      </c>
      <c r="EJ373">
        <v>1</v>
      </c>
      <c r="EK373">
        <v>500003</v>
      </c>
      <c r="EL373" t="s">
        <v>58</v>
      </c>
      <c r="EM373" t="s">
        <v>59</v>
      </c>
      <c r="EO373" t="s">
        <v>6</v>
      </c>
      <c r="EQ373">
        <v>0</v>
      </c>
      <c r="ER373">
        <v>124256.72</v>
      </c>
      <c r="ES373">
        <v>17221.71</v>
      </c>
      <c r="ET373">
        <v>0</v>
      </c>
      <c r="EU373">
        <v>0</v>
      </c>
      <c r="EV373">
        <v>0</v>
      </c>
      <c r="EW373">
        <v>0</v>
      </c>
      <c r="EX373">
        <v>0</v>
      </c>
      <c r="EZ373">
        <v>5</v>
      </c>
      <c r="FC373">
        <v>0</v>
      </c>
      <c r="FD373">
        <v>18</v>
      </c>
      <c r="FF373">
        <v>124256.72</v>
      </c>
      <c r="FQ373">
        <v>0</v>
      </c>
      <c r="FR373">
        <f t="shared" si="400"/>
        <v>0</v>
      </c>
      <c r="FS373">
        <v>0</v>
      </c>
      <c r="FX373">
        <v>0</v>
      </c>
      <c r="FY373">
        <v>0</v>
      </c>
      <c r="GA373" t="s">
        <v>509</v>
      </c>
      <c r="GD373">
        <v>1</v>
      </c>
      <c r="GF373">
        <v>-1554091006</v>
      </c>
      <c r="GG373">
        <v>2</v>
      </c>
      <c r="GH373">
        <v>3</v>
      </c>
      <c r="GI373">
        <v>5</v>
      </c>
      <c r="GJ373">
        <v>0</v>
      </c>
      <c r="GK373">
        <v>0</v>
      </c>
      <c r="GL373">
        <f t="shared" si="401"/>
        <v>0</v>
      </c>
      <c r="GM373">
        <f t="shared" si="402"/>
        <v>5305</v>
      </c>
      <c r="GN373">
        <f t="shared" si="403"/>
        <v>5305</v>
      </c>
      <c r="GO373">
        <f t="shared" si="404"/>
        <v>0</v>
      </c>
      <c r="GP373">
        <f t="shared" si="405"/>
        <v>0</v>
      </c>
      <c r="GR373">
        <v>1</v>
      </c>
      <c r="GS373">
        <v>1</v>
      </c>
      <c r="GT373">
        <v>0</v>
      </c>
      <c r="GU373" t="s">
        <v>6</v>
      </c>
      <c r="GV373">
        <f t="shared" si="406"/>
        <v>0</v>
      </c>
      <c r="GW373">
        <v>1</v>
      </c>
      <c r="GX373">
        <f t="shared" si="407"/>
        <v>0</v>
      </c>
      <c r="HA373">
        <v>0</v>
      </c>
      <c r="HB373">
        <v>0</v>
      </c>
      <c r="HC373">
        <f t="shared" si="408"/>
        <v>0</v>
      </c>
      <c r="HE373" t="s">
        <v>39</v>
      </c>
      <c r="HF373" t="s">
        <v>61</v>
      </c>
      <c r="HM373" t="s">
        <v>6</v>
      </c>
      <c r="HN373" t="s">
        <v>6</v>
      </c>
      <c r="HO373" t="s">
        <v>6</v>
      </c>
      <c r="HP373" t="s">
        <v>6</v>
      </c>
      <c r="HQ373" t="s">
        <v>6</v>
      </c>
      <c r="IF373">
        <v>-1</v>
      </c>
      <c r="IK373">
        <v>0</v>
      </c>
    </row>
    <row r="374" spans="1:255" x14ac:dyDescent="0.2">
      <c r="A374" s="2">
        <v>17</v>
      </c>
      <c r="B374" s="2">
        <v>1</v>
      </c>
      <c r="C374" s="2">
        <f>ROW(SmtRes!A482)</f>
        <v>482</v>
      </c>
      <c r="D374" s="2">
        <f>ROW(EtalonRes!A402)</f>
        <v>402</v>
      </c>
      <c r="E374" s="2" t="s">
        <v>510</v>
      </c>
      <c r="F374" s="2" t="s">
        <v>375</v>
      </c>
      <c r="G374" s="2" t="s">
        <v>376</v>
      </c>
      <c r="H374" s="2" t="s">
        <v>377</v>
      </c>
      <c r="I374" s="2" t="e">
        <f>'2.Лок.смета.и.Акт'!#REF!</f>
        <v>#REF!</v>
      </c>
      <c r="J374" s="2">
        <v>0</v>
      </c>
      <c r="K374" s="2">
        <v>0.23</v>
      </c>
      <c r="L374" s="2"/>
      <c r="M374" s="2"/>
      <c r="N374" s="2"/>
      <c r="O374" s="2" t="e">
        <f t="shared" si="377"/>
        <v>#REF!</v>
      </c>
      <c r="P374" s="2" t="e">
        <f t="shared" si="378"/>
        <v>#REF!</v>
      </c>
      <c r="Q374" s="2" t="e">
        <f t="shared" si="379"/>
        <v>#REF!</v>
      </c>
      <c r="R374" s="2" t="e">
        <f t="shared" si="380"/>
        <v>#REF!</v>
      </c>
      <c r="S374" s="2" t="e">
        <f t="shared" si="381"/>
        <v>#REF!</v>
      </c>
      <c r="T374" s="2" t="e">
        <f t="shared" si="382"/>
        <v>#REF!</v>
      </c>
      <c r="U374" s="2" t="e">
        <f t="shared" si="383"/>
        <v>#REF!</v>
      </c>
      <c r="V374" s="2" t="e">
        <f t="shared" si="384"/>
        <v>#REF!</v>
      </c>
      <c r="W374" s="2" t="e">
        <f t="shared" si="385"/>
        <v>#REF!</v>
      </c>
      <c r="X374" s="2" t="e">
        <f t="shared" si="386"/>
        <v>#REF!</v>
      </c>
      <c r="Y374" s="2" t="e">
        <f t="shared" si="387"/>
        <v>#REF!</v>
      </c>
      <c r="Z374" s="2"/>
      <c r="AA374" s="2">
        <v>86326987</v>
      </c>
      <c r="AB374" s="2">
        <f t="shared" si="388"/>
        <v>82.63</v>
      </c>
      <c r="AC374" s="2">
        <f>ROUND(((ES374*2)+(SUM(SmtRes!BC475:'SmtRes'!BC482)+SUM(EtalonRes!AL395:'EtalonRes'!AL402))),2)</f>
        <v>0.01</v>
      </c>
      <c r="AD374" s="2">
        <f>ROUND(((((ET374*2))-((EU374*2)))+AE374),2)</f>
        <v>12.54</v>
      </c>
      <c r="AE374" s="2">
        <f>ROUND(((EU374*2)),2)</f>
        <v>0.2</v>
      </c>
      <c r="AF374" s="2">
        <f>ROUND(((EV374*2)),2)</f>
        <v>70.08</v>
      </c>
      <c r="AG374" s="2">
        <f t="shared" si="389"/>
        <v>0</v>
      </c>
      <c r="AH374" s="2">
        <f>((EW374*2))</f>
        <v>7.66</v>
      </c>
      <c r="AI374" s="2">
        <f>((EX374*2))</f>
        <v>0.02</v>
      </c>
      <c r="AJ374" s="2">
        <f t="shared" si="390"/>
        <v>0</v>
      </c>
      <c r="AK374" s="2">
        <v>321.88</v>
      </c>
      <c r="AL374" s="2">
        <v>280.57</v>
      </c>
      <c r="AM374" s="2">
        <v>6.27</v>
      </c>
      <c r="AN374" s="2">
        <v>0.1</v>
      </c>
      <c r="AO374" s="2">
        <v>35.04</v>
      </c>
      <c r="AP374" s="2">
        <v>0</v>
      </c>
      <c r="AQ374" s="2">
        <v>3.83</v>
      </c>
      <c r="AR374" s="2">
        <v>0.01</v>
      </c>
      <c r="AS374" s="2">
        <v>0</v>
      </c>
      <c r="AT374" s="2">
        <v>90</v>
      </c>
      <c r="AU374" s="2">
        <v>70</v>
      </c>
      <c r="AV374" s="2">
        <v>1</v>
      </c>
      <c r="AW374" s="2">
        <v>1</v>
      </c>
      <c r="AX374" s="2"/>
      <c r="AY374" s="2"/>
      <c r="AZ374" s="2">
        <v>1</v>
      </c>
      <c r="BA374" s="2">
        <v>1</v>
      </c>
      <c r="BB374" s="2">
        <v>1</v>
      </c>
      <c r="BC374" s="2">
        <v>1</v>
      </c>
      <c r="BD374" s="2" t="s">
        <v>6</v>
      </c>
      <c r="BE374" s="2" t="s">
        <v>6</v>
      </c>
      <c r="BF374" s="2" t="s">
        <v>6</v>
      </c>
      <c r="BG374" s="2" t="s">
        <v>6</v>
      </c>
      <c r="BH374" s="2">
        <v>0</v>
      </c>
      <c r="BI374" s="2">
        <v>1</v>
      </c>
      <c r="BJ374" s="2" t="s">
        <v>378</v>
      </c>
      <c r="BK374" s="2"/>
      <c r="BL374" s="2"/>
      <c r="BM374" s="2">
        <v>13001</v>
      </c>
      <c r="BN374" s="2">
        <v>0</v>
      </c>
      <c r="BO374" s="2" t="s">
        <v>6</v>
      </c>
      <c r="BP374" s="2">
        <v>0</v>
      </c>
      <c r="BQ374" s="2">
        <v>1</v>
      </c>
      <c r="BR374" s="2">
        <v>0</v>
      </c>
      <c r="BS374" s="2">
        <v>1</v>
      </c>
      <c r="BT374" s="2">
        <v>1</v>
      </c>
      <c r="BU374" s="2">
        <v>1</v>
      </c>
      <c r="BV374" s="2">
        <v>1</v>
      </c>
      <c r="BW374" s="2">
        <v>1</v>
      </c>
      <c r="BX374" s="2">
        <v>1</v>
      </c>
      <c r="BY374" s="2" t="s">
        <v>6</v>
      </c>
      <c r="BZ374" s="2">
        <v>90</v>
      </c>
      <c r="CA374" s="2">
        <v>70</v>
      </c>
      <c r="CB374" s="2" t="s">
        <v>6</v>
      </c>
      <c r="CC374" s="2"/>
      <c r="CD374" s="2"/>
      <c r="CE374" s="2">
        <v>0</v>
      </c>
      <c r="CF374" s="2">
        <v>0</v>
      </c>
      <c r="CG374" s="2">
        <v>0</v>
      </c>
      <c r="CH374" s="2"/>
      <c r="CI374" s="2"/>
      <c r="CJ374" s="2"/>
      <c r="CK374" s="2"/>
      <c r="CL374" s="2"/>
      <c r="CM374" s="2">
        <v>0</v>
      </c>
      <c r="CN374" s="2" t="s">
        <v>6</v>
      </c>
      <c r="CO374" s="2">
        <v>0</v>
      </c>
      <c r="CP374" s="2" t="e">
        <f t="shared" si="391"/>
        <v>#REF!</v>
      </c>
      <c r="CQ374" s="2">
        <f t="shared" si="392"/>
        <v>0.01</v>
      </c>
      <c r="CR374" s="2">
        <f t="shared" si="393"/>
        <v>12.54</v>
      </c>
      <c r="CS374" s="2">
        <f t="shared" si="394"/>
        <v>0.2</v>
      </c>
      <c r="CT374" s="2">
        <f t="shared" si="395"/>
        <v>70.08</v>
      </c>
      <c r="CU374" s="2">
        <f t="shared" si="396"/>
        <v>0</v>
      </c>
      <c r="CV374" s="2">
        <f t="shared" si="397"/>
        <v>7.66</v>
      </c>
      <c r="CW374" s="2">
        <f t="shared" si="398"/>
        <v>0.02</v>
      </c>
      <c r="CX374" s="2">
        <f t="shared" si="399"/>
        <v>0</v>
      </c>
      <c r="CY374" s="2" t="e">
        <f>(((S374+(R374*IF(0,0,1)))*AT374)/100)</f>
        <v>#REF!</v>
      </c>
      <c r="CZ374" s="2" t="e">
        <f>(((S374+(R374*IF(0,0,1)))*AU374)/100)</f>
        <v>#REF!</v>
      </c>
      <c r="DA374" s="2"/>
      <c r="DB374" s="2"/>
      <c r="DC374" s="2" t="s">
        <v>6</v>
      </c>
      <c r="DD374" s="2" t="s">
        <v>379</v>
      </c>
      <c r="DE374" s="2" t="s">
        <v>379</v>
      </c>
      <c r="DF374" s="2" t="s">
        <v>379</v>
      </c>
      <c r="DG374" s="2" t="s">
        <v>379</v>
      </c>
      <c r="DH374" s="2" t="s">
        <v>6</v>
      </c>
      <c r="DI374" s="2" t="s">
        <v>379</v>
      </c>
      <c r="DJ374" s="2" t="s">
        <v>379</v>
      </c>
      <c r="DK374" s="2" t="s">
        <v>6</v>
      </c>
      <c r="DL374" s="2" t="s">
        <v>6</v>
      </c>
      <c r="DM374" s="2" t="s">
        <v>6</v>
      </c>
      <c r="DN374" s="2">
        <v>0</v>
      </c>
      <c r="DO374" s="2">
        <v>0</v>
      </c>
      <c r="DP374" s="2">
        <v>1</v>
      </c>
      <c r="DQ374" s="2">
        <v>1</v>
      </c>
      <c r="DR374" s="2"/>
      <c r="DS374" s="2"/>
      <c r="DT374" s="2"/>
      <c r="DU374" s="2">
        <v>1005</v>
      </c>
      <c r="DV374" s="2" t="s">
        <v>377</v>
      </c>
      <c r="DW374" s="2" t="s">
        <v>377</v>
      </c>
      <c r="DX374" s="2">
        <v>100</v>
      </c>
      <c r="DY374" s="2"/>
      <c r="DZ374" s="2" t="s">
        <v>6</v>
      </c>
      <c r="EA374" s="2" t="s">
        <v>6</v>
      </c>
      <c r="EB374" s="2" t="s">
        <v>6</v>
      </c>
      <c r="EC374" s="2" t="s">
        <v>6</v>
      </c>
      <c r="ED374" s="2"/>
      <c r="EE374" s="2">
        <v>54938608</v>
      </c>
      <c r="EF374" s="2">
        <v>1</v>
      </c>
      <c r="EG374" s="2" t="s">
        <v>26</v>
      </c>
      <c r="EH374" s="2">
        <v>0</v>
      </c>
      <c r="EI374" s="2" t="s">
        <v>6</v>
      </c>
      <c r="EJ374" s="2">
        <v>1</v>
      </c>
      <c r="EK374" s="2">
        <v>13001</v>
      </c>
      <c r="EL374" s="2" t="s">
        <v>380</v>
      </c>
      <c r="EM374" s="2" t="s">
        <v>381</v>
      </c>
      <c r="EN374" s="2"/>
      <c r="EO374" s="2" t="s">
        <v>6</v>
      </c>
      <c r="EP374" s="2"/>
      <c r="EQ374" s="2">
        <v>2228224</v>
      </c>
      <c r="ER374" s="2">
        <v>321.88</v>
      </c>
      <c r="ES374" s="2">
        <v>280.57</v>
      </c>
      <c r="ET374" s="2">
        <v>6.27</v>
      </c>
      <c r="EU374" s="2">
        <v>0.1</v>
      </c>
      <c r="EV374" s="2">
        <v>35.04</v>
      </c>
      <c r="EW374" s="2">
        <v>3.83</v>
      </c>
      <c r="EX374" s="2">
        <v>0.01</v>
      </c>
      <c r="EY374" s="2">
        <v>1</v>
      </c>
      <c r="EZ374" s="2"/>
      <c r="FA374" s="2"/>
      <c r="FB374" s="2"/>
      <c r="FC374" s="2"/>
      <c r="FD374" s="2"/>
      <c r="FE374" s="2"/>
      <c r="FF374" s="2"/>
      <c r="FG374" s="2"/>
      <c r="FH374" s="2"/>
      <c r="FI374" s="2"/>
      <c r="FJ374" s="2"/>
      <c r="FK374" s="2"/>
      <c r="FL374" s="2"/>
      <c r="FM374" s="2"/>
      <c r="FN374" s="2"/>
      <c r="FO374" s="2"/>
      <c r="FP374" s="2"/>
      <c r="FQ374" s="2">
        <v>0</v>
      </c>
      <c r="FR374" s="2">
        <f t="shared" si="400"/>
        <v>0</v>
      </c>
      <c r="FS374" s="2">
        <v>0</v>
      </c>
      <c r="FT374" s="2"/>
      <c r="FU374" s="2"/>
      <c r="FV374" s="2"/>
      <c r="FW374" s="2"/>
      <c r="FX374" s="2">
        <v>90</v>
      </c>
      <c r="FY374" s="2">
        <v>70</v>
      </c>
      <c r="FZ374" s="2"/>
      <c r="GA374" s="2" t="s">
        <v>6</v>
      </c>
      <c r="GB374" s="2"/>
      <c r="GC374" s="2"/>
      <c r="GD374" s="2">
        <v>1</v>
      </c>
      <c r="GE374" s="2"/>
      <c r="GF374" s="2">
        <v>-479942791</v>
      </c>
      <c r="GG374" s="2">
        <v>2</v>
      </c>
      <c r="GH374" s="2">
        <v>1</v>
      </c>
      <c r="GI374" s="2">
        <v>-2</v>
      </c>
      <c r="GJ374" s="2">
        <v>0</v>
      </c>
      <c r="GK374" s="2">
        <v>0</v>
      </c>
      <c r="GL374" s="2">
        <f t="shared" si="401"/>
        <v>0</v>
      </c>
      <c r="GM374" s="2" t="e">
        <f t="shared" si="402"/>
        <v>#REF!</v>
      </c>
      <c r="GN374" s="2" t="e">
        <f t="shared" si="403"/>
        <v>#REF!</v>
      </c>
      <c r="GO374" s="2">
        <f t="shared" si="404"/>
        <v>0</v>
      </c>
      <c r="GP374" s="2">
        <f t="shared" si="405"/>
        <v>0</v>
      </c>
      <c r="GQ374" s="2"/>
      <c r="GR374" s="2">
        <v>0</v>
      </c>
      <c r="GS374" s="2">
        <v>3</v>
      </c>
      <c r="GT374" s="2">
        <v>0</v>
      </c>
      <c r="GU374" s="2" t="s">
        <v>6</v>
      </c>
      <c r="GV374" s="2">
        <f t="shared" si="406"/>
        <v>0</v>
      </c>
      <c r="GW374" s="2">
        <v>1</v>
      </c>
      <c r="GX374" s="2" t="e">
        <f t="shared" si="407"/>
        <v>#REF!</v>
      </c>
      <c r="GY374" s="2"/>
      <c r="GZ374" s="2"/>
      <c r="HA374" s="2">
        <v>0</v>
      </c>
      <c r="HB374" s="2">
        <v>0</v>
      </c>
      <c r="HC374" s="2">
        <f t="shared" si="408"/>
        <v>0</v>
      </c>
      <c r="HD374" s="2"/>
      <c r="HE374" s="2" t="s">
        <v>6</v>
      </c>
      <c r="HF374" s="2" t="s">
        <v>6</v>
      </c>
      <c r="HG374" s="2"/>
      <c r="HH374" s="2"/>
      <c r="HI374" s="2"/>
      <c r="HJ374" s="2"/>
      <c r="HK374" s="2"/>
      <c r="HL374" s="2"/>
      <c r="HM374" s="2" t="s">
        <v>6</v>
      </c>
      <c r="HN374" s="2" t="s">
        <v>6</v>
      </c>
      <c r="HO374" s="2" t="s">
        <v>6</v>
      </c>
      <c r="HP374" s="2" t="s">
        <v>6</v>
      </c>
      <c r="HQ374" s="2" t="s">
        <v>6</v>
      </c>
      <c r="HR374" s="2"/>
      <c r="HS374" s="2"/>
      <c r="HT374" s="2"/>
      <c r="HU374" s="2"/>
      <c r="HV374" s="2"/>
      <c r="HW374" s="2"/>
      <c r="HX374" s="2"/>
      <c r="HY374" s="2"/>
      <c r="HZ374" s="2"/>
      <c r="IA374" s="2"/>
      <c r="IB374" s="2"/>
      <c r="IC374" s="2"/>
      <c r="ID374" s="2"/>
      <c r="IE374" s="2"/>
      <c r="IF374" s="2">
        <v>-1</v>
      </c>
      <c r="IG374" s="2"/>
      <c r="IH374" s="2"/>
      <c r="II374" s="2"/>
      <c r="IJ374" s="2"/>
      <c r="IK374" s="2">
        <v>0</v>
      </c>
      <c r="IL374" s="2"/>
      <c r="IM374" s="2"/>
      <c r="IN374" s="2"/>
      <c r="IO374" s="2"/>
      <c r="IP374" s="2"/>
      <c r="IQ374" s="2"/>
      <c r="IR374" s="2"/>
      <c r="IS374" s="2"/>
      <c r="IT374" s="2"/>
      <c r="IU374" s="2"/>
    </row>
    <row r="375" spans="1:255" x14ac:dyDescent="0.2">
      <c r="A375">
        <v>17</v>
      </c>
      <c r="B375">
        <v>1</v>
      </c>
      <c r="C375">
        <f>ROW(SmtRes!A490)</f>
        <v>490</v>
      </c>
      <c r="D375">
        <f>ROW(EtalonRes!A410)</f>
        <v>410</v>
      </c>
      <c r="E375" t="s">
        <v>510</v>
      </c>
      <c r="F375" t="s">
        <v>375</v>
      </c>
      <c r="G375" t="s">
        <v>376</v>
      </c>
      <c r="H375" t="s">
        <v>377</v>
      </c>
      <c r="I375" t="e">
        <f>'2.Лок.смета.и.Акт'!#REF!</f>
        <v>#REF!</v>
      </c>
      <c r="J375">
        <v>0</v>
      </c>
      <c r="K375">
        <v>0.23</v>
      </c>
      <c r="O375" t="e">
        <f t="shared" si="377"/>
        <v>#REF!</v>
      </c>
      <c r="P375" t="e">
        <f t="shared" si="378"/>
        <v>#REF!</v>
      </c>
      <c r="Q375" t="e">
        <f t="shared" si="379"/>
        <v>#REF!</v>
      </c>
      <c r="R375" t="e">
        <f t="shared" si="380"/>
        <v>#REF!</v>
      </c>
      <c r="S375" t="e">
        <f t="shared" si="381"/>
        <v>#REF!</v>
      </c>
      <c r="T375" t="e">
        <f t="shared" si="382"/>
        <v>#REF!</v>
      </c>
      <c r="U375" t="e">
        <f t="shared" si="383"/>
        <v>#REF!</v>
      </c>
      <c r="V375" t="e">
        <f t="shared" si="384"/>
        <v>#REF!</v>
      </c>
      <c r="W375" t="e">
        <f t="shared" si="385"/>
        <v>#REF!</v>
      </c>
      <c r="X375" t="e">
        <f t="shared" si="386"/>
        <v>#REF!</v>
      </c>
      <c r="Y375" t="e">
        <f t="shared" si="387"/>
        <v>#REF!</v>
      </c>
      <c r="AA375">
        <v>86326988</v>
      </c>
      <c r="AB375">
        <f t="shared" si="388"/>
        <v>82.63</v>
      </c>
      <c r="AC375">
        <f>ROUND(((ES375*2)+(SUM(SmtRes!BC483:'SmtRes'!BC490)+SUM(EtalonRes!AL403:'EtalonRes'!AL410))),2)</f>
        <v>0.01</v>
      </c>
      <c r="AD375">
        <f>ROUND(((((ET375*2))-((EU375*2)))+AE375),2)</f>
        <v>12.54</v>
      </c>
      <c r="AE375">
        <f>ROUND(((EU375*2)),2)</f>
        <v>0.2</v>
      </c>
      <c r="AF375">
        <f>ROUND(((EV375*2)),2)</f>
        <v>70.08</v>
      </c>
      <c r="AG375">
        <f t="shared" si="389"/>
        <v>0</v>
      </c>
      <c r="AH375" t="e">
        <f>((EW375*2))</f>
        <v>#REF!</v>
      </c>
      <c r="AI375">
        <f>((EX375*2))</f>
        <v>0.02</v>
      </c>
      <c r="AJ375">
        <f t="shared" si="390"/>
        <v>0</v>
      </c>
      <c r="AK375">
        <f>AL375+AM375+AO375</f>
        <v>321.88</v>
      </c>
      <c r="AL375" s="75">
        <f>'1.Лок.смета.и.Акт'!F691</f>
        <v>280.57</v>
      </c>
      <c r="AM375" s="75">
        <f>'1.Лок.смета.и.Акт'!F689</f>
        <v>6.27</v>
      </c>
      <c r="AN375" s="75">
        <f>'1.Лок.смета.и.Акт'!F690</f>
        <v>0.1</v>
      </c>
      <c r="AO375" s="75">
        <f>'1.Лок.смета.и.Акт'!F688</f>
        <v>35.04</v>
      </c>
      <c r="AP375">
        <v>0</v>
      </c>
      <c r="AQ375" t="e">
        <f>'2.Лок.смета.и.Акт'!#REF!</f>
        <v>#REF!</v>
      </c>
      <c r="AR375">
        <v>0.01</v>
      </c>
      <c r="AS375">
        <v>0</v>
      </c>
      <c r="AT375">
        <v>86</v>
      </c>
      <c r="AU375">
        <v>60</v>
      </c>
      <c r="AV375">
        <v>1</v>
      </c>
      <c r="AW375">
        <v>1</v>
      </c>
      <c r="AZ375">
        <v>1</v>
      </c>
      <c r="BA375">
        <f>'1.Лок.смета.и.Акт'!J688</f>
        <v>26.95</v>
      </c>
      <c r="BB375">
        <f>'1.Лок.смета.и.Акт'!J689</f>
        <v>9.3000000000000007</v>
      </c>
      <c r="BC375">
        <f>'1.Лок.смета.и.Акт'!J691</f>
        <v>7.56</v>
      </c>
      <c r="BD375" t="s">
        <v>6</v>
      </c>
      <c r="BE375" t="s">
        <v>6</v>
      </c>
      <c r="BF375" t="s">
        <v>6</v>
      </c>
      <c r="BG375" t="s">
        <v>6</v>
      </c>
      <c r="BH375">
        <v>0</v>
      </c>
      <c r="BI375">
        <v>1</v>
      </c>
      <c r="BJ375" t="s">
        <v>378</v>
      </c>
      <c r="BM375">
        <v>13001</v>
      </c>
      <c r="BN375">
        <v>0</v>
      </c>
      <c r="BO375" t="s">
        <v>375</v>
      </c>
      <c r="BP375">
        <v>1</v>
      </c>
      <c r="BQ375">
        <v>1</v>
      </c>
      <c r="BR375">
        <v>0</v>
      </c>
      <c r="BS375">
        <f>'1.Лок.смета.и.Акт'!J690</f>
        <v>19.8</v>
      </c>
      <c r="BT375">
        <v>1</v>
      </c>
      <c r="BU375">
        <v>1</v>
      </c>
      <c r="BV375">
        <v>1</v>
      </c>
      <c r="BW375">
        <v>1</v>
      </c>
      <c r="BX375">
        <v>1</v>
      </c>
      <c r="BY375" t="s">
        <v>6</v>
      </c>
      <c r="BZ375" t="e">
        <f>'2.Лок.смета.и.Акт'!#REF!</f>
        <v>#REF!</v>
      </c>
      <c r="CA375" t="e">
        <f>'2.Лок.смета.и.Акт'!#REF!</f>
        <v>#REF!</v>
      </c>
      <c r="CB375" t="s">
        <v>6</v>
      </c>
      <c r="CE375">
        <v>0</v>
      </c>
      <c r="CF375">
        <v>0</v>
      </c>
      <c r="CG375">
        <v>0</v>
      </c>
      <c r="CM375">
        <v>0</v>
      </c>
      <c r="CN375" t="s">
        <v>6</v>
      </c>
      <c r="CO375">
        <v>0</v>
      </c>
      <c r="CP375" t="e">
        <f t="shared" si="391"/>
        <v>#REF!</v>
      </c>
      <c r="CQ375">
        <f t="shared" si="392"/>
        <v>7.5600000000000001E-2</v>
      </c>
      <c r="CR375">
        <f t="shared" si="393"/>
        <v>116.622</v>
      </c>
      <c r="CS375">
        <f t="shared" si="394"/>
        <v>3.9600000000000004</v>
      </c>
      <c r="CT375">
        <f t="shared" si="395"/>
        <v>1888.6559999999999</v>
      </c>
      <c r="CU375">
        <f t="shared" si="396"/>
        <v>0</v>
      </c>
      <c r="CV375" t="e">
        <f t="shared" si="397"/>
        <v>#REF!</v>
      </c>
      <c r="CW375">
        <f t="shared" si="398"/>
        <v>0.02</v>
      </c>
      <c r="CX375">
        <f t="shared" si="399"/>
        <v>0</v>
      </c>
      <c r="CY375" t="e">
        <f>(S375+R375)*(BZ375/100)</f>
        <v>#REF!</v>
      </c>
      <c r="CZ375" t="e">
        <f>(S375+R375)*(CA375/100)</f>
        <v>#REF!</v>
      </c>
      <c r="DC375" t="s">
        <v>6</v>
      </c>
      <c r="DD375" t="s">
        <v>379</v>
      </c>
      <c r="DE375" t="s">
        <v>379</v>
      </c>
      <c r="DF375" t="s">
        <v>379</v>
      </c>
      <c r="DG375" t="s">
        <v>379</v>
      </c>
      <c r="DH375" t="s">
        <v>6</v>
      </c>
      <c r="DI375" t="s">
        <v>379</v>
      </c>
      <c r="DJ375" t="s">
        <v>379</v>
      </c>
      <c r="DK375" t="s">
        <v>6</v>
      </c>
      <c r="DL375" t="s">
        <v>6</v>
      </c>
      <c r="DM375" t="s">
        <v>6</v>
      </c>
      <c r="DN375">
        <f>'1.Лок.смета.и.Акт'!E692</f>
        <v>90</v>
      </c>
      <c r="DO375">
        <f>'1.Лок.смета.и.Акт'!E693</f>
        <v>70</v>
      </c>
      <c r="DP375">
        <v>1</v>
      </c>
      <c r="DQ375">
        <v>1</v>
      </c>
      <c r="DU375">
        <v>1005</v>
      </c>
      <c r="DV375" t="s">
        <v>377</v>
      </c>
      <c r="DW375" t="e">
        <f>'2.Лок.смета.и.Акт'!#REF!</f>
        <v>#REF!</v>
      </c>
      <c r="DX375">
        <v>100</v>
      </c>
      <c r="DZ375" t="s">
        <v>6</v>
      </c>
      <c r="EA375" t="s">
        <v>6</v>
      </c>
      <c r="EB375" t="s">
        <v>6</v>
      </c>
      <c r="EC375" t="s">
        <v>6</v>
      </c>
      <c r="EE375">
        <v>54938608</v>
      </c>
      <c r="EF375">
        <v>1</v>
      </c>
      <c r="EG375" t="s">
        <v>26</v>
      </c>
      <c r="EH375">
        <v>0</v>
      </c>
      <c r="EI375" t="s">
        <v>6</v>
      </c>
      <c r="EJ375">
        <v>1</v>
      </c>
      <c r="EK375">
        <v>13001</v>
      </c>
      <c r="EL375" t="s">
        <v>380</v>
      </c>
      <c r="EM375" t="s">
        <v>381</v>
      </c>
      <c r="EO375" t="s">
        <v>6</v>
      </c>
      <c r="EQ375">
        <v>2228224</v>
      </c>
      <c r="ER375">
        <f>ES375+ET375+EV375</f>
        <v>321.88</v>
      </c>
      <c r="ES375" s="75">
        <f>'1.Лок.смета.и.Акт'!F691</f>
        <v>280.57</v>
      </c>
      <c r="ET375" s="75">
        <f>'1.Лок.смета.и.Акт'!F689</f>
        <v>6.27</v>
      </c>
      <c r="EU375" s="75">
        <f>'1.Лок.смета.и.Акт'!F690</f>
        <v>0.1</v>
      </c>
      <c r="EV375" s="75">
        <f>'1.Лок.смета.и.Акт'!F688</f>
        <v>35.04</v>
      </c>
      <c r="EW375" t="e">
        <f>'2.Лок.смета.и.Акт'!#REF!</f>
        <v>#REF!</v>
      </c>
      <c r="EX375">
        <v>0.01</v>
      </c>
      <c r="EY375">
        <v>1</v>
      </c>
      <c r="FQ375">
        <v>0</v>
      </c>
      <c r="FR375">
        <f t="shared" si="400"/>
        <v>0</v>
      </c>
      <c r="FS375">
        <v>0</v>
      </c>
      <c r="FX375">
        <v>90</v>
      </c>
      <c r="FY375">
        <v>70</v>
      </c>
      <c r="GA375" t="s">
        <v>6</v>
      </c>
      <c r="GD375">
        <v>1</v>
      </c>
      <c r="GF375">
        <v>-479942791</v>
      </c>
      <c r="GG375">
        <v>2</v>
      </c>
      <c r="GH375">
        <v>1</v>
      </c>
      <c r="GI375">
        <v>2</v>
      </c>
      <c r="GJ375">
        <v>0</v>
      </c>
      <c r="GK375">
        <v>0</v>
      </c>
      <c r="GL375">
        <f t="shared" si="401"/>
        <v>0</v>
      </c>
      <c r="GM375" t="e">
        <f t="shared" si="402"/>
        <v>#REF!</v>
      </c>
      <c r="GN375" t="e">
        <f t="shared" si="403"/>
        <v>#REF!</v>
      </c>
      <c r="GO375">
        <f t="shared" si="404"/>
        <v>0</v>
      </c>
      <c r="GP375">
        <f t="shared" si="405"/>
        <v>0</v>
      </c>
      <c r="GR375">
        <v>0</v>
      </c>
      <c r="GS375">
        <v>3</v>
      </c>
      <c r="GT375">
        <v>0</v>
      </c>
      <c r="GU375" t="s">
        <v>6</v>
      </c>
      <c r="GV375">
        <f t="shared" si="406"/>
        <v>0</v>
      </c>
      <c r="GW375">
        <v>1009.3</v>
      </c>
      <c r="GX375" t="e">
        <f t="shared" si="407"/>
        <v>#REF!</v>
      </c>
      <c r="HA375">
        <v>0</v>
      </c>
      <c r="HB375">
        <v>0</v>
      </c>
      <c r="HC375">
        <f t="shared" si="408"/>
        <v>0</v>
      </c>
      <c r="HE375" t="s">
        <v>6</v>
      </c>
      <c r="HF375" t="s">
        <v>6</v>
      </c>
      <c r="HM375" t="s">
        <v>6</v>
      </c>
      <c r="HN375" t="s">
        <v>6</v>
      </c>
      <c r="HO375" t="s">
        <v>6</v>
      </c>
      <c r="HP375" t="s">
        <v>6</v>
      </c>
      <c r="HQ375" t="s">
        <v>6</v>
      </c>
      <c r="IF375">
        <v>-1</v>
      </c>
      <c r="IK375">
        <v>0</v>
      </c>
    </row>
    <row r="376" spans="1:255" x14ac:dyDescent="0.2">
      <c r="A376" s="2">
        <v>18</v>
      </c>
      <c r="B376" s="2">
        <v>1</v>
      </c>
      <c r="C376" s="2">
        <v>481</v>
      </c>
      <c r="D376" s="2"/>
      <c r="E376" s="2" t="s">
        <v>511</v>
      </c>
      <c r="F376" s="2" t="s">
        <v>383</v>
      </c>
      <c r="G376" s="2" t="s">
        <v>384</v>
      </c>
      <c r="H376" s="2" t="s">
        <v>33</v>
      </c>
      <c r="I376" s="2" t="e">
        <f>I374*J376</f>
        <v>#REF!</v>
      </c>
      <c r="J376" s="226">
        <f>'5.Ведомость_списания'!F164</f>
        <v>2.8E-3</v>
      </c>
      <c r="K376" s="2">
        <v>1.4E-3</v>
      </c>
      <c r="L376" s="2"/>
      <c r="M376" s="2"/>
      <c r="N376" s="2"/>
      <c r="O376" s="2" t="e">
        <f t="shared" si="377"/>
        <v>#REF!</v>
      </c>
      <c r="P376" s="2" t="e">
        <f t="shared" si="378"/>
        <v>#REF!</v>
      </c>
      <c r="Q376" s="2" t="e">
        <f t="shared" si="379"/>
        <v>#REF!</v>
      </c>
      <c r="R376" s="2" t="e">
        <f t="shared" si="380"/>
        <v>#REF!</v>
      </c>
      <c r="S376" s="2" t="e">
        <f t="shared" si="381"/>
        <v>#REF!</v>
      </c>
      <c r="T376" s="2" t="e">
        <f t="shared" si="382"/>
        <v>#REF!</v>
      </c>
      <c r="U376" s="2" t="e">
        <f t="shared" si="383"/>
        <v>#REF!</v>
      </c>
      <c r="V376" s="2" t="e">
        <f t="shared" si="384"/>
        <v>#REF!</v>
      </c>
      <c r="W376" s="2" t="e">
        <f t="shared" si="385"/>
        <v>#REF!</v>
      </c>
      <c r="X376" s="2" t="e">
        <f t="shared" si="386"/>
        <v>#REF!</v>
      </c>
      <c r="Y376" s="2" t="e">
        <f t="shared" si="387"/>
        <v>#REF!</v>
      </c>
      <c r="Z376" s="2"/>
      <c r="AA376" s="2">
        <v>86326987</v>
      </c>
      <c r="AB376" s="2">
        <f t="shared" si="388"/>
        <v>6156.33</v>
      </c>
      <c r="AC376" s="2">
        <f>ROUND((ES376),2)</f>
        <v>6156.33</v>
      </c>
      <c r="AD376" s="2">
        <f t="shared" ref="AD376:AD403" si="417">ROUND((((ET376)-(EU376))+AE376),2)</f>
        <v>0</v>
      </c>
      <c r="AE376" s="2">
        <f t="shared" ref="AE376:AF379" si="418">ROUND((EU376),2)</f>
        <v>0</v>
      </c>
      <c r="AF376" s="2">
        <f t="shared" si="418"/>
        <v>0</v>
      </c>
      <c r="AG376" s="2">
        <f t="shared" si="389"/>
        <v>0</v>
      </c>
      <c r="AH376" s="2">
        <f t="shared" ref="AH376:AI379" si="419">(EW376)</f>
        <v>0</v>
      </c>
      <c r="AI376" s="2">
        <f t="shared" si="419"/>
        <v>0</v>
      </c>
      <c r="AJ376" s="2">
        <f t="shared" si="390"/>
        <v>43.47</v>
      </c>
      <c r="AK376" s="2">
        <v>6156.33</v>
      </c>
      <c r="AL376" s="110">
        <f>'1.Лок.смета.и.Акт'!F695</f>
        <v>6156.33</v>
      </c>
      <c r="AM376" s="2">
        <v>0</v>
      </c>
      <c r="AN376" s="2">
        <v>0</v>
      </c>
      <c r="AO376" s="2">
        <v>0</v>
      </c>
      <c r="AP376" s="2">
        <v>0</v>
      </c>
      <c r="AQ376" s="2">
        <v>0</v>
      </c>
      <c r="AR376" s="2">
        <v>0</v>
      </c>
      <c r="AS376" s="2">
        <v>43.47</v>
      </c>
      <c r="AT376" s="2">
        <v>0</v>
      </c>
      <c r="AU376" s="2">
        <v>0</v>
      </c>
      <c r="AV376" s="2">
        <v>1</v>
      </c>
      <c r="AW376" s="2">
        <v>1</v>
      </c>
      <c r="AX376" s="2"/>
      <c r="AY376" s="2"/>
      <c r="AZ376" s="2">
        <v>1</v>
      </c>
      <c r="BA376" s="2">
        <v>1</v>
      </c>
      <c r="BB376" s="2">
        <v>1</v>
      </c>
      <c r="BC376" s="2">
        <v>1</v>
      </c>
      <c r="BD376" s="2" t="s">
        <v>6</v>
      </c>
      <c r="BE376" s="2" t="s">
        <v>6</v>
      </c>
      <c r="BF376" s="2" t="s">
        <v>6</v>
      </c>
      <c r="BG376" s="2" t="s">
        <v>6</v>
      </c>
      <c r="BH376" s="2">
        <v>3</v>
      </c>
      <c r="BI376" s="2">
        <v>1</v>
      </c>
      <c r="BJ376" s="2" t="s">
        <v>385</v>
      </c>
      <c r="BK376" s="2"/>
      <c r="BL376" s="2"/>
      <c r="BM376" s="2">
        <v>500001</v>
      </c>
      <c r="BN376" s="2">
        <v>0</v>
      </c>
      <c r="BO376" s="2" t="s">
        <v>6</v>
      </c>
      <c r="BP376" s="2">
        <v>0</v>
      </c>
      <c r="BQ376" s="2">
        <v>20</v>
      </c>
      <c r="BR376" s="2">
        <v>0</v>
      </c>
      <c r="BS376" s="2">
        <v>1</v>
      </c>
      <c r="BT376" s="2">
        <v>1</v>
      </c>
      <c r="BU376" s="2">
        <v>1</v>
      </c>
      <c r="BV376" s="2">
        <v>1</v>
      </c>
      <c r="BW376" s="2">
        <v>1</v>
      </c>
      <c r="BX376" s="2">
        <v>1</v>
      </c>
      <c r="BY376" s="2" t="s">
        <v>6</v>
      </c>
      <c r="BZ376" s="2">
        <v>0</v>
      </c>
      <c r="CA376" s="2">
        <v>0</v>
      </c>
      <c r="CB376" s="2" t="s">
        <v>6</v>
      </c>
      <c r="CC376" s="2"/>
      <c r="CD376" s="2"/>
      <c r="CE376" s="2">
        <v>0</v>
      </c>
      <c r="CF376" s="2">
        <v>0</v>
      </c>
      <c r="CG376" s="2">
        <v>0</v>
      </c>
      <c r="CH376" s="2"/>
      <c r="CI376" s="2"/>
      <c r="CJ376" s="2"/>
      <c r="CK376" s="2"/>
      <c r="CL376" s="2"/>
      <c r="CM376" s="2">
        <v>0</v>
      </c>
      <c r="CN376" s="2" t="s">
        <v>6</v>
      </c>
      <c r="CO376" s="2">
        <v>0</v>
      </c>
      <c r="CP376" s="2" t="e">
        <f t="shared" si="391"/>
        <v>#REF!</v>
      </c>
      <c r="CQ376" s="2">
        <f t="shared" si="392"/>
        <v>6156.33</v>
      </c>
      <c r="CR376" s="2">
        <f t="shared" si="393"/>
        <v>0</v>
      </c>
      <c r="CS376" s="2">
        <f t="shared" si="394"/>
        <v>0</v>
      </c>
      <c r="CT376" s="2">
        <f t="shared" si="395"/>
        <v>0</v>
      </c>
      <c r="CU376" s="2">
        <f t="shared" si="396"/>
        <v>0</v>
      </c>
      <c r="CV376" s="2">
        <f t="shared" si="397"/>
        <v>0</v>
      </c>
      <c r="CW376" s="2">
        <f t="shared" si="398"/>
        <v>0</v>
      </c>
      <c r="CX376" s="2">
        <f t="shared" si="399"/>
        <v>43.47</v>
      </c>
      <c r="CY376" s="2" t="e">
        <f>(((S376+(R376*IF(0,0,1)))*AT376)/100)</f>
        <v>#REF!</v>
      </c>
      <c r="CZ376" s="2" t="e">
        <f>(((S376+(R376*IF(0,0,1)))*AU376)/100)</f>
        <v>#REF!</v>
      </c>
      <c r="DA376" s="2"/>
      <c r="DB376" s="2"/>
      <c r="DC376" s="2" t="s">
        <v>6</v>
      </c>
      <c r="DD376" s="2" t="s">
        <v>6</v>
      </c>
      <c r="DE376" s="2" t="s">
        <v>6</v>
      </c>
      <c r="DF376" s="2" t="s">
        <v>6</v>
      </c>
      <c r="DG376" s="2" t="s">
        <v>6</v>
      </c>
      <c r="DH376" s="2" t="s">
        <v>6</v>
      </c>
      <c r="DI376" s="2" t="s">
        <v>6</v>
      </c>
      <c r="DJ376" s="2" t="s">
        <v>6</v>
      </c>
      <c r="DK376" s="2" t="s">
        <v>6</v>
      </c>
      <c r="DL376" s="2" t="s">
        <v>6</v>
      </c>
      <c r="DM376" s="2" t="s">
        <v>6</v>
      </c>
      <c r="DN376" s="2">
        <v>0</v>
      </c>
      <c r="DO376" s="2">
        <v>0</v>
      </c>
      <c r="DP376" s="2">
        <v>1</v>
      </c>
      <c r="DQ376" s="2">
        <v>1</v>
      </c>
      <c r="DR376" s="2"/>
      <c r="DS376" s="2"/>
      <c r="DT376" s="2"/>
      <c r="DU376" s="2">
        <v>1009</v>
      </c>
      <c r="DV376" s="2" t="s">
        <v>33</v>
      </c>
      <c r="DW376" s="2" t="s">
        <v>33</v>
      </c>
      <c r="DX376" s="2">
        <v>1000</v>
      </c>
      <c r="DY376" s="2"/>
      <c r="DZ376" s="2" t="s">
        <v>6</v>
      </c>
      <c r="EA376" s="2" t="s">
        <v>6</v>
      </c>
      <c r="EB376" s="2" t="s">
        <v>6</v>
      </c>
      <c r="EC376" s="2" t="s">
        <v>6</v>
      </c>
      <c r="ED376" s="2"/>
      <c r="EE376" s="2">
        <v>54938781</v>
      </c>
      <c r="EF376" s="2">
        <v>20</v>
      </c>
      <c r="EG376" s="2" t="s">
        <v>35</v>
      </c>
      <c r="EH376" s="2">
        <v>0</v>
      </c>
      <c r="EI376" s="2" t="s">
        <v>6</v>
      </c>
      <c r="EJ376" s="2">
        <v>1</v>
      </c>
      <c r="EK376" s="2">
        <v>500001</v>
      </c>
      <c r="EL376" s="2" t="s">
        <v>36</v>
      </c>
      <c r="EM376" s="2" t="s">
        <v>37</v>
      </c>
      <c r="EN376" s="2"/>
      <c r="EO376" s="2" t="s">
        <v>6</v>
      </c>
      <c r="EP376" s="2"/>
      <c r="EQ376" s="2">
        <v>0</v>
      </c>
      <c r="ER376" s="2">
        <v>6156.33</v>
      </c>
      <c r="ES376" s="110">
        <f>'1.Лок.смета.и.Акт'!F695</f>
        <v>6156.33</v>
      </c>
      <c r="ET376" s="2">
        <v>0</v>
      </c>
      <c r="EU376" s="2">
        <v>0</v>
      </c>
      <c r="EV376" s="2">
        <v>0</v>
      </c>
      <c r="EW376" s="2">
        <v>0</v>
      </c>
      <c r="EX376" s="2">
        <v>0</v>
      </c>
      <c r="EY376" s="2"/>
      <c r="EZ376" s="2"/>
      <c r="FA376" s="2"/>
      <c r="FB376" s="2"/>
      <c r="FC376" s="2"/>
      <c r="FD376" s="2"/>
      <c r="FE376" s="2"/>
      <c r="FF376" s="2"/>
      <c r="FG376" s="2"/>
      <c r="FH376" s="2"/>
      <c r="FI376" s="2"/>
      <c r="FJ376" s="2"/>
      <c r="FK376" s="2"/>
      <c r="FL376" s="2"/>
      <c r="FM376" s="2"/>
      <c r="FN376" s="2"/>
      <c r="FO376" s="2"/>
      <c r="FP376" s="2"/>
      <c r="FQ376" s="2">
        <v>0</v>
      </c>
      <c r="FR376" s="2">
        <f t="shared" si="400"/>
        <v>0</v>
      </c>
      <c r="FS376" s="2">
        <v>0</v>
      </c>
      <c r="FT376" s="2"/>
      <c r="FU376" s="2"/>
      <c r="FV376" s="2"/>
      <c r="FW376" s="2"/>
      <c r="FX376" s="2">
        <v>0</v>
      </c>
      <c r="FY376" s="2">
        <v>0</v>
      </c>
      <c r="FZ376" s="2"/>
      <c r="GA376" s="2" t="s">
        <v>6</v>
      </c>
      <c r="GB376" s="2"/>
      <c r="GC376" s="2"/>
      <c r="GD376" s="2">
        <v>1</v>
      </c>
      <c r="GE376" s="2"/>
      <c r="GF376" s="2">
        <v>186214095</v>
      </c>
      <c r="GG376" s="2">
        <v>2</v>
      </c>
      <c r="GH376" s="2">
        <v>0</v>
      </c>
      <c r="GI376" s="2">
        <v>-2</v>
      </c>
      <c r="GJ376" s="2">
        <v>0</v>
      </c>
      <c r="GK376" s="2">
        <v>0</v>
      </c>
      <c r="GL376" s="2">
        <f t="shared" si="401"/>
        <v>0</v>
      </c>
      <c r="GM376" s="2" t="e">
        <f t="shared" si="402"/>
        <v>#REF!</v>
      </c>
      <c r="GN376" s="2" t="e">
        <f t="shared" si="403"/>
        <v>#REF!</v>
      </c>
      <c r="GO376" s="2">
        <f t="shared" si="404"/>
        <v>0</v>
      </c>
      <c r="GP376" s="2">
        <f t="shared" si="405"/>
        <v>0</v>
      </c>
      <c r="GQ376" s="2"/>
      <c r="GR376" s="2">
        <v>0</v>
      </c>
      <c r="GS376" s="2">
        <v>3</v>
      </c>
      <c r="GT376" s="2">
        <v>0</v>
      </c>
      <c r="GU376" s="2" t="s">
        <v>6</v>
      </c>
      <c r="GV376" s="2">
        <f t="shared" si="406"/>
        <v>0</v>
      </c>
      <c r="GW376" s="2">
        <v>1</v>
      </c>
      <c r="GX376" s="2" t="e">
        <f t="shared" si="407"/>
        <v>#REF!</v>
      </c>
      <c r="GY376" s="2"/>
      <c r="GZ376" s="2"/>
      <c r="HA376" s="2">
        <v>0</v>
      </c>
      <c r="HB376" s="2">
        <v>0</v>
      </c>
      <c r="HC376" s="2">
        <f t="shared" si="408"/>
        <v>0</v>
      </c>
      <c r="HD376" s="2"/>
      <c r="HE376" s="2" t="s">
        <v>6</v>
      </c>
      <c r="HF376" s="2" t="s">
        <v>6</v>
      </c>
      <c r="HG376" s="2"/>
      <c r="HH376" s="2"/>
      <c r="HI376" s="2"/>
      <c r="HJ376" s="2"/>
      <c r="HK376" s="2"/>
      <c r="HL376" s="2"/>
      <c r="HM376" s="2" t="s">
        <v>379</v>
      </c>
      <c r="HN376" s="2" t="s">
        <v>6</v>
      </c>
      <c r="HO376" s="2" t="s">
        <v>6</v>
      </c>
      <c r="HP376" s="2" t="s">
        <v>6</v>
      </c>
      <c r="HQ376" s="2" t="s">
        <v>6</v>
      </c>
      <c r="HR376" s="2"/>
      <c r="HS376" s="2"/>
      <c r="HT376" s="2"/>
      <c r="HU376" s="2"/>
      <c r="HV376" s="2"/>
      <c r="HW376" s="2"/>
      <c r="HX376" s="2"/>
      <c r="HY376" s="2"/>
      <c r="HZ376" s="2"/>
      <c r="IA376" s="2"/>
      <c r="IB376" s="2"/>
      <c r="IC376" s="2"/>
      <c r="ID376" s="2"/>
      <c r="IE376" s="2"/>
      <c r="IF376" s="2">
        <v>-1</v>
      </c>
      <c r="IG376" s="2"/>
      <c r="IH376" s="2"/>
      <c r="II376" s="2"/>
      <c r="IJ376" s="2"/>
      <c r="IK376" s="2">
        <v>0</v>
      </c>
      <c r="IL376" s="2"/>
      <c r="IM376" s="2"/>
      <c r="IN376" s="2"/>
      <c r="IO376" s="2"/>
      <c r="IP376" s="2"/>
      <c r="IQ376" s="2"/>
      <c r="IR376" s="2"/>
      <c r="IS376" s="2"/>
      <c r="IT376" s="2"/>
      <c r="IU376" s="2"/>
    </row>
    <row r="377" spans="1:255" x14ac:dyDescent="0.2">
      <c r="A377">
        <v>18</v>
      </c>
      <c r="B377">
        <v>1</v>
      </c>
      <c r="C377">
        <v>489</v>
      </c>
      <c r="E377" t="s">
        <v>511</v>
      </c>
      <c r="F377" t="e">
        <f>'2.Лок.смета.и.Акт'!#REF!</f>
        <v>#REF!</v>
      </c>
      <c r="G377" t="s">
        <v>384</v>
      </c>
      <c r="H377" t="s">
        <v>33</v>
      </c>
      <c r="I377" t="e">
        <f>I375*J377</f>
        <v>#REF!</v>
      </c>
      <c r="J377">
        <v>2.8E-3</v>
      </c>
      <c r="K377">
        <v>1.4E-3</v>
      </c>
      <c r="O377" t="e">
        <f t="shared" si="377"/>
        <v>#REF!</v>
      </c>
      <c r="P377" t="e">
        <f t="shared" si="378"/>
        <v>#REF!</v>
      </c>
      <c r="Q377" t="e">
        <f t="shared" si="379"/>
        <v>#REF!</v>
      </c>
      <c r="R377" t="e">
        <f t="shared" si="380"/>
        <v>#REF!</v>
      </c>
      <c r="S377" t="e">
        <f t="shared" si="381"/>
        <v>#REF!</v>
      </c>
      <c r="T377" t="e">
        <f t="shared" si="382"/>
        <v>#REF!</v>
      </c>
      <c r="U377" t="e">
        <f t="shared" si="383"/>
        <v>#REF!</v>
      </c>
      <c r="V377" t="e">
        <f t="shared" si="384"/>
        <v>#REF!</v>
      </c>
      <c r="W377" t="e">
        <f t="shared" si="385"/>
        <v>#REF!</v>
      </c>
      <c r="X377" t="e">
        <f t="shared" si="386"/>
        <v>#REF!</v>
      </c>
      <c r="Y377" t="e">
        <f t="shared" si="387"/>
        <v>#REF!</v>
      </c>
      <c r="AA377">
        <v>86326988</v>
      </c>
      <c r="AB377">
        <f t="shared" si="388"/>
        <v>13759.11</v>
      </c>
      <c r="AC377">
        <f>ROUND((ES377),2)</f>
        <v>13759.11</v>
      </c>
      <c r="AD377">
        <f t="shared" si="417"/>
        <v>0</v>
      </c>
      <c r="AE377">
        <f t="shared" si="418"/>
        <v>0</v>
      </c>
      <c r="AF377">
        <f t="shared" si="418"/>
        <v>0</v>
      </c>
      <c r="AG377">
        <f t="shared" si="389"/>
        <v>0</v>
      </c>
      <c r="AH377">
        <f t="shared" si="419"/>
        <v>0</v>
      </c>
      <c r="AI377">
        <f t="shared" si="419"/>
        <v>0</v>
      </c>
      <c r="AJ377">
        <f t="shared" si="390"/>
        <v>43.47</v>
      </c>
      <c r="AK377">
        <v>13759.11</v>
      </c>
      <c r="AL377">
        <v>13759.11</v>
      </c>
      <c r="AM377">
        <v>0</v>
      </c>
      <c r="AN377">
        <v>0</v>
      </c>
      <c r="AO377">
        <v>0</v>
      </c>
      <c r="AP377">
        <v>0</v>
      </c>
      <c r="AQ377">
        <v>0</v>
      </c>
      <c r="AR377">
        <v>0</v>
      </c>
      <c r="AS377">
        <v>43.47</v>
      </c>
      <c r="AT377">
        <v>0</v>
      </c>
      <c r="AU377">
        <v>0</v>
      </c>
      <c r="AV377">
        <v>1</v>
      </c>
      <c r="AW377">
        <v>1</v>
      </c>
      <c r="AZ377">
        <v>1</v>
      </c>
      <c r="BA377">
        <v>1</v>
      </c>
      <c r="BB377">
        <v>1</v>
      </c>
      <c r="BC377">
        <v>7.56</v>
      </c>
      <c r="BD377" t="s">
        <v>6</v>
      </c>
      <c r="BE377" t="s">
        <v>6</v>
      </c>
      <c r="BF377" t="s">
        <v>6</v>
      </c>
      <c r="BG377" t="s">
        <v>6</v>
      </c>
      <c r="BH377">
        <v>3</v>
      </c>
      <c r="BI377">
        <v>1</v>
      </c>
      <c r="BJ377" t="s">
        <v>385</v>
      </c>
      <c r="BM377">
        <v>500001</v>
      </c>
      <c r="BN377">
        <v>0</v>
      </c>
      <c r="BO377" t="s">
        <v>6</v>
      </c>
      <c r="BP377">
        <v>0</v>
      </c>
      <c r="BQ377">
        <v>20</v>
      </c>
      <c r="BR377">
        <v>0</v>
      </c>
      <c r="BS377">
        <v>1</v>
      </c>
      <c r="BT377">
        <v>1</v>
      </c>
      <c r="BU377">
        <v>1</v>
      </c>
      <c r="BV377">
        <v>1</v>
      </c>
      <c r="BW377">
        <v>1</v>
      </c>
      <c r="BX377">
        <v>1</v>
      </c>
      <c r="BY377" t="s">
        <v>6</v>
      </c>
      <c r="BZ377">
        <v>0</v>
      </c>
      <c r="CA377">
        <v>0</v>
      </c>
      <c r="CB377" t="s">
        <v>6</v>
      </c>
      <c r="CE377">
        <v>0</v>
      </c>
      <c r="CF377">
        <v>0</v>
      </c>
      <c r="CG377">
        <v>0</v>
      </c>
      <c r="CM377">
        <v>0</v>
      </c>
      <c r="CN377" t="s">
        <v>6</v>
      </c>
      <c r="CO377">
        <v>0</v>
      </c>
      <c r="CP377" t="e">
        <f t="shared" si="391"/>
        <v>#REF!</v>
      </c>
      <c r="CQ377">
        <f t="shared" si="392"/>
        <v>104018.8716</v>
      </c>
      <c r="CR377">
        <f t="shared" si="393"/>
        <v>0</v>
      </c>
      <c r="CS377">
        <f t="shared" si="394"/>
        <v>0</v>
      </c>
      <c r="CT377">
        <f t="shared" si="395"/>
        <v>0</v>
      </c>
      <c r="CU377">
        <f t="shared" si="396"/>
        <v>0</v>
      </c>
      <c r="CV377">
        <f t="shared" si="397"/>
        <v>0</v>
      </c>
      <c r="CW377">
        <f t="shared" si="398"/>
        <v>0</v>
      </c>
      <c r="CX377">
        <f t="shared" si="399"/>
        <v>43.47</v>
      </c>
      <c r="CY377" t="e">
        <f>(S377+R377)*(BZ377/100)</f>
        <v>#REF!</v>
      </c>
      <c r="CZ377" t="e">
        <f>(S377+R377)*(CA377/100)</f>
        <v>#REF!</v>
      </c>
      <c r="DC377" t="s">
        <v>6</v>
      </c>
      <c r="DD377" t="s">
        <v>6</v>
      </c>
      <c r="DE377" t="s">
        <v>6</v>
      </c>
      <c r="DF377" t="s">
        <v>6</v>
      </c>
      <c r="DG377" t="s">
        <v>6</v>
      </c>
      <c r="DH377" t="s">
        <v>6</v>
      </c>
      <c r="DI377" t="s">
        <v>6</v>
      </c>
      <c r="DJ377" t="s">
        <v>6</v>
      </c>
      <c r="DK377" t="s">
        <v>6</v>
      </c>
      <c r="DL377" t="s">
        <v>6</v>
      </c>
      <c r="DM377" t="s">
        <v>6</v>
      </c>
      <c r="DN377">
        <v>0</v>
      </c>
      <c r="DO377">
        <v>0</v>
      </c>
      <c r="DP377">
        <v>1</v>
      </c>
      <c r="DQ377">
        <v>1</v>
      </c>
      <c r="DU377">
        <v>1009</v>
      </c>
      <c r="DV377" t="s">
        <v>33</v>
      </c>
      <c r="DW377" t="e">
        <f>'2.Лок.смета.и.Акт'!#REF!</f>
        <v>#REF!</v>
      </c>
      <c r="DX377">
        <v>1000</v>
      </c>
      <c r="DZ377" t="s">
        <v>6</v>
      </c>
      <c r="EA377" t="s">
        <v>6</v>
      </c>
      <c r="EB377" t="s">
        <v>6</v>
      </c>
      <c r="EC377" t="s">
        <v>6</v>
      </c>
      <c r="EE377">
        <v>54938781</v>
      </c>
      <c r="EF377">
        <v>20</v>
      </c>
      <c r="EG377" t="s">
        <v>35</v>
      </c>
      <c r="EH377">
        <v>0</v>
      </c>
      <c r="EI377" t="s">
        <v>6</v>
      </c>
      <c r="EJ377">
        <v>1</v>
      </c>
      <c r="EK377">
        <v>500001</v>
      </c>
      <c r="EL377" t="s">
        <v>36</v>
      </c>
      <c r="EM377" t="s">
        <v>37</v>
      </c>
      <c r="EO377" t="s">
        <v>6</v>
      </c>
      <c r="EQ377">
        <v>0</v>
      </c>
      <c r="ER377">
        <v>98057</v>
      </c>
      <c r="ES377">
        <v>13759.11</v>
      </c>
      <c r="ET377">
        <v>0</v>
      </c>
      <c r="EU377">
        <v>0</v>
      </c>
      <c r="EV377">
        <v>0</v>
      </c>
      <c r="EW377">
        <v>0</v>
      </c>
      <c r="EX377">
        <v>0</v>
      </c>
      <c r="EZ377">
        <v>5</v>
      </c>
      <c r="FC377">
        <v>0</v>
      </c>
      <c r="FD377">
        <v>18</v>
      </c>
      <c r="FF377">
        <v>98057</v>
      </c>
      <c r="FQ377">
        <v>0</v>
      </c>
      <c r="FR377">
        <f t="shared" si="400"/>
        <v>0</v>
      </c>
      <c r="FS377">
        <v>0</v>
      </c>
      <c r="FX377">
        <v>0</v>
      </c>
      <c r="FY377">
        <v>0</v>
      </c>
      <c r="GA377" t="s">
        <v>386</v>
      </c>
      <c r="GD377">
        <v>1</v>
      </c>
      <c r="GF377">
        <v>186214095</v>
      </c>
      <c r="GG377">
        <v>2</v>
      </c>
      <c r="GH377">
        <v>3</v>
      </c>
      <c r="GI377">
        <v>5</v>
      </c>
      <c r="GJ377">
        <v>0</v>
      </c>
      <c r="GK377">
        <v>0</v>
      </c>
      <c r="GL377">
        <f t="shared" si="401"/>
        <v>0</v>
      </c>
      <c r="GM377" t="e">
        <f t="shared" si="402"/>
        <v>#REF!</v>
      </c>
      <c r="GN377" t="e">
        <f t="shared" si="403"/>
        <v>#REF!</v>
      </c>
      <c r="GO377">
        <f t="shared" si="404"/>
        <v>0</v>
      </c>
      <c r="GP377">
        <f t="shared" si="405"/>
        <v>0</v>
      </c>
      <c r="GR377">
        <v>1</v>
      </c>
      <c r="GS377">
        <v>1</v>
      </c>
      <c r="GT377">
        <v>0</v>
      </c>
      <c r="GU377" t="s">
        <v>6</v>
      </c>
      <c r="GV377">
        <f t="shared" si="406"/>
        <v>0</v>
      </c>
      <c r="GW377">
        <v>1</v>
      </c>
      <c r="GX377" t="e">
        <f t="shared" si="407"/>
        <v>#REF!</v>
      </c>
      <c r="HA377">
        <v>0</v>
      </c>
      <c r="HB377">
        <v>0</v>
      </c>
      <c r="HC377">
        <f t="shared" si="408"/>
        <v>0</v>
      </c>
      <c r="HE377" t="s">
        <v>39</v>
      </c>
      <c r="HF377" t="s">
        <v>40</v>
      </c>
      <c r="HM377" t="s">
        <v>379</v>
      </c>
      <c r="HN377" t="s">
        <v>6</v>
      </c>
      <c r="HO377" t="s">
        <v>6</v>
      </c>
      <c r="HP377" t="s">
        <v>6</v>
      </c>
      <c r="HQ377" t="s">
        <v>6</v>
      </c>
      <c r="IF377">
        <v>-1</v>
      </c>
      <c r="IK377">
        <v>0</v>
      </c>
    </row>
    <row r="378" spans="1:255" x14ac:dyDescent="0.2">
      <c r="A378" s="2">
        <v>18</v>
      </c>
      <c r="B378" s="2">
        <v>1</v>
      </c>
      <c r="C378" s="2">
        <v>482</v>
      </c>
      <c r="D378" s="2"/>
      <c r="E378" s="2" t="s">
        <v>512</v>
      </c>
      <c r="F378" s="2" t="s">
        <v>388</v>
      </c>
      <c r="G378" s="2" t="s">
        <v>389</v>
      </c>
      <c r="H378" s="2" t="s">
        <v>33</v>
      </c>
      <c r="I378" s="2" t="e">
        <f>I374*J378</f>
        <v>#REF!</v>
      </c>
      <c r="J378" s="226">
        <f>'5.Ведомость_списания'!F165</f>
        <v>3.7999999999999999E-2</v>
      </c>
      <c r="K378" s="2">
        <v>1.9E-2</v>
      </c>
      <c r="L378" s="2"/>
      <c r="M378" s="2"/>
      <c r="N378" s="2"/>
      <c r="O378" s="2" t="e">
        <f t="shared" si="377"/>
        <v>#REF!</v>
      </c>
      <c r="P378" s="2" t="e">
        <f t="shared" si="378"/>
        <v>#REF!</v>
      </c>
      <c r="Q378" s="2" t="e">
        <f t="shared" si="379"/>
        <v>#REF!</v>
      </c>
      <c r="R378" s="2" t="e">
        <f t="shared" si="380"/>
        <v>#REF!</v>
      </c>
      <c r="S378" s="2" t="e">
        <f t="shared" si="381"/>
        <v>#REF!</v>
      </c>
      <c r="T378" s="2" t="e">
        <f t="shared" si="382"/>
        <v>#REF!</v>
      </c>
      <c r="U378" s="2" t="e">
        <f t="shared" si="383"/>
        <v>#REF!</v>
      </c>
      <c r="V378" s="2" t="e">
        <f t="shared" si="384"/>
        <v>#REF!</v>
      </c>
      <c r="W378" s="2" t="e">
        <f t="shared" si="385"/>
        <v>#REF!</v>
      </c>
      <c r="X378" s="2" t="e">
        <f t="shared" si="386"/>
        <v>#REF!</v>
      </c>
      <c r="Y378" s="2" t="e">
        <f t="shared" si="387"/>
        <v>#REF!</v>
      </c>
      <c r="Z378" s="2"/>
      <c r="AA378" s="2">
        <v>86326987</v>
      </c>
      <c r="AB378" s="2">
        <f t="shared" si="388"/>
        <v>14313</v>
      </c>
      <c r="AC378" s="2">
        <f>ROUND((ES378),2)</f>
        <v>14313</v>
      </c>
      <c r="AD378" s="2">
        <f t="shared" si="417"/>
        <v>0</v>
      </c>
      <c r="AE378" s="2">
        <f t="shared" si="418"/>
        <v>0</v>
      </c>
      <c r="AF378" s="2">
        <f t="shared" si="418"/>
        <v>0</v>
      </c>
      <c r="AG378" s="2">
        <f t="shared" si="389"/>
        <v>0</v>
      </c>
      <c r="AH378" s="2">
        <f t="shared" si="419"/>
        <v>0</v>
      </c>
      <c r="AI378" s="2">
        <f t="shared" si="419"/>
        <v>0</v>
      </c>
      <c r="AJ378" s="2">
        <f t="shared" si="390"/>
        <v>13.75</v>
      </c>
      <c r="AK378" s="2">
        <v>14313</v>
      </c>
      <c r="AL378" s="110">
        <f>'1.Лок.смета.и.Акт'!F697</f>
        <v>14313</v>
      </c>
      <c r="AM378" s="2">
        <v>0</v>
      </c>
      <c r="AN378" s="2">
        <v>0</v>
      </c>
      <c r="AO378" s="2">
        <v>0</v>
      </c>
      <c r="AP378" s="2">
        <v>0</v>
      </c>
      <c r="AQ378" s="2">
        <v>0</v>
      </c>
      <c r="AR378" s="2">
        <v>0</v>
      </c>
      <c r="AS378" s="2">
        <v>13.75</v>
      </c>
      <c r="AT378" s="2">
        <v>0</v>
      </c>
      <c r="AU378" s="2">
        <v>0</v>
      </c>
      <c r="AV378" s="2">
        <v>1</v>
      </c>
      <c r="AW378" s="2">
        <v>1</v>
      </c>
      <c r="AX378" s="2"/>
      <c r="AY378" s="2"/>
      <c r="AZ378" s="2">
        <v>1</v>
      </c>
      <c r="BA378" s="2">
        <v>1</v>
      </c>
      <c r="BB378" s="2">
        <v>1</v>
      </c>
      <c r="BC378" s="2">
        <v>1</v>
      </c>
      <c r="BD378" s="2" t="s">
        <v>6</v>
      </c>
      <c r="BE378" s="2" t="s">
        <v>6</v>
      </c>
      <c r="BF378" s="2" t="s">
        <v>6</v>
      </c>
      <c r="BG378" s="2" t="s">
        <v>6</v>
      </c>
      <c r="BH378" s="2">
        <v>3</v>
      </c>
      <c r="BI378" s="2">
        <v>1</v>
      </c>
      <c r="BJ378" s="2" t="s">
        <v>390</v>
      </c>
      <c r="BK378" s="2"/>
      <c r="BL378" s="2"/>
      <c r="BM378" s="2">
        <v>500001</v>
      </c>
      <c r="BN378" s="2">
        <v>0</v>
      </c>
      <c r="BO378" s="2" t="s">
        <v>6</v>
      </c>
      <c r="BP378" s="2">
        <v>0</v>
      </c>
      <c r="BQ378" s="2">
        <v>20</v>
      </c>
      <c r="BR378" s="2">
        <v>0</v>
      </c>
      <c r="BS378" s="2">
        <v>1</v>
      </c>
      <c r="BT378" s="2">
        <v>1</v>
      </c>
      <c r="BU378" s="2">
        <v>1</v>
      </c>
      <c r="BV378" s="2">
        <v>1</v>
      </c>
      <c r="BW378" s="2">
        <v>1</v>
      </c>
      <c r="BX378" s="2">
        <v>1</v>
      </c>
      <c r="BY378" s="2" t="s">
        <v>6</v>
      </c>
      <c r="BZ378" s="2">
        <v>0</v>
      </c>
      <c r="CA378" s="2">
        <v>0</v>
      </c>
      <c r="CB378" s="2" t="s">
        <v>6</v>
      </c>
      <c r="CC378" s="2"/>
      <c r="CD378" s="2"/>
      <c r="CE378" s="2">
        <v>0</v>
      </c>
      <c r="CF378" s="2">
        <v>0</v>
      </c>
      <c r="CG378" s="2">
        <v>0</v>
      </c>
      <c r="CH378" s="2"/>
      <c r="CI378" s="2"/>
      <c r="CJ378" s="2"/>
      <c r="CK378" s="2"/>
      <c r="CL378" s="2"/>
      <c r="CM378" s="2">
        <v>0</v>
      </c>
      <c r="CN378" s="2" t="s">
        <v>6</v>
      </c>
      <c r="CO378" s="2">
        <v>0</v>
      </c>
      <c r="CP378" s="2" t="e">
        <f t="shared" si="391"/>
        <v>#REF!</v>
      </c>
      <c r="CQ378" s="2">
        <f t="shared" si="392"/>
        <v>14313</v>
      </c>
      <c r="CR378" s="2">
        <f t="shared" si="393"/>
        <v>0</v>
      </c>
      <c r="CS378" s="2">
        <f t="shared" si="394"/>
        <v>0</v>
      </c>
      <c r="CT378" s="2">
        <f t="shared" si="395"/>
        <v>0</v>
      </c>
      <c r="CU378" s="2">
        <f t="shared" si="396"/>
        <v>0</v>
      </c>
      <c r="CV378" s="2">
        <f t="shared" si="397"/>
        <v>0</v>
      </c>
      <c r="CW378" s="2">
        <f t="shared" si="398"/>
        <v>0</v>
      </c>
      <c r="CX378" s="2">
        <f t="shared" si="399"/>
        <v>13.75</v>
      </c>
      <c r="CY378" s="2" t="e">
        <f>(((S378+(R378*IF(0,0,1)))*AT378)/100)</f>
        <v>#REF!</v>
      </c>
      <c r="CZ378" s="2" t="e">
        <f>(((S378+(R378*IF(0,0,1)))*AU378)/100)</f>
        <v>#REF!</v>
      </c>
      <c r="DA378" s="2"/>
      <c r="DB378" s="2"/>
      <c r="DC378" s="2" t="s">
        <v>6</v>
      </c>
      <c r="DD378" s="2" t="s">
        <v>6</v>
      </c>
      <c r="DE378" s="2" t="s">
        <v>6</v>
      </c>
      <c r="DF378" s="2" t="s">
        <v>6</v>
      </c>
      <c r="DG378" s="2" t="s">
        <v>6</v>
      </c>
      <c r="DH378" s="2" t="s">
        <v>6</v>
      </c>
      <c r="DI378" s="2" t="s">
        <v>6</v>
      </c>
      <c r="DJ378" s="2" t="s">
        <v>6</v>
      </c>
      <c r="DK378" s="2" t="s">
        <v>6</v>
      </c>
      <c r="DL378" s="2" t="s">
        <v>6</v>
      </c>
      <c r="DM378" s="2" t="s">
        <v>6</v>
      </c>
      <c r="DN378" s="2">
        <v>0</v>
      </c>
      <c r="DO378" s="2">
        <v>0</v>
      </c>
      <c r="DP378" s="2">
        <v>1</v>
      </c>
      <c r="DQ378" s="2">
        <v>1</v>
      </c>
      <c r="DR378" s="2"/>
      <c r="DS378" s="2"/>
      <c r="DT378" s="2"/>
      <c r="DU378" s="2">
        <v>1009</v>
      </c>
      <c r="DV378" s="2" t="s">
        <v>33</v>
      </c>
      <c r="DW378" s="2" t="s">
        <v>33</v>
      </c>
      <c r="DX378" s="2">
        <v>1000</v>
      </c>
      <c r="DY378" s="2"/>
      <c r="DZ378" s="2" t="s">
        <v>6</v>
      </c>
      <c r="EA378" s="2" t="s">
        <v>6</v>
      </c>
      <c r="EB378" s="2" t="s">
        <v>6</v>
      </c>
      <c r="EC378" s="2" t="s">
        <v>6</v>
      </c>
      <c r="ED378" s="2"/>
      <c r="EE378" s="2">
        <v>54938781</v>
      </c>
      <c r="EF378" s="2">
        <v>20</v>
      </c>
      <c r="EG378" s="2" t="s">
        <v>35</v>
      </c>
      <c r="EH378" s="2">
        <v>0</v>
      </c>
      <c r="EI378" s="2" t="s">
        <v>6</v>
      </c>
      <c r="EJ378" s="2">
        <v>1</v>
      </c>
      <c r="EK378" s="2">
        <v>500001</v>
      </c>
      <c r="EL378" s="2" t="s">
        <v>36</v>
      </c>
      <c r="EM378" s="2" t="s">
        <v>37</v>
      </c>
      <c r="EN378" s="2"/>
      <c r="EO378" s="2" t="s">
        <v>6</v>
      </c>
      <c r="EP378" s="2"/>
      <c r="EQ378" s="2">
        <v>0</v>
      </c>
      <c r="ER378" s="2">
        <v>14313</v>
      </c>
      <c r="ES378" s="110">
        <f>'1.Лок.смета.и.Акт'!F697</f>
        <v>14313</v>
      </c>
      <c r="ET378" s="2">
        <v>0</v>
      </c>
      <c r="EU378" s="2">
        <v>0</v>
      </c>
      <c r="EV378" s="2">
        <v>0</v>
      </c>
      <c r="EW378" s="2">
        <v>0</v>
      </c>
      <c r="EX378" s="2">
        <v>0</v>
      </c>
      <c r="EY378" s="2"/>
      <c r="EZ378" s="2"/>
      <c r="FA378" s="2"/>
      <c r="FB378" s="2"/>
      <c r="FC378" s="2"/>
      <c r="FD378" s="2"/>
      <c r="FE378" s="2"/>
      <c r="FF378" s="2"/>
      <c r="FG378" s="2"/>
      <c r="FH378" s="2"/>
      <c r="FI378" s="2"/>
      <c r="FJ378" s="2"/>
      <c r="FK378" s="2"/>
      <c r="FL378" s="2"/>
      <c r="FM378" s="2"/>
      <c r="FN378" s="2"/>
      <c r="FO378" s="2"/>
      <c r="FP378" s="2"/>
      <c r="FQ378" s="2">
        <v>0</v>
      </c>
      <c r="FR378" s="2">
        <f t="shared" si="400"/>
        <v>0</v>
      </c>
      <c r="FS378" s="2">
        <v>0</v>
      </c>
      <c r="FT378" s="2"/>
      <c r="FU378" s="2"/>
      <c r="FV378" s="2"/>
      <c r="FW378" s="2"/>
      <c r="FX378" s="2">
        <v>0</v>
      </c>
      <c r="FY378" s="2">
        <v>0</v>
      </c>
      <c r="FZ378" s="2"/>
      <c r="GA378" s="2" t="s">
        <v>6</v>
      </c>
      <c r="GB378" s="2"/>
      <c r="GC378" s="2"/>
      <c r="GD378" s="2">
        <v>1</v>
      </c>
      <c r="GE378" s="2"/>
      <c r="GF378" s="2">
        <v>99884446</v>
      </c>
      <c r="GG378" s="2">
        <v>2</v>
      </c>
      <c r="GH378" s="2">
        <v>0</v>
      </c>
      <c r="GI378" s="2">
        <v>-2</v>
      </c>
      <c r="GJ378" s="2">
        <v>0</v>
      </c>
      <c r="GK378" s="2">
        <v>0</v>
      </c>
      <c r="GL378" s="2">
        <f t="shared" si="401"/>
        <v>0</v>
      </c>
      <c r="GM378" s="2" t="e">
        <f t="shared" si="402"/>
        <v>#REF!</v>
      </c>
      <c r="GN378" s="2" t="e">
        <f t="shared" si="403"/>
        <v>#REF!</v>
      </c>
      <c r="GO378" s="2">
        <f t="shared" si="404"/>
        <v>0</v>
      </c>
      <c r="GP378" s="2">
        <f t="shared" si="405"/>
        <v>0</v>
      </c>
      <c r="GQ378" s="2"/>
      <c r="GR378" s="2">
        <v>0</v>
      </c>
      <c r="GS378" s="2">
        <v>3</v>
      </c>
      <c r="GT378" s="2">
        <v>0</v>
      </c>
      <c r="GU378" s="2" t="s">
        <v>6</v>
      </c>
      <c r="GV378" s="2">
        <f t="shared" si="406"/>
        <v>0</v>
      </c>
      <c r="GW378" s="2">
        <v>1</v>
      </c>
      <c r="GX378" s="2" t="e">
        <f t="shared" si="407"/>
        <v>#REF!</v>
      </c>
      <c r="GY378" s="2"/>
      <c r="GZ378" s="2"/>
      <c r="HA378" s="2">
        <v>0</v>
      </c>
      <c r="HB378" s="2">
        <v>0</v>
      </c>
      <c r="HC378" s="2">
        <f t="shared" si="408"/>
        <v>0</v>
      </c>
      <c r="HD378" s="2"/>
      <c r="HE378" s="2" t="s">
        <v>6</v>
      </c>
      <c r="HF378" s="2" t="s">
        <v>6</v>
      </c>
      <c r="HG378" s="2"/>
      <c r="HH378" s="2"/>
      <c r="HI378" s="2"/>
      <c r="HJ378" s="2"/>
      <c r="HK378" s="2"/>
      <c r="HL378" s="2"/>
      <c r="HM378" s="2" t="s">
        <v>379</v>
      </c>
      <c r="HN378" s="2" t="s">
        <v>6</v>
      </c>
      <c r="HO378" s="2" t="s">
        <v>6</v>
      </c>
      <c r="HP378" s="2" t="s">
        <v>6</v>
      </c>
      <c r="HQ378" s="2" t="s">
        <v>6</v>
      </c>
      <c r="HR378" s="2"/>
      <c r="HS378" s="2"/>
      <c r="HT378" s="2"/>
      <c r="HU378" s="2"/>
      <c r="HV378" s="2"/>
      <c r="HW378" s="2"/>
      <c r="HX378" s="2"/>
      <c r="HY378" s="2"/>
      <c r="HZ378" s="2"/>
      <c r="IA378" s="2"/>
      <c r="IB378" s="2"/>
      <c r="IC378" s="2"/>
      <c r="ID378" s="2"/>
      <c r="IE378" s="2"/>
      <c r="IF378" s="2">
        <v>-1</v>
      </c>
      <c r="IG378" s="2"/>
      <c r="IH378" s="2"/>
      <c r="II378" s="2"/>
      <c r="IJ378" s="2"/>
      <c r="IK378" s="2">
        <v>0</v>
      </c>
      <c r="IL378" s="2"/>
      <c r="IM378" s="2"/>
      <c r="IN378" s="2"/>
      <c r="IO378" s="2"/>
      <c r="IP378" s="2"/>
      <c r="IQ378" s="2"/>
      <c r="IR378" s="2"/>
      <c r="IS378" s="2"/>
      <c r="IT378" s="2"/>
      <c r="IU378" s="2"/>
    </row>
    <row r="379" spans="1:255" x14ac:dyDescent="0.2">
      <c r="A379">
        <v>18</v>
      </c>
      <c r="B379">
        <v>1</v>
      </c>
      <c r="C379">
        <v>490</v>
      </c>
      <c r="E379" t="s">
        <v>512</v>
      </c>
      <c r="F379" t="e">
        <f>'2.Лок.смета.и.Акт'!#REF!</f>
        <v>#REF!</v>
      </c>
      <c r="G379" t="s">
        <v>389</v>
      </c>
      <c r="H379" t="s">
        <v>33</v>
      </c>
      <c r="I379" t="e">
        <f>I375*J379</f>
        <v>#REF!</v>
      </c>
      <c r="J379">
        <v>3.7999999999999999E-2</v>
      </c>
      <c r="K379">
        <v>1.9E-2</v>
      </c>
      <c r="O379" t="e">
        <f t="shared" si="377"/>
        <v>#REF!</v>
      </c>
      <c r="P379" t="e">
        <f t="shared" si="378"/>
        <v>#REF!</v>
      </c>
      <c r="Q379" t="e">
        <f t="shared" si="379"/>
        <v>#REF!</v>
      </c>
      <c r="R379" t="e">
        <f t="shared" si="380"/>
        <v>#REF!</v>
      </c>
      <c r="S379" t="e">
        <f t="shared" si="381"/>
        <v>#REF!</v>
      </c>
      <c r="T379" t="e">
        <f t="shared" si="382"/>
        <v>#REF!</v>
      </c>
      <c r="U379" t="e">
        <f t="shared" si="383"/>
        <v>#REF!</v>
      </c>
      <c r="V379" t="e">
        <f t="shared" si="384"/>
        <v>#REF!</v>
      </c>
      <c r="W379" t="e">
        <f t="shared" si="385"/>
        <v>#REF!</v>
      </c>
      <c r="X379" t="e">
        <f t="shared" si="386"/>
        <v>#REF!</v>
      </c>
      <c r="Y379" t="e">
        <f t="shared" si="387"/>
        <v>#REF!</v>
      </c>
      <c r="AA379">
        <v>86326988</v>
      </c>
      <c r="AB379">
        <f t="shared" si="388"/>
        <v>17403.57</v>
      </c>
      <c r="AC379">
        <f>ROUND((ES379),2)</f>
        <v>17403.57</v>
      </c>
      <c r="AD379">
        <f t="shared" si="417"/>
        <v>0</v>
      </c>
      <c r="AE379">
        <f t="shared" si="418"/>
        <v>0</v>
      </c>
      <c r="AF379">
        <f t="shared" si="418"/>
        <v>0</v>
      </c>
      <c r="AG379">
        <f t="shared" si="389"/>
        <v>0</v>
      </c>
      <c r="AH379">
        <f t="shared" si="419"/>
        <v>0</v>
      </c>
      <c r="AI379">
        <f t="shared" si="419"/>
        <v>0</v>
      </c>
      <c r="AJ379">
        <f t="shared" si="390"/>
        <v>13.75</v>
      </c>
      <c r="AK379">
        <v>17403.570000000003</v>
      </c>
      <c r="AL379">
        <v>17403.570000000003</v>
      </c>
      <c r="AM379">
        <v>0</v>
      </c>
      <c r="AN379">
        <v>0</v>
      </c>
      <c r="AO379">
        <v>0</v>
      </c>
      <c r="AP379">
        <v>0</v>
      </c>
      <c r="AQ379">
        <v>0</v>
      </c>
      <c r="AR379">
        <v>0</v>
      </c>
      <c r="AS379">
        <v>13.75</v>
      </c>
      <c r="AT379">
        <v>0</v>
      </c>
      <c r="AU379">
        <v>0</v>
      </c>
      <c r="AV379">
        <v>1</v>
      </c>
      <c r="AW379">
        <v>1</v>
      </c>
      <c r="AZ379">
        <v>1</v>
      </c>
      <c r="BA379">
        <v>1</v>
      </c>
      <c r="BB379">
        <v>1</v>
      </c>
      <c r="BC379">
        <v>7.56</v>
      </c>
      <c r="BD379" t="s">
        <v>6</v>
      </c>
      <c r="BE379" t="s">
        <v>6</v>
      </c>
      <c r="BF379" t="s">
        <v>6</v>
      </c>
      <c r="BG379" t="s">
        <v>6</v>
      </c>
      <c r="BH379">
        <v>3</v>
      </c>
      <c r="BI379">
        <v>1</v>
      </c>
      <c r="BJ379" t="s">
        <v>390</v>
      </c>
      <c r="BM379">
        <v>500001</v>
      </c>
      <c r="BN379">
        <v>0</v>
      </c>
      <c r="BO379" t="s">
        <v>6</v>
      </c>
      <c r="BP379">
        <v>0</v>
      </c>
      <c r="BQ379">
        <v>20</v>
      </c>
      <c r="BR379">
        <v>0</v>
      </c>
      <c r="BS379">
        <v>1</v>
      </c>
      <c r="BT379">
        <v>1</v>
      </c>
      <c r="BU379">
        <v>1</v>
      </c>
      <c r="BV379">
        <v>1</v>
      </c>
      <c r="BW379">
        <v>1</v>
      </c>
      <c r="BX379">
        <v>1</v>
      </c>
      <c r="BY379" t="s">
        <v>6</v>
      </c>
      <c r="BZ379">
        <v>0</v>
      </c>
      <c r="CA379">
        <v>0</v>
      </c>
      <c r="CB379" t="s">
        <v>6</v>
      </c>
      <c r="CE379">
        <v>0</v>
      </c>
      <c r="CF379">
        <v>0</v>
      </c>
      <c r="CG379">
        <v>0</v>
      </c>
      <c r="CM379">
        <v>0</v>
      </c>
      <c r="CN379" t="s">
        <v>6</v>
      </c>
      <c r="CO379">
        <v>0</v>
      </c>
      <c r="CP379" t="e">
        <f t="shared" si="391"/>
        <v>#REF!</v>
      </c>
      <c r="CQ379">
        <f t="shared" si="392"/>
        <v>131570.98919999998</v>
      </c>
      <c r="CR379">
        <f t="shared" si="393"/>
        <v>0</v>
      </c>
      <c r="CS379">
        <f t="shared" si="394"/>
        <v>0</v>
      </c>
      <c r="CT379">
        <f t="shared" si="395"/>
        <v>0</v>
      </c>
      <c r="CU379">
        <f t="shared" si="396"/>
        <v>0</v>
      </c>
      <c r="CV379">
        <f t="shared" si="397"/>
        <v>0</v>
      </c>
      <c r="CW379">
        <f t="shared" si="398"/>
        <v>0</v>
      </c>
      <c r="CX379">
        <f t="shared" si="399"/>
        <v>13.75</v>
      </c>
      <c r="CY379" t="e">
        <f>(S379+R379)*(BZ379/100)</f>
        <v>#REF!</v>
      </c>
      <c r="CZ379" t="e">
        <f>(S379+R379)*(CA379/100)</f>
        <v>#REF!</v>
      </c>
      <c r="DC379" t="s">
        <v>6</v>
      </c>
      <c r="DD379" t="s">
        <v>6</v>
      </c>
      <c r="DE379" t="s">
        <v>6</v>
      </c>
      <c r="DF379" t="s">
        <v>6</v>
      </c>
      <c r="DG379" t="s">
        <v>6</v>
      </c>
      <c r="DH379" t="s">
        <v>6</v>
      </c>
      <c r="DI379" t="s">
        <v>6</v>
      </c>
      <c r="DJ379" t="s">
        <v>6</v>
      </c>
      <c r="DK379" t="s">
        <v>6</v>
      </c>
      <c r="DL379" t="s">
        <v>6</v>
      </c>
      <c r="DM379" t="s">
        <v>6</v>
      </c>
      <c r="DN379">
        <v>0</v>
      </c>
      <c r="DO379">
        <v>0</v>
      </c>
      <c r="DP379">
        <v>1</v>
      </c>
      <c r="DQ379">
        <v>1</v>
      </c>
      <c r="DU379">
        <v>1009</v>
      </c>
      <c r="DV379" t="s">
        <v>33</v>
      </c>
      <c r="DW379" t="e">
        <f>'2.Лок.смета.и.Акт'!#REF!</f>
        <v>#REF!</v>
      </c>
      <c r="DX379">
        <v>1000</v>
      </c>
      <c r="DZ379" t="s">
        <v>6</v>
      </c>
      <c r="EA379" t="s">
        <v>6</v>
      </c>
      <c r="EB379" t="s">
        <v>6</v>
      </c>
      <c r="EC379" t="s">
        <v>6</v>
      </c>
      <c r="EE379">
        <v>54938781</v>
      </c>
      <c r="EF379">
        <v>20</v>
      </c>
      <c r="EG379" t="s">
        <v>35</v>
      </c>
      <c r="EH379">
        <v>0</v>
      </c>
      <c r="EI379" t="s">
        <v>6</v>
      </c>
      <c r="EJ379">
        <v>1</v>
      </c>
      <c r="EK379">
        <v>500001</v>
      </c>
      <c r="EL379" t="s">
        <v>36</v>
      </c>
      <c r="EM379" t="s">
        <v>37</v>
      </c>
      <c r="EO379" t="s">
        <v>6</v>
      </c>
      <c r="EQ379">
        <v>0</v>
      </c>
      <c r="ER379">
        <v>124030</v>
      </c>
      <c r="ES379">
        <v>17403.570000000003</v>
      </c>
      <c r="ET379">
        <v>0</v>
      </c>
      <c r="EU379">
        <v>0</v>
      </c>
      <c r="EV379">
        <v>0</v>
      </c>
      <c r="EW379">
        <v>0</v>
      </c>
      <c r="EX379">
        <v>0</v>
      </c>
      <c r="EZ379">
        <v>5</v>
      </c>
      <c r="FC379">
        <v>0</v>
      </c>
      <c r="FD379">
        <v>18</v>
      </c>
      <c r="FF379">
        <v>124030</v>
      </c>
      <c r="FQ379">
        <v>0</v>
      </c>
      <c r="FR379">
        <f t="shared" si="400"/>
        <v>0</v>
      </c>
      <c r="FS379">
        <v>0</v>
      </c>
      <c r="FX379">
        <v>0</v>
      </c>
      <c r="FY379">
        <v>0</v>
      </c>
      <c r="GA379" t="s">
        <v>391</v>
      </c>
      <c r="GD379">
        <v>1</v>
      </c>
      <c r="GF379">
        <v>99884446</v>
      </c>
      <c r="GG379">
        <v>2</v>
      </c>
      <c r="GH379">
        <v>3</v>
      </c>
      <c r="GI379">
        <v>5</v>
      </c>
      <c r="GJ379">
        <v>0</v>
      </c>
      <c r="GK379">
        <v>0</v>
      </c>
      <c r="GL379">
        <f t="shared" si="401"/>
        <v>0</v>
      </c>
      <c r="GM379" t="e">
        <f t="shared" si="402"/>
        <v>#REF!</v>
      </c>
      <c r="GN379" t="e">
        <f t="shared" si="403"/>
        <v>#REF!</v>
      </c>
      <c r="GO379">
        <f t="shared" si="404"/>
        <v>0</v>
      </c>
      <c r="GP379">
        <f t="shared" si="405"/>
        <v>0</v>
      </c>
      <c r="GR379">
        <v>1</v>
      </c>
      <c r="GS379">
        <v>1</v>
      </c>
      <c r="GT379">
        <v>0</v>
      </c>
      <c r="GU379" t="s">
        <v>6</v>
      </c>
      <c r="GV379">
        <f t="shared" si="406"/>
        <v>0</v>
      </c>
      <c r="GW379">
        <v>1</v>
      </c>
      <c r="GX379" t="e">
        <f t="shared" si="407"/>
        <v>#REF!</v>
      </c>
      <c r="HA379">
        <v>0</v>
      </c>
      <c r="HB379">
        <v>0</v>
      </c>
      <c r="HC379">
        <f t="shared" si="408"/>
        <v>0</v>
      </c>
      <c r="HE379" t="s">
        <v>39</v>
      </c>
      <c r="HF379" t="s">
        <v>40</v>
      </c>
      <c r="HM379" t="s">
        <v>379</v>
      </c>
      <c r="HN379" t="s">
        <v>6</v>
      </c>
      <c r="HO379" t="s">
        <v>6</v>
      </c>
      <c r="HP379" t="s">
        <v>6</v>
      </c>
      <c r="HQ379" t="s">
        <v>6</v>
      </c>
      <c r="IF379">
        <v>-1</v>
      </c>
      <c r="IK379">
        <v>0</v>
      </c>
    </row>
    <row r="380" spans="1:255" x14ac:dyDescent="0.2">
      <c r="A380" s="2">
        <v>17</v>
      </c>
      <c r="B380" s="2">
        <v>1</v>
      </c>
      <c r="C380" s="2">
        <f>ROW(SmtRes!A494)</f>
        <v>494</v>
      </c>
      <c r="D380" s="2">
        <f>ROW(EtalonRes!A414)</f>
        <v>414</v>
      </c>
      <c r="E380" s="2" t="s">
        <v>513</v>
      </c>
      <c r="F380" s="2" t="s">
        <v>514</v>
      </c>
      <c r="G380" s="2" t="s">
        <v>515</v>
      </c>
      <c r="H380" s="2" t="s">
        <v>516</v>
      </c>
      <c r="I380" s="2" t="e">
        <f>'2.Лок.смета.и.Акт'!#REF!</f>
        <v>#REF!</v>
      </c>
      <c r="J380" s="2">
        <v>0</v>
      </c>
      <c r="K380" s="2">
        <v>6.4</v>
      </c>
      <c r="L380" s="2"/>
      <c r="M380" s="2"/>
      <c r="N380" s="2"/>
      <c r="O380" s="2" t="e">
        <f t="shared" ref="O380:O405" si="420">ROUND(CP380,0)</f>
        <v>#REF!</v>
      </c>
      <c r="P380" s="2" t="e">
        <f t="shared" ref="P380:P405" si="421">ROUND(CQ380*I380,0)</f>
        <v>#REF!</v>
      </c>
      <c r="Q380" s="2" t="e">
        <f t="shared" ref="Q380:Q405" si="422">ROUND(CR380*I380,0)</f>
        <v>#REF!</v>
      </c>
      <c r="R380" s="2" t="e">
        <f t="shared" ref="R380:R405" si="423">ROUND(CS380*I380,0)</f>
        <v>#REF!</v>
      </c>
      <c r="S380" s="2" t="e">
        <f t="shared" ref="S380:S405" si="424">ROUND(CT380*I380,0)</f>
        <v>#REF!</v>
      </c>
      <c r="T380" s="2" t="e">
        <f t="shared" ref="T380:T405" si="425">ROUND(CU380*I380,0)</f>
        <v>#REF!</v>
      </c>
      <c r="U380" s="2" t="e">
        <f t="shared" ref="U380:U405" si="426">CV380*I380</f>
        <v>#REF!</v>
      </c>
      <c r="V380" s="2" t="e">
        <f t="shared" ref="V380:V405" si="427">CW380*I380</f>
        <v>#REF!</v>
      </c>
      <c r="W380" s="2" t="e">
        <f t="shared" ref="W380:W405" si="428">ROUND(CX380*I380,0)</f>
        <v>#REF!</v>
      </c>
      <c r="X380" s="2" t="e">
        <f t="shared" ref="X380:X405" si="429">ROUND(CY380,0)</f>
        <v>#REF!</v>
      </c>
      <c r="Y380" s="2" t="e">
        <f t="shared" ref="Y380:Y405" si="430">ROUND(CZ380,0)</f>
        <v>#REF!</v>
      </c>
      <c r="Z380" s="2"/>
      <c r="AA380" s="2">
        <v>86326987</v>
      </c>
      <c r="AB380" s="2">
        <f t="shared" ref="AB380:AB405" si="431">ROUND((AC380+AD380+AF380),2)</f>
        <v>166.59</v>
      </c>
      <c r="AC380" s="2">
        <f>ROUND((ES380+(SUM(SmtRes!BC491:'SmtRes'!BC494)+SUM(EtalonRes!AL411:'EtalonRes'!AL414))),2)</f>
        <v>0</v>
      </c>
      <c r="AD380" s="2">
        <f t="shared" si="417"/>
        <v>31.92</v>
      </c>
      <c r="AE380" s="2">
        <f t="shared" ref="AE380:AE403" si="432">ROUND((EU380),2)</f>
        <v>0</v>
      </c>
      <c r="AF380" s="2">
        <f>ROUND(((EV380*1.5)),2)</f>
        <v>134.66999999999999</v>
      </c>
      <c r="AG380" s="2">
        <f t="shared" ref="AG380:AG405" si="433">ROUND((AP380),2)</f>
        <v>0</v>
      </c>
      <c r="AH380" s="2">
        <f>((EW380*1.5))</f>
        <v>14.205000000000002</v>
      </c>
      <c r="AI380" s="2">
        <f t="shared" ref="AI380:AI403" si="434">(EX380)</f>
        <v>0</v>
      </c>
      <c r="AJ380" s="2">
        <f t="shared" ref="AJ380:AJ405" si="435">(AS380)</f>
        <v>0</v>
      </c>
      <c r="AK380" s="2">
        <v>1135.98</v>
      </c>
      <c r="AL380" s="2">
        <v>1014.28</v>
      </c>
      <c r="AM380" s="2">
        <v>31.92</v>
      </c>
      <c r="AN380" s="2">
        <v>0</v>
      </c>
      <c r="AO380" s="2">
        <v>89.78</v>
      </c>
      <c r="AP380" s="2">
        <v>0</v>
      </c>
      <c r="AQ380" s="2">
        <v>9.4700000000000006</v>
      </c>
      <c r="AR380" s="2">
        <v>0</v>
      </c>
      <c r="AS380" s="2">
        <v>0</v>
      </c>
      <c r="AT380" s="2">
        <v>100</v>
      </c>
      <c r="AU380" s="2">
        <v>70</v>
      </c>
      <c r="AV380" s="2">
        <v>1</v>
      </c>
      <c r="AW380" s="2">
        <v>1</v>
      </c>
      <c r="AX380" s="2"/>
      <c r="AY380" s="2"/>
      <c r="AZ380" s="2">
        <v>1</v>
      </c>
      <c r="BA380" s="2">
        <v>1</v>
      </c>
      <c r="BB380" s="2">
        <v>1</v>
      </c>
      <c r="BC380" s="2">
        <v>1</v>
      </c>
      <c r="BD380" s="2" t="s">
        <v>6</v>
      </c>
      <c r="BE380" s="2" t="s">
        <v>6</v>
      </c>
      <c r="BF380" s="2" t="s">
        <v>6</v>
      </c>
      <c r="BG380" s="2" t="s">
        <v>6</v>
      </c>
      <c r="BH380" s="2">
        <v>0</v>
      </c>
      <c r="BI380" s="2">
        <v>1</v>
      </c>
      <c r="BJ380" s="2" t="s">
        <v>517</v>
      </c>
      <c r="BK380" s="2"/>
      <c r="BL380" s="2"/>
      <c r="BM380" s="2">
        <v>26001</v>
      </c>
      <c r="BN380" s="2">
        <v>0</v>
      </c>
      <c r="BO380" s="2" t="s">
        <v>6</v>
      </c>
      <c r="BP380" s="2">
        <v>0</v>
      </c>
      <c r="BQ380" s="2">
        <v>1</v>
      </c>
      <c r="BR380" s="2">
        <v>0</v>
      </c>
      <c r="BS380" s="2">
        <v>1</v>
      </c>
      <c r="BT380" s="2">
        <v>1</v>
      </c>
      <c r="BU380" s="2">
        <v>1</v>
      </c>
      <c r="BV380" s="2">
        <v>1</v>
      </c>
      <c r="BW380" s="2">
        <v>1</v>
      </c>
      <c r="BX380" s="2">
        <v>1</v>
      </c>
      <c r="BY380" s="2" t="s">
        <v>6</v>
      </c>
      <c r="BZ380" s="2">
        <v>100</v>
      </c>
      <c r="CA380" s="2">
        <v>70</v>
      </c>
      <c r="CB380" s="2" t="s">
        <v>6</v>
      </c>
      <c r="CC380" s="2"/>
      <c r="CD380" s="2"/>
      <c r="CE380" s="2">
        <v>0</v>
      </c>
      <c r="CF380" s="2">
        <v>0</v>
      </c>
      <c r="CG380" s="2">
        <v>0</v>
      </c>
      <c r="CH380" s="2"/>
      <c r="CI380" s="2"/>
      <c r="CJ380" s="2"/>
      <c r="CK380" s="2"/>
      <c r="CL380" s="2"/>
      <c r="CM380" s="2">
        <v>0</v>
      </c>
      <c r="CN380" s="2" t="s">
        <v>518</v>
      </c>
      <c r="CO380" s="2">
        <v>0</v>
      </c>
      <c r="CP380" s="2" t="e">
        <f t="shared" ref="CP380:CP405" si="436">(P380+Q380+S380)</f>
        <v>#REF!</v>
      </c>
      <c r="CQ380" s="2">
        <f t="shared" ref="CQ380:CQ405" si="437">AC380*BC380</f>
        <v>0</v>
      </c>
      <c r="CR380" s="2">
        <f t="shared" ref="CR380:CR405" si="438">AD380*BB380</f>
        <v>31.92</v>
      </c>
      <c r="CS380" s="2">
        <f t="shared" ref="CS380:CS405" si="439">AE380*BS380</f>
        <v>0</v>
      </c>
      <c r="CT380" s="2">
        <f t="shared" ref="CT380:CT405" si="440">AF380*BA380</f>
        <v>134.66999999999999</v>
      </c>
      <c r="CU380" s="2">
        <f t="shared" ref="CU380:CU405" si="441">AG380</f>
        <v>0</v>
      </c>
      <c r="CV380" s="2">
        <f t="shared" ref="CV380:CV405" si="442">AH380</f>
        <v>14.205000000000002</v>
      </c>
      <c r="CW380" s="2">
        <f t="shared" ref="CW380:CW405" si="443">AI380</f>
        <v>0</v>
      </c>
      <c r="CX380" s="2">
        <f t="shared" ref="CX380:CX405" si="444">AJ380</f>
        <v>0</v>
      </c>
      <c r="CY380" s="2" t="e">
        <f>(((S380+(R380*IF(0,0,1)))*AT380)/100)</f>
        <v>#REF!</v>
      </c>
      <c r="CZ380" s="2" t="e">
        <f>(((S380+(R380*IF(0,0,1)))*AU380)/100)</f>
        <v>#REF!</v>
      </c>
      <c r="DA380" s="2"/>
      <c r="DB380" s="2"/>
      <c r="DC380" s="2" t="s">
        <v>6</v>
      </c>
      <c r="DD380" s="2" t="s">
        <v>6</v>
      </c>
      <c r="DE380" s="2" t="s">
        <v>6</v>
      </c>
      <c r="DF380" s="2" t="s">
        <v>6</v>
      </c>
      <c r="DG380" s="2" t="s">
        <v>519</v>
      </c>
      <c r="DH380" s="2" t="s">
        <v>6</v>
      </c>
      <c r="DI380" s="2" t="s">
        <v>519</v>
      </c>
      <c r="DJ380" s="2" t="s">
        <v>6</v>
      </c>
      <c r="DK380" s="2" t="s">
        <v>6</v>
      </c>
      <c r="DL380" s="2" t="s">
        <v>6</v>
      </c>
      <c r="DM380" s="2" t="s">
        <v>6</v>
      </c>
      <c r="DN380" s="2">
        <v>0</v>
      </c>
      <c r="DO380" s="2">
        <v>0</v>
      </c>
      <c r="DP380" s="2">
        <v>1</v>
      </c>
      <c r="DQ380" s="2">
        <v>1</v>
      </c>
      <c r="DR380" s="2"/>
      <c r="DS380" s="2"/>
      <c r="DT380" s="2"/>
      <c r="DU380" s="2">
        <v>1013</v>
      </c>
      <c r="DV380" s="2" t="s">
        <v>516</v>
      </c>
      <c r="DW380" s="2" t="s">
        <v>516</v>
      </c>
      <c r="DX380" s="2">
        <v>1</v>
      </c>
      <c r="DY380" s="2"/>
      <c r="DZ380" s="2" t="s">
        <v>6</v>
      </c>
      <c r="EA380" s="2" t="s">
        <v>6</v>
      </c>
      <c r="EB380" s="2" t="s">
        <v>6</v>
      </c>
      <c r="EC380" s="2" t="s">
        <v>6</v>
      </c>
      <c r="ED380" s="2"/>
      <c r="EE380" s="2">
        <v>54938639</v>
      </c>
      <c r="EF380" s="2">
        <v>1</v>
      </c>
      <c r="EG380" s="2" t="s">
        <v>26</v>
      </c>
      <c r="EH380" s="2">
        <v>0</v>
      </c>
      <c r="EI380" s="2" t="s">
        <v>6</v>
      </c>
      <c r="EJ380" s="2">
        <v>1</v>
      </c>
      <c r="EK380" s="2">
        <v>26001</v>
      </c>
      <c r="EL380" s="2" t="s">
        <v>520</v>
      </c>
      <c r="EM380" s="2" t="s">
        <v>521</v>
      </c>
      <c r="EN380" s="2"/>
      <c r="EO380" s="2" t="s">
        <v>522</v>
      </c>
      <c r="EP380" s="2"/>
      <c r="EQ380" s="2">
        <v>2228224</v>
      </c>
      <c r="ER380" s="2">
        <v>1135.98</v>
      </c>
      <c r="ES380" s="2">
        <v>1014.28</v>
      </c>
      <c r="ET380" s="2">
        <v>31.92</v>
      </c>
      <c r="EU380" s="2">
        <v>0</v>
      </c>
      <c r="EV380" s="2">
        <v>89.78</v>
      </c>
      <c r="EW380" s="2">
        <v>9.4700000000000006</v>
      </c>
      <c r="EX380" s="2">
        <v>0</v>
      </c>
      <c r="EY380" s="2">
        <v>1</v>
      </c>
      <c r="EZ380" s="2"/>
      <c r="FA380" s="2"/>
      <c r="FB380" s="2"/>
      <c r="FC380" s="2"/>
      <c r="FD380" s="2"/>
      <c r="FE380" s="2"/>
      <c r="FF380" s="2"/>
      <c r="FG380" s="2"/>
      <c r="FH380" s="2"/>
      <c r="FI380" s="2"/>
      <c r="FJ380" s="2"/>
      <c r="FK380" s="2"/>
      <c r="FL380" s="2"/>
      <c r="FM380" s="2"/>
      <c r="FN380" s="2"/>
      <c r="FO380" s="2"/>
      <c r="FP380" s="2"/>
      <c r="FQ380" s="2">
        <v>0</v>
      </c>
      <c r="FR380" s="2">
        <f t="shared" ref="FR380:FR405" si="445">ROUND(IF(BI380=3,GM380,0),0)</f>
        <v>0</v>
      </c>
      <c r="FS380" s="2">
        <v>0</v>
      </c>
      <c r="FT380" s="2"/>
      <c r="FU380" s="2"/>
      <c r="FV380" s="2"/>
      <c r="FW380" s="2"/>
      <c r="FX380" s="2">
        <v>100</v>
      </c>
      <c r="FY380" s="2">
        <v>70</v>
      </c>
      <c r="FZ380" s="2"/>
      <c r="GA380" s="2" t="s">
        <v>6</v>
      </c>
      <c r="GB380" s="2"/>
      <c r="GC380" s="2"/>
      <c r="GD380" s="2">
        <v>1</v>
      </c>
      <c r="GE380" s="2"/>
      <c r="GF380" s="2">
        <v>709320199</v>
      </c>
      <c r="GG380" s="2">
        <v>2</v>
      </c>
      <c r="GH380" s="2">
        <v>1</v>
      </c>
      <c r="GI380" s="2">
        <v>-2</v>
      </c>
      <c r="GJ380" s="2">
        <v>0</v>
      </c>
      <c r="GK380" s="2">
        <v>0</v>
      </c>
      <c r="GL380" s="2">
        <f t="shared" ref="GL380:GL405" si="446">ROUND(IF(AND(BH380=3,BI380=3,FS380&lt;&gt;0),P380,0),0)</f>
        <v>0</v>
      </c>
      <c r="GM380" s="2" t="e">
        <f t="shared" ref="GM380:GM405" si="447">ROUND(O380+X380+Y380,0)+GX380</f>
        <v>#REF!</v>
      </c>
      <c r="GN380" s="2" t="e">
        <f t="shared" ref="GN380:GN405" si="448">IF(OR(BI380=0,BI380=1),GM380-GX380,0)</f>
        <v>#REF!</v>
      </c>
      <c r="GO380" s="2">
        <f t="shared" ref="GO380:GO405" si="449">IF(BI380=2,GM380-GX380,0)</f>
        <v>0</v>
      </c>
      <c r="GP380" s="2">
        <f t="shared" ref="GP380:GP405" si="450">IF(BI380=4,GM380-GX380,0)</f>
        <v>0</v>
      </c>
      <c r="GQ380" s="2"/>
      <c r="GR380" s="2">
        <v>0</v>
      </c>
      <c r="GS380" s="2">
        <v>3</v>
      </c>
      <c r="GT380" s="2">
        <v>0</v>
      </c>
      <c r="GU380" s="2" t="s">
        <v>6</v>
      </c>
      <c r="GV380" s="2">
        <f t="shared" ref="GV380:GV403" si="451">ROUND((GT380),2)</f>
        <v>0</v>
      </c>
      <c r="GW380" s="2">
        <v>1</v>
      </c>
      <c r="GX380" s="2" t="e">
        <f t="shared" ref="GX380:GX405" si="452">ROUND(HC380*I380,0)</f>
        <v>#REF!</v>
      </c>
      <c r="GY380" s="2"/>
      <c r="GZ380" s="2"/>
      <c r="HA380" s="2">
        <v>0</v>
      </c>
      <c r="HB380" s="2">
        <v>0</v>
      </c>
      <c r="HC380" s="2">
        <f t="shared" ref="HC380:HC405" si="453">GV380*GW380</f>
        <v>0</v>
      </c>
      <c r="HD380" s="2"/>
      <c r="HE380" s="2" t="s">
        <v>6</v>
      </c>
      <c r="HF380" s="2" t="s">
        <v>6</v>
      </c>
      <c r="HG380" s="2"/>
      <c r="HH380" s="2"/>
      <c r="HI380" s="2"/>
      <c r="HJ380" s="2"/>
      <c r="HK380" s="2"/>
      <c r="HL380" s="2"/>
      <c r="HM380" s="2" t="s">
        <v>6</v>
      </c>
      <c r="HN380" s="2" t="s">
        <v>6</v>
      </c>
      <c r="HO380" s="2" t="s">
        <v>6</v>
      </c>
      <c r="HP380" s="2" t="s">
        <v>6</v>
      </c>
      <c r="HQ380" s="2" t="s">
        <v>6</v>
      </c>
      <c r="HR380" s="2"/>
      <c r="HS380" s="2"/>
      <c r="HT380" s="2"/>
      <c r="HU380" s="2"/>
      <c r="HV380" s="2"/>
      <c r="HW380" s="2"/>
      <c r="HX380" s="2"/>
      <c r="HY380" s="2"/>
      <c r="HZ380" s="2"/>
      <c r="IA380" s="2"/>
      <c r="IB380" s="2"/>
      <c r="IC380" s="2"/>
      <c r="ID380" s="2"/>
      <c r="IE380" s="2"/>
      <c r="IF380" s="2">
        <v>-1</v>
      </c>
      <c r="IG380" s="2"/>
      <c r="IH380" s="2"/>
      <c r="II380" s="2"/>
      <c r="IJ380" s="2"/>
      <c r="IK380" s="2">
        <v>0</v>
      </c>
      <c r="IL380" s="2"/>
      <c r="IM380" s="2"/>
      <c r="IN380" s="2"/>
      <c r="IO380" s="2"/>
      <c r="IP380" s="2"/>
      <c r="IQ380" s="2"/>
      <c r="IR380" s="2"/>
      <c r="IS380" s="2"/>
      <c r="IT380" s="2"/>
      <c r="IU380" s="2"/>
    </row>
    <row r="381" spans="1:255" x14ac:dyDescent="0.2">
      <c r="A381">
        <v>17</v>
      </c>
      <c r="B381">
        <v>1</v>
      </c>
      <c r="C381">
        <f>ROW(SmtRes!A498)</f>
        <v>498</v>
      </c>
      <c r="D381">
        <f>ROW(EtalonRes!A418)</f>
        <v>418</v>
      </c>
      <c r="E381" t="s">
        <v>513</v>
      </c>
      <c r="F381" t="s">
        <v>514</v>
      </c>
      <c r="G381" t="s">
        <v>515</v>
      </c>
      <c r="H381" t="s">
        <v>516</v>
      </c>
      <c r="I381" t="e">
        <f>'2.Лок.смета.и.Акт'!#REF!</f>
        <v>#REF!</v>
      </c>
      <c r="J381">
        <v>0</v>
      </c>
      <c r="K381">
        <v>6.4</v>
      </c>
      <c r="O381" t="e">
        <f t="shared" si="420"/>
        <v>#REF!</v>
      </c>
      <c r="P381" t="e">
        <f t="shared" si="421"/>
        <v>#REF!</v>
      </c>
      <c r="Q381" t="e">
        <f t="shared" si="422"/>
        <v>#REF!</v>
      </c>
      <c r="R381" t="e">
        <f t="shared" si="423"/>
        <v>#REF!</v>
      </c>
      <c r="S381" t="e">
        <f t="shared" si="424"/>
        <v>#REF!</v>
      </c>
      <c r="T381" t="e">
        <f t="shared" si="425"/>
        <v>#REF!</v>
      </c>
      <c r="U381" t="e">
        <f t="shared" si="426"/>
        <v>#REF!</v>
      </c>
      <c r="V381" t="e">
        <f t="shared" si="427"/>
        <v>#REF!</v>
      </c>
      <c r="W381" t="e">
        <f t="shared" si="428"/>
        <v>#REF!</v>
      </c>
      <c r="X381" t="e">
        <f t="shared" si="429"/>
        <v>#REF!</v>
      </c>
      <c r="Y381" t="e">
        <f t="shared" si="430"/>
        <v>#REF!</v>
      </c>
      <c r="AA381">
        <v>86326988</v>
      </c>
      <c r="AB381">
        <f t="shared" si="431"/>
        <v>166.59</v>
      </c>
      <c r="AC381">
        <f>ROUND((ES381+(SUM(SmtRes!BC495:'SmtRes'!BC498)+SUM(EtalonRes!AL415:'EtalonRes'!AL418))),2)</f>
        <v>0</v>
      </c>
      <c r="AD381">
        <f t="shared" si="417"/>
        <v>31.92</v>
      </c>
      <c r="AE381">
        <f t="shared" si="432"/>
        <v>0</v>
      </c>
      <c r="AF381">
        <f>ROUND(((EV381*1.5)),2)</f>
        <v>134.66999999999999</v>
      </c>
      <c r="AG381">
        <f t="shared" si="433"/>
        <v>0</v>
      </c>
      <c r="AH381" t="e">
        <f>((EW381*1.5))</f>
        <v>#REF!</v>
      </c>
      <c r="AI381">
        <f t="shared" si="434"/>
        <v>0</v>
      </c>
      <c r="AJ381">
        <f t="shared" si="435"/>
        <v>0</v>
      </c>
      <c r="AK381">
        <f>AL381+AM381+AO381</f>
        <v>1135.98</v>
      </c>
      <c r="AL381">
        <v>1014.28</v>
      </c>
      <c r="AM381" s="75">
        <f>'1.Лок.смета.и.Акт'!F704</f>
        <v>31.92</v>
      </c>
      <c r="AN381">
        <v>0</v>
      </c>
      <c r="AO381" s="75">
        <f>'1.Лок.смета.и.Акт'!F703</f>
        <v>89.78</v>
      </c>
      <c r="AP381">
        <v>0</v>
      </c>
      <c r="AQ381" t="e">
        <f>'2.Лок.смета.и.Акт'!#REF!</f>
        <v>#REF!</v>
      </c>
      <c r="AR381">
        <v>0</v>
      </c>
      <c r="AS381">
        <v>0</v>
      </c>
      <c r="AT381">
        <v>95</v>
      </c>
      <c r="AU381">
        <v>60</v>
      </c>
      <c r="AV381">
        <v>1</v>
      </c>
      <c r="AW381">
        <v>1</v>
      </c>
      <c r="AZ381">
        <v>1</v>
      </c>
      <c r="BA381">
        <f>'1.Лок.смета.и.Акт'!J703</f>
        <v>25.6</v>
      </c>
      <c r="BB381">
        <f>'1.Лок.смета.и.Акт'!J704</f>
        <v>9.3000000000000007</v>
      </c>
      <c r="BC381">
        <v>7.56</v>
      </c>
      <c r="BD381" t="s">
        <v>6</v>
      </c>
      <c r="BE381" t="s">
        <v>6</v>
      </c>
      <c r="BF381" t="s">
        <v>6</v>
      </c>
      <c r="BG381" t="s">
        <v>6</v>
      </c>
      <c r="BH381">
        <v>0</v>
      </c>
      <c r="BI381">
        <v>1</v>
      </c>
      <c r="BJ381" t="s">
        <v>517</v>
      </c>
      <c r="BM381">
        <v>26001</v>
      </c>
      <c r="BN381">
        <v>0</v>
      </c>
      <c r="BO381" t="s">
        <v>514</v>
      </c>
      <c r="BP381">
        <v>1</v>
      </c>
      <c r="BQ381">
        <v>1</v>
      </c>
      <c r="BR381">
        <v>0</v>
      </c>
      <c r="BS381">
        <v>19.8</v>
      </c>
      <c r="BT381">
        <v>1</v>
      </c>
      <c r="BU381">
        <v>1</v>
      </c>
      <c r="BV381">
        <v>1</v>
      </c>
      <c r="BW381">
        <v>1</v>
      </c>
      <c r="BX381">
        <v>1</v>
      </c>
      <c r="BY381" t="s">
        <v>6</v>
      </c>
      <c r="BZ381" t="e">
        <f>'2.Лок.смета.и.Акт'!#REF!</f>
        <v>#REF!</v>
      </c>
      <c r="CA381" t="e">
        <f>'2.Лок.смета.и.Акт'!#REF!</f>
        <v>#REF!</v>
      </c>
      <c r="CB381" t="s">
        <v>6</v>
      </c>
      <c r="CE381">
        <v>0</v>
      </c>
      <c r="CF381">
        <v>0</v>
      </c>
      <c r="CG381">
        <v>0</v>
      </c>
      <c r="CM381">
        <v>0</v>
      </c>
      <c r="CN381" t="s">
        <v>518</v>
      </c>
      <c r="CO381">
        <v>0</v>
      </c>
      <c r="CP381" t="e">
        <f t="shared" si="436"/>
        <v>#REF!</v>
      </c>
      <c r="CQ381">
        <f t="shared" si="437"/>
        <v>0</v>
      </c>
      <c r="CR381">
        <f t="shared" si="438"/>
        <v>296.85600000000005</v>
      </c>
      <c r="CS381">
        <f t="shared" si="439"/>
        <v>0</v>
      </c>
      <c r="CT381">
        <f t="shared" si="440"/>
        <v>3447.5519999999997</v>
      </c>
      <c r="CU381">
        <f t="shared" si="441"/>
        <v>0</v>
      </c>
      <c r="CV381" t="e">
        <f t="shared" si="442"/>
        <v>#REF!</v>
      </c>
      <c r="CW381">
        <f t="shared" si="443"/>
        <v>0</v>
      </c>
      <c r="CX381">
        <f t="shared" si="444"/>
        <v>0</v>
      </c>
      <c r="CY381" t="e">
        <f>(S381+R381)*(BZ381/100)</f>
        <v>#REF!</v>
      </c>
      <c r="CZ381" t="e">
        <f>(S381+R381)*(CA381/100)</f>
        <v>#REF!</v>
      </c>
      <c r="DC381" t="s">
        <v>6</v>
      </c>
      <c r="DD381" t="s">
        <v>6</v>
      </c>
      <c r="DE381" t="s">
        <v>6</v>
      </c>
      <c r="DF381" t="s">
        <v>6</v>
      </c>
      <c r="DG381" t="s">
        <v>519</v>
      </c>
      <c r="DH381" t="s">
        <v>6</v>
      </c>
      <c r="DI381" t="s">
        <v>519</v>
      </c>
      <c r="DJ381" t="s">
        <v>6</v>
      </c>
      <c r="DK381" t="s">
        <v>6</v>
      </c>
      <c r="DL381" t="s">
        <v>6</v>
      </c>
      <c r="DM381" t="s">
        <v>6</v>
      </c>
      <c r="DN381">
        <f>'1.Лок.смета.и.Акт'!E705</f>
        <v>100</v>
      </c>
      <c r="DO381">
        <f>'1.Лок.смета.и.Акт'!E706</f>
        <v>70</v>
      </c>
      <c r="DP381">
        <v>1</v>
      </c>
      <c r="DQ381">
        <v>1</v>
      </c>
      <c r="DU381">
        <v>1013</v>
      </c>
      <c r="DV381" t="s">
        <v>516</v>
      </c>
      <c r="DW381" t="e">
        <f>'2.Лок.смета.и.Акт'!#REF!</f>
        <v>#REF!</v>
      </c>
      <c r="DX381">
        <v>1</v>
      </c>
      <c r="DZ381" t="s">
        <v>6</v>
      </c>
      <c r="EA381" t="s">
        <v>6</v>
      </c>
      <c r="EB381" t="s">
        <v>6</v>
      </c>
      <c r="EC381" t="s">
        <v>6</v>
      </c>
      <c r="EE381">
        <v>54938639</v>
      </c>
      <c r="EF381">
        <v>1</v>
      </c>
      <c r="EG381" t="s">
        <v>26</v>
      </c>
      <c r="EH381">
        <v>0</v>
      </c>
      <c r="EI381" t="s">
        <v>6</v>
      </c>
      <c r="EJ381">
        <v>1</v>
      </c>
      <c r="EK381">
        <v>26001</v>
      </c>
      <c r="EL381" t="s">
        <v>520</v>
      </c>
      <c r="EM381" t="s">
        <v>521</v>
      </c>
      <c r="EO381" t="s">
        <v>522</v>
      </c>
      <c r="EQ381">
        <v>2228224</v>
      </c>
      <c r="ER381">
        <f>ES381+ET381+EV381</f>
        <v>1135.98</v>
      </c>
      <c r="ES381">
        <v>1014.28</v>
      </c>
      <c r="ET381" s="75">
        <f>'1.Лок.смета.и.Акт'!F704</f>
        <v>31.92</v>
      </c>
      <c r="EU381">
        <v>0</v>
      </c>
      <c r="EV381" s="75">
        <f>'1.Лок.смета.и.Акт'!F703</f>
        <v>89.78</v>
      </c>
      <c r="EW381" t="e">
        <f>'2.Лок.смета.и.Акт'!#REF!</f>
        <v>#REF!</v>
      </c>
      <c r="EX381">
        <v>0</v>
      </c>
      <c r="EY381">
        <v>1</v>
      </c>
      <c r="FQ381">
        <v>0</v>
      </c>
      <c r="FR381">
        <f t="shared" si="445"/>
        <v>0</v>
      </c>
      <c r="FS381">
        <v>0</v>
      </c>
      <c r="FX381">
        <v>100</v>
      </c>
      <c r="FY381">
        <v>70</v>
      </c>
      <c r="GA381" t="s">
        <v>6</v>
      </c>
      <c r="GD381">
        <v>1</v>
      </c>
      <c r="GF381">
        <v>709320199</v>
      </c>
      <c r="GG381">
        <v>2</v>
      </c>
      <c r="GH381">
        <v>1</v>
      </c>
      <c r="GI381">
        <v>2</v>
      </c>
      <c r="GJ381">
        <v>0</v>
      </c>
      <c r="GK381">
        <v>0</v>
      </c>
      <c r="GL381">
        <f t="shared" si="446"/>
        <v>0</v>
      </c>
      <c r="GM381" t="e">
        <f t="shared" si="447"/>
        <v>#REF!</v>
      </c>
      <c r="GN381" t="e">
        <f t="shared" si="448"/>
        <v>#REF!</v>
      </c>
      <c r="GO381">
        <f t="shared" si="449"/>
        <v>0</v>
      </c>
      <c r="GP381">
        <f t="shared" si="450"/>
        <v>0</v>
      </c>
      <c r="GR381">
        <v>0</v>
      </c>
      <c r="GS381">
        <v>3</v>
      </c>
      <c r="GT381">
        <v>0</v>
      </c>
      <c r="GU381" t="s">
        <v>6</v>
      </c>
      <c r="GV381">
        <f t="shared" si="451"/>
        <v>0</v>
      </c>
      <c r="GW381">
        <v>1008.11</v>
      </c>
      <c r="GX381" t="e">
        <f t="shared" si="452"/>
        <v>#REF!</v>
      </c>
      <c r="HA381">
        <v>0</v>
      </c>
      <c r="HB381">
        <v>0</v>
      </c>
      <c r="HC381">
        <f t="shared" si="453"/>
        <v>0</v>
      </c>
      <c r="HE381" t="s">
        <v>6</v>
      </c>
      <c r="HF381" t="s">
        <v>6</v>
      </c>
      <c r="HM381" t="s">
        <v>6</v>
      </c>
      <c r="HN381" t="s">
        <v>6</v>
      </c>
      <c r="HO381" t="s">
        <v>6</v>
      </c>
      <c r="HP381" t="s">
        <v>6</v>
      </c>
      <c r="HQ381" t="s">
        <v>6</v>
      </c>
      <c r="IF381">
        <v>-1</v>
      </c>
      <c r="IK381">
        <v>0</v>
      </c>
    </row>
    <row r="382" spans="1:255" x14ac:dyDescent="0.2">
      <c r="A382" s="2">
        <v>18</v>
      </c>
      <c r="B382" s="2">
        <v>1</v>
      </c>
      <c r="C382" s="2">
        <v>494</v>
      </c>
      <c r="D382" s="2"/>
      <c r="E382" s="2" t="s">
        <v>523</v>
      </c>
      <c r="F382" s="2" t="s">
        <v>217</v>
      </c>
      <c r="G382" s="2" t="s">
        <v>524</v>
      </c>
      <c r="H382" s="2" t="s">
        <v>44</v>
      </c>
      <c r="I382" s="2" t="e">
        <f>I380*J382</f>
        <v>#REF!</v>
      </c>
      <c r="J382" s="226">
        <f>'5.Ведомость_списания'!F167</f>
        <v>1.0199999999999998</v>
      </c>
      <c r="K382" s="2">
        <v>1.02</v>
      </c>
      <c r="L382" s="2"/>
      <c r="M382" s="2"/>
      <c r="N382" s="2"/>
      <c r="O382" s="2" t="e">
        <f t="shared" si="420"/>
        <v>#REF!</v>
      </c>
      <c r="P382" s="2" t="e">
        <f t="shared" si="421"/>
        <v>#REF!</v>
      </c>
      <c r="Q382" s="2" t="e">
        <f t="shared" si="422"/>
        <v>#REF!</v>
      </c>
      <c r="R382" s="2" t="e">
        <f t="shared" si="423"/>
        <v>#REF!</v>
      </c>
      <c r="S382" s="2" t="e">
        <f t="shared" si="424"/>
        <v>#REF!</v>
      </c>
      <c r="T382" s="2" t="e">
        <f t="shared" si="425"/>
        <v>#REF!</v>
      </c>
      <c r="U382" s="2" t="e">
        <f t="shared" si="426"/>
        <v>#REF!</v>
      </c>
      <c r="V382" s="2" t="e">
        <f t="shared" si="427"/>
        <v>#REF!</v>
      </c>
      <c r="W382" s="2" t="e">
        <f t="shared" si="428"/>
        <v>#REF!</v>
      </c>
      <c r="X382" s="2" t="e">
        <f t="shared" si="429"/>
        <v>#REF!</v>
      </c>
      <c r="Y382" s="2" t="e">
        <f t="shared" si="430"/>
        <v>#REF!</v>
      </c>
      <c r="Z382" s="2"/>
      <c r="AA382" s="2">
        <v>86326987</v>
      </c>
      <c r="AB382" s="2">
        <f t="shared" si="431"/>
        <v>459.1</v>
      </c>
      <c r="AC382" s="2">
        <f>ROUND((ES382),2)</f>
        <v>459.1</v>
      </c>
      <c r="AD382" s="2">
        <f t="shared" si="417"/>
        <v>0</v>
      </c>
      <c r="AE382" s="2">
        <f t="shared" si="432"/>
        <v>0</v>
      </c>
      <c r="AF382" s="2">
        <f t="shared" ref="AF382:AF403" si="454">ROUND((EV382),2)</f>
        <v>0</v>
      </c>
      <c r="AG382" s="2">
        <f t="shared" si="433"/>
        <v>0</v>
      </c>
      <c r="AH382" s="2">
        <f t="shared" ref="AH382:AH403" si="455">(EW382)</f>
        <v>0</v>
      </c>
      <c r="AI382" s="2">
        <f t="shared" si="434"/>
        <v>0</v>
      </c>
      <c r="AJ382" s="2">
        <f t="shared" si="435"/>
        <v>0</v>
      </c>
      <c r="AK382" s="2">
        <v>459.1</v>
      </c>
      <c r="AL382" s="110">
        <f>'1.Лок.смета.и.Акт'!F708</f>
        <v>459.1</v>
      </c>
      <c r="AM382" s="2">
        <v>0</v>
      </c>
      <c r="AN382" s="2">
        <v>0</v>
      </c>
      <c r="AO382" s="2">
        <v>0</v>
      </c>
      <c r="AP382" s="2">
        <v>0</v>
      </c>
      <c r="AQ382" s="2">
        <v>0</v>
      </c>
      <c r="AR382" s="2">
        <v>0</v>
      </c>
      <c r="AS382" s="2">
        <v>0</v>
      </c>
      <c r="AT382" s="2">
        <v>0</v>
      </c>
      <c r="AU382" s="2">
        <v>0</v>
      </c>
      <c r="AV382" s="2">
        <v>1</v>
      </c>
      <c r="AW382" s="2">
        <v>1</v>
      </c>
      <c r="AX382" s="2"/>
      <c r="AY382" s="2"/>
      <c r="AZ382" s="2">
        <v>1</v>
      </c>
      <c r="BA382" s="2">
        <v>1</v>
      </c>
      <c r="BB382" s="2">
        <v>1</v>
      </c>
      <c r="BC382" s="2">
        <v>1</v>
      </c>
      <c r="BD382" s="2" t="s">
        <v>6</v>
      </c>
      <c r="BE382" s="2" t="s">
        <v>6</v>
      </c>
      <c r="BF382" s="2" t="s">
        <v>6</v>
      </c>
      <c r="BG382" s="2" t="s">
        <v>6</v>
      </c>
      <c r="BH382" s="2">
        <v>3</v>
      </c>
      <c r="BI382" s="2">
        <v>1</v>
      </c>
      <c r="BJ382" s="2" t="s">
        <v>219</v>
      </c>
      <c r="BK382" s="2"/>
      <c r="BL382" s="2"/>
      <c r="BM382" s="2">
        <v>500003</v>
      </c>
      <c r="BN382" s="2">
        <v>0</v>
      </c>
      <c r="BO382" s="2" t="s">
        <v>6</v>
      </c>
      <c r="BP382" s="2">
        <v>0</v>
      </c>
      <c r="BQ382" s="2">
        <v>22</v>
      </c>
      <c r="BR382" s="2">
        <v>0</v>
      </c>
      <c r="BS382" s="2">
        <v>1</v>
      </c>
      <c r="BT382" s="2">
        <v>1</v>
      </c>
      <c r="BU382" s="2">
        <v>1</v>
      </c>
      <c r="BV382" s="2">
        <v>1</v>
      </c>
      <c r="BW382" s="2">
        <v>1</v>
      </c>
      <c r="BX382" s="2">
        <v>1</v>
      </c>
      <c r="BY382" s="2" t="s">
        <v>6</v>
      </c>
      <c r="BZ382" s="2">
        <v>0</v>
      </c>
      <c r="CA382" s="2">
        <v>0</v>
      </c>
      <c r="CB382" s="2" t="s">
        <v>6</v>
      </c>
      <c r="CC382" s="2"/>
      <c r="CD382" s="2"/>
      <c r="CE382" s="2">
        <v>0</v>
      </c>
      <c r="CF382" s="2">
        <v>0</v>
      </c>
      <c r="CG382" s="2">
        <v>0</v>
      </c>
      <c r="CH382" s="2"/>
      <c r="CI382" s="2"/>
      <c r="CJ382" s="2"/>
      <c r="CK382" s="2"/>
      <c r="CL382" s="2"/>
      <c r="CM382" s="2">
        <v>0</v>
      </c>
      <c r="CN382" s="2" t="s">
        <v>6</v>
      </c>
      <c r="CO382" s="2">
        <v>0</v>
      </c>
      <c r="CP382" s="2" t="e">
        <f t="shared" si="436"/>
        <v>#REF!</v>
      </c>
      <c r="CQ382" s="2">
        <f t="shared" si="437"/>
        <v>459.1</v>
      </c>
      <c r="CR382" s="2">
        <f t="shared" si="438"/>
        <v>0</v>
      </c>
      <c r="CS382" s="2">
        <f t="shared" si="439"/>
        <v>0</v>
      </c>
      <c r="CT382" s="2">
        <f t="shared" si="440"/>
        <v>0</v>
      </c>
      <c r="CU382" s="2">
        <f t="shared" si="441"/>
        <v>0</v>
      </c>
      <c r="CV382" s="2">
        <f t="shared" si="442"/>
        <v>0</v>
      </c>
      <c r="CW382" s="2">
        <f t="shared" si="443"/>
        <v>0</v>
      </c>
      <c r="CX382" s="2">
        <f t="shared" si="444"/>
        <v>0</v>
      </c>
      <c r="CY382" s="2" t="e">
        <f>(((S382+(R382*IF(0,0,1)))*AT382)/100)</f>
        <v>#REF!</v>
      </c>
      <c r="CZ382" s="2" t="e">
        <f>(((S382+(R382*IF(0,0,1)))*AU382)/100)</f>
        <v>#REF!</v>
      </c>
      <c r="DA382" s="2"/>
      <c r="DB382" s="2"/>
      <c r="DC382" s="2" t="s">
        <v>6</v>
      </c>
      <c r="DD382" s="2" t="s">
        <v>6</v>
      </c>
      <c r="DE382" s="2" t="s">
        <v>6</v>
      </c>
      <c r="DF382" s="2" t="s">
        <v>6</v>
      </c>
      <c r="DG382" s="2" t="s">
        <v>6</v>
      </c>
      <c r="DH382" s="2" t="s">
        <v>6</v>
      </c>
      <c r="DI382" s="2" t="s">
        <v>6</v>
      </c>
      <c r="DJ382" s="2" t="s">
        <v>6</v>
      </c>
      <c r="DK382" s="2" t="s">
        <v>6</v>
      </c>
      <c r="DL382" s="2" t="s">
        <v>6</v>
      </c>
      <c r="DM382" s="2" t="s">
        <v>6</v>
      </c>
      <c r="DN382" s="2">
        <v>0</v>
      </c>
      <c r="DO382" s="2">
        <v>0</v>
      </c>
      <c r="DP382" s="2">
        <v>1</v>
      </c>
      <c r="DQ382" s="2">
        <v>1</v>
      </c>
      <c r="DR382" s="2"/>
      <c r="DS382" s="2"/>
      <c r="DT382" s="2"/>
      <c r="DU382" s="2">
        <v>1007</v>
      </c>
      <c r="DV382" s="2" t="s">
        <v>44</v>
      </c>
      <c r="DW382" s="2" t="s">
        <v>44</v>
      </c>
      <c r="DX382" s="2">
        <v>1</v>
      </c>
      <c r="DY382" s="2"/>
      <c r="DZ382" s="2" t="s">
        <v>6</v>
      </c>
      <c r="EA382" s="2" t="s">
        <v>6</v>
      </c>
      <c r="EB382" s="2" t="s">
        <v>6</v>
      </c>
      <c r="EC382" s="2" t="s">
        <v>6</v>
      </c>
      <c r="ED382" s="2"/>
      <c r="EE382" s="2">
        <v>54938783</v>
      </c>
      <c r="EF382" s="2">
        <v>22</v>
      </c>
      <c r="EG382" s="2" t="s">
        <v>57</v>
      </c>
      <c r="EH382" s="2">
        <v>0</v>
      </c>
      <c r="EI382" s="2" t="s">
        <v>6</v>
      </c>
      <c r="EJ382" s="2">
        <v>1</v>
      </c>
      <c r="EK382" s="2">
        <v>500003</v>
      </c>
      <c r="EL382" s="2" t="s">
        <v>58</v>
      </c>
      <c r="EM382" s="2" t="s">
        <v>59</v>
      </c>
      <c r="EN382" s="2"/>
      <c r="EO382" s="2" t="s">
        <v>6</v>
      </c>
      <c r="EP382" s="2"/>
      <c r="EQ382" s="2">
        <v>0</v>
      </c>
      <c r="ER382" s="2">
        <v>459.1</v>
      </c>
      <c r="ES382" s="110">
        <f>'1.Лок.смета.и.Акт'!F708</f>
        <v>459.1</v>
      </c>
      <c r="ET382" s="2">
        <v>0</v>
      </c>
      <c r="EU382" s="2">
        <v>0</v>
      </c>
      <c r="EV382" s="2">
        <v>0</v>
      </c>
      <c r="EW382" s="2">
        <v>0</v>
      </c>
      <c r="EX382" s="2">
        <v>0</v>
      </c>
      <c r="EY382" s="2"/>
      <c r="EZ382" s="2"/>
      <c r="FA382" s="2"/>
      <c r="FB382" s="2"/>
      <c r="FC382" s="2"/>
      <c r="FD382" s="2"/>
      <c r="FE382" s="2"/>
      <c r="FF382" s="2"/>
      <c r="FG382" s="2"/>
      <c r="FH382" s="2"/>
      <c r="FI382" s="2"/>
      <c r="FJ382" s="2"/>
      <c r="FK382" s="2"/>
      <c r="FL382" s="2"/>
      <c r="FM382" s="2"/>
      <c r="FN382" s="2"/>
      <c r="FO382" s="2"/>
      <c r="FP382" s="2"/>
      <c r="FQ382" s="2">
        <v>0</v>
      </c>
      <c r="FR382" s="2">
        <f t="shared" si="445"/>
        <v>0</v>
      </c>
      <c r="FS382" s="2">
        <v>0</v>
      </c>
      <c r="FT382" s="2"/>
      <c r="FU382" s="2"/>
      <c r="FV382" s="2"/>
      <c r="FW382" s="2"/>
      <c r="FX382" s="2">
        <v>0</v>
      </c>
      <c r="FY382" s="2">
        <v>0</v>
      </c>
      <c r="FZ382" s="2"/>
      <c r="GA382" s="2" t="s">
        <v>6</v>
      </c>
      <c r="GB382" s="2"/>
      <c r="GC382" s="2"/>
      <c r="GD382" s="2">
        <v>1</v>
      </c>
      <c r="GE382" s="2"/>
      <c r="GF382" s="2">
        <v>517015736</v>
      </c>
      <c r="GG382" s="2">
        <v>2</v>
      </c>
      <c r="GH382" s="2">
        <v>2</v>
      </c>
      <c r="GI382" s="2">
        <v>-2</v>
      </c>
      <c r="GJ382" s="2">
        <v>0</v>
      </c>
      <c r="GK382" s="2">
        <v>0</v>
      </c>
      <c r="GL382" s="2">
        <f t="shared" si="446"/>
        <v>0</v>
      </c>
      <c r="GM382" s="2" t="e">
        <f t="shared" si="447"/>
        <v>#REF!</v>
      </c>
      <c r="GN382" s="2" t="e">
        <f t="shared" si="448"/>
        <v>#REF!</v>
      </c>
      <c r="GO382" s="2">
        <f t="shared" si="449"/>
        <v>0</v>
      </c>
      <c r="GP382" s="2">
        <f t="shared" si="450"/>
        <v>0</v>
      </c>
      <c r="GQ382" s="2"/>
      <c r="GR382" s="2">
        <v>0</v>
      </c>
      <c r="GS382" s="2">
        <v>2</v>
      </c>
      <c r="GT382" s="2">
        <v>0</v>
      </c>
      <c r="GU382" s="2" t="s">
        <v>6</v>
      </c>
      <c r="GV382" s="2">
        <f t="shared" si="451"/>
        <v>0</v>
      </c>
      <c r="GW382" s="2">
        <v>1</v>
      </c>
      <c r="GX382" s="2" t="e">
        <f t="shared" si="452"/>
        <v>#REF!</v>
      </c>
      <c r="GY382" s="2"/>
      <c r="GZ382" s="2"/>
      <c r="HA382" s="2">
        <v>0</v>
      </c>
      <c r="HB382" s="2">
        <v>0</v>
      </c>
      <c r="HC382" s="2">
        <f t="shared" si="453"/>
        <v>0</v>
      </c>
      <c r="HD382" s="2"/>
      <c r="HE382" s="2" t="s">
        <v>6</v>
      </c>
      <c r="HF382" s="2" t="s">
        <v>6</v>
      </c>
      <c r="HG382" s="2"/>
      <c r="HH382" s="2"/>
      <c r="HI382" s="2"/>
      <c r="HJ382" s="2"/>
      <c r="HK382" s="2"/>
      <c r="HL382" s="2"/>
      <c r="HM382" s="2" t="s">
        <v>6</v>
      </c>
      <c r="HN382" s="2" t="s">
        <v>6</v>
      </c>
      <c r="HO382" s="2" t="s">
        <v>6</v>
      </c>
      <c r="HP382" s="2" t="s">
        <v>6</v>
      </c>
      <c r="HQ382" s="2" t="s">
        <v>6</v>
      </c>
      <c r="HR382" s="2"/>
      <c r="HS382" s="2"/>
      <c r="HT382" s="2"/>
      <c r="HU382" s="2"/>
      <c r="HV382" s="2"/>
      <c r="HW382" s="2"/>
      <c r="HX382" s="2"/>
      <c r="HY382" s="2"/>
      <c r="HZ382" s="2"/>
      <c r="IA382" s="2"/>
      <c r="IB382" s="2"/>
      <c r="IC382" s="2"/>
      <c r="ID382" s="2"/>
      <c r="IE382" s="2"/>
      <c r="IF382" s="2">
        <v>-1</v>
      </c>
      <c r="IG382" s="2"/>
      <c r="IH382" s="2"/>
      <c r="II382" s="2"/>
      <c r="IJ382" s="2"/>
      <c r="IK382" s="2">
        <v>0</v>
      </c>
      <c r="IL382" s="2"/>
      <c r="IM382" s="2"/>
      <c r="IN382" s="2"/>
      <c r="IO382" s="2"/>
      <c r="IP382" s="2"/>
      <c r="IQ382" s="2"/>
      <c r="IR382" s="2"/>
      <c r="IS382" s="2"/>
      <c r="IT382" s="2"/>
      <c r="IU382" s="2"/>
    </row>
    <row r="383" spans="1:255" x14ac:dyDescent="0.2">
      <c r="A383">
        <v>18</v>
      </c>
      <c r="B383">
        <v>1</v>
      </c>
      <c r="C383">
        <v>498</v>
      </c>
      <c r="E383" t="s">
        <v>523</v>
      </c>
      <c r="F383" t="e">
        <f>'2.Лок.смета.и.Акт'!#REF!</f>
        <v>#REF!</v>
      </c>
      <c r="G383" t="s">
        <v>524</v>
      </c>
      <c r="H383" t="s">
        <v>44</v>
      </c>
      <c r="I383" t="e">
        <f>I381*J383</f>
        <v>#REF!</v>
      </c>
      <c r="J383">
        <v>1.0199999999999998</v>
      </c>
      <c r="K383">
        <v>1.02</v>
      </c>
      <c r="O383" t="e">
        <f t="shared" si="420"/>
        <v>#REF!</v>
      </c>
      <c r="P383" t="e">
        <f t="shared" si="421"/>
        <v>#REF!</v>
      </c>
      <c r="Q383" t="e">
        <f t="shared" si="422"/>
        <v>#REF!</v>
      </c>
      <c r="R383" t="e">
        <f t="shared" si="423"/>
        <v>#REF!</v>
      </c>
      <c r="S383" t="e">
        <f t="shared" si="424"/>
        <v>#REF!</v>
      </c>
      <c r="T383" t="e">
        <f t="shared" si="425"/>
        <v>#REF!</v>
      </c>
      <c r="U383" t="e">
        <f t="shared" si="426"/>
        <v>#REF!</v>
      </c>
      <c r="V383" t="e">
        <f t="shared" si="427"/>
        <v>#REF!</v>
      </c>
      <c r="W383" t="e">
        <f t="shared" si="428"/>
        <v>#REF!</v>
      </c>
      <c r="X383" t="e">
        <f t="shared" si="429"/>
        <v>#REF!</v>
      </c>
      <c r="Y383" t="e">
        <f t="shared" si="430"/>
        <v>#REF!</v>
      </c>
      <c r="AA383">
        <v>86326988</v>
      </c>
      <c r="AB383">
        <f t="shared" si="431"/>
        <v>526.94000000000005</v>
      </c>
      <c r="AC383">
        <f>ROUND((ES383),2)</f>
        <v>526.94000000000005</v>
      </c>
      <c r="AD383">
        <f t="shared" si="417"/>
        <v>0</v>
      </c>
      <c r="AE383">
        <f t="shared" si="432"/>
        <v>0</v>
      </c>
      <c r="AF383">
        <f t="shared" si="454"/>
        <v>0</v>
      </c>
      <c r="AG383">
        <f t="shared" si="433"/>
        <v>0</v>
      </c>
      <c r="AH383">
        <f t="shared" si="455"/>
        <v>0</v>
      </c>
      <c r="AI383">
        <f t="shared" si="434"/>
        <v>0</v>
      </c>
      <c r="AJ383">
        <f t="shared" si="435"/>
        <v>0</v>
      </c>
      <c r="AK383">
        <v>526.94000000000005</v>
      </c>
      <c r="AL383">
        <v>526.94000000000005</v>
      </c>
      <c r="AM383">
        <v>0</v>
      </c>
      <c r="AN383">
        <v>0</v>
      </c>
      <c r="AO383">
        <v>0</v>
      </c>
      <c r="AP383">
        <v>0</v>
      </c>
      <c r="AQ383">
        <v>0</v>
      </c>
      <c r="AR383">
        <v>0</v>
      </c>
      <c r="AS383">
        <v>0</v>
      </c>
      <c r="AT383">
        <v>0</v>
      </c>
      <c r="AU383">
        <v>0</v>
      </c>
      <c r="AV383">
        <v>1</v>
      </c>
      <c r="AW383">
        <v>1</v>
      </c>
      <c r="AZ383">
        <v>1</v>
      </c>
      <c r="BA383">
        <v>1</v>
      </c>
      <c r="BB383">
        <v>1</v>
      </c>
      <c r="BC383">
        <v>7.56</v>
      </c>
      <c r="BD383" t="s">
        <v>6</v>
      </c>
      <c r="BE383" t="s">
        <v>6</v>
      </c>
      <c r="BF383" t="s">
        <v>6</v>
      </c>
      <c r="BG383" t="s">
        <v>6</v>
      </c>
      <c r="BH383">
        <v>3</v>
      </c>
      <c r="BI383">
        <v>1</v>
      </c>
      <c r="BJ383" t="s">
        <v>219</v>
      </c>
      <c r="BM383">
        <v>500003</v>
      </c>
      <c r="BN383">
        <v>0</v>
      </c>
      <c r="BO383" t="s">
        <v>6</v>
      </c>
      <c r="BP383">
        <v>0</v>
      </c>
      <c r="BQ383">
        <v>22</v>
      </c>
      <c r="BR383">
        <v>0</v>
      </c>
      <c r="BS383">
        <v>1</v>
      </c>
      <c r="BT383">
        <v>1</v>
      </c>
      <c r="BU383">
        <v>1</v>
      </c>
      <c r="BV383">
        <v>1</v>
      </c>
      <c r="BW383">
        <v>1</v>
      </c>
      <c r="BX383">
        <v>1</v>
      </c>
      <c r="BY383" t="s">
        <v>6</v>
      </c>
      <c r="BZ383">
        <v>0</v>
      </c>
      <c r="CA383">
        <v>0</v>
      </c>
      <c r="CB383" t="s">
        <v>6</v>
      </c>
      <c r="CE383">
        <v>0</v>
      </c>
      <c r="CF383">
        <v>0</v>
      </c>
      <c r="CG383">
        <v>0</v>
      </c>
      <c r="CM383">
        <v>0</v>
      </c>
      <c r="CN383" t="s">
        <v>6</v>
      </c>
      <c r="CO383">
        <v>0</v>
      </c>
      <c r="CP383" t="e">
        <f t="shared" si="436"/>
        <v>#REF!</v>
      </c>
      <c r="CQ383">
        <f t="shared" si="437"/>
        <v>3983.6664000000001</v>
      </c>
      <c r="CR383">
        <f t="shared" si="438"/>
        <v>0</v>
      </c>
      <c r="CS383">
        <f t="shared" si="439"/>
        <v>0</v>
      </c>
      <c r="CT383">
        <f t="shared" si="440"/>
        <v>0</v>
      </c>
      <c r="CU383">
        <f t="shared" si="441"/>
        <v>0</v>
      </c>
      <c r="CV383">
        <f t="shared" si="442"/>
        <v>0</v>
      </c>
      <c r="CW383">
        <f t="shared" si="443"/>
        <v>0</v>
      </c>
      <c r="CX383">
        <f t="shared" si="444"/>
        <v>0</v>
      </c>
      <c r="CY383" t="e">
        <f>(S383+R383)*(BZ383/100)</f>
        <v>#REF!</v>
      </c>
      <c r="CZ383" t="e">
        <f>(S383+R383)*(CA383/100)</f>
        <v>#REF!</v>
      </c>
      <c r="DC383" t="s">
        <v>6</v>
      </c>
      <c r="DD383" t="s">
        <v>6</v>
      </c>
      <c r="DE383" t="s">
        <v>6</v>
      </c>
      <c r="DF383" t="s">
        <v>6</v>
      </c>
      <c r="DG383" t="s">
        <v>6</v>
      </c>
      <c r="DH383" t="s">
        <v>6</v>
      </c>
      <c r="DI383" t="s">
        <v>6</v>
      </c>
      <c r="DJ383" t="s">
        <v>6</v>
      </c>
      <c r="DK383" t="s">
        <v>6</v>
      </c>
      <c r="DL383" t="s">
        <v>6</v>
      </c>
      <c r="DM383" t="s">
        <v>6</v>
      </c>
      <c r="DN383">
        <v>0</v>
      </c>
      <c r="DO383">
        <v>0</v>
      </c>
      <c r="DP383">
        <v>1</v>
      </c>
      <c r="DQ383">
        <v>1</v>
      </c>
      <c r="DU383">
        <v>1007</v>
      </c>
      <c r="DV383" t="s">
        <v>44</v>
      </c>
      <c r="DW383" t="e">
        <f>'2.Лок.смета.и.Акт'!#REF!</f>
        <v>#REF!</v>
      </c>
      <c r="DX383">
        <v>1</v>
      </c>
      <c r="DZ383" t="s">
        <v>6</v>
      </c>
      <c r="EA383" t="s">
        <v>6</v>
      </c>
      <c r="EB383" t="s">
        <v>6</v>
      </c>
      <c r="EC383" t="s">
        <v>6</v>
      </c>
      <c r="EE383">
        <v>54938783</v>
      </c>
      <c r="EF383">
        <v>22</v>
      </c>
      <c r="EG383" t="s">
        <v>57</v>
      </c>
      <c r="EH383">
        <v>0</v>
      </c>
      <c r="EI383" t="s">
        <v>6</v>
      </c>
      <c r="EJ383">
        <v>1</v>
      </c>
      <c r="EK383">
        <v>500003</v>
      </c>
      <c r="EL383" t="s">
        <v>58</v>
      </c>
      <c r="EM383" t="s">
        <v>59</v>
      </c>
      <c r="EO383" t="s">
        <v>6</v>
      </c>
      <c r="EQ383">
        <v>0</v>
      </c>
      <c r="ER383">
        <v>3755.38</v>
      </c>
      <c r="ES383">
        <v>526.94000000000005</v>
      </c>
      <c r="ET383">
        <v>0</v>
      </c>
      <c r="EU383">
        <v>0</v>
      </c>
      <c r="EV383">
        <v>0</v>
      </c>
      <c r="EW383">
        <v>0</v>
      </c>
      <c r="EX383">
        <v>0</v>
      </c>
      <c r="EZ383">
        <v>5</v>
      </c>
      <c r="FC383">
        <v>0</v>
      </c>
      <c r="FD383">
        <v>18</v>
      </c>
      <c r="FF383">
        <v>3755.38</v>
      </c>
      <c r="FQ383">
        <v>0</v>
      </c>
      <c r="FR383">
        <f t="shared" si="445"/>
        <v>0</v>
      </c>
      <c r="FS383">
        <v>0</v>
      </c>
      <c r="FX383">
        <v>0</v>
      </c>
      <c r="FY383">
        <v>0</v>
      </c>
      <c r="GA383" t="s">
        <v>220</v>
      </c>
      <c r="GD383">
        <v>1</v>
      </c>
      <c r="GF383">
        <v>517015736</v>
      </c>
      <c r="GG383">
        <v>2</v>
      </c>
      <c r="GH383">
        <v>3</v>
      </c>
      <c r="GI383">
        <v>5</v>
      </c>
      <c r="GJ383">
        <v>0</v>
      </c>
      <c r="GK383">
        <v>0</v>
      </c>
      <c r="GL383">
        <f t="shared" si="446"/>
        <v>0</v>
      </c>
      <c r="GM383" t="e">
        <f t="shared" si="447"/>
        <v>#REF!</v>
      </c>
      <c r="GN383" t="e">
        <f t="shared" si="448"/>
        <v>#REF!</v>
      </c>
      <c r="GO383">
        <f t="shared" si="449"/>
        <v>0</v>
      </c>
      <c r="GP383">
        <f t="shared" si="450"/>
        <v>0</v>
      </c>
      <c r="GR383">
        <v>1</v>
      </c>
      <c r="GS383">
        <v>1</v>
      </c>
      <c r="GT383">
        <v>0</v>
      </c>
      <c r="GU383" t="s">
        <v>6</v>
      </c>
      <c r="GV383">
        <f t="shared" si="451"/>
        <v>0</v>
      </c>
      <c r="GW383">
        <v>1</v>
      </c>
      <c r="GX383" t="e">
        <f t="shared" si="452"/>
        <v>#REF!</v>
      </c>
      <c r="HA383">
        <v>0</v>
      </c>
      <c r="HB383">
        <v>0</v>
      </c>
      <c r="HC383">
        <f t="shared" si="453"/>
        <v>0</v>
      </c>
      <c r="HE383" t="s">
        <v>39</v>
      </c>
      <c r="HF383" t="s">
        <v>40</v>
      </c>
      <c r="HM383" t="s">
        <v>6</v>
      </c>
      <c r="HN383" t="s">
        <v>6</v>
      </c>
      <c r="HO383" t="s">
        <v>6</v>
      </c>
      <c r="HP383" t="s">
        <v>6</v>
      </c>
      <c r="HQ383" t="s">
        <v>6</v>
      </c>
      <c r="IF383">
        <v>-1</v>
      </c>
      <c r="IK383">
        <v>0</v>
      </c>
    </row>
    <row r="384" spans="1:255" x14ac:dyDescent="0.2">
      <c r="A384" s="2">
        <v>17</v>
      </c>
      <c r="B384" s="2">
        <v>1</v>
      </c>
      <c r="C384" s="2">
        <f>ROW(SmtRes!A509)</f>
        <v>509</v>
      </c>
      <c r="D384" s="2">
        <f>ROW(EtalonRes!A426)</f>
        <v>426</v>
      </c>
      <c r="E384" s="2" t="s">
        <v>525</v>
      </c>
      <c r="F384" s="2" t="s">
        <v>309</v>
      </c>
      <c r="G384" s="2" t="s">
        <v>310</v>
      </c>
      <c r="H384" s="2" t="s">
        <v>298</v>
      </c>
      <c r="I384" s="2">
        <f>'2.Лок.смета.и.Акт'!E55</f>
        <v>0.68</v>
      </c>
      <c r="J384" s="2">
        <v>0</v>
      </c>
      <c r="K384" s="2">
        <v>2.72</v>
      </c>
      <c r="L384" s="2"/>
      <c r="M384" s="2"/>
      <c r="N384" s="2"/>
      <c r="O384" s="2">
        <f t="shared" si="420"/>
        <v>114</v>
      </c>
      <c r="P384" s="2">
        <f t="shared" si="421"/>
        <v>0</v>
      </c>
      <c r="Q384" s="2">
        <f t="shared" si="422"/>
        <v>16</v>
      </c>
      <c r="R384" s="2">
        <f t="shared" si="423"/>
        <v>1</v>
      </c>
      <c r="S384" s="2">
        <f t="shared" si="424"/>
        <v>98</v>
      </c>
      <c r="T384" s="2">
        <f t="shared" si="425"/>
        <v>0</v>
      </c>
      <c r="U384" s="2">
        <f t="shared" si="426"/>
        <v>10.3904</v>
      </c>
      <c r="V384" s="2">
        <f t="shared" si="427"/>
        <v>6.1200000000000004E-2</v>
      </c>
      <c r="W384" s="2">
        <f t="shared" si="428"/>
        <v>0</v>
      </c>
      <c r="X384" s="2">
        <f t="shared" si="429"/>
        <v>94</v>
      </c>
      <c r="Y384" s="2">
        <f t="shared" si="430"/>
        <v>64</v>
      </c>
      <c r="Z384" s="2"/>
      <c r="AA384" s="2">
        <v>86326987</v>
      </c>
      <c r="AB384" s="2">
        <f t="shared" si="431"/>
        <v>168.36</v>
      </c>
      <c r="AC384" s="2">
        <f>ROUND((ES384+(SUM(SmtRes!BC499:'SmtRes'!BC509)+SUM(EtalonRes!AL419:'EtalonRes'!AL426))),2)</f>
        <v>0</v>
      </c>
      <c r="AD384" s="2">
        <f t="shared" si="417"/>
        <v>23.51</v>
      </c>
      <c r="AE384" s="2">
        <f t="shared" si="432"/>
        <v>1.22</v>
      </c>
      <c r="AF384" s="2">
        <f t="shared" si="454"/>
        <v>144.85</v>
      </c>
      <c r="AG384" s="2">
        <f t="shared" si="433"/>
        <v>0</v>
      </c>
      <c r="AH384" s="2">
        <f t="shared" si="455"/>
        <v>15.28</v>
      </c>
      <c r="AI384" s="2">
        <f t="shared" si="434"/>
        <v>0.09</v>
      </c>
      <c r="AJ384" s="2">
        <f t="shared" si="435"/>
        <v>0</v>
      </c>
      <c r="AK384" s="2">
        <v>187.52</v>
      </c>
      <c r="AL384" s="2">
        <v>19.16</v>
      </c>
      <c r="AM384" s="2">
        <v>23.51</v>
      </c>
      <c r="AN384" s="2">
        <v>1.22</v>
      </c>
      <c r="AO384" s="2">
        <v>144.85</v>
      </c>
      <c r="AP384" s="2">
        <v>0</v>
      </c>
      <c r="AQ384" s="2">
        <v>15.28</v>
      </c>
      <c r="AR384" s="2">
        <v>0.09</v>
      </c>
      <c r="AS384" s="2">
        <v>0</v>
      </c>
      <c r="AT384" s="2">
        <v>95</v>
      </c>
      <c r="AU384" s="2">
        <v>65</v>
      </c>
      <c r="AV384" s="2">
        <v>1</v>
      </c>
      <c r="AW384" s="2">
        <v>1</v>
      </c>
      <c r="AX384" s="2"/>
      <c r="AY384" s="2"/>
      <c r="AZ384" s="2">
        <v>1</v>
      </c>
      <c r="BA384" s="2">
        <v>1</v>
      </c>
      <c r="BB384" s="2">
        <v>1</v>
      </c>
      <c r="BC384" s="2">
        <v>1</v>
      </c>
      <c r="BD384" s="2" t="s">
        <v>6</v>
      </c>
      <c r="BE384" s="2" t="s">
        <v>6</v>
      </c>
      <c r="BF384" s="2" t="s">
        <v>6</v>
      </c>
      <c r="BG384" s="2" t="s">
        <v>6</v>
      </c>
      <c r="BH384" s="2">
        <v>0</v>
      </c>
      <c r="BI384" s="2">
        <v>2</v>
      </c>
      <c r="BJ384" s="2" t="s">
        <v>311</v>
      </c>
      <c r="BK384" s="2"/>
      <c r="BL384" s="2"/>
      <c r="BM384" s="2">
        <v>108001</v>
      </c>
      <c r="BN384" s="2">
        <v>0</v>
      </c>
      <c r="BO384" s="2" t="s">
        <v>6</v>
      </c>
      <c r="BP384" s="2">
        <v>0</v>
      </c>
      <c r="BQ384" s="2">
        <v>2</v>
      </c>
      <c r="BR384" s="2">
        <v>0</v>
      </c>
      <c r="BS384" s="2">
        <v>1</v>
      </c>
      <c r="BT384" s="2">
        <v>1</v>
      </c>
      <c r="BU384" s="2">
        <v>1</v>
      </c>
      <c r="BV384" s="2">
        <v>1</v>
      </c>
      <c r="BW384" s="2">
        <v>1</v>
      </c>
      <c r="BX384" s="2">
        <v>1</v>
      </c>
      <c r="BY384" s="2" t="s">
        <v>6</v>
      </c>
      <c r="BZ384" s="2">
        <v>95</v>
      </c>
      <c r="CA384" s="2">
        <v>65</v>
      </c>
      <c r="CB384" s="2" t="s">
        <v>6</v>
      </c>
      <c r="CC384" s="2"/>
      <c r="CD384" s="2"/>
      <c r="CE384" s="2">
        <v>0</v>
      </c>
      <c r="CF384" s="2">
        <v>0</v>
      </c>
      <c r="CG384" s="2">
        <v>0</v>
      </c>
      <c r="CH384" s="2"/>
      <c r="CI384" s="2"/>
      <c r="CJ384" s="2"/>
      <c r="CK384" s="2"/>
      <c r="CL384" s="2"/>
      <c r="CM384" s="2">
        <v>0</v>
      </c>
      <c r="CN384" s="2" t="s">
        <v>6</v>
      </c>
      <c r="CO384" s="2">
        <v>0</v>
      </c>
      <c r="CP384" s="2">
        <f t="shared" si="436"/>
        <v>114</v>
      </c>
      <c r="CQ384" s="2">
        <f t="shared" si="437"/>
        <v>0</v>
      </c>
      <c r="CR384" s="2">
        <f t="shared" si="438"/>
        <v>23.51</v>
      </c>
      <c r="CS384" s="2">
        <f t="shared" si="439"/>
        <v>1.22</v>
      </c>
      <c r="CT384" s="2">
        <f t="shared" si="440"/>
        <v>144.85</v>
      </c>
      <c r="CU384" s="2">
        <f t="shared" si="441"/>
        <v>0</v>
      </c>
      <c r="CV384" s="2">
        <f t="shared" si="442"/>
        <v>15.28</v>
      </c>
      <c r="CW384" s="2">
        <f t="shared" si="443"/>
        <v>0.09</v>
      </c>
      <c r="CX384" s="2">
        <f t="shared" si="444"/>
        <v>0</v>
      </c>
      <c r="CY384" s="2">
        <f>(((S384+(R384*IF(0,0,1)))*AT384)/100)</f>
        <v>94.05</v>
      </c>
      <c r="CZ384" s="2">
        <f>(((S384+(R384*IF(0,0,1)))*AU384)/100)</f>
        <v>64.349999999999994</v>
      </c>
      <c r="DA384" s="2"/>
      <c r="DB384" s="2"/>
      <c r="DC384" s="2" t="s">
        <v>6</v>
      </c>
      <c r="DD384" s="2" t="s">
        <v>6</v>
      </c>
      <c r="DE384" s="2" t="s">
        <v>6</v>
      </c>
      <c r="DF384" s="2" t="s">
        <v>6</v>
      </c>
      <c r="DG384" s="2" t="s">
        <v>6</v>
      </c>
      <c r="DH384" s="2" t="s">
        <v>6</v>
      </c>
      <c r="DI384" s="2" t="s">
        <v>6</v>
      </c>
      <c r="DJ384" s="2" t="s">
        <v>6</v>
      </c>
      <c r="DK384" s="2" t="s">
        <v>6</v>
      </c>
      <c r="DL384" s="2" t="s">
        <v>6</v>
      </c>
      <c r="DM384" s="2" t="s">
        <v>6</v>
      </c>
      <c r="DN384" s="2">
        <v>0</v>
      </c>
      <c r="DO384" s="2">
        <v>0</v>
      </c>
      <c r="DP384" s="2">
        <v>1</v>
      </c>
      <c r="DQ384" s="2">
        <v>1</v>
      </c>
      <c r="DR384" s="2"/>
      <c r="DS384" s="2"/>
      <c r="DT384" s="2"/>
      <c r="DU384" s="2">
        <v>1003</v>
      </c>
      <c r="DV384" s="2" t="s">
        <v>298</v>
      </c>
      <c r="DW384" s="2" t="s">
        <v>298</v>
      </c>
      <c r="DX384" s="2">
        <v>100</v>
      </c>
      <c r="DY384" s="2"/>
      <c r="DZ384" s="2" t="s">
        <v>6</v>
      </c>
      <c r="EA384" s="2" t="s">
        <v>6</v>
      </c>
      <c r="EB384" s="2" t="s">
        <v>6</v>
      </c>
      <c r="EC384" s="2" t="s">
        <v>6</v>
      </c>
      <c r="ED384" s="2"/>
      <c r="EE384" s="2">
        <v>54938726</v>
      </c>
      <c r="EF384" s="2">
        <v>2</v>
      </c>
      <c r="EG384" s="2" t="s">
        <v>312</v>
      </c>
      <c r="EH384" s="2">
        <v>0</v>
      </c>
      <c r="EI384" s="2" t="s">
        <v>6</v>
      </c>
      <c r="EJ384" s="2">
        <v>2</v>
      </c>
      <c r="EK384" s="2">
        <v>108001</v>
      </c>
      <c r="EL384" s="2" t="s">
        <v>313</v>
      </c>
      <c r="EM384" s="2" t="s">
        <v>314</v>
      </c>
      <c r="EN384" s="2"/>
      <c r="EO384" s="2" t="s">
        <v>6</v>
      </c>
      <c r="EP384" s="2"/>
      <c r="EQ384" s="2">
        <v>2228224</v>
      </c>
      <c r="ER384" s="2">
        <v>187.52</v>
      </c>
      <c r="ES384" s="2">
        <v>19.16</v>
      </c>
      <c r="ET384" s="2">
        <v>23.51</v>
      </c>
      <c r="EU384" s="2">
        <v>1.22</v>
      </c>
      <c r="EV384" s="2">
        <v>144.85</v>
      </c>
      <c r="EW384" s="2">
        <v>15.28</v>
      </c>
      <c r="EX384" s="2">
        <v>0.09</v>
      </c>
      <c r="EY384" s="2">
        <v>1</v>
      </c>
      <c r="EZ384" s="2"/>
      <c r="FA384" s="2"/>
      <c r="FB384" s="2"/>
      <c r="FC384" s="2"/>
      <c r="FD384" s="2"/>
      <c r="FE384" s="2"/>
      <c r="FF384" s="2"/>
      <c r="FG384" s="2"/>
      <c r="FH384" s="2"/>
      <c r="FI384" s="2"/>
      <c r="FJ384" s="2"/>
      <c r="FK384" s="2"/>
      <c r="FL384" s="2"/>
      <c r="FM384" s="2"/>
      <c r="FN384" s="2"/>
      <c r="FO384" s="2"/>
      <c r="FP384" s="2"/>
      <c r="FQ384" s="2">
        <v>0</v>
      </c>
      <c r="FR384" s="2">
        <f t="shared" si="445"/>
        <v>0</v>
      </c>
      <c r="FS384" s="2">
        <v>0</v>
      </c>
      <c r="FT384" s="2"/>
      <c r="FU384" s="2"/>
      <c r="FV384" s="2"/>
      <c r="FW384" s="2"/>
      <c r="FX384" s="2">
        <v>95</v>
      </c>
      <c r="FY384" s="2">
        <v>65</v>
      </c>
      <c r="FZ384" s="2"/>
      <c r="GA384" s="2" t="s">
        <v>6</v>
      </c>
      <c r="GB384" s="2"/>
      <c r="GC384" s="2"/>
      <c r="GD384" s="2">
        <v>1</v>
      </c>
      <c r="GE384" s="2"/>
      <c r="GF384" s="2">
        <v>-65854085</v>
      </c>
      <c r="GG384" s="2">
        <v>2</v>
      </c>
      <c r="GH384" s="2">
        <v>1</v>
      </c>
      <c r="GI384" s="2">
        <v>-2</v>
      </c>
      <c r="GJ384" s="2">
        <v>0</v>
      </c>
      <c r="GK384" s="2">
        <v>0</v>
      </c>
      <c r="GL384" s="2">
        <f t="shared" si="446"/>
        <v>0</v>
      </c>
      <c r="GM384" s="2">
        <f t="shared" si="447"/>
        <v>272</v>
      </c>
      <c r="GN384" s="2">
        <f t="shared" si="448"/>
        <v>0</v>
      </c>
      <c r="GO384" s="2">
        <f t="shared" si="449"/>
        <v>272</v>
      </c>
      <c r="GP384" s="2">
        <f t="shared" si="450"/>
        <v>0</v>
      </c>
      <c r="GQ384" s="2"/>
      <c r="GR384" s="2">
        <v>0</v>
      </c>
      <c r="GS384" s="2">
        <v>3</v>
      </c>
      <c r="GT384" s="2">
        <v>0</v>
      </c>
      <c r="GU384" s="2" t="s">
        <v>6</v>
      </c>
      <c r="GV384" s="2">
        <f t="shared" si="451"/>
        <v>0</v>
      </c>
      <c r="GW384" s="2">
        <v>1</v>
      </c>
      <c r="GX384" s="2">
        <f t="shared" si="452"/>
        <v>0</v>
      </c>
      <c r="GY384" s="2"/>
      <c r="GZ384" s="2"/>
      <c r="HA384" s="2">
        <v>0</v>
      </c>
      <c r="HB384" s="2">
        <v>0</v>
      </c>
      <c r="HC384" s="2">
        <f t="shared" si="453"/>
        <v>0</v>
      </c>
      <c r="HD384" s="2"/>
      <c r="HE384" s="2" t="s">
        <v>6</v>
      </c>
      <c r="HF384" s="2" t="s">
        <v>6</v>
      </c>
      <c r="HG384" s="2"/>
      <c r="HH384" s="2"/>
      <c r="HI384" s="2"/>
      <c r="HJ384" s="2"/>
      <c r="HK384" s="2"/>
      <c r="HL384" s="2"/>
      <c r="HM384" s="2" t="s">
        <v>6</v>
      </c>
      <c r="HN384" s="2" t="s">
        <v>6</v>
      </c>
      <c r="HO384" s="2" t="s">
        <v>6</v>
      </c>
      <c r="HP384" s="2" t="s">
        <v>6</v>
      </c>
      <c r="HQ384" s="2" t="s">
        <v>6</v>
      </c>
      <c r="HR384" s="2"/>
      <c r="HS384" s="2"/>
      <c r="HT384" s="2"/>
      <c r="HU384" s="2"/>
      <c r="HV384" s="2"/>
      <c r="HW384" s="2"/>
      <c r="HX384" s="2"/>
      <c r="HY384" s="2"/>
      <c r="HZ384" s="2"/>
      <c r="IA384" s="2"/>
      <c r="IB384" s="2"/>
      <c r="IC384" s="2"/>
      <c r="ID384" s="2"/>
      <c r="IE384" s="2"/>
      <c r="IF384" s="2">
        <v>-1</v>
      </c>
      <c r="IG384" s="2"/>
      <c r="IH384" s="2"/>
      <c r="II384" s="2"/>
      <c r="IJ384" s="2"/>
      <c r="IK384" s="2">
        <v>0</v>
      </c>
      <c r="IL384" s="2"/>
      <c r="IM384" s="2"/>
      <c r="IN384" s="2"/>
      <c r="IO384" s="2"/>
      <c r="IP384" s="2"/>
      <c r="IQ384" s="2"/>
      <c r="IR384" s="2"/>
      <c r="IS384" s="2"/>
      <c r="IT384" s="2"/>
      <c r="IU384" s="2"/>
    </row>
    <row r="385" spans="1:255" x14ac:dyDescent="0.2">
      <c r="A385">
        <v>17</v>
      </c>
      <c r="B385">
        <v>1</v>
      </c>
      <c r="C385">
        <f>ROW(SmtRes!A520)</f>
        <v>520</v>
      </c>
      <c r="D385">
        <f>ROW(EtalonRes!A434)</f>
        <v>434</v>
      </c>
      <c r="E385" t="s">
        <v>525</v>
      </c>
      <c r="F385" t="s">
        <v>309</v>
      </c>
      <c r="G385" t="s">
        <v>310</v>
      </c>
      <c r="H385" t="s">
        <v>298</v>
      </c>
      <c r="I385">
        <f>'2.Лок.смета.и.Акт'!E55</f>
        <v>0.68</v>
      </c>
      <c r="J385">
        <v>0</v>
      </c>
      <c r="K385">
        <v>2.72</v>
      </c>
      <c r="O385">
        <f t="shared" si="420"/>
        <v>2623</v>
      </c>
      <c r="P385">
        <f t="shared" si="421"/>
        <v>0</v>
      </c>
      <c r="Q385">
        <f t="shared" si="422"/>
        <v>125</v>
      </c>
      <c r="R385">
        <f t="shared" si="423"/>
        <v>16</v>
      </c>
      <c r="S385">
        <f t="shared" si="424"/>
        <v>2498</v>
      </c>
      <c r="T385">
        <f t="shared" si="425"/>
        <v>0</v>
      </c>
      <c r="U385" t="e">
        <f t="shared" si="426"/>
        <v>#REF!</v>
      </c>
      <c r="V385">
        <f t="shared" si="427"/>
        <v>6.1200000000000004E-2</v>
      </c>
      <c r="W385">
        <f t="shared" si="428"/>
        <v>0</v>
      </c>
      <c r="X385" t="e">
        <f t="shared" si="429"/>
        <v>#REF!</v>
      </c>
      <c r="Y385" t="e">
        <f t="shared" si="430"/>
        <v>#REF!</v>
      </c>
      <c r="AA385">
        <v>86326988</v>
      </c>
      <c r="AB385">
        <f t="shared" si="431"/>
        <v>168.36</v>
      </c>
      <c r="AC385">
        <f>ROUND((ES385+(SUM(SmtRes!BC510:'SmtRes'!BC520)+SUM(EtalonRes!AL427:'EtalonRes'!AL434))),2)</f>
        <v>0</v>
      </c>
      <c r="AD385">
        <f t="shared" si="417"/>
        <v>23.51</v>
      </c>
      <c r="AE385">
        <f t="shared" si="432"/>
        <v>1.22</v>
      </c>
      <c r="AF385">
        <f t="shared" si="454"/>
        <v>144.85</v>
      </c>
      <c r="AG385">
        <f t="shared" si="433"/>
        <v>0</v>
      </c>
      <c r="AH385" t="e">
        <f t="shared" si="455"/>
        <v>#REF!</v>
      </c>
      <c r="AI385">
        <f t="shared" si="434"/>
        <v>0.09</v>
      </c>
      <c r="AJ385">
        <f t="shared" si="435"/>
        <v>0</v>
      </c>
      <c r="AK385">
        <f>AL385+AM385+AO385</f>
        <v>187.51999999999998</v>
      </c>
      <c r="AL385">
        <v>19.16</v>
      </c>
      <c r="AM385" s="75">
        <f>'1.Лок.смета.и.Акт'!F715</f>
        <v>23.51</v>
      </c>
      <c r="AN385" s="75">
        <f>'1.Лок.смета.и.Акт'!F716</f>
        <v>1.22</v>
      </c>
      <c r="AO385" s="75">
        <f>'1.Лок.смета.и.Акт'!F714</f>
        <v>144.85</v>
      </c>
      <c r="AP385">
        <v>0</v>
      </c>
      <c r="AQ385" t="e">
        <f>'2.Лок.смета.и.Акт'!#REF!</f>
        <v>#REF!</v>
      </c>
      <c r="AR385">
        <v>0.09</v>
      </c>
      <c r="AS385">
        <v>0</v>
      </c>
      <c r="AT385">
        <v>90</v>
      </c>
      <c r="AU385">
        <v>55</v>
      </c>
      <c r="AV385">
        <v>1</v>
      </c>
      <c r="AW385">
        <v>1</v>
      </c>
      <c r="AZ385">
        <v>1</v>
      </c>
      <c r="BA385">
        <f>'1.Лок.смета.и.Акт'!J714</f>
        <v>25.36</v>
      </c>
      <c r="BB385">
        <f>'1.Лок.смета.и.Акт'!J715</f>
        <v>7.84</v>
      </c>
      <c r="BC385">
        <v>7.56</v>
      </c>
      <c r="BD385" t="s">
        <v>6</v>
      </c>
      <c r="BE385" t="s">
        <v>6</v>
      </c>
      <c r="BF385" t="s">
        <v>6</v>
      </c>
      <c r="BG385" t="s">
        <v>6</v>
      </c>
      <c r="BH385">
        <v>0</v>
      </c>
      <c r="BI385">
        <v>2</v>
      </c>
      <c r="BJ385" t="s">
        <v>311</v>
      </c>
      <c r="BM385">
        <v>108001</v>
      </c>
      <c r="BN385">
        <v>0</v>
      </c>
      <c r="BO385" t="s">
        <v>309</v>
      </c>
      <c r="BP385">
        <v>1</v>
      </c>
      <c r="BQ385">
        <v>2</v>
      </c>
      <c r="BR385">
        <v>0</v>
      </c>
      <c r="BS385">
        <f>'1.Лок.смета.и.Акт'!J716</f>
        <v>19.8</v>
      </c>
      <c r="BT385">
        <v>1</v>
      </c>
      <c r="BU385">
        <v>1</v>
      </c>
      <c r="BV385">
        <v>1</v>
      </c>
      <c r="BW385">
        <v>1</v>
      </c>
      <c r="BX385">
        <v>1</v>
      </c>
      <c r="BY385" t="s">
        <v>6</v>
      </c>
      <c r="BZ385" t="e">
        <f>'2.Лок.смета.и.Акт'!#REF!</f>
        <v>#REF!</v>
      </c>
      <c r="CA385" t="e">
        <f>'2.Лок.смета.и.Акт'!#REF!</f>
        <v>#REF!</v>
      </c>
      <c r="CB385" t="s">
        <v>6</v>
      </c>
      <c r="CE385">
        <v>0</v>
      </c>
      <c r="CF385">
        <v>0</v>
      </c>
      <c r="CG385">
        <v>0</v>
      </c>
      <c r="CM385">
        <v>0</v>
      </c>
      <c r="CN385" t="s">
        <v>6</v>
      </c>
      <c r="CO385">
        <v>0</v>
      </c>
      <c r="CP385">
        <f t="shared" si="436"/>
        <v>2623</v>
      </c>
      <c r="CQ385">
        <f t="shared" si="437"/>
        <v>0</v>
      </c>
      <c r="CR385">
        <f t="shared" si="438"/>
        <v>184.3184</v>
      </c>
      <c r="CS385">
        <f t="shared" si="439"/>
        <v>24.155999999999999</v>
      </c>
      <c r="CT385">
        <f t="shared" si="440"/>
        <v>3673.3959999999997</v>
      </c>
      <c r="CU385">
        <f t="shared" si="441"/>
        <v>0</v>
      </c>
      <c r="CV385" t="e">
        <f t="shared" si="442"/>
        <v>#REF!</v>
      </c>
      <c r="CW385">
        <f t="shared" si="443"/>
        <v>0.09</v>
      </c>
      <c r="CX385">
        <f t="shared" si="444"/>
        <v>0</v>
      </c>
      <c r="CY385" t="e">
        <f>(S385+R385)*(BZ385/100)</f>
        <v>#REF!</v>
      </c>
      <c r="CZ385" t="e">
        <f>(S385+R385)*(CA385/100)</f>
        <v>#REF!</v>
      </c>
      <c r="DC385" t="s">
        <v>6</v>
      </c>
      <c r="DD385" t="s">
        <v>6</v>
      </c>
      <c r="DE385" t="s">
        <v>6</v>
      </c>
      <c r="DF385" t="s">
        <v>6</v>
      </c>
      <c r="DG385" t="s">
        <v>6</v>
      </c>
      <c r="DH385" t="s">
        <v>6</v>
      </c>
      <c r="DI385" t="s">
        <v>6</v>
      </c>
      <c r="DJ385" t="s">
        <v>6</v>
      </c>
      <c r="DK385" t="s">
        <v>6</v>
      </c>
      <c r="DL385" t="s">
        <v>6</v>
      </c>
      <c r="DM385" t="s">
        <v>6</v>
      </c>
      <c r="DN385">
        <f>'1.Лок.смета.и.Акт'!E717</f>
        <v>95</v>
      </c>
      <c r="DO385">
        <f>'1.Лок.смета.и.Акт'!E718</f>
        <v>65</v>
      </c>
      <c r="DP385">
        <v>1</v>
      </c>
      <c r="DQ385">
        <v>1</v>
      </c>
      <c r="DU385">
        <v>1003</v>
      </c>
      <c r="DV385" t="s">
        <v>298</v>
      </c>
      <c r="DW385" t="str">
        <f>'2.Лок.смета.и.Акт'!D55</f>
        <v>100 м</v>
      </c>
      <c r="DX385">
        <v>100</v>
      </c>
      <c r="DZ385" t="s">
        <v>6</v>
      </c>
      <c r="EA385" t="s">
        <v>6</v>
      </c>
      <c r="EB385" t="s">
        <v>6</v>
      </c>
      <c r="EC385" t="s">
        <v>6</v>
      </c>
      <c r="EE385">
        <v>54938726</v>
      </c>
      <c r="EF385">
        <v>2</v>
      </c>
      <c r="EG385" t="s">
        <v>312</v>
      </c>
      <c r="EH385">
        <v>0</v>
      </c>
      <c r="EI385" t="s">
        <v>6</v>
      </c>
      <c r="EJ385">
        <v>2</v>
      </c>
      <c r="EK385">
        <v>108001</v>
      </c>
      <c r="EL385" t="s">
        <v>313</v>
      </c>
      <c r="EM385" t="s">
        <v>314</v>
      </c>
      <c r="EO385" t="s">
        <v>6</v>
      </c>
      <c r="EQ385">
        <v>2228224</v>
      </c>
      <c r="ER385">
        <f>ES385+ET385+EV385</f>
        <v>187.51999999999998</v>
      </c>
      <c r="ES385">
        <v>19.16</v>
      </c>
      <c r="ET385" s="75">
        <f>'1.Лок.смета.и.Акт'!F715</f>
        <v>23.51</v>
      </c>
      <c r="EU385" s="75">
        <f>'1.Лок.смета.и.Акт'!F716</f>
        <v>1.22</v>
      </c>
      <c r="EV385" s="75">
        <f>'1.Лок.смета.и.Акт'!F714</f>
        <v>144.85</v>
      </c>
      <c r="EW385" t="e">
        <f>'2.Лок.смета.и.Акт'!#REF!</f>
        <v>#REF!</v>
      </c>
      <c r="EX385">
        <v>0.09</v>
      </c>
      <c r="EY385">
        <v>1</v>
      </c>
      <c r="FQ385">
        <v>0</v>
      </c>
      <c r="FR385">
        <f t="shared" si="445"/>
        <v>0</v>
      </c>
      <c r="FS385">
        <v>0</v>
      </c>
      <c r="FX385">
        <v>95</v>
      </c>
      <c r="FY385">
        <v>65</v>
      </c>
      <c r="GA385" t="s">
        <v>6</v>
      </c>
      <c r="GD385">
        <v>1</v>
      </c>
      <c r="GF385">
        <v>-65854085</v>
      </c>
      <c r="GG385">
        <v>2</v>
      </c>
      <c r="GH385">
        <v>1</v>
      </c>
      <c r="GI385">
        <v>2</v>
      </c>
      <c r="GJ385">
        <v>0</v>
      </c>
      <c r="GK385">
        <v>0</v>
      </c>
      <c r="GL385">
        <f t="shared" si="446"/>
        <v>0</v>
      </c>
      <c r="GM385" t="e">
        <f t="shared" si="447"/>
        <v>#REF!</v>
      </c>
      <c r="GN385">
        <f t="shared" si="448"/>
        <v>0</v>
      </c>
      <c r="GO385" t="e">
        <f t="shared" si="449"/>
        <v>#REF!</v>
      </c>
      <c r="GP385">
        <f t="shared" si="450"/>
        <v>0</v>
      </c>
      <c r="GR385">
        <v>0</v>
      </c>
      <c r="GS385">
        <v>3</v>
      </c>
      <c r="GT385">
        <v>0</v>
      </c>
      <c r="GU385" t="s">
        <v>6</v>
      </c>
      <c r="GV385">
        <f t="shared" si="451"/>
        <v>0</v>
      </c>
      <c r="GW385">
        <v>1015.2</v>
      </c>
      <c r="GX385">
        <f t="shared" si="452"/>
        <v>0</v>
      </c>
      <c r="HA385">
        <v>0</v>
      </c>
      <c r="HB385">
        <v>0</v>
      </c>
      <c r="HC385">
        <f t="shared" si="453"/>
        <v>0</v>
      </c>
      <c r="HE385" t="s">
        <v>6</v>
      </c>
      <c r="HF385" t="s">
        <v>6</v>
      </c>
      <c r="HM385" t="s">
        <v>6</v>
      </c>
      <c r="HN385" t="s">
        <v>6</v>
      </c>
      <c r="HO385" t="s">
        <v>6</v>
      </c>
      <c r="HP385" t="s">
        <v>6</v>
      </c>
      <c r="HQ385" t="s">
        <v>6</v>
      </c>
      <c r="IF385">
        <v>-1</v>
      </c>
      <c r="IK385">
        <v>0</v>
      </c>
    </row>
    <row r="386" spans="1:255" x14ac:dyDescent="0.2">
      <c r="A386" s="2">
        <v>18</v>
      </c>
      <c r="B386" s="2">
        <v>1</v>
      </c>
      <c r="C386" s="2">
        <v>504</v>
      </c>
      <c r="D386" s="2"/>
      <c r="E386" s="2" t="s">
        <v>526</v>
      </c>
      <c r="F386" s="2" t="s">
        <v>316</v>
      </c>
      <c r="G386" s="2" t="s">
        <v>317</v>
      </c>
      <c r="H386" s="2" t="s">
        <v>33</v>
      </c>
      <c r="I386" s="2">
        <f>I384*J386</f>
        <v>1.4959999999999999E-3</v>
      </c>
      <c r="J386" s="226">
        <f>'5.Ведомость_списания'!F169</f>
        <v>2.1999999999999997E-3</v>
      </c>
      <c r="K386" s="2">
        <v>2.2000000000000001E-3</v>
      </c>
      <c r="L386" s="2"/>
      <c r="M386" s="2"/>
      <c r="N386" s="2"/>
      <c r="O386" s="2">
        <f t="shared" si="420"/>
        <v>16</v>
      </c>
      <c r="P386" s="2">
        <f t="shared" si="421"/>
        <v>16</v>
      </c>
      <c r="Q386" s="2">
        <f t="shared" si="422"/>
        <v>0</v>
      </c>
      <c r="R386" s="2">
        <f t="shared" si="423"/>
        <v>0</v>
      </c>
      <c r="S386" s="2">
        <f t="shared" si="424"/>
        <v>0</v>
      </c>
      <c r="T386" s="2">
        <f t="shared" si="425"/>
        <v>0</v>
      </c>
      <c r="U386" s="2">
        <f t="shared" si="426"/>
        <v>0</v>
      </c>
      <c r="V386" s="2">
        <f t="shared" si="427"/>
        <v>0</v>
      </c>
      <c r="W386" s="2">
        <f t="shared" si="428"/>
        <v>0</v>
      </c>
      <c r="X386" s="2">
        <f t="shared" si="429"/>
        <v>0</v>
      </c>
      <c r="Y386" s="2">
        <f t="shared" si="430"/>
        <v>0</v>
      </c>
      <c r="Z386" s="2"/>
      <c r="AA386" s="2">
        <v>86326987</v>
      </c>
      <c r="AB386" s="2">
        <f t="shared" si="431"/>
        <v>10559.12</v>
      </c>
      <c r="AC386" s="2">
        <f t="shared" ref="AC386:AC403" si="456">ROUND((ES386),2)</f>
        <v>10559.12</v>
      </c>
      <c r="AD386" s="2">
        <f t="shared" si="417"/>
        <v>0</v>
      </c>
      <c r="AE386" s="2">
        <f t="shared" si="432"/>
        <v>0</v>
      </c>
      <c r="AF386" s="2">
        <f t="shared" si="454"/>
        <v>0</v>
      </c>
      <c r="AG386" s="2">
        <f t="shared" si="433"/>
        <v>0</v>
      </c>
      <c r="AH386" s="2">
        <f t="shared" si="455"/>
        <v>0</v>
      </c>
      <c r="AI386" s="2">
        <f t="shared" si="434"/>
        <v>0</v>
      </c>
      <c r="AJ386" s="2">
        <f t="shared" si="435"/>
        <v>22.28</v>
      </c>
      <c r="AK386" s="2">
        <v>10559.12</v>
      </c>
      <c r="AL386" s="110">
        <f>'1.Лок.смета.и.Акт'!F720</f>
        <v>10559.12</v>
      </c>
      <c r="AM386" s="2">
        <v>0</v>
      </c>
      <c r="AN386" s="2">
        <v>0</v>
      </c>
      <c r="AO386" s="2">
        <v>0</v>
      </c>
      <c r="AP386" s="2">
        <v>0</v>
      </c>
      <c r="AQ386" s="2">
        <v>0</v>
      </c>
      <c r="AR386" s="2">
        <v>0</v>
      </c>
      <c r="AS386" s="2">
        <v>22.28</v>
      </c>
      <c r="AT386" s="2">
        <v>0</v>
      </c>
      <c r="AU386" s="2">
        <v>0</v>
      </c>
      <c r="AV386" s="2">
        <v>1</v>
      </c>
      <c r="AW386" s="2">
        <v>1</v>
      </c>
      <c r="AX386" s="2"/>
      <c r="AY386" s="2"/>
      <c r="AZ386" s="2">
        <v>1</v>
      </c>
      <c r="BA386" s="2">
        <v>1</v>
      </c>
      <c r="BB386" s="2">
        <v>1</v>
      </c>
      <c r="BC386" s="2">
        <v>1</v>
      </c>
      <c r="BD386" s="2" t="s">
        <v>6</v>
      </c>
      <c r="BE386" s="2" t="s">
        <v>6</v>
      </c>
      <c r="BF386" s="2" t="s">
        <v>6</v>
      </c>
      <c r="BG386" s="2" t="s">
        <v>6</v>
      </c>
      <c r="BH386" s="2">
        <v>3</v>
      </c>
      <c r="BI386" s="2">
        <v>1</v>
      </c>
      <c r="BJ386" s="2" t="s">
        <v>318</v>
      </c>
      <c r="BK386" s="2"/>
      <c r="BL386" s="2"/>
      <c r="BM386" s="2">
        <v>500001</v>
      </c>
      <c r="BN386" s="2">
        <v>0</v>
      </c>
      <c r="BO386" s="2" t="s">
        <v>6</v>
      </c>
      <c r="BP386" s="2">
        <v>0</v>
      </c>
      <c r="BQ386" s="2">
        <v>20</v>
      </c>
      <c r="BR386" s="2">
        <v>0</v>
      </c>
      <c r="BS386" s="2">
        <v>1</v>
      </c>
      <c r="BT386" s="2">
        <v>1</v>
      </c>
      <c r="BU386" s="2">
        <v>1</v>
      </c>
      <c r="BV386" s="2">
        <v>1</v>
      </c>
      <c r="BW386" s="2">
        <v>1</v>
      </c>
      <c r="BX386" s="2">
        <v>1</v>
      </c>
      <c r="BY386" s="2" t="s">
        <v>6</v>
      </c>
      <c r="BZ386" s="2">
        <v>0</v>
      </c>
      <c r="CA386" s="2">
        <v>0</v>
      </c>
      <c r="CB386" s="2" t="s">
        <v>6</v>
      </c>
      <c r="CC386" s="2"/>
      <c r="CD386" s="2"/>
      <c r="CE386" s="2">
        <v>0</v>
      </c>
      <c r="CF386" s="2">
        <v>0</v>
      </c>
      <c r="CG386" s="2">
        <v>0</v>
      </c>
      <c r="CH386" s="2"/>
      <c r="CI386" s="2"/>
      <c r="CJ386" s="2"/>
      <c r="CK386" s="2"/>
      <c r="CL386" s="2"/>
      <c r="CM386" s="2">
        <v>0</v>
      </c>
      <c r="CN386" s="2" t="s">
        <v>6</v>
      </c>
      <c r="CO386" s="2">
        <v>0</v>
      </c>
      <c r="CP386" s="2">
        <f t="shared" si="436"/>
        <v>16</v>
      </c>
      <c r="CQ386" s="2">
        <f t="shared" si="437"/>
        <v>10559.12</v>
      </c>
      <c r="CR386" s="2">
        <f t="shared" si="438"/>
        <v>0</v>
      </c>
      <c r="CS386" s="2">
        <f t="shared" si="439"/>
        <v>0</v>
      </c>
      <c r="CT386" s="2">
        <f t="shared" si="440"/>
        <v>0</v>
      </c>
      <c r="CU386" s="2">
        <f t="shared" si="441"/>
        <v>0</v>
      </c>
      <c r="CV386" s="2">
        <f t="shared" si="442"/>
        <v>0</v>
      </c>
      <c r="CW386" s="2">
        <f t="shared" si="443"/>
        <v>0</v>
      </c>
      <c r="CX386" s="2">
        <f t="shared" si="444"/>
        <v>22.28</v>
      </c>
      <c r="CY386" s="2">
        <f>(((S386+(R386*IF(0,0,1)))*AT386)/100)</f>
        <v>0</v>
      </c>
      <c r="CZ386" s="2">
        <f>(((S386+(R386*IF(0,0,1)))*AU386)/100)</f>
        <v>0</v>
      </c>
      <c r="DA386" s="2"/>
      <c r="DB386" s="2"/>
      <c r="DC386" s="2" t="s">
        <v>6</v>
      </c>
      <c r="DD386" s="2" t="s">
        <v>6</v>
      </c>
      <c r="DE386" s="2" t="s">
        <v>6</v>
      </c>
      <c r="DF386" s="2" t="s">
        <v>6</v>
      </c>
      <c r="DG386" s="2" t="s">
        <v>6</v>
      </c>
      <c r="DH386" s="2" t="s">
        <v>6</v>
      </c>
      <c r="DI386" s="2" t="s">
        <v>6</v>
      </c>
      <c r="DJ386" s="2" t="s">
        <v>6</v>
      </c>
      <c r="DK386" s="2" t="s">
        <v>6</v>
      </c>
      <c r="DL386" s="2" t="s">
        <v>6</v>
      </c>
      <c r="DM386" s="2" t="s">
        <v>6</v>
      </c>
      <c r="DN386" s="2">
        <v>0</v>
      </c>
      <c r="DO386" s="2">
        <v>0</v>
      </c>
      <c r="DP386" s="2">
        <v>1</v>
      </c>
      <c r="DQ386" s="2">
        <v>1</v>
      </c>
      <c r="DR386" s="2"/>
      <c r="DS386" s="2"/>
      <c r="DT386" s="2"/>
      <c r="DU386" s="2">
        <v>1009</v>
      </c>
      <c r="DV386" s="2" t="s">
        <v>33</v>
      </c>
      <c r="DW386" s="2" t="s">
        <v>33</v>
      </c>
      <c r="DX386" s="2">
        <v>1000</v>
      </c>
      <c r="DY386" s="2"/>
      <c r="DZ386" s="2" t="s">
        <v>6</v>
      </c>
      <c r="EA386" s="2" t="s">
        <v>6</v>
      </c>
      <c r="EB386" s="2" t="s">
        <v>6</v>
      </c>
      <c r="EC386" s="2" t="s">
        <v>6</v>
      </c>
      <c r="ED386" s="2"/>
      <c r="EE386" s="2">
        <v>54938781</v>
      </c>
      <c r="EF386" s="2">
        <v>20</v>
      </c>
      <c r="EG386" s="2" t="s">
        <v>35</v>
      </c>
      <c r="EH386" s="2">
        <v>0</v>
      </c>
      <c r="EI386" s="2" t="s">
        <v>6</v>
      </c>
      <c r="EJ386" s="2">
        <v>1</v>
      </c>
      <c r="EK386" s="2">
        <v>500001</v>
      </c>
      <c r="EL386" s="2" t="s">
        <v>36</v>
      </c>
      <c r="EM386" s="2" t="s">
        <v>37</v>
      </c>
      <c r="EN386" s="2"/>
      <c r="EO386" s="2" t="s">
        <v>6</v>
      </c>
      <c r="EP386" s="2"/>
      <c r="EQ386" s="2">
        <v>0</v>
      </c>
      <c r="ER386" s="2">
        <v>10559.12</v>
      </c>
      <c r="ES386" s="110">
        <f>'1.Лок.смета.и.Акт'!F720</f>
        <v>10559.12</v>
      </c>
      <c r="ET386" s="2">
        <v>0</v>
      </c>
      <c r="EU386" s="2">
        <v>0</v>
      </c>
      <c r="EV386" s="2">
        <v>0</v>
      </c>
      <c r="EW386" s="2">
        <v>0</v>
      </c>
      <c r="EX386" s="2">
        <v>0</v>
      </c>
      <c r="EY386" s="2"/>
      <c r="EZ386" s="2"/>
      <c r="FA386" s="2"/>
      <c r="FB386" s="2"/>
      <c r="FC386" s="2"/>
      <c r="FD386" s="2"/>
      <c r="FE386" s="2"/>
      <c r="FF386" s="2"/>
      <c r="FG386" s="2"/>
      <c r="FH386" s="2"/>
      <c r="FI386" s="2"/>
      <c r="FJ386" s="2"/>
      <c r="FK386" s="2"/>
      <c r="FL386" s="2"/>
      <c r="FM386" s="2"/>
      <c r="FN386" s="2"/>
      <c r="FO386" s="2"/>
      <c r="FP386" s="2"/>
      <c r="FQ386" s="2">
        <v>0</v>
      </c>
      <c r="FR386" s="2">
        <f t="shared" si="445"/>
        <v>0</v>
      </c>
      <c r="FS386" s="2">
        <v>0</v>
      </c>
      <c r="FT386" s="2"/>
      <c r="FU386" s="2"/>
      <c r="FV386" s="2"/>
      <c r="FW386" s="2"/>
      <c r="FX386" s="2">
        <v>0</v>
      </c>
      <c r="FY386" s="2">
        <v>0</v>
      </c>
      <c r="FZ386" s="2"/>
      <c r="GA386" s="2" t="s">
        <v>6</v>
      </c>
      <c r="GB386" s="2"/>
      <c r="GC386" s="2"/>
      <c r="GD386" s="2">
        <v>1</v>
      </c>
      <c r="GE386" s="2"/>
      <c r="GF386" s="2">
        <v>1988624183</v>
      </c>
      <c r="GG386" s="2">
        <v>2</v>
      </c>
      <c r="GH386" s="2">
        <v>0</v>
      </c>
      <c r="GI386" s="2">
        <v>-2</v>
      </c>
      <c r="GJ386" s="2">
        <v>0</v>
      </c>
      <c r="GK386" s="2">
        <v>0</v>
      </c>
      <c r="GL386" s="2">
        <f t="shared" si="446"/>
        <v>0</v>
      </c>
      <c r="GM386" s="2">
        <f t="shared" si="447"/>
        <v>16</v>
      </c>
      <c r="GN386" s="2">
        <f t="shared" si="448"/>
        <v>16</v>
      </c>
      <c r="GO386" s="2">
        <f t="shared" si="449"/>
        <v>0</v>
      </c>
      <c r="GP386" s="2">
        <f t="shared" si="450"/>
        <v>0</v>
      </c>
      <c r="GQ386" s="2"/>
      <c r="GR386" s="2">
        <v>0</v>
      </c>
      <c r="GS386" s="2">
        <v>3</v>
      </c>
      <c r="GT386" s="2">
        <v>0</v>
      </c>
      <c r="GU386" s="2" t="s">
        <v>6</v>
      </c>
      <c r="GV386" s="2">
        <f t="shared" si="451"/>
        <v>0</v>
      </c>
      <c r="GW386" s="2">
        <v>1</v>
      </c>
      <c r="GX386" s="2">
        <f t="shared" si="452"/>
        <v>0</v>
      </c>
      <c r="GY386" s="2"/>
      <c r="GZ386" s="2"/>
      <c r="HA386" s="2">
        <v>0</v>
      </c>
      <c r="HB386" s="2">
        <v>0</v>
      </c>
      <c r="HC386" s="2">
        <f t="shared" si="453"/>
        <v>0</v>
      </c>
      <c r="HD386" s="2"/>
      <c r="HE386" s="2" t="s">
        <v>6</v>
      </c>
      <c r="HF386" s="2" t="s">
        <v>6</v>
      </c>
      <c r="HG386" s="2"/>
      <c r="HH386" s="2"/>
      <c r="HI386" s="2"/>
      <c r="HJ386" s="2"/>
      <c r="HK386" s="2"/>
      <c r="HL386" s="2"/>
      <c r="HM386" s="2" t="s">
        <v>6</v>
      </c>
      <c r="HN386" s="2" t="s">
        <v>6</v>
      </c>
      <c r="HO386" s="2" t="s">
        <v>6</v>
      </c>
      <c r="HP386" s="2" t="s">
        <v>6</v>
      </c>
      <c r="HQ386" s="2" t="s">
        <v>6</v>
      </c>
      <c r="HR386" s="2"/>
      <c r="HS386" s="2"/>
      <c r="HT386" s="2"/>
      <c r="HU386" s="2"/>
      <c r="HV386" s="2"/>
      <c r="HW386" s="2"/>
      <c r="HX386" s="2"/>
      <c r="HY386" s="2"/>
      <c r="HZ386" s="2"/>
      <c r="IA386" s="2"/>
      <c r="IB386" s="2"/>
      <c r="IC386" s="2"/>
      <c r="ID386" s="2"/>
      <c r="IE386" s="2"/>
      <c r="IF386" s="2">
        <v>-1</v>
      </c>
      <c r="IG386" s="2"/>
      <c r="IH386" s="2"/>
      <c r="II386" s="2"/>
      <c r="IJ386" s="2"/>
      <c r="IK386" s="2">
        <v>0</v>
      </c>
      <c r="IL386" s="2"/>
      <c r="IM386" s="2"/>
      <c r="IN386" s="2"/>
      <c r="IO386" s="2"/>
      <c r="IP386" s="2"/>
      <c r="IQ386" s="2"/>
      <c r="IR386" s="2"/>
      <c r="IS386" s="2"/>
      <c r="IT386" s="2"/>
      <c r="IU386" s="2"/>
    </row>
    <row r="387" spans="1:255" x14ac:dyDescent="0.2">
      <c r="A387">
        <v>18</v>
      </c>
      <c r="B387">
        <v>1</v>
      </c>
      <c r="C387">
        <v>515</v>
      </c>
      <c r="E387" t="s">
        <v>526</v>
      </c>
      <c r="F387" t="e">
        <f>'2.Лок.смета.и.Акт'!#REF!</f>
        <v>#REF!</v>
      </c>
      <c r="G387" t="s">
        <v>317</v>
      </c>
      <c r="H387" t="s">
        <v>33</v>
      </c>
      <c r="I387">
        <f>I385*J387</f>
        <v>1.4959999999999999E-3</v>
      </c>
      <c r="J387">
        <v>2.1999999999999997E-3</v>
      </c>
      <c r="K387">
        <v>2.2000000000000001E-3</v>
      </c>
      <c r="O387">
        <f t="shared" si="420"/>
        <v>153</v>
      </c>
      <c r="P387">
        <f t="shared" si="421"/>
        <v>153</v>
      </c>
      <c r="Q387">
        <f t="shared" si="422"/>
        <v>0</v>
      </c>
      <c r="R387">
        <f t="shared" si="423"/>
        <v>0</v>
      </c>
      <c r="S387">
        <f t="shared" si="424"/>
        <v>0</v>
      </c>
      <c r="T387">
        <f t="shared" si="425"/>
        <v>0</v>
      </c>
      <c r="U387">
        <f t="shared" si="426"/>
        <v>0</v>
      </c>
      <c r="V387">
        <f t="shared" si="427"/>
        <v>0</v>
      </c>
      <c r="W387">
        <f t="shared" si="428"/>
        <v>0</v>
      </c>
      <c r="X387">
        <f t="shared" si="429"/>
        <v>0</v>
      </c>
      <c r="Y387">
        <f t="shared" si="430"/>
        <v>0</v>
      </c>
      <c r="AA387">
        <v>86326988</v>
      </c>
      <c r="AB387">
        <f t="shared" si="431"/>
        <v>13505.55</v>
      </c>
      <c r="AC387">
        <f t="shared" si="456"/>
        <v>13505.55</v>
      </c>
      <c r="AD387">
        <f t="shared" si="417"/>
        <v>0</v>
      </c>
      <c r="AE387">
        <f t="shared" si="432"/>
        <v>0</v>
      </c>
      <c r="AF387">
        <f t="shared" si="454"/>
        <v>0</v>
      </c>
      <c r="AG387">
        <f t="shared" si="433"/>
        <v>0</v>
      </c>
      <c r="AH387">
        <f t="shared" si="455"/>
        <v>0</v>
      </c>
      <c r="AI387">
        <f t="shared" si="434"/>
        <v>0</v>
      </c>
      <c r="AJ387">
        <f t="shared" si="435"/>
        <v>22.28</v>
      </c>
      <c r="AK387">
        <v>13505.55</v>
      </c>
      <c r="AL387">
        <v>13505.55</v>
      </c>
      <c r="AM387">
        <v>0</v>
      </c>
      <c r="AN387">
        <v>0</v>
      </c>
      <c r="AO387">
        <v>0</v>
      </c>
      <c r="AP387">
        <v>0</v>
      </c>
      <c r="AQ387">
        <v>0</v>
      </c>
      <c r="AR387">
        <v>0</v>
      </c>
      <c r="AS387">
        <v>22.28</v>
      </c>
      <c r="AT387">
        <v>0</v>
      </c>
      <c r="AU387">
        <v>0</v>
      </c>
      <c r="AV387">
        <v>1</v>
      </c>
      <c r="AW387">
        <v>1</v>
      </c>
      <c r="AZ387">
        <v>1</v>
      </c>
      <c r="BA387">
        <v>1</v>
      </c>
      <c r="BB387">
        <v>1</v>
      </c>
      <c r="BC387">
        <v>7.56</v>
      </c>
      <c r="BD387" t="s">
        <v>6</v>
      </c>
      <c r="BE387" t="s">
        <v>6</v>
      </c>
      <c r="BF387" t="s">
        <v>6</v>
      </c>
      <c r="BG387" t="s">
        <v>6</v>
      </c>
      <c r="BH387">
        <v>3</v>
      </c>
      <c r="BI387">
        <v>1</v>
      </c>
      <c r="BJ387" t="s">
        <v>318</v>
      </c>
      <c r="BM387">
        <v>500001</v>
      </c>
      <c r="BN387">
        <v>0</v>
      </c>
      <c r="BO387" t="s">
        <v>6</v>
      </c>
      <c r="BP387">
        <v>0</v>
      </c>
      <c r="BQ387">
        <v>20</v>
      </c>
      <c r="BR387">
        <v>0</v>
      </c>
      <c r="BS387">
        <v>1</v>
      </c>
      <c r="BT387">
        <v>1</v>
      </c>
      <c r="BU387">
        <v>1</v>
      </c>
      <c r="BV387">
        <v>1</v>
      </c>
      <c r="BW387">
        <v>1</v>
      </c>
      <c r="BX387">
        <v>1</v>
      </c>
      <c r="BY387" t="s">
        <v>6</v>
      </c>
      <c r="BZ387">
        <v>0</v>
      </c>
      <c r="CA387">
        <v>0</v>
      </c>
      <c r="CB387" t="s">
        <v>6</v>
      </c>
      <c r="CE387">
        <v>0</v>
      </c>
      <c r="CF387">
        <v>0</v>
      </c>
      <c r="CG387">
        <v>0</v>
      </c>
      <c r="CM387">
        <v>0</v>
      </c>
      <c r="CN387" t="s">
        <v>6</v>
      </c>
      <c r="CO387">
        <v>0</v>
      </c>
      <c r="CP387">
        <f t="shared" si="436"/>
        <v>153</v>
      </c>
      <c r="CQ387">
        <f t="shared" si="437"/>
        <v>102101.95799999998</v>
      </c>
      <c r="CR387">
        <f t="shared" si="438"/>
        <v>0</v>
      </c>
      <c r="CS387">
        <f t="shared" si="439"/>
        <v>0</v>
      </c>
      <c r="CT387">
        <f t="shared" si="440"/>
        <v>0</v>
      </c>
      <c r="CU387">
        <f t="shared" si="441"/>
        <v>0</v>
      </c>
      <c r="CV387">
        <f t="shared" si="442"/>
        <v>0</v>
      </c>
      <c r="CW387">
        <f t="shared" si="443"/>
        <v>0</v>
      </c>
      <c r="CX387">
        <f t="shared" si="444"/>
        <v>22.28</v>
      </c>
      <c r="CY387">
        <f>(S387+R387)*(BZ387/100)</f>
        <v>0</v>
      </c>
      <c r="CZ387">
        <f>(S387+R387)*(CA387/100)</f>
        <v>0</v>
      </c>
      <c r="DC387" t="s">
        <v>6</v>
      </c>
      <c r="DD387" t="s">
        <v>6</v>
      </c>
      <c r="DE387" t="s">
        <v>6</v>
      </c>
      <c r="DF387" t="s">
        <v>6</v>
      </c>
      <c r="DG387" t="s">
        <v>6</v>
      </c>
      <c r="DH387" t="s">
        <v>6</v>
      </c>
      <c r="DI387" t="s">
        <v>6</v>
      </c>
      <c r="DJ387" t="s">
        <v>6</v>
      </c>
      <c r="DK387" t="s">
        <v>6</v>
      </c>
      <c r="DL387" t="s">
        <v>6</v>
      </c>
      <c r="DM387" t="s">
        <v>6</v>
      </c>
      <c r="DN387">
        <v>0</v>
      </c>
      <c r="DO387">
        <v>0</v>
      </c>
      <c r="DP387">
        <v>1</v>
      </c>
      <c r="DQ387">
        <v>1</v>
      </c>
      <c r="DU387">
        <v>1009</v>
      </c>
      <c r="DV387" t="s">
        <v>33</v>
      </c>
      <c r="DW387" t="e">
        <f>'2.Лок.смета.и.Акт'!#REF!</f>
        <v>#REF!</v>
      </c>
      <c r="DX387">
        <v>1000</v>
      </c>
      <c r="DZ387" t="s">
        <v>6</v>
      </c>
      <c r="EA387" t="s">
        <v>6</v>
      </c>
      <c r="EB387" t="s">
        <v>6</v>
      </c>
      <c r="EC387" t="s">
        <v>6</v>
      </c>
      <c r="EE387">
        <v>54938781</v>
      </c>
      <c r="EF387">
        <v>20</v>
      </c>
      <c r="EG387" t="s">
        <v>35</v>
      </c>
      <c r="EH387">
        <v>0</v>
      </c>
      <c r="EI387" t="s">
        <v>6</v>
      </c>
      <c r="EJ387">
        <v>1</v>
      </c>
      <c r="EK387">
        <v>500001</v>
      </c>
      <c r="EL387" t="s">
        <v>36</v>
      </c>
      <c r="EM387" t="s">
        <v>37</v>
      </c>
      <c r="EO387" t="s">
        <v>6</v>
      </c>
      <c r="EQ387">
        <v>0</v>
      </c>
      <c r="ER387">
        <v>96250</v>
      </c>
      <c r="ES387">
        <v>13505.55</v>
      </c>
      <c r="ET387">
        <v>0</v>
      </c>
      <c r="EU387">
        <v>0</v>
      </c>
      <c r="EV387">
        <v>0</v>
      </c>
      <c r="EW387">
        <v>0</v>
      </c>
      <c r="EX387">
        <v>0</v>
      </c>
      <c r="EZ387">
        <v>5</v>
      </c>
      <c r="FC387">
        <v>0</v>
      </c>
      <c r="FD387">
        <v>18</v>
      </c>
      <c r="FF387">
        <v>96250</v>
      </c>
      <c r="FQ387">
        <v>0</v>
      </c>
      <c r="FR387">
        <f t="shared" si="445"/>
        <v>0</v>
      </c>
      <c r="FS387">
        <v>0</v>
      </c>
      <c r="FX387">
        <v>0</v>
      </c>
      <c r="FY387">
        <v>0</v>
      </c>
      <c r="GA387" t="s">
        <v>319</v>
      </c>
      <c r="GD387">
        <v>1</v>
      </c>
      <c r="GF387">
        <v>1988624183</v>
      </c>
      <c r="GG387">
        <v>2</v>
      </c>
      <c r="GH387">
        <v>3</v>
      </c>
      <c r="GI387">
        <v>5</v>
      </c>
      <c r="GJ387">
        <v>0</v>
      </c>
      <c r="GK387">
        <v>0</v>
      </c>
      <c r="GL387">
        <f t="shared" si="446"/>
        <v>0</v>
      </c>
      <c r="GM387">
        <f t="shared" si="447"/>
        <v>153</v>
      </c>
      <c r="GN387">
        <f t="shared" si="448"/>
        <v>153</v>
      </c>
      <c r="GO387">
        <f t="shared" si="449"/>
        <v>0</v>
      </c>
      <c r="GP387">
        <f t="shared" si="450"/>
        <v>0</v>
      </c>
      <c r="GR387">
        <v>1</v>
      </c>
      <c r="GS387">
        <v>1</v>
      </c>
      <c r="GT387">
        <v>0</v>
      </c>
      <c r="GU387" t="s">
        <v>6</v>
      </c>
      <c r="GV387">
        <f t="shared" si="451"/>
        <v>0</v>
      </c>
      <c r="GW387">
        <v>1</v>
      </c>
      <c r="GX387">
        <f t="shared" si="452"/>
        <v>0</v>
      </c>
      <c r="HA387">
        <v>0</v>
      </c>
      <c r="HB387">
        <v>0</v>
      </c>
      <c r="HC387">
        <f t="shared" si="453"/>
        <v>0</v>
      </c>
      <c r="HE387" t="s">
        <v>39</v>
      </c>
      <c r="HF387" t="s">
        <v>40</v>
      </c>
      <c r="HM387" t="s">
        <v>6</v>
      </c>
      <c r="HN387" t="s">
        <v>6</v>
      </c>
      <c r="HO387" t="s">
        <v>6</v>
      </c>
      <c r="HP387" t="s">
        <v>6</v>
      </c>
      <c r="HQ387" t="s">
        <v>6</v>
      </c>
      <c r="IF387">
        <v>-1</v>
      </c>
      <c r="IK387">
        <v>0</v>
      </c>
    </row>
    <row r="388" spans="1:255" x14ac:dyDescent="0.2">
      <c r="A388" s="2">
        <v>18</v>
      </c>
      <c r="B388" s="2">
        <v>1</v>
      </c>
      <c r="C388" s="2">
        <v>505</v>
      </c>
      <c r="D388" s="2"/>
      <c r="E388" s="2" t="s">
        <v>527</v>
      </c>
      <c r="F388" s="2" t="s">
        <v>321</v>
      </c>
      <c r="G388" s="2" t="s">
        <v>528</v>
      </c>
      <c r="H388" s="2" t="s">
        <v>323</v>
      </c>
      <c r="I388" s="2">
        <f>I384*J388</f>
        <v>28</v>
      </c>
      <c r="J388" s="226">
        <f>'5.Ведомость_списания'!F170</f>
        <v>41.17647058823529</v>
      </c>
      <c r="K388" s="2">
        <v>41.176470600000002</v>
      </c>
      <c r="L388" s="2"/>
      <c r="M388" s="2"/>
      <c r="N388" s="2"/>
      <c r="O388" s="2">
        <f t="shared" si="420"/>
        <v>222</v>
      </c>
      <c r="P388" s="2">
        <f t="shared" si="421"/>
        <v>222</v>
      </c>
      <c r="Q388" s="2">
        <f t="shared" si="422"/>
        <v>0</v>
      </c>
      <c r="R388" s="2">
        <f t="shared" si="423"/>
        <v>0</v>
      </c>
      <c r="S388" s="2">
        <f t="shared" si="424"/>
        <v>0</v>
      </c>
      <c r="T388" s="2">
        <f t="shared" si="425"/>
        <v>0</v>
      </c>
      <c r="U388" s="2">
        <f t="shared" si="426"/>
        <v>0</v>
      </c>
      <c r="V388" s="2">
        <f t="shared" si="427"/>
        <v>0</v>
      </c>
      <c r="W388" s="2">
        <f t="shared" si="428"/>
        <v>0</v>
      </c>
      <c r="X388" s="2">
        <f t="shared" si="429"/>
        <v>0</v>
      </c>
      <c r="Y388" s="2">
        <f t="shared" si="430"/>
        <v>0</v>
      </c>
      <c r="Z388" s="2"/>
      <c r="AA388" s="2">
        <v>86326987</v>
      </c>
      <c r="AB388" s="2">
        <f t="shared" si="431"/>
        <v>7.93</v>
      </c>
      <c r="AC388" s="2">
        <f t="shared" si="456"/>
        <v>7.93</v>
      </c>
      <c r="AD388" s="2">
        <f t="shared" si="417"/>
        <v>0</v>
      </c>
      <c r="AE388" s="2">
        <f t="shared" si="432"/>
        <v>0</v>
      </c>
      <c r="AF388" s="2">
        <f t="shared" si="454"/>
        <v>0</v>
      </c>
      <c r="AG388" s="2">
        <f t="shared" si="433"/>
        <v>0</v>
      </c>
      <c r="AH388" s="2">
        <f t="shared" si="455"/>
        <v>0</v>
      </c>
      <c r="AI388" s="2">
        <f t="shared" si="434"/>
        <v>0</v>
      </c>
      <c r="AJ388" s="2">
        <f t="shared" si="435"/>
        <v>0</v>
      </c>
      <c r="AK388" s="2">
        <v>7.93</v>
      </c>
      <c r="AL388" s="110">
        <f>'1.Лок.смета.и.Акт'!F722</f>
        <v>7.93</v>
      </c>
      <c r="AM388" s="2">
        <v>0</v>
      </c>
      <c r="AN388" s="2">
        <v>0</v>
      </c>
      <c r="AO388" s="2">
        <v>0</v>
      </c>
      <c r="AP388" s="2">
        <v>0</v>
      </c>
      <c r="AQ388" s="2">
        <v>0</v>
      </c>
      <c r="AR388" s="2">
        <v>0</v>
      </c>
      <c r="AS388" s="2">
        <v>0</v>
      </c>
      <c r="AT388" s="2">
        <v>0</v>
      </c>
      <c r="AU388" s="2">
        <v>0</v>
      </c>
      <c r="AV388" s="2">
        <v>1</v>
      </c>
      <c r="AW388" s="2">
        <v>1</v>
      </c>
      <c r="AX388" s="2"/>
      <c r="AY388" s="2"/>
      <c r="AZ388" s="2">
        <v>1</v>
      </c>
      <c r="BA388" s="2">
        <v>1</v>
      </c>
      <c r="BB388" s="2">
        <v>1</v>
      </c>
      <c r="BC388" s="2">
        <v>1</v>
      </c>
      <c r="BD388" s="2" t="s">
        <v>6</v>
      </c>
      <c r="BE388" s="2" t="s">
        <v>6</v>
      </c>
      <c r="BF388" s="2" t="s">
        <v>6</v>
      </c>
      <c r="BG388" s="2" t="s">
        <v>6</v>
      </c>
      <c r="BH388" s="2">
        <v>3</v>
      </c>
      <c r="BI388" s="2">
        <v>2</v>
      </c>
      <c r="BJ388" s="2" t="s">
        <v>324</v>
      </c>
      <c r="BK388" s="2"/>
      <c r="BL388" s="2"/>
      <c r="BM388" s="2">
        <v>500002</v>
      </c>
      <c r="BN388" s="2">
        <v>0</v>
      </c>
      <c r="BO388" s="2" t="s">
        <v>6</v>
      </c>
      <c r="BP388" s="2">
        <v>0</v>
      </c>
      <c r="BQ388" s="2">
        <v>21</v>
      </c>
      <c r="BR388" s="2">
        <v>0</v>
      </c>
      <c r="BS388" s="2">
        <v>1</v>
      </c>
      <c r="BT388" s="2">
        <v>1</v>
      </c>
      <c r="BU388" s="2">
        <v>1</v>
      </c>
      <c r="BV388" s="2">
        <v>1</v>
      </c>
      <c r="BW388" s="2">
        <v>1</v>
      </c>
      <c r="BX388" s="2">
        <v>1</v>
      </c>
      <c r="BY388" s="2" t="s">
        <v>6</v>
      </c>
      <c r="BZ388" s="2">
        <v>0</v>
      </c>
      <c r="CA388" s="2">
        <v>0</v>
      </c>
      <c r="CB388" s="2" t="s">
        <v>6</v>
      </c>
      <c r="CC388" s="2"/>
      <c r="CD388" s="2"/>
      <c r="CE388" s="2">
        <v>0</v>
      </c>
      <c r="CF388" s="2">
        <v>0</v>
      </c>
      <c r="CG388" s="2">
        <v>0</v>
      </c>
      <c r="CH388" s="2"/>
      <c r="CI388" s="2"/>
      <c r="CJ388" s="2"/>
      <c r="CK388" s="2"/>
      <c r="CL388" s="2"/>
      <c r="CM388" s="2">
        <v>0</v>
      </c>
      <c r="CN388" s="2" t="s">
        <v>6</v>
      </c>
      <c r="CO388" s="2">
        <v>0</v>
      </c>
      <c r="CP388" s="2">
        <f t="shared" si="436"/>
        <v>222</v>
      </c>
      <c r="CQ388" s="2">
        <f t="shared" si="437"/>
        <v>7.93</v>
      </c>
      <c r="CR388" s="2">
        <f t="shared" si="438"/>
        <v>0</v>
      </c>
      <c r="CS388" s="2">
        <f t="shared" si="439"/>
        <v>0</v>
      </c>
      <c r="CT388" s="2">
        <f t="shared" si="440"/>
        <v>0</v>
      </c>
      <c r="CU388" s="2">
        <f t="shared" si="441"/>
        <v>0</v>
      </c>
      <c r="CV388" s="2">
        <f t="shared" si="442"/>
        <v>0</v>
      </c>
      <c r="CW388" s="2">
        <f t="shared" si="443"/>
        <v>0</v>
      </c>
      <c r="CX388" s="2">
        <f t="shared" si="444"/>
        <v>0</v>
      </c>
      <c r="CY388" s="2">
        <f>(((S388+(R388*IF(0,0,1)))*AT388)/100)</f>
        <v>0</v>
      </c>
      <c r="CZ388" s="2">
        <f>(((S388+(R388*IF(0,0,1)))*AU388)/100)</f>
        <v>0</v>
      </c>
      <c r="DA388" s="2"/>
      <c r="DB388" s="2"/>
      <c r="DC388" s="2" t="s">
        <v>6</v>
      </c>
      <c r="DD388" s="2" t="s">
        <v>6</v>
      </c>
      <c r="DE388" s="2" t="s">
        <v>6</v>
      </c>
      <c r="DF388" s="2" t="s">
        <v>6</v>
      </c>
      <c r="DG388" s="2" t="s">
        <v>6</v>
      </c>
      <c r="DH388" s="2" t="s">
        <v>6</v>
      </c>
      <c r="DI388" s="2" t="s">
        <v>6</v>
      </c>
      <c r="DJ388" s="2" t="s">
        <v>6</v>
      </c>
      <c r="DK388" s="2" t="s">
        <v>6</v>
      </c>
      <c r="DL388" s="2" t="s">
        <v>6</v>
      </c>
      <c r="DM388" s="2" t="s">
        <v>6</v>
      </c>
      <c r="DN388" s="2">
        <v>0</v>
      </c>
      <c r="DO388" s="2">
        <v>0</v>
      </c>
      <c r="DP388" s="2">
        <v>1</v>
      </c>
      <c r="DQ388" s="2">
        <v>1</v>
      </c>
      <c r="DR388" s="2"/>
      <c r="DS388" s="2"/>
      <c r="DT388" s="2"/>
      <c r="DU388" s="2">
        <v>1010</v>
      </c>
      <c r="DV388" s="2" t="s">
        <v>323</v>
      </c>
      <c r="DW388" s="2" t="s">
        <v>325</v>
      </c>
      <c r="DX388" s="2">
        <v>1</v>
      </c>
      <c r="DY388" s="2"/>
      <c r="DZ388" s="2" t="s">
        <v>6</v>
      </c>
      <c r="EA388" s="2" t="s">
        <v>6</v>
      </c>
      <c r="EB388" s="2" t="s">
        <v>6</v>
      </c>
      <c r="EC388" s="2" t="s">
        <v>6</v>
      </c>
      <c r="ED388" s="2"/>
      <c r="EE388" s="2">
        <v>54938782</v>
      </c>
      <c r="EF388" s="2">
        <v>21</v>
      </c>
      <c r="EG388" s="2" t="s">
        <v>96</v>
      </c>
      <c r="EH388" s="2">
        <v>0</v>
      </c>
      <c r="EI388" s="2" t="s">
        <v>6</v>
      </c>
      <c r="EJ388" s="2">
        <v>2</v>
      </c>
      <c r="EK388" s="2">
        <v>500002</v>
      </c>
      <c r="EL388" s="2" t="s">
        <v>97</v>
      </c>
      <c r="EM388" s="2" t="s">
        <v>98</v>
      </c>
      <c r="EN388" s="2"/>
      <c r="EO388" s="2" t="s">
        <v>6</v>
      </c>
      <c r="EP388" s="2"/>
      <c r="EQ388" s="2">
        <v>0</v>
      </c>
      <c r="ER388" s="2">
        <v>7.93</v>
      </c>
      <c r="ES388" s="110">
        <f>'1.Лок.смета.и.Акт'!F722</f>
        <v>7.93</v>
      </c>
      <c r="ET388" s="2">
        <v>0</v>
      </c>
      <c r="EU388" s="2">
        <v>0</v>
      </c>
      <c r="EV388" s="2">
        <v>0</v>
      </c>
      <c r="EW388" s="2">
        <v>0</v>
      </c>
      <c r="EX388" s="2">
        <v>0</v>
      </c>
      <c r="EY388" s="2"/>
      <c r="EZ388" s="2"/>
      <c r="FA388" s="2"/>
      <c r="FB388" s="2"/>
      <c r="FC388" s="2"/>
      <c r="FD388" s="2"/>
      <c r="FE388" s="2"/>
      <c r="FF388" s="2"/>
      <c r="FG388" s="2"/>
      <c r="FH388" s="2"/>
      <c r="FI388" s="2"/>
      <c r="FJ388" s="2"/>
      <c r="FK388" s="2"/>
      <c r="FL388" s="2"/>
      <c r="FM388" s="2"/>
      <c r="FN388" s="2"/>
      <c r="FO388" s="2"/>
      <c r="FP388" s="2"/>
      <c r="FQ388" s="2">
        <v>0</v>
      </c>
      <c r="FR388" s="2">
        <f t="shared" si="445"/>
        <v>0</v>
      </c>
      <c r="FS388" s="2">
        <v>0</v>
      </c>
      <c r="FT388" s="2"/>
      <c r="FU388" s="2"/>
      <c r="FV388" s="2"/>
      <c r="FW388" s="2"/>
      <c r="FX388" s="2">
        <v>0</v>
      </c>
      <c r="FY388" s="2">
        <v>0</v>
      </c>
      <c r="FZ388" s="2"/>
      <c r="GA388" s="2" t="s">
        <v>6</v>
      </c>
      <c r="GB388" s="2"/>
      <c r="GC388" s="2"/>
      <c r="GD388" s="2">
        <v>1</v>
      </c>
      <c r="GE388" s="2"/>
      <c r="GF388" s="2">
        <v>1366414738</v>
      </c>
      <c r="GG388" s="2">
        <v>2</v>
      </c>
      <c r="GH388" s="2">
        <v>1</v>
      </c>
      <c r="GI388" s="2">
        <v>-2</v>
      </c>
      <c r="GJ388" s="2">
        <v>0</v>
      </c>
      <c r="GK388" s="2">
        <v>0</v>
      </c>
      <c r="GL388" s="2">
        <f t="shared" si="446"/>
        <v>0</v>
      </c>
      <c r="GM388" s="2">
        <f t="shared" si="447"/>
        <v>222</v>
      </c>
      <c r="GN388" s="2">
        <f t="shared" si="448"/>
        <v>0</v>
      </c>
      <c r="GO388" s="2">
        <f t="shared" si="449"/>
        <v>222</v>
      </c>
      <c r="GP388" s="2">
        <f t="shared" si="450"/>
        <v>0</v>
      </c>
      <c r="GQ388" s="2"/>
      <c r="GR388" s="2">
        <v>0</v>
      </c>
      <c r="GS388" s="2">
        <v>3</v>
      </c>
      <c r="GT388" s="2">
        <v>0</v>
      </c>
      <c r="GU388" s="2" t="s">
        <v>6</v>
      </c>
      <c r="GV388" s="2">
        <f t="shared" si="451"/>
        <v>0</v>
      </c>
      <c r="GW388" s="2">
        <v>1</v>
      </c>
      <c r="GX388" s="2">
        <f t="shared" si="452"/>
        <v>0</v>
      </c>
      <c r="GY388" s="2"/>
      <c r="GZ388" s="2"/>
      <c r="HA388" s="2">
        <v>0</v>
      </c>
      <c r="HB388" s="2">
        <v>0</v>
      </c>
      <c r="HC388" s="2">
        <f t="shared" si="453"/>
        <v>0</v>
      </c>
      <c r="HD388" s="2"/>
      <c r="HE388" s="2" t="s">
        <v>6</v>
      </c>
      <c r="HF388" s="2" t="s">
        <v>6</v>
      </c>
      <c r="HG388" s="2"/>
      <c r="HH388" s="2"/>
      <c r="HI388" s="2"/>
      <c r="HJ388" s="2"/>
      <c r="HK388" s="2"/>
      <c r="HL388" s="2"/>
      <c r="HM388" s="2" t="s">
        <v>6</v>
      </c>
      <c r="HN388" s="2" t="s">
        <v>6</v>
      </c>
      <c r="HO388" s="2" t="s">
        <v>6</v>
      </c>
      <c r="HP388" s="2" t="s">
        <v>6</v>
      </c>
      <c r="HQ388" s="2" t="s">
        <v>6</v>
      </c>
      <c r="HR388" s="2"/>
      <c r="HS388" s="2"/>
      <c r="HT388" s="2"/>
      <c r="HU388" s="2"/>
      <c r="HV388" s="2"/>
      <c r="HW388" s="2"/>
      <c r="HX388" s="2"/>
      <c r="HY388" s="2"/>
      <c r="HZ388" s="2"/>
      <c r="IA388" s="2"/>
      <c r="IB388" s="2"/>
      <c r="IC388" s="2"/>
      <c r="ID388" s="2"/>
      <c r="IE388" s="2"/>
      <c r="IF388" s="2">
        <v>-1</v>
      </c>
      <c r="IG388" s="2"/>
      <c r="IH388" s="2"/>
      <c r="II388" s="2"/>
      <c r="IJ388" s="2"/>
      <c r="IK388" s="2">
        <v>0</v>
      </c>
      <c r="IL388" s="2"/>
      <c r="IM388" s="2"/>
      <c r="IN388" s="2"/>
      <c r="IO388" s="2"/>
      <c r="IP388" s="2"/>
      <c r="IQ388" s="2"/>
      <c r="IR388" s="2"/>
      <c r="IS388" s="2"/>
      <c r="IT388" s="2"/>
      <c r="IU388" s="2"/>
    </row>
    <row r="389" spans="1:255" x14ac:dyDescent="0.2">
      <c r="A389">
        <v>18</v>
      </c>
      <c r="B389">
        <v>1</v>
      </c>
      <c r="C389">
        <v>516</v>
      </c>
      <c r="E389" t="s">
        <v>527</v>
      </c>
      <c r="F389" t="e">
        <f>'2.Лок.смета.и.Акт'!#REF!</f>
        <v>#REF!</v>
      </c>
      <c r="G389" t="s">
        <v>528</v>
      </c>
      <c r="H389" t="s">
        <v>323</v>
      </c>
      <c r="I389">
        <f>I385*J389</f>
        <v>28</v>
      </c>
      <c r="J389">
        <v>41.17647058823529</v>
      </c>
      <c r="K389">
        <v>41.176470600000002</v>
      </c>
      <c r="O389">
        <f t="shared" si="420"/>
        <v>747</v>
      </c>
      <c r="P389">
        <f t="shared" si="421"/>
        <v>747</v>
      </c>
      <c r="Q389">
        <f t="shared" si="422"/>
        <v>0</v>
      </c>
      <c r="R389">
        <f t="shared" si="423"/>
        <v>0</v>
      </c>
      <c r="S389">
        <f t="shared" si="424"/>
        <v>0</v>
      </c>
      <c r="T389">
        <f t="shared" si="425"/>
        <v>0</v>
      </c>
      <c r="U389">
        <f t="shared" si="426"/>
        <v>0</v>
      </c>
      <c r="V389">
        <f t="shared" si="427"/>
        <v>0</v>
      </c>
      <c r="W389">
        <f t="shared" si="428"/>
        <v>0</v>
      </c>
      <c r="X389">
        <f t="shared" si="429"/>
        <v>0</v>
      </c>
      <c r="Y389">
        <f t="shared" si="430"/>
        <v>0</v>
      </c>
      <c r="AA389">
        <v>86326988</v>
      </c>
      <c r="AB389">
        <f t="shared" si="431"/>
        <v>3.53</v>
      </c>
      <c r="AC389">
        <f t="shared" si="456"/>
        <v>3.53</v>
      </c>
      <c r="AD389">
        <f t="shared" si="417"/>
        <v>0</v>
      </c>
      <c r="AE389">
        <f t="shared" si="432"/>
        <v>0</v>
      </c>
      <c r="AF389">
        <f t="shared" si="454"/>
        <v>0</v>
      </c>
      <c r="AG389">
        <f t="shared" si="433"/>
        <v>0</v>
      </c>
      <c r="AH389">
        <f t="shared" si="455"/>
        <v>0</v>
      </c>
      <c r="AI389">
        <f t="shared" si="434"/>
        <v>0</v>
      </c>
      <c r="AJ389">
        <f t="shared" si="435"/>
        <v>0</v>
      </c>
      <c r="AK389">
        <v>3.53</v>
      </c>
      <c r="AL389">
        <v>3.53</v>
      </c>
      <c r="AM389">
        <v>0</v>
      </c>
      <c r="AN389">
        <v>0</v>
      </c>
      <c r="AO389">
        <v>0</v>
      </c>
      <c r="AP389">
        <v>0</v>
      </c>
      <c r="AQ389">
        <v>0</v>
      </c>
      <c r="AR389">
        <v>0</v>
      </c>
      <c r="AS389">
        <v>0</v>
      </c>
      <c r="AT389">
        <v>0</v>
      </c>
      <c r="AU389">
        <v>0</v>
      </c>
      <c r="AV389">
        <v>1</v>
      </c>
      <c r="AW389">
        <v>1</v>
      </c>
      <c r="AZ389">
        <v>1</v>
      </c>
      <c r="BA389">
        <v>1</v>
      </c>
      <c r="BB389">
        <v>1</v>
      </c>
      <c r="BC389">
        <v>7.56</v>
      </c>
      <c r="BD389" t="s">
        <v>6</v>
      </c>
      <c r="BE389" t="s">
        <v>6</v>
      </c>
      <c r="BF389" t="s">
        <v>6</v>
      </c>
      <c r="BG389" t="s">
        <v>6</v>
      </c>
      <c r="BH389">
        <v>3</v>
      </c>
      <c r="BI389">
        <v>2</v>
      </c>
      <c r="BJ389" t="s">
        <v>324</v>
      </c>
      <c r="BM389">
        <v>500002</v>
      </c>
      <c r="BN389">
        <v>0</v>
      </c>
      <c r="BO389" t="s">
        <v>6</v>
      </c>
      <c r="BP389">
        <v>0</v>
      </c>
      <c r="BQ389">
        <v>21</v>
      </c>
      <c r="BR389">
        <v>0</v>
      </c>
      <c r="BS389">
        <v>1</v>
      </c>
      <c r="BT389">
        <v>1</v>
      </c>
      <c r="BU389">
        <v>1</v>
      </c>
      <c r="BV389">
        <v>1</v>
      </c>
      <c r="BW389">
        <v>1</v>
      </c>
      <c r="BX389">
        <v>1</v>
      </c>
      <c r="BY389" t="s">
        <v>6</v>
      </c>
      <c r="BZ389">
        <v>0</v>
      </c>
      <c r="CA389">
        <v>0</v>
      </c>
      <c r="CB389" t="s">
        <v>6</v>
      </c>
      <c r="CE389">
        <v>0</v>
      </c>
      <c r="CF389">
        <v>0</v>
      </c>
      <c r="CG389">
        <v>0</v>
      </c>
      <c r="CM389">
        <v>0</v>
      </c>
      <c r="CN389" t="s">
        <v>6</v>
      </c>
      <c r="CO389">
        <v>0</v>
      </c>
      <c r="CP389">
        <f t="shared" si="436"/>
        <v>747</v>
      </c>
      <c r="CQ389">
        <f t="shared" si="437"/>
        <v>26.686799999999998</v>
      </c>
      <c r="CR389">
        <f t="shared" si="438"/>
        <v>0</v>
      </c>
      <c r="CS389">
        <f t="shared" si="439"/>
        <v>0</v>
      </c>
      <c r="CT389">
        <f t="shared" si="440"/>
        <v>0</v>
      </c>
      <c r="CU389">
        <f t="shared" si="441"/>
        <v>0</v>
      </c>
      <c r="CV389">
        <f t="shared" si="442"/>
        <v>0</v>
      </c>
      <c r="CW389">
        <f t="shared" si="443"/>
        <v>0</v>
      </c>
      <c r="CX389">
        <f t="shared" si="444"/>
        <v>0</v>
      </c>
      <c r="CY389">
        <f>(S389+R389)*(BZ389/100)</f>
        <v>0</v>
      </c>
      <c r="CZ389">
        <f>(S389+R389)*(CA389/100)</f>
        <v>0</v>
      </c>
      <c r="DC389" t="s">
        <v>6</v>
      </c>
      <c r="DD389" t="s">
        <v>6</v>
      </c>
      <c r="DE389" t="s">
        <v>6</v>
      </c>
      <c r="DF389" t="s">
        <v>6</v>
      </c>
      <c r="DG389" t="s">
        <v>6</v>
      </c>
      <c r="DH389" t="s">
        <v>6</v>
      </c>
      <c r="DI389" t="s">
        <v>6</v>
      </c>
      <c r="DJ389" t="s">
        <v>6</v>
      </c>
      <c r="DK389" t="s">
        <v>6</v>
      </c>
      <c r="DL389" t="s">
        <v>6</v>
      </c>
      <c r="DM389" t="s">
        <v>6</v>
      </c>
      <c r="DN389">
        <v>0</v>
      </c>
      <c r="DO389">
        <v>0</v>
      </c>
      <c r="DP389">
        <v>1</v>
      </c>
      <c r="DQ389">
        <v>1</v>
      </c>
      <c r="DU389">
        <v>1010</v>
      </c>
      <c r="DV389" t="s">
        <v>323</v>
      </c>
      <c r="DW389" t="e">
        <f>'2.Лок.смета.и.Акт'!#REF!</f>
        <v>#REF!</v>
      </c>
      <c r="DX389">
        <v>1</v>
      </c>
      <c r="DZ389" t="s">
        <v>6</v>
      </c>
      <c r="EA389" t="s">
        <v>6</v>
      </c>
      <c r="EB389" t="s">
        <v>6</v>
      </c>
      <c r="EC389" t="s">
        <v>6</v>
      </c>
      <c r="EE389">
        <v>54938782</v>
      </c>
      <c r="EF389">
        <v>21</v>
      </c>
      <c r="EG389" t="s">
        <v>96</v>
      </c>
      <c r="EH389">
        <v>0</v>
      </c>
      <c r="EI389" t="s">
        <v>6</v>
      </c>
      <c r="EJ389">
        <v>2</v>
      </c>
      <c r="EK389">
        <v>500002</v>
      </c>
      <c r="EL389" t="s">
        <v>97</v>
      </c>
      <c r="EM389" t="s">
        <v>98</v>
      </c>
      <c r="EO389" t="s">
        <v>6</v>
      </c>
      <c r="EQ389">
        <v>0</v>
      </c>
      <c r="ER389">
        <v>25.15</v>
      </c>
      <c r="ES389">
        <v>3.53</v>
      </c>
      <c r="ET389">
        <v>0</v>
      </c>
      <c r="EU389">
        <v>0</v>
      </c>
      <c r="EV389">
        <v>0</v>
      </c>
      <c r="EW389">
        <v>0</v>
      </c>
      <c r="EX389">
        <v>0</v>
      </c>
      <c r="EZ389">
        <v>5</v>
      </c>
      <c r="FC389">
        <v>0</v>
      </c>
      <c r="FD389">
        <v>18</v>
      </c>
      <c r="FF389">
        <v>25.15</v>
      </c>
      <c r="FQ389">
        <v>0</v>
      </c>
      <c r="FR389">
        <f t="shared" si="445"/>
        <v>0</v>
      </c>
      <c r="FS389">
        <v>0</v>
      </c>
      <c r="FX389">
        <v>0</v>
      </c>
      <c r="FY389">
        <v>0</v>
      </c>
      <c r="GA389" t="s">
        <v>326</v>
      </c>
      <c r="GD389">
        <v>1</v>
      </c>
      <c r="GF389">
        <v>1366414738</v>
      </c>
      <c r="GG389">
        <v>2</v>
      </c>
      <c r="GH389">
        <v>3</v>
      </c>
      <c r="GI389">
        <v>5</v>
      </c>
      <c r="GJ389">
        <v>0</v>
      </c>
      <c r="GK389">
        <v>0</v>
      </c>
      <c r="GL389">
        <f t="shared" si="446"/>
        <v>0</v>
      </c>
      <c r="GM389">
        <f t="shared" si="447"/>
        <v>747</v>
      </c>
      <c r="GN389">
        <f t="shared" si="448"/>
        <v>0</v>
      </c>
      <c r="GO389">
        <f t="shared" si="449"/>
        <v>747</v>
      </c>
      <c r="GP389">
        <f t="shared" si="450"/>
        <v>0</v>
      </c>
      <c r="GR389">
        <v>1</v>
      </c>
      <c r="GS389">
        <v>1</v>
      </c>
      <c r="GT389">
        <v>0</v>
      </c>
      <c r="GU389" t="s">
        <v>6</v>
      </c>
      <c r="GV389">
        <f t="shared" si="451"/>
        <v>0</v>
      </c>
      <c r="GW389">
        <v>1</v>
      </c>
      <c r="GX389">
        <f t="shared" si="452"/>
        <v>0</v>
      </c>
      <c r="HA389">
        <v>0</v>
      </c>
      <c r="HB389">
        <v>0</v>
      </c>
      <c r="HC389">
        <f t="shared" si="453"/>
        <v>0</v>
      </c>
      <c r="HE389" t="s">
        <v>39</v>
      </c>
      <c r="HF389" t="s">
        <v>40</v>
      </c>
      <c r="HM389" t="s">
        <v>6</v>
      </c>
      <c r="HN389" t="s">
        <v>6</v>
      </c>
      <c r="HO389" t="s">
        <v>6</v>
      </c>
      <c r="HP389" t="s">
        <v>6</v>
      </c>
      <c r="HQ389" t="s">
        <v>6</v>
      </c>
      <c r="IF389">
        <v>-1</v>
      </c>
      <c r="IK389">
        <v>0</v>
      </c>
    </row>
    <row r="390" spans="1:255" x14ac:dyDescent="0.2">
      <c r="A390" s="2">
        <v>18</v>
      </c>
      <c r="B390" s="2">
        <v>1</v>
      </c>
      <c r="C390" s="2">
        <v>506</v>
      </c>
      <c r="D390" s="2"/>
      <c r="E390" s="2" t="s">
        <v>529</v>
      </c>
      <c r="F390" s="2" t="s">
        <v>321</v>
      </c>
      <c r="G390" s="2" t="s">
        <v>328</v>
      </c>
      <c r="H390" s="2" t="s">
        <v>323</v>
      </c>
      <c r="I390" s="2">
        <f>I384*J390</f>
        <v>37</v>
      </c>
      <c r="J390" s="226">
        <f>'5.Ведомость_списания'!F171</f>
        <v>54.411764705882348</v>
      </c>
      <c r="K390" s="2">
        <v>54.411764699999999</v>
      </c>
      <c r="L390" s="2"/>
      <c r="M390" s="2"/>
      <c r="N390" s="2"/>
      <c r="O390" s="2">
        <f t="shared" si="420"/>
        <v>293</v>
      </c>
      <c r="P390" s="2">
        <f t="shared" si="421"/>
        <v>293</v>
      </c>
      <c r="Q390" s="2">
        <f t="shared" si="422"/>
        <v>0</v>
      </c>
      <c r="R390" s="2">
        <f t="shared" si="423"/>
        <v>0</v>
      </c>
      <c r="S390" s="2">
        <f t="shared" si="424"/>
        <v>0</v>
      </c>
      <c r="T390" s="2">
        <f t="shared" si="425"/>
        <v>0</v>
      </c>
      <c r="U390" s="2">
        <f t="shared" si="426"/>
        <v>0</v>
      </c>
      <c r="V390" s="2">
        <f t="shared" si="427"/>
        <v>0</v>
      </c>
      <c r="W390" s="2">
        <f t="shared" si="428"/>
        <v>0</v>
      </c>
      <c r="X390" s="2">
        <f t="shared" si="429"/>
        <v>0</v>
      </c>
      <c r="Y390" s="2">
        <f t="shared" si="430"/>
        <v>0</v>
      </c>
      <c r="Z390" s="2"/>
      <c r="AA390" s="2">
        <v>86326987</v>
      </c>
      <c r="AB390" s="2">
        <f t="shared" si="431"/>
        <v>7.93</v>
      </c>
      <c r="AC390" s="2">
        <f t="shared" si="456"/>
        <v>7.93</v>
      </c>
      <c r="AD390" s="2">
        <f t="shared" si="417"/>
        <v>0</v>
      </c>
      <c r="AE390" s="2">
        <f t="shared" si="432"/>
        <v>0</v>
      </c>
      <c r="AF390" s="2">
        <f t="shared" si="454"/>
        <v>0</v>
      </c>
      <c r="AG390" s="2">
        <f t="shared" si="433"/>
        <v>0</v>
      </c>
      <c r="AH390" s="2">
        <f t="shared" si="455"/>
        <v>0</v>
      </c>
      <c r="AI390" s="2">
        <f t="shared" si="434"/>
        <v>0</v>
      </c>
      <c r="AJ390" s="2">
        <f t="shared" si="435"/>
        <v>0</v>
      </c>
      <c r="AK390" s="2">
        <v>7.93</v>
      </c>
      <c r="AL390" s="110">
        <f>'1.Лок.смета.и.Акт'!F724</f>
        <v>7.93</v>
      </c>
      <c r="AM390" s="2">
        <v>0</v>
      </c>
      <c r="AN390" s="2">
        <v>0</v>
      </c>
      <c r="AO390" s="2">
        <v>0</v>
      </c>
      <c r="AP390" s="2">
        <v>0</v>
      </c>
      <c r="AQ390" s="2">
        <v>0</v>
      </c>
      <c r="AR390" s="2">
        <v>0</v>
      </c>
      <c r="AS390" s="2">
        <v>0</v>
      </c>
      <c r="AT390" s="2">
        <v>0</v>
      </c>
      <c r="AU390" s="2">
        <v>0</v>
      </c>
      <c r="AV390" s="2">
        <v>1</v>
      </c>
      <c r="AW390" s="2">
        <v>1</v>
      </c>
      <c r="AX390" s="2"/>
      <c r="AY390" s="2"/>
      <c r="AZ390" s="2">
        <v>1</v>
      </c>
      <c r="BA390" s="2">
        <v>1</v>
      </c>
      <c r="BB390" s="2">
        <v>1</v>
      </c>
      <c r="BC390" s="2">
        <v>1</v>
      </c>
      <c r="BD390" s="2" t="s">
        <v>6</v>
      </c>
      <c r="BE390" s="2" t="s">
        <v>6</v>
      </c>
      <c r="BF390" s="2" t="s">
        <v>6</v>
      </c>
      <c r="BG390" s="2" t="s">
        <v>6</v>
      </c>
      <c r="BH390" s="2">
        <v>3</v>
      </c>
      <c r="BI390" s="2">
        <v>2</v>
      </c>
      <c r="BJ390" s="2" t="s">
        <v>324</v>
      </c>
      <c r="BK390" s="2"/>
      <c r="BL390" s="2"/>
      <c r="BM390" s="2">
        <v>500002</v>
      </c>
      <c r="BN390" s="2">
        <v>0</v>
      </c>
      <c r="BO390" s="2" t="s">
        <v>6</v>
      </c>
      <c r="BP390" s="2">
        <v>0</v>
      </c>
      <c r="BQ390" s="2">
        <v>21</v>
      </c>
      <c r="BR390" s="2">
        <v>0</v>
      </c>
      <c r="BS390" s="2">
        <v>1</v>
      </c>
      <c r="BT390" s="2">
        <v>1</v>
      </c>
      <c r="BU390" s="2">
        <v>1</v>
      </c>
      <c r="BV390" s="2">
        <v>1</v>
      </c>
      <c r="BW390" s="2">
        <v>1</v>
      </c>
      <c r="BX390" s="2">
        <v>1</v>
      </c>
      <c r="BY390" s="2" t="s">
        <v>6</v>
      </c>
      <c r="BZ390" s="2">
        <v>0</v>
      </c>
      <c r="CA390" s="2">
        <v>0</v>
      </c>
      <c r="CB390" s="2" t="s">
        <v>6</v>
      </c>
      <c r="CC390" s="2"/>
      <c r="CD390" s="2"/>
      <c r="CE390" s="2">
        <v>0</v>
      </c>
      <c r="CF390" s="2">
        <v>0</v>
      </c>
      <c r="CG390" s="2">
        <v>0</v>
      </c>
      <c r="CH390" s="2"/>
      <c r="CI390" s="2"/>
      <c r="CJ390" s="2"/>
      <c r="CK390" s="2"/>
      <c r="CL390" s="2"/>
      <c r="CM390" s="2">
        <v>0</v>
      </c>
      <c r="CN390" s="2" t="s">
        <v>6</v>
      </c>
      <c r="CO390" s="2">
        <v>0</v>
      </c>
      <c r="CP390" s="2">
        <f t="shared" si="436"/>
        <v>293</v>
      </c>
      <c r="CQ390" s="2">
        <f t="shared" si="437"/>
        <v>7.93</v>
      </c>
      <c r="CR390" s="2">
        <f t="shared" si="438"/>
        <v>0</v>
      </c>
      <c r="CS390" s="2">
        <f t="shared" si="439"/>
        <v>0</v>
      </c>
      <c r="CT390" s="2">
        <f t="shared" si="440"/>
        <v>0</v>
      </c>
      <c r="CU390" s="2">
        <f t="shared" si="441"/>
        <v>0</v>
      </c>
      <c r="CV390" s="2">
        <f t="shared" si="442"/>
        <v>0</v>
      </c>
      <c r="CW390" s="2">
        <f t="shared" si="443"/>
        <v>0</v>
      </c>
      <c r="CX390" s="2">
        <f t="shared" si="444"/>
        <v>0</v>
      </c>
      <c r="CY390" s="2">
        <f>(((S390+(R390*IF(0,0,1)))*AT390)/100)</f>
        <v>0</v>
      </c>
      <c r="CZ390" s="2">
        <f>(((S390+(R390*IF(0,0,1)))*AU390)/100)</f>
        <v>0</v>
      </c>
      <c r="DA390" s="2"/>
      <c r="DB390" s="2"/>
      <c r="DC390" s="2" t="s">
        <v>6</v>
      </c>
      <c r="DD390" s="2" t="s">
        <v>6</v>
      </c>
      <c r="DE390" s="2" t="s">
        <v>6</v>
      </c>
      <c r="DF390" s="2" t="s">
        <v>6</v>
      </c>
      <c r="DG390" s="2" t="s">
        <v>6</v>
      </c>
      <c r="DH390" s="2" t="s">
        <v>6</v>
      </c>
      <c r="DI390" s="2" t="s">
        <v>6</v>
      </c>
      <c r="DJ390" s="2" t="s">
        <v>6</v>
      </c>
      <c r="DK390" s="2" t="s">
        <v>6</v>
      </c>
      <c r="DL390" s="2" t="s">
        <v>6</v>
      </c>
      <c r="DM390" s="2" t="s">
        <v>6</v>
      </c>
      <c r="DN390" s="2">
        <v>0</v>
      </c>
      <c r="DO390" s="2">
        <v>0</v>
      </c>
      <c r="DP390" s="2">
        <v>1</v>
      </c>
      <c r="DQ390" s="2">
        <v>1</v>
      </c>
      <c r="DR390" s="2"/>
      <c r="DS390" s="2"/>
      <c r="DT390" s="2"/>
      <c r="DU390" s="2">
        <v>1010</v>
      </c>
      <c r="DV390" s="2" t="s">
        <v>323</v>
      </c>
      <c r="DW390" s="2" t="s">
        <v>325</v>
      </c>
      <c r="DX390" s="2">
        <v>1</v>
      </c>
      <c r="DY390" s="2"/>
      <c r="DZ390" s="2" t="s">
        <v>6</v>
      </c>
      <c r="EA390" s="2" t="s">
        <v>6</v>
      </c>
      <c r="EB390" s="2" t="s">
        <v>6</v>
      </c>
      <c r="EC390" s="2" t="s">
        <v>6</v>
      </c>
      <c r="ED390" s="2"/>
      <c r="EE390" s="2">
        <v>54938782</v>
      </c>
      <c r="EF390" s="2">
        <v>21</v>
      </c>
      <c r="EG390" s="2" t="s">
        <v>96</v>
      </c>
      <c r="EH390" s="2">
        <v>0</v>
      </c>
      <c r="EI390" s="2" t="s">
        <v>6</v>
      </c>
      <c r="EJ390" s="2">
        <v>2</v>
      </c>
      <c r="EK390" s="2">
        <v>500002</v>
      </c>
      <c r="EL390" s="2" t="s">
        <v>97</v>
      </c>
      <c r="EM390" s="2" t="s">
        <v>98</v>
      </c>
      <c r="EN390" s="2"/>
      <c r="EO390" s="2" t="s">
        <v>6</v>
      </c>
      <c r="EP390" s="2"/>
      <c r="EQ390" s="2">
        <v>0</v>
      </c>
      <c r="ER390" s="2">
        <v>7.93</v>
      </c>
      <c r="ES390" s="110">
        <f>'1.Лок.смета.и.Акт'!F724</f>
        <v>7.93</v>
      </c>
      <c r="ET390" s="2">
        <v>0</v>
      </c>
      <c r="EU390" s="2">
        <v>0</v>
      </c>
      <c r="EV390" s="2">
        <v>0</v>
      </c>
      <c r="EW390" s="2">
        <v>0</v>
      </c>
      <c r="EX390" s="2">
        <v>0</v>
      </c>
      <c r="EY390" s="2"/>
      <c r="EZ390" s="2"/>
      <c r="FA390" s="2"/>
      <c r="FB390" s="2"/>
      <c r="FC390" s="2"/>
      <c r="FD390" s="2"/>
      <c r="FE390" s="2"/>
      <c r="FF390" s="2"/>
      <c r="FG390" s="2"/>
      <c r="FH390" s="2"/>
      <c r="FI390" s="2"/>
      <c r="FJ390" s="2"/>
      <c r="FK390" s="2"/>
      <c r="FL390" s="2"/>
      <c r="FM390" s="2"/>
      <c r="FN390" s="2"/>
      <c r="FO390" s="2"/>
      <c r="FP390" s="2"/>
      <c r="FQ390" s="2">
        <v>0</v>
      </c>
      <c r="FR390" s="2">
        <f t="shared" si="445"/>
        <v>0</v>
      </c>
      <c r="FS390" s="2">
        <v>0</v>
      </c>
      <c r="FT390" s="2"/>
      <c r="FU390" s="2"/>
      <c r="FV390" s="2"/>
      <c r="FW390" s="2"/>
      <c r="FX390" s="2">
        <v>0</v>
      </c>
      <c r="FY390" s="2">
        <v>0</v>
      </c>
      <c r="FZ390" s="2"/>
      <c r="GA390" s="2" t="s">
        <v>6</v>
      </c>
      <c r="GB390" s="2"/>
      <c r="GC390" s="2"/>
      <c r="GD390" s="2">
        <v>1</v>
      </c>
      <c r="GE390" s="2"/>
      <c r="GF390" s="2">
        <v>-2127956255</v>
      </c>
      <c r="GG390" s="2">
        <v>2</v>
      </c>
      <c r="GH390" s="2">
        <v>1</v>
      </c>
      <c r="GI390" s="2">
        <v>-2</v>
      </c>
      <c r="GJ390" s="2">
        <v>0</v>
      </c>
      <c r="GK390" s="2">
        <v>0</v>
      </c>
      <c r="GL390" s="2">
        <f t="shared" si="446"/>
        <v>0</v>
      </c>
      <c r="GM390" s="2">
        <f t="shared" si="447"/>
        <v>293</v>
      </c>
      <c r="GN390" s="2">
        <f t="shared" si="448"/>
        <v>0</v>
      </c>
      <c r="GO390" s="2">
        <f t="shared" si="449"/>
        <v>293</v>
      </c>
      <c r="GP390" s="2">
        <f t="shared" si="450"/>
        <v>0</v>
      </c>
      <c r="GQ390" s="2"/>
      <c r="GR390" s="2">
        <v>0</v>
      </c>
      <c r="GS390" s="2">
        <v>3</v>
      </c>
      <c r="GT390" s="2">
        <v>0</v>
      </c>
      <c r="GU390" s="2" t="s">
        <v>6</v>
      </c>
      <c r="GV390" s="2">
        <f t="shared" si="451"/>
        <v>0</v>
      </c>
      <c r="GW390" s="2">
        <v>1</v>
      </c>
      <c r="GX390" s="2">
        <f t="shared" si="452"/>
        <v>0</v>
      </c>
      <c r="GY390" s="2"/>
      <c r="GZ390" s="2"/>
      <c r="HA390" s="2">
        <v>0</v>
      </c>
      <c r="HB390" s="2">
        <v>0</v>
      </c>
      <c r="HC390" s="2">
        <f t="shared" si="453"/>
        <v>0</v>
      </c>
      <c r="HD390" s="2"/>
      <c r="HE390" s="2" t="s">
        <v>6</v>
      </c>
      <c r="HF390" s="2" t="s">
        <v>6</v>
      </c>
      <c r="HG390" s="2"/>
      <c r="HH390" s="2"/>
      <c r="HI390" s="2"/>
      <c r="HJ390" s="2"/>
      <c r="HK390" s="2"/>
      <c r="HL390" s="2"/>
      <c r="HM390" s="2" t="s">
        <v>6</v>
      </c>
      <c r="HN390" s="2" t="s">
        <v>6</v>
      </c>
      <c r="HO390" s="2" t="s">
        <v>6</v>
      </c>
      <c r="HP390" s="2" t="s">
        <v>6</v>
      </c>
      <c r="HQ390" s="2" t="s">
        <v>6</v>
      </c>
      <c r="HR390" s="2"/>
      <c r="HS390" s="2"/>
      <c r="HT390" s="2"/>
      <c r="HU390" s="2"/>
      <c r="HV390" s="2"/>
      <c r="HW390" s="2"/>
      <c r="HX390" s="2"/>
      <c r="HY390" s="2"/>
      <c r="HZ390" s="2"/>
      <c r="IA390" s="2"/>
      <c r="IB390" s="2"/>
      <c r="IC390" s="2"/>
      <c r="ID390" s="2"/>
      <c r="IE390" s="2"/>
      <c r="IF390" s="2">
        <v>-1</v>
      </c>
      <c r="IG390" s="2"/>
      <c r="IH390" s="2"/>
      <c r="II390" s="2"/>
      <c r="IJ390" s="2"/>
      <c r="IK390" s="2">
        <v>0</v>
      </c>
      <c r="IL390" s="2"/>
      <c r="IM390" s="2"/>
      <c r="IN390" s="2"/>
      <c r="IO390" s="2"/>
      <c r="IP390" s="2"/>
      <c r="IQ390" s="2"/>
      <c r="IR390" s="2"/>
      <c r="IS390" s="2"/>
      <c r="IT390" s="2"/>
      <c r="IU390" s="2"/>
    </row>
    <row r="391" spans="1:255" x14ac:dyDescent="0.2">
      <c r="A391">
        <v>18</v>
      </c>
      <c r="B391">
        <v>1</v>
      </c>
      <c r="C391">
        <v>517</v>
      </c>
      <c r="E391" t="s">
        <v>529</v>
      </c>
      <c r="F391" t="e">
        <f>'2.Лок.смета.и.Акт'!#REF!</f>
        <v>#REF!</v>
      </c>
      <c r="G391" t="s">
        <v>328</v>
      </c>
      <c r="H391" t="s">
        <v>323</v>
      </c>
      <c r="I391">
        <f>I385*J391</f>
        <v>37</v>
      </c>
      <c r="J391">
        <v>54.411764705882348</v>
      </c>
      <c r="K391">
        <v>54.411764699999999</v>
      </c>
      <c r="O391">
        <f t="shared" si="420"/>
        <v>1189</v>
      </c>
      <c r="P391">
        <f t="shared" si="421"/>
        <v>1189</v>
      </c>
      <c r="Q391">
        <f t="shared" si="422"/>
        <v>0</v>
      </c>
      <c r="R391">
        <f t="shared" si="423"/>
        <v>0</v>
      </c>
      <c r="S391">
        <f t="shared" si="424"/>
        <v>0</v>
      </c>
      <c r="T391">
        <f t="shared" si="425"/>
        <v>0</v>
      </c>
      <c r="U391">
        <f t="shared" si="426"/>
        <v>0</v>
      </c>
      <c r="V391">
        <f t="shared" si="427"/>
        <v>0</v>
      </c>
      <c r="W391">
        <f t="shared" si="428"/>
        <v>0</v>
      </c>
      <c r="X391">
        <f t="shared" si="429"/>
        <v>0</v>
      </c>
      <c r="Y391">
        <f t="shared" si="430"/>
        <v>0</v>
      </c>
      <c r="AA391">
        <v>86326988</v>
      </c>
      <c r="AB391">
        <f t="shared" si="431"/>
        <v>4.25</v>
      </c>
      <c r="AC391">
        <f t="shared" si="456"/>
        <v>4.25</v>
      </c>
      <c r="AD391">
        <f t="shared" si="417"/>
        <v>0</v>
      </c>
      <c r="AE391">
        <f t="shared" si="432"/>
        <v>0</v>
      </c>
      <c r="AF391">
        <f t="shared" si="454"/>
        <v>0</v>
      </c>
      <c r="AG391">
        <f t="shared" si="433"/>
        <v>0</v>
      </c>
      <c r="AH391">
        <f t="shared" si="455"/>
        <v>0</v>
      </c>
      <c r="AI391">
        <f t="shared" si="434"/>
        <v>0</v>
      </c>
      <c r="AJ391">
        <f t="shared" si="435"/>
        <v>0</v>
      </c>
      <c r="AK391">
        <v>4.25</v>
      </c>
      <c r="AL391">
        <v>4.25</v>
      </c>
      <c r="AM391">
        <v>0</v>
      </c>
      <c r="AN391">
        <v>0</v>
      </c>
      <c r="AO391">
        <v>0</v>
      </c>
      <c r="AP391">
        <v>0</v>
      </c>
      <c r="AQ391">
        <v>0</v>
      </c>
      <c r="AR391">
        <v>0</v>
      </c>
      <c r="AS391">
        <v>0</v>
      </c>
      <c r="AT391">
        <v>0</v>
      </c>
      <c r="AU391">
        <v>0</v>
      </c>
      <c r="AV391">
        <v>1</v>
      </c>
      <c r="AW391">
        <v>1</v>
      </c>
      <c r="AZ391">
        <v>1</v>
      </c>
      <c r="BA391">
        <v>1</v>
      </c>
      <c r="BB391">
        <v>1</v>
      </c>
      <c r="BC391">
        <v>7.56</v>
      </c>
      <c r="BD391" t="s">
        <v>6</v>
      </c>
      <c r="BE391" t="s">
        <v>6</v>
      </c>
      <c r="BF391" t="s">
        <v>6</v>
      </c>
      <c r="BG391" t="s">
        <v>6</v>
      </c>
      <c r="BH391">
        <v>3</v>
      </c>
      <c r="BI391">
        <v>2</v>
      </c>
      <c r="BJ391" t="s">
        <v>324</v>
      </c>
      <c r="BM391">
        <v>500002</v>
      </c>
      <c r="BN391">
        <v>0</v>
      </c>
      <c r="BO391" t="s">
        <v>6</v>
      </c>
      <c r="BP391">
        <v>0</v>
      </c>
      <c r="BQ391">
        <v>21</v>
      </c>
      <c r="BR391">
        <v>0</v>
      </c>
      <c r="BS391">
        <v>1</v>
      </c>
      <c r="BT391">
        <v>1</v>
      </c>
      <c r="BU391">
        <v>1</v>
      </c>
      <c r="BV391">
        <v>1</v>
      </c>
      <c r="BW391">
        <v>1</v>
      </c>
      <c r="BX391">
        <v>1</v>
      </c>
      <c r="BY391" t="s">
        <v>6</v>
      </c>
      <c r="BZ391">
        <v>0</v>
      </c>
      <c r="CA391">
        <v>0</v>
      </c>
      <c r="CB391" t="s">
        <v>6</v>
      </c>
      <c r="CE391">
        <v>0</v>
      </c>
      <c r="CF391">
        <v>0</v>
      </c>
      <c r="CG391">
        <v>0</v>
      </c>
      <c r="CM391">
        <v>0</v>
      </c>
      <c r="CN391" t="s">
        <v>6</v>
      </c>
      <c r="CO391">
        <v>0</v>
      </c>
      <c r="CP391">
        <f t="shared" si="436"/>
        <v>1189</v>
      </c>
      <c r="CQ391">
        <f t="shared" si="437"/>
        <v>32.129999999999995</v>
      </c>
      <c r="CR391">
        <f t="shared" si="438"/>
        <v>0</v>
      </c>
      <c r="CS391">
        <f t="shared" si="439"/>
        <v>0</v>
      </c>
      <c r="CT391">
        <f t="shared" si="440"/>
        <v>0</v>
      </c>
      <c r="CU391">
        <f t="shared" si="441"/>
        <v>0</v>
      </c>
      <c r="CV391">
        <f t="shared" si="442"/>
        <v>0</v>
      </c>
      <c r="CW391">
        <f t="shared" si="443"/>
        <v>0</v>
      </c>
      <c r="CX391">
        <f t="shared" si="444"/>
        <v>0</v>
      </c>
      <c r="CY391">
        <f>(S391+R391)*(BZ391/100)</f>
        <v>0</v>
      </c>
      <c r="CZ391">
        <f>(S391+R391)*(CA391/100)</f>
        <v>0</v>
      </c>
      <c r="DC391" t="s">
        <v>6</v>
      </c>
      <c r="DD391" t="s">
        <v>6</v>
      </c>
      <c r="DE391" t="s">
        <v>6</v>
      </c>
      <c r="DF391" t="s">
        <v>6</v>
      </c>
      <c r="DG391" t="s">
        <v>6</v>
      </c>
      <c r="DH391" t="s">
        <v>6</v>
      </c>
      <c r="DI391" t="s">
        <v>6</v>
      </c>
      <c r="DJ391" t="s">
        <v>6</v>
      </c>
      <c r="DK391" t="s">
        <v>6</v>
      </c>
      <c r="DL391" t="s">
        <v>6</v>
      </c>
      <c r="DM391" t="s">
        <v>6</v>
      </c>
      <c r="DN391">
        <v>0</v>
      </c>
      <c r="DO391">
        <v>0</v>
      </c>
      <c r="DP391">
        <v>1</v>
      </c>
      <c r="DQ391">
        <v>1</v>
      </c>
      <c r="DU391">
        <v>1010</v>
      </c>
      <c r="DV391" t="s">
        <v>323</v>
      </c>
      <c r="DW391" t="e">
        <f>'2.Лок.смета.и.Акт'!#REF!</f>
        <v>#REF!</v>
      </c>
      <c r="DX391">
        <v>1</v>
      </c>
      <c r="DZ391" t="s">
        <v>6</v>
      </c>
      <c r="EA391" t="s">
        <v>6</v>
      </c>
      <c r="EB391" t="s">
        <v>6</v>
      </c>
      <c r="EC391" t="s">
        <v>6</v>
      </c>
      <c r="EE391">
        <v>54938782</v>
      </c>
      <c r="EF391">
        <v>21</v>
      </c>
      <c r="EG391" t="s">
        <v>96</v>
      </c>
      <c r="EH391">
        <v>0</v>
      </c>
      <c r="EI391" t="s">
        <v>6</v>
      </c>
      <c r="EJ391">
        <v>2</v>
      </c>
      <c r="EK391">
        <v>500002</v>
      </c>
      <c r="EL391" t="s">
        <v>97</v>
      </c>
      <c r="EM391" t="s">
        <v>98</v>
      </c>
      <c r="EO391" t="s">
        <v>6</v>
      </c>
      <c r="EQ391">
        <v>0</v>
      </c>
      <c r="ER391">
        <v>30.28</v>
      </c>
      <c r="ES391">
        <v>4.25</v>
      </c>
      <c r="ET391">
        <v>0</v>
      </c>
      <c r="EU391">
        <v>0</v>
      </c>
      <c r="EV391">
        <v>0</v>
      </c>
      <c r="EW391">
        <v>0</v>
      </c>
      <c r="EX391">
        <v>0</v>
      </c>
      <c r="EZ391">
        <v>5</v>
      </c>
      <c r="FC391">
        <v>0</v>
      </c>
      <c r="FD391">
        <v>18</v>
      </c>
      <c r="FF391">
        <v>30.28</v>
      </c>
      <c r="FQ391">
        <v>0</v>
      </c>
      <c r="FR391">
        <f t="shared" si="445"/>
        <v>0</v>
      </c>
      <c r="FS391">
        <v>0</v>
      </c>
      <c r="FX391">
        <v>0</v>
      </c>
      <c r="FY391">
        <v>0</v>
      </c>
      <c r="GA391" t="s">
        <v>329</v>
      </c>
      <c r="GD391">
        <v>1</v>
      </c>
      <c r="GF391">
        <v>-2127956255</v>
      </c>
      <c r="GG391">
        <v>2</v>
      </c>
      <c r="GH391">
        <v>3</v>
      </c>
      <c r="GI391">
        <v>5</v>
      </c>
      <c r="GJ391">
        <v>0</v>
      </c>
      <c r="GK391">
        <v>0</v>
      </c>
      <c r="GL391">
        <f t="shared" si="446"/>
        <v>0</v>
      </c>
      <c r="GM391">
        <f t="shared" si="447"/>
        <v>1189</v>
      </c>
      <c r="GN391">
        <f t="shared" si="448"/>
        <v>0</v>
      </c>
      <c r="GO391">
        <f t="shared" si="449"/>
        <v>1189</v>
      </c>
      <c r="GP391">
        <f t="shared" si="450"/>
        <v>0</v>
      </c>
      <c r="GR391">
        <v>1</v>
      </c>
      <c r="GS391">
        <v>1</v>
      </c>
      <c r="GT391">
        <v>0</v>
      </c>
      <c r="GU391" t="s">
        <v>6</v>
      </c>
      <c r="GV391">
        <f t="shared" si="451"/>
        <v>0</v>
      </c>
      <c r="GW391">
        <v>1</v>
      </c>
      <c r="GX391">
        <f t="shared" si="452"/>
        <v>0</v>
      </c>
      <c r="HA391">
        <v>0</v>
      </c>
      <c r="HB391">
        <v>0</v>
      </c>
      <c r="HC391">
        <f t="shared" si="453"/>
        <v>0</v>
      </c>
      <c r="HE391" t="s">
        <v>39</v>
      </c>
      <c r="HF391" t="s">
        <v>40</v>
      </c>
      <c r="HM391" t="s">
        <v>6</v>
      </c>
      <c r="HN391" t="s">
        <v>6</v>
      </c>
      <c r="HO391" t="s">
        <v>6</v>
      </c>
      <c r="HP391" t="s">
        <v>6</v>
      </c>
      <c r="HQ391" t="s">
        <v>6</v>
      </c>
      <c r="IF391">
        <v>-1</v>
      </c>
      <c r="IK391">
        <v>0</v>
      </c>
    </row>
    <row r="392" spans="1:255" x14ac:dyDescent="0.2">
      <c r="A392" s="2">
        <v>18</v>
      </c>
      <c r="B392" s="2">
        <v>1</v>
      </c>
      <c r="C392" s="2">
        <v>507</v>
      </c>
      <c r="D392" s="2"/>
      <c r="E392" s="2" t="s">
        <v>530</v>
      </c>
      <c r="F392" s="2" t="s">
        <v>331</v>
      </c>
      <c r="G392" s="2" t="s">
        <v>332</v>
      </c>
      <c r="H392" s="2" t="s">
        <v>333</v>
      </c>
      <c r="I392" s="2">
        <f>I384*J392</f>
        <v>6.7999999999999989</v>
      </c>
      <c r="J392" s="226">
        <f>'5.Ведомость_списания'!F172</f>
        <v>9.9999999999999982</v>
      </c>
      <c r="K392" s="2">
        <v>10</v>
      </c>
      <c r="L392" s="2"/>
      <c r="M392" s="2"/>
      <c r="N392" s="2"/>
      <c r="O392" s="2">
        <f t="shared" si="420"/>
        <v>387</v>
      </c>
      <c r="P392" s="2">
        <f t="shared" si="421"/>
        <v>387</v>
      </c>
      <c r="Q392" s="2">
        <f t="shared" si="422"/>
        <v>0</v>
      </c>
      <c r="R392" s="2">
        <f t="shared" si="423"/>
        <v>0</v>
      </c>
      <c r="S392" s="2">
        <f t="shared" si="424"/>
        <v>0</v>
      </c>
      <c r="T392" s="2">
        <f t="shared" si="425"/>
        <v>0</v>
      </c>
      <c r="U392" s="2">
        <f t="shared" si="426"/>
        <v>0</v>
      </c>
      <c r="V392" s="2">
        <f t="shared" si="427"/>
        <v>0</v>
      </c>
      <c r="W392" s="2">
        <f t="shared" si="428"/>
        <v>0</v>
      </c>
      <c r="X392" s="2">
        <f t="shared" si="429"/>
        <v>0</v>
      </c>
      <c r="Y392" s="2">
        <f t="shared" si="430"/>
        <v>0</v>
      </c>
      <c r="Z392" s="2"/>
      <c r="AA392" s="2">
        <v>86326987</v>
      </c>
      <c r="AB392" s="2">
        <f t="shared" si="431"/>
        <v>56.95</v>
      </c>
      <c r="AC392" s="2">
        <f t="shared" si="456"/>
        <v>56.95</v>
      </c>
      <c r="AD392" s="2">
        <f t="shared" si="417"/>
        <v>0</v>
      </c>
      <c r="AE392" s="2">
        <f t="shared" si="432"/>
        <v>0</v>
      </c>
      <c r="AF392" s="2">
        <f t="shared" si="454"/>
        <v>0</v>
      </c>
      <c r="AG392" s="2">
        <f t="shared" si="433"/>
        <v>0</v>
      </c>
      <c r="AH392" s="2">
        <f t="shared" si="455"/>
        <v>0</v>
      </c>
      <c r="AI392" s="2">
        <f t="shared" si="434"/>
        <v>0</v>
      </c>
      <c r="AJ392" s="2">
        <f t="shared" si="435"/>
        <v>0.06</v>
      </c>
      <c r="AK392" s="2">
        <v>56.95</v>
      </c>
      <c r="AL392" s="110">
        <f>'1.Лок.смета.и.Акт'!F726</f>
        <v>56.95</v>
      </c>
      <c r="AM392" s="2">
        <v>0</v>
      </c>
      <c r="AN392" s="2">
        <v>0</v>
      </c>
      <c r="AO392" s="2">
        <v>0</v>
      </c>
      <c r="AP392" s="2">
        <v>0</v>
      </c>
      <c r="AQ392" s="2">
        <v>0</v>
      </c>
      <c r="AR392" s="2">
        <v>0</v>
      </c>
      <c r="AS392" s="2">
        <v>0.06</v>
      </c>
      <c r="AT392" s="2">
        <v>0</v>
      </c>
      <c r="AU392" s="2">
        <v>0</v>
      </c>
      <c r="AV392" s="2">
        <v>1</v>
      </c>
      <c r="AW392" s="2">
        <v>1</v>
      </c>
      <c r="AX392" s="2"/>
      <c r="AY392" s="2"/>
      <c r="AZ392" s="2">
        <v>1</v>
      </c>
      <c r="BA392" s="2">
        <v>1</v>
      </c>
      <c r="BB392" s="2">
        <v>1</v>
      </c>
      <c r="BC392" s="2">
        <v>1</v>
      </c>
      <c r="BD392" s="2" t="s">
        <v>6</v>
      </c>
      <c r="BE392" s="2" t="s">
        <v>6</v>
      </c>
      <c r="BF392" s="2" t="s">
        <v>6</v>
      </c>
      <c r="BG392" s="2" t="s">
        <v>6</v>
      </c>
      <c r="BH392" s="2">
        <v>3</v>
      </c>
      <c r="BI392" s="2">
        <v>2</v>
      </c>
      <c r="BJ392" s="2" t="s">
        <v>334</v>
      </c>
      <c r="BK392" s="2"/>
      <c r="BL392" s="2"/>
      <c r="BM392" s="2">
        <v>500002</v>
      </c>
      <c r="BN392" s="2">
        <v>0</v>
      </c>
      <c r="BO392" s="2" t="s">
        <v>6</v>
      </c>
      <c r="BP392" s="2">
        <v>0</v>
      </c>
      <c r="BQ392" s="2">
        <v>21</v>
      </c>
      <c r="BR392" s="2">
        <v>0</v>
      </c>
      <c r="BS392" s="2">
        <v>1</v>
      </c>
      <c r="BT392" s="2">
        <v>1</v>
      </c>
      <c r="BU392" s="2">
        <v>1</v>
      </c>
      <c r="BV392" s="2">
        <v>1</v>
      </c>
      <c r="BW392" s="2">
        <v>1</v>
      </c>
      <c r="BX392" s="2">
        <v>1</v>
      </c>
      <c r="BY392" s="2" t="s">
        <v>6</v>
      </c>
      <c r="BZ392" s="2">
        <v>0</v>
      </c>
      <c r="CA392" s="2">
        <v>0</v>
      </c>
      <c r="CB392" s="2" t="s">
        <v>6</v>
      </c>
      <c r="CC392" s="2"/>
      <c r="CD392" s="2"/>
      <c r="CE392" s="2">
        <v>0</v>
      </c>
      <c r="CF392" s="2">
        <v>0</v>
      </c>
      <c r="CG392" s="2">
        <v>0</v>
      </c>
      <c r="CH392" s="2"/>
      <c r="CI392" s="2"/>
      <c r="CJ392" s="2"/>
      <c r="CK392" s="2"/>
      <c r="CL392" s="2"/>
      <c r="CM392" s="2">
        <v>0</v>
      </c>
      <c r="CN392" s="2" t="s">
        <v>6</v>
      </c>
      <c r="CO392" s="2">
        <v>0</v>
      </c>
      <c r="CP392" s="2">
        <f t="shared" si="436"/>
        <v>387</v>
      </c>
      <c r="CQ392" s="2">
        <f t="shared" si="437"/>
        <v>56.95</v>
      </c>
      <c r="CR392" s="2">
        <f t="shared" si="438"/>
        <v>0</v>
      </c>
      <c r="CS392" s="2">
        <f t="shared" si="439"/>
        <v>0</v>
      </c>
      <c r="CT392" s="2">
        <f t="shared" si="440"/>
        <v>0</v>
      </c>
      <c r="CU392" s="2">
        <f t="shared" si="441"/>
        <v>0</v>
      </c>
      <c r="CV392" s="2">
        <f t="shared" si="442"/>
        <v>0</v>
      </c>
      <c r="CW392" s="2">
        <f t="shared" si="443"/>
        <v>0</v>
      </c>
      <c r="CX392" s="2">
        <f t="shared" si="444"/>
        <v>0.06</v>
      </c>
      <c r="CY392" s="2">
        <f>(((S392+(R392*IF(0,0,1)))*AT392)/100)</f>
        <v>0</v>
      </c>
      <c r="CZ392" s="2">
        <f>(((S392+(R392*IF(0,0,1)))*AU392)/100)</f>
        <v>0</v>
      </c>
      <c r="DA392" s="2"/>
      <c r="DB392" s="2"/>
      <c r="DC392" s="2" t="s">
        <v>6</v>
      </c>
      <c r="DD392" s="2" t="s">
        <v>6</v>
      </c>
      <c r="DE392" s="2" t="s">
        <v>6</v>
      </c>
      <c r="DF392" s="2" t="s">
        <v>6</v>
      </c>
      <c r="DG392" s="2" t="s">
        <v>6</v>
      </c>
      <c r="DH392" s="2" t="s">
        <v>6</v>
      </c>
      <c r="DI392" s="2" t="s">
        <v>6</v>
      </c>
      <c r="DJ392" s="2" t="s">
        <v>6</v>
      </c>
      <c r="DK392" s="2" t="s">
        <v>6</v>
      </c>
      <c r="DL392" s="2" t="s">
        <v>6</v>
      </c>
      <c r="DM392" s="2" t="s">
        <v>6</v>
      </c>
      <c r="DN392" s="2">
        <v>0</v>
      </c>
      <c r="DO392" s="2">
        <v>0</v>
      </c>
      <c r="DP392" s="2">
        <v>1</v>
      </c>
      <c r="DQ392" s="2">
        <v>1</v>
      </c>
      <c r="DR392" s="2"/>
      <c r="DS392" s="2"/>
      <c r="DT392" s="2"/>
      <c r="DU392" s="2">
        <v>1003</v>
      </c>
      <c r="DV392" s="2" t="s">
        <v>333</v>
      </c>
      <c r="DW392" s="2" t="s">
        <v>333</v>
      </c>
      <c r="DX392" s="2">
        <v>10</v>
      </c>
      <c r="DY392" s="2"/>
      <c r="DZ392" s="2" t="s">
        <v>6</v>
      </c>
      <c r="EA392" s="2" t="s">
        <v>6</v>
      </c>
      <c r="EB392" s="2" t="s">
        <v>6</v>
      </c>
      <c r="EC392" s="2" t="s">
        <v>6</v>
      </c>
      <c r="ED392" s="2"/>
      <c r="EE392" s="2">
        <v>54938782</v>
      </c>
      <c r="EF392" s="2">
        <v>21</v>
      </c>
      <c r="EG392" s="2" t="s">
        <v>96</v>
      </c>
      <c r="EH392" s="2">
        <v>0</v>
      </c>
      <c r="EI392" s="2" t="s">
        <v>6</v>
      </c>
      <c r="EJ392" s="2">
        <v>2</v>
      </c>
      <c r="EK392" s="2">
        <v>500002</v>
      </c>
      <c r="EL392" s="2" t="s">
        <v>97</v>
      </c>
      <c r="EM392" s="2" t="s">
        <v>98</v>
      </c>
      <c r="EN392" s="2"/>
      <c r="EO392" s="2" t="s">
        <v>6</v>
      </c>
      <c r="EP392" s="2"/>
      <c r="EQ392" s="2">
        <v>0</v>
      </c>
      <c r="ER392" s="2">
        <v>56.95</v>
      </c>
      <c r="ES392" s="110">
        <f>'1.Лок.смета.и.Акт'!F726</f>
        <v>56.95</v>
      </c>
      <c r="ET392" s="2">
        <v>0</v>
      </c>
      <c r="EU392" s="2">
        <v>0</v>
      </c>
      <c r="EV392" s="2">
        <v>0</v>
      </c>
      <c r="EW392" s="2">
        <v>0</v>
      </c>
      <c r="EX392" s="2">
        <v>0</v>
      </c>
      <c r="EY392" s="2"/>
      <c r="EZ392" s="2"/>
      <c r="FA392" s="2"/>
      <c r="FB392" s="2"/>
      <c r="FC392" s="2"/>
      <c r="FD392" s="2"/>
      <c r="FE392" s="2"/>
      <c r="FF392" s="2"/>
      <c r="FG392" s="2"/>
      <c r="FH392" s="2"/>
      <c r="FI392" s="2"/>
      <c r="FJ392" s="2"/>
      <c r="FK392" s="2"/>
      <c r="FL392" s="2"/>
      <c r="FM392" s="2"/>
      <c r="FN392" s="2"/>
      <c r="FO392" s="2"/>
      <c r="FP392" s="2"/>
      <c r="FQ392" s="2">
        <v>0</v>
      </c>
      <c r="FR392" s="2">
        <f t="shared" si="445"/>
        <v>0</v>
      </c>
      <c r="FS392" s="2">
        <v>0</v>
      </c>
      <c r="FT392" s="2"/>
      <c r="FU392" s="2"/>
      <c r="FV392" s="2"/>
      <c r="FW392" s="2"/>
      <c r="FX392" s="2">
        <v>0</v>
      </c>
      <c r="FY392" s="2">
        <v>0</v>
      </c>
      <c r="FZ392" s="2"/>
      <c r="GA392" s="2" t="s">
        <v>6</v>
      </c>
      <c r="GB392" s="2"/>
      <c r="GC392" s="2"/>
      <c r="GD392" s="2">
        <v>1</v>
      </c>
      <c r="GE392" s="2"/>
      <c r="GF392" s="2">
        <v>-1605369031</v>
      </c>
      <c r="GG392" s="2">
        <v>2</v>
      </c>
      <c r="GH392" s="2">
        <v>1</v>
      </c>
      <c r="GI392" s="2">
        <v>-2</v>
      </c>
      <c r="GJ392" s="2">
        <v>0</v>
      </c>
      <c r="GK392" s="2">
        <v>0</v>
      </c>
      <c r="GL392" s="2">
        <f t="shared" si="446"/>
        <v>0</v>
      </c>
      <c r="GM392" s="2">
        <f t="shared" si="447"/>
        <v>387</v>
      </c>
      <c r="GN392" s="2">
        <f t="shared" si="448"/>
        <v>0</v>
      </c>
      <c r="GO392" s="2">
        <f t="shared" si="449"/>
        <v>387</v>
      </c>
      <c r="GP392" s="2">
        <f t="shared" si="450"/>
        <v>0</v>
      </c>
      <c r="GQ392" s="2"/>
      <c r="GR392" s="2">
        <v>0</v>
      </c>
      <c r="GS392" s="2">
        <v>3</v>
      </c>
      <c r="GT392" s="2">
        <v>0</v>
      </c>
      <c r="GU392" s="2" t="s">
        <v>6</v>
      </c>
      <c r="GV392" s="2">
        <f t="shared" si="451"/>
        <v>0</v>
      </c>
      <c r="GW392" s="2">
        <v>1</v>
      </c>
      <c r="GX392" s="2">
        <f t="shared" si="452"/>
        <v>0</v>
      </c>
      <c r="GY392" s="2"/>
      <c r="GZ392" s="2"/>
      <c r="HA392" s="2">
        <v>0</v>
      </c>
      <c r="HB392" s="2">
        <v>0</v>
      </c>
      <c r="HC392" s="2">
        <f t="shared" si="453"/>
        <v>0</v>
      </c>
      <c r="HD392" s="2"/>
      <c r="HE392" s="2" t="s">
        <v>6</v>
      </c>
      <c r="HF392" s="2" t="s">
        <v>6</v>
      </c>
      <c r="HG392" s="2"/>
      <c r="HH392" s="2"/>
      <c r="HI392" s="2"/>
      <c r="HJ392" s="2"/>
      <c r="HK392" s="2"/>
      <c r="HL392" s="2"/>
      <c r="HM392" s="2" t="s">
        <v>6</v>
      </c>
      <c r="HN392" s="2" t="s">
        <v>6</v>
      </c>
      <c r="HO392" s="2" t="s">
        <v>6</v>
      </c>
      <c r="HP392" s="2" t="s">
        <v>6</v>
      </c>
      <c r="HQ392" s="2" t="s">
        <v>6</v>
      </c>
      <c r="HR392" s="2"/>
      <c r="HS392" s="2"/>
      <c r="HT392" s="2"/>
      <c r="HU392" s="2"/>
      <c r="HV392" s="2"/>
      <c r="HW392" s="2"/>
      <c r="HX392" s="2"/>
      <c r="HY392" s="2"/>
      <c r="HZ392" s="2"/>
      <c r="IA392" s="2"/>
      <c r="IB392" s="2"/>
      <c r="IC392" s="2"/>
      <c r="ID392" s="2"/>
      <c r="IE392" s="2"/>
      <c r="IF392" s="2">
        <v>-1</v>
      </c>
      <c r="IG392" s="2"/>
      <c r="IH392" s="2"/>
      <c r="II392" s="2"/>
      <c r="IJ392" s="2"/>
      <c r="IK392" s="2">
        <v>0</v>
      </c>
      <c r="IL392" s="2"/>
      <c r="IM392" s="2"/>
      <c r="IN392" s="2"/>
      <c r="IO392" s="2"/>
      <c r="IP392" s="2"/>
      <c r="IQ392" s="2"/>
      <c r="IR392" s="2"/>
      <c r="IS392" s="2"/>
      <c r="IT392" s="2"/>
      <c r="IU392" s="2"/>
    </row>
    <row r="393" spans="1:255" x14ac:dyDescent="0.2">
      <c r="A393">
        <v>18</v>
      </c>
      <c r="B393">
        <v>1</v>
      </c>
      <c r="C393">
        <v>518</v>
      </c>
      <c r="E393" t="s">
        <v>530</v>
      </c>
      <c r="F393" t="e">
        <f>'2.Лок.смета.и.Акт'!#REF!</f>
        <v>#REF!</v>
      </c>
      <c r="G393" t="s">
        <v>332</v>
      </c>
      <c r="H393" t="s">
        <v>333</v>
      </c>
      <c r="I393">
        <f>I385*J393</f>
        <v>6.7999999999999989</v>
      </c>
      <c r="J393">
        <v>9.9999999999999982</v>
      </c>
      <c r="K393">
        <v>10</v>
      </c>
      <c r="O393">
        <f t="shared" si="420"/>
        <v>1450</v>
      </c>
      <c r="P393">
        <f t="shared" si="421"/>
        <v>1450</v>
      </c>
      <c r="Q393">
        <f t="shared" si="422"/>
        <v>0</v>
      </c>
      <c r="R393">
        <f t="shared" si="423"/>
        <v>0</v>
      </c>
      <c r="S393">
        <f t="shared" si="424"/>
        <v>0</v>
      </c>
      <c r="T393">
        <f t="shared" si="425"/>
        <v>0</v>
      </c>
      <c r="U393">
        <f t="shared" si="426"/>
        <v>0</v>
      </c>
      <c r="V393">
        <f t="shared" si="427"/>
        <v>0</v>
      </c>
      <c r="W393">
        <f t="shared" si="428"/>
        <v>0</v>
      </c>
      <c r="X393">
        <f t="shared" si="429"/>
        <v>0</v>
      </c>
      <c r="Y393">
        <f t="shared" si="430"/>
        <v>0</v>
      </c>
      <c r="AA393">
        <v>86326988</v>
      </c>
      <c r="AB393">
        <f t="shared" si="431"/>
        <v>28.21</v>
      </c>
      <c r="AC393">
        <f t="shared" si="456"/>
        <v>28.21</v>
      </c>
      <c r="AD393">
        <f t="shared" si="417"/>
        <v>0</v>
      </c>
      <c r="AE393">
        <f t="shared" si="432"/>
        <v>0</v>
      </c>
      <c r="AF393">
        <f t="shared" si="454"/>
        <v>0</v>
      </c>
      <c r="AG393">
        <f t="shared" si="433"/>
        <v>0</v>
      </c>
      <c r="AH393">
        <f t="shared" si="455"/>
        <v>0</v>
      </c>
      <c r="AI393">
        <f t="shared" si="434"/>
        <v>0</v>
      </c>
      <c r="AJ393">
        <f t="shared" si="435"/>
        <v>0.06</v>
      </c>
      <c r="AK393">
        <v>28.21</v>
      </c>
      <c r="AL393">
        <v>28.21</v>
      </c>
      <c r="AM393">
        <v>0</v>
      </c>
      <c r="AN393">
        <v>0</v>
      </c>
      <c r="AO393">
        <v>0</v>
      </c>
      <c r="AP393">
        <v>0</v>
      </c>
      <c r="AQ393">
        <v>0</v>
      </c>
      <c r="AR393">
        <v>0</v>
      </c>
      <c r="AS393">
        <v>0.06</v>
      </c>
      <c r="AT393">
        <v>0</v>
      </c>
      <c r="AU393">
        <v>0</v>
      </c>
      <c r="AV393">
        <v>1</v>
      </c>
      <c r="AW393">
        <v>1</v>
      </c>
      <c r="AZ393">
        <v>1</v>
      </c>
      <c r="BA393">
        <v>1</v>
      </c>
      <c r="BB393">
        <v>1</v>
      </c>
      <c r="BC393">
        <v>7.56</v>
      </c>
      <c r="BD393" t="s">
        <v>6</v>
      </c>
      <c r="BE393" t="s">
        <v>6</v>
      </c>
      <c r="BF393" t="s">
        <v>6</v>
      </c>
      <c r="BG393" t="s">
        <v>6</v>
      </c>
      <c r="BH393">
        <v>3</v>
      </c>
      <c r="BI393">
        <v>2</v>
      </c>
      <c r="BJ393" t="s">
        <v>334</v>
      </c>
      <c r="BM393">
        <v>500002</v>
      </c>
      <c r="BN393">
        <v>0</v>
      </c>
      <c r="BO393" t="s">
        <v>6</v>
      </c>
      <c r="BP393">
        <v>0</v>
      </c>
      <c r="BQ393">
        <v>21</v>
      </c>
      <c r="BR393">
        <v>0</v>
      </c>
      <c r="BS393">
        <v>1</v>
      </c>
      <c r="BT393">
        <v>1</v>
      </c>
      <c r="BU393">
        <v>1</v>
      </c>
      <c r="BV393">
        <v>1</v>
      </c>
      <c r="BW393">
        <v>1</v>
      </c>
      <c r="BX393">
        <v>1</v>
      </c>
      <c r="BY393" t="s">
        <v>6</v>
      </c>
      <c r="BZ393">
        <v>0</v>
      </c>
      <c r="CA393">
        <v>0</v>
      </c>
      <c r="CB393" t="s">
        <v>6</v>
      </c>
      <c r="CE393">
        <v>0</v>
      </c>
      <c r="CF393">
        <v>0</v>
      </c>
      <c r="CG393">
        <v>0</v>
      </c>
      <c r="CM393">
        <v>0</v>
      </c>
      <c r="CN393" t="s">
        <v>6</v>
      </c>
      <c r="CO393">
        <v>0</v>
      </c>
      <c r="CP393">
        <f t="shared" si="436"/>
        <v>1450</v>
      </c>
      <c r="CQ393">
        <f t="shared" si="437"/>
        <v>213.26759999999999</v>
      </c>
      <c r="CR393">
        <f t="shared" si="438"/>
        <v>0</v>
      </c>
      <c r="CS393">
        <f t="shared" si="439"/>
        <v>0</v>
      </c>
      <c r="CT393">
        <f t="shared" si="440"/>
        <v>0</v>
      </c>
      <c r="CU393">
        <f t="shared" si="441"/>
        <v>0</v>
      </c>
      <c r="CV393">
        <f t="shared" si="442"/>
        <v>0</v>
      </c>
      <c r="CW393">
        <f t="shared" si="443"/>
        <v>0</v>
      </c>
      <c r="CX393">
        <f t="shared" si="444"/>
        <v>0.06</v>
      </c>
      <c r="CY393">
        <f>(S393+R393)*(BZ393/100)</f>
        <v>0</v>
      </c>
      <c r="CZ393">
        <f>(S393+R393)*(CA393/100)</f>
        <v>0</v>
      </c>
      <c r="DC393" t="s">
        <v>6</v>
      </c>
      <c r="DD393" t="s">
        <v>6</v>
      </c>
      <c r="DE393" t="s">
        <v>6</v>
      </c>
      <c r="DF393" t="s">
        <v>6</v>
      </c>
      <c r="DG393" t="s">
        <v>6</v>
      </c>
      <c r="DH393" t="s">
        <v>6</v>
      </c>
      <c r="DI393" t="s">
        <v>6</v>
      </c>
      <c r="DJ393" t="s">
        <v>6</v>
      </c>
      <c r="DK393" t="s">
        <v>6</v>
      </c>
      <c r="DL393" t="s">
        <v>6</v>
      </c>
      <c r="DM393" t="s">
        <v>6</v>
      </c>
      <c r="DN393">
        <v>0</v>
      </c>
      <c r="DO393">
        <v>0</v>
      </c>
      <c r="DP393">
        <v>1</v>
      </c>
      <c r="DQ393">
        <v>1</v>
      </c>
      <c r="DU393">
        <v>1003</v>
      </c>
      <c r="DV393" t="s">
        <v>333</v>
      </c>
      <c r="DW393" t="e">
        <f>'2.Лок.смета.и.Акт'!#REF!</f>
        <v>#REF!</v>
      </c>
      <c r="DX393">
        <v>10</v>
      </c>
      <c r="DZ393" t="s">
        <v>6</v>
      </c>
      <c r="EA393" t="s">
        <v>6</v>
      </c>
      <c r="EB393" t="s">
        <v>6</v>
      </c>
      <c r="EC393" t="s">
        <v>6</v>
      </c>
      <c r="EE393">
        <v>54938782</v>
      </c>
      <c r="EF393">
        <v>21</v>
      </c>
      <c r="EG393" t="s">
        <v>96</v>
      </c>
      <c r="EH393">
        <v>0</v>
      </c>
      <c r="EI393" t="s">
        <v>6</v>
      </c>
      <c r="EJ393">
        <v>2</v>
      </c>
      <c r="EK393">
        <v>500002</v>
      </c>
      <c r="EL393" t="s">
        <v>97</v>
      </c>
      <c r="EM393" t="s">
        <v>98</v>
      </c>
      <c r="EO393" t="s">
        <v>6</v>
      </c>
      <c r="EQ393">
        <v>0</v>
      </c>
      <c r="ER393">
        <v>201.1</v>
      </c>
      <c r="ES393">
        <v>28.21</v>
      </c>
      <c r="ET393">
        <v>0</v>
      </c>
      <c r="EU393">
        <v>0</v>
      </c>
      <c r="EV393">
        <v>0</v>
      </c>
      <c r="EW393">
        <v>0</v>
      </c>
      <c r="EX393">
        <v>0</v>
      </c>
      <c r="EZ393">
        <v>5</v>
      </c>
      <c r="FC393">
        <v>0</v>
      </c>
      <c r="FD393">
        <v>18</v>
      </c>
      <c r="FF393">
        <v>201.1</v>
      </c>
      <c r="FQ393">
        <v>0</v>
      </c>
      <c r="FR393">
        <f t="shared" si="445"/>
        <v>0</v>
      </c>
      <c r="FS393">
        <v>0</v>
      </c>
      <c r="FX393">
        <v>0</v>
      </c>
      <c r="FY393">
        <v>0</v>
      </c>
      <c r="GA393" t="s">
        <v>335</v>
      </c>
      <c r="GD393">
        <v>1</v>
      </c>
      <c r="GF393">
        <v>-1605369031</v>
      </c>
      <c r="GG393">
        <v>2</v>
      </c>
      <c r="GH393">
        <v>3</v>
      </c>
      <c r="GI393">
        <v>5</v>
      </c>
      <c r="GJ393">
        <v>0</v>
      </c>
      <c r="GK393">
        <v>0</v>
      </c>
      <c r="GL393">
        <f t="shared" si="446"/>
        <v>0</v>
      </c>
      <c r="GM393">
        <f t="shared" si="447"/>
        <v>1450</v>
      </c>
      <c r="GN393">
        <f t="shared" si="448"/>
        <v>0</v>
      </c>
      <c r="GO393">
        <f t="shared" si="449"/>
        <v>1450</v>
      </c>
      <c r="GP393">
        <f t="shared" si="450"/>
        <v>0</v>
      </c>
      <c r="GR393">
        <v>1</v>
      </c>
      <c r="GS393">
        <v>1</v>
      </c>
      <c r="GT393">
        <v>0</v>
      </c>
      <c r="GU393" t="s">
        <v>6</v>
      </c>
      <c r="GV393">
        <f t="shared" si="451"/>
        <v>0</v>
      </c>
      <c r="GW393">
        <v>1</v>
      </c>
      <c r="GX393">
        <f t="shared" si="452"/>
        <v>0</v>
      </c>
      <c r="HA393">
        <v>0</v>
      </c>
      <c r="HB393">
        <v>0</v>
      </c>
      <c r="HC393">
        <f t="shared" si="453"/>
        <v>0</v>
      </c>
      <c r="HE393" t="s">
        <v>39</v>
      </c>
      <c r="HF393" t="s">
        <v>40</v>
      </c>
      <c r="HM393" t="s">
        <v>6</v>
      </c>
      <c r="HN393" t="s">
        <v>6</v>
      </c>
      <c r="HO393" t="s">
        <v>6</v>
      </c>
      <c r="HP393" t="s">
        <v>6</v>
      </c>
      <c r="HQ393" t="s">
        <v>6</v>
      </c>
      <c r="IF393">
        <v>-1</v>
      </c>
      <c r="IK393">
        <v>0</v>
      </c>
    </row>
    <row r="394" spans="1:255" x14ac:dyDescent="0.2">
      <c r="A394" s="2">
        <v>18</v>
      </c>
      <c r="B394" s="2">
        <v>1</v>
      </c>
      <c r="C394" s="2">
        <v>508</v>
      </c>
      <c r="D394" s="2"/>
      <c r="E394" s="2" t="s">
        <v>531</v>
      </c>
      <c r="F394" s="2" t="s">
        <v>532</v>
      </c>
      <c r="G394" s="2" t="s">
        <v>533</v>
      </c>
      <c r="H394" s="2" t="s">
        <v>33</v>
      </c>
      <c r="I394" s="2">
        <f>I384*J394</f>
        <v>4.0800000000000003E-3</v>
      </c>
      <c r="J394" s="226">
        <f>'5.Ведомость_списания'!F173</f>
        <v>6.0000000000000001E-3</v>
      </c>
      <c r="K394" s="2">
        <v>6.0000000000000001E-3</v>
      </c>
      <c r="L394" s="2"/>
      <c r="M394" s="2"/>
      <c r="N394" s="2"/>
      <c r="O394" s="2">
        <f t="shared" si="420"/>
        <v>46</v>
      </c>
      <c r="P394" s="2">
        <f t="shared" si="421"/>
        <v>46</v>
      </c>
      <c r="Q394" s="2">
        <f t="shared" si="422"/>
        <v>0</v>
      </c>
      <c r="R394" s="2">
        <f t="shared" si="423"/>
        <v>0</v>
      </c>
      <c r="S394" s="2">
        <f t="shared" si="424"/>
        <v>0</v>
      </c>
      <c r="T394" s="2">
        <f t="shared" si="425"/>
        <v>0</v>
      </c>
      <c r="U394" s="2">
        <f t="shared" si="426"/>
        <v>0</v>
      </c>
      <c r="V394" s="2">
        <f t="shared" si="427"/>
        <v>0</v>
      </c>
      <c r="W394" s="2">
        <f t="shared" si="428"/>
        <v>0</v>
      </c>
      <c r="X394" s="2">
        <f t="shared" si="429"/>
        <v>0</v>
      </c>
      <c r="Y394" s="2">
        <f t="shared" si="430"/>
        <v>0</v>
      </c>
      <c r="Z394" s="2"/>
      <c r="AA394" s="2">
        <v>86326987</v>
      </c>
      <c r="AB394" s="2">
        <f t="shared" si="431"/>
        <v>11267.15</v>
      </c>
      <c r="AC394" s="2">
        <f t="shared" si="456"/>
        <v>11267.15</v>
      </c>
      <c r="AD394" s="2">
        <f t="shared" si="417"/>
        <v>0</v>
      </c>
      <c r="AE394" s="2">
        <f t="shared" si="432"/>
        <v>0</v>
      </c>
      <c r="AF394" s="2">
        <f t="shared" si="454"/>
        <v>0</v>
      </c>
      <c r="AG394" s="2">
        <f t="shared" si="433"/>
        <v>0</v>
      </c>
      <c r="AH394" s="2">
        <f t="shared" si="455"/>
        <v>0</v>
      </c>
      <c r="AI394" s="2">
        <f t="shared" si="434"/>
        <v>0</v>
      </c>
      <c r="AJ394" s="2">
        <f t="shared" si="435"/>
        <v>0</v>
      </c>
      <c r="AK394" s="2">
        <v>11267.15</v>
      </c>
      <c r="AL394" s="110">
        <f>'1.Лок.смета.и.Акт'!F728</f>
        <v>11267.15</v>
      </c>
      <c r="AM394" s="2">
        <v>0</v>
      </c>
      <c r="AN394" s="2">
        <v>0</v>
      </c>
      <c r="AO394" s="2">
        <v>0</v>
      </c>
      <c r="AP394" s="2">
        <v>0</v>
      </c>
      <c r="AQ394" s="2">
        <v>0</v>
      </c>
      <c r="AR394" s="2">
        <v>0</v>
      </c>
      <c r="AS394" s="2">
        <v>0</v>
      </c>
      <c r="AT394" s="2">
        <v>0</v>
      </c>
      <c r="AU394" s="2">
        <v>0</v>
      </c>
      <c r="AV394" s="2">
        <v>1</v>
      </c>
      <c r="AW394" s="2">
        <v>1</v>
      </c>
      <c r="AX394" s="2"/>
      <c r="AY394" s="2"/>
      <c r="AZ394" s="2">
        <v>1</v>
      </c>
      <c r="BA394" s="2">
        <v>1</v>
      </c>
      <c r="BB394" s="2">
        <v>1</v>
      </c>
      <c r="BC394" s="2">
        <v>1</v>
      </c>
      <c r="BD394" s="2" t="s">
        <v>6</v>
      </c>
      <c r="BE394" s="2" t="s">
        <v>6</v>
      </c>
      <c r="BF394" s="2" t="s">
        <v>6</v>
      </c>
      <c r="BG394" s="2" t="s">
        <v>6</v>
      </c>
      <c r="BH394" s="2">
        <v>3</v>
      </c>
      <c r="BI394" s="2">
        <v>1</v>
      </c>
      <c r="BJ394" s="2" t="s">
        <v>534</v>
      </c>
      <c r="BK394" s="2"/>
      <c r="BL394" s="2"/>
      <c r="BM394" s="2">
        <v>500003</v>
      </c>
      <c r="BN394" s="2">
        <v>0</v>
      </c>
      <c r="BO394" s="2" t="s">
        <v>6</v>
      </c>
      <c r="BP394" s="2">
        <v>0</v>
      </c>
      <c r="BQ394" s="2">
        <v>22</v>
      </c>
      <c r="BR394" s="2">
        <v>0</v>
      </c>
      <c r="BS394" s="2">
        <v>1</v>
      </c>
      <c r="BT394" s="2">
        <v>1</v>
      </c>
      <c r="BU394" s="2">
        <v>1</v>
      </c>
      <c r="BV394" s="2">
        <v>1</v>
      </c>
      <c r="BW394" s="2">
        <v>1</v>
      </c>
      <c r="BX394" s="2">
        <v>1</v>
      </c>
      <c r="BY394" s="2" t="s">
        <v>6</v>
      </c>
      <c r="BZ394" s="2">
        <v>0</v>
      </c>
      <c r="CA394" s="2">
        <v>0</v>
      </c>
      <c r="CB394" s="2" t="s">
        <v>6</v>
      </c>
      <c r="CC394" s="2"/>
      <c r="CD394" s="2"/>
      <c r="CE394" s="2">
        <v>0</v>
      </c>
      <c r="CF394" s="2">
        <v>0</v>
      </c>
      <c r="CG394" s="2">
        <v>0</v>
      </c>
      <c r="CH394" s="2"/>
      <c r="CI394" s="2"/>
      <c r="CJ394" s="2"/>
      <c r="CK394" s="2"/>
      <c r="CL394" s="2"/>
      <c r="CM394" s="2">
        <v>0</v>
      </c>
      <c r="CN394" s="2" t="s">
        <v>6</v>
      </c>
      <c r="CO394" s="2">
        <v>0</v>
      </c>
      <c r="CP394" s="2">
        <f t="shared" si="436"/>
        <v>46</v>
      </c>
      <c r="CQ394" s="2">
        <f t="shared" si="437"/>
        <v>11267.15</v>
      </c>
      <c r="CR394" s="2">
        <f t="shared" si="438"/>
        <v>0</v>
      </c>
      <c r="CS394" s="2">
        <f t="shared" si="439"/>
        <v>0</v>
      </c>
      <c r="CT394" s="2">
        <f t="shared" si="440"/>
        <v>0</v>
      </c>
      <c r="CU394" s="2">
        <f t="shared" si="441"/>
        <v>0</v>
      </c>
      <c r="CV394" s="2">
        <f t="shared" si="442"/>
        <v>0</v>
      </c>
      <c r="CW394" s="2">
        <f t="shared" si="443"/>
        <v>0</v>
      </c>
      <c r="CX394" s="2">
        <f t="shared" si="444"/>
        <v>0</v>
      </c>
      <c r="CY394" s="2">
        <f>(((S394+(R394*IF(0,0,1)))*AT394)/100)</f>
        <v>0</v>
      </c>
      <c r="CZ394" s="2">
        <f>(((S394+(R394*IF(0,0,1)))*AU394)/100)</f>
        <v>0</v>
      </c>
      <c r="DA394" s="2"/>
      <c r="DB394" s="2"/>
      <c r="DC394" s="2" t="s">
        <v>6</v>
      </c>
      <c r="DD394" s="2" t="s">
        <v>6</v>
      </c>
      <c r="DE394" s="2" t="s">
        <v>6</v>
      </c>
      <c r="DF394" s="2" t="s">
        <v>6</v>
      </c>
      <c r="DG394" s="2" t="s">
        <v>6</v>
      </c>
      <c r="DH394" s="2" t="s">
        <v>6</v>
      </c>
      <c r="DI394" s="2" t="s">
        <v>6</v>
      </c>
      <c r="DJ394" s="2" t="s">
        <v>6</v>
      </c>
      <c r="DK394" s="2" t="s">
        <v>6</v>
      </c>
      <c r="DL394" s="2" t="s">
        <v>6</v>
      </c>
      <c r="DM394" s="2" t="s">
        <v>6</v>
      </c>
      <c r="DN394" s="2">
        <v>0</v>
      </c>
      <c r="DO394" s="2">
        <v>0</v>
      </c>
      <c r="DP394" s="2">
        <v>1</v>
      </c>
      <c r="DQ394" s="2">
        <v>1</v>
      </c>
      <c r="DR394" s="2"/>
      <c r="DS394" s="2"/>
      <c r="DT394" s="2"/>
      <c r="DU394" s="2">
        <v>1009</v>
      </c>
      <c r="DV394" s="2" t="s">
        <v>33</v>
      </c>
      <c r="DW394" s="2" t="s">
        <v>33</v>
      </c>
      <c r="DX394" s="2">
        <v>1000</v>
      </c>
      <c r="DY394" s="2"/>
      <c r="DZ394" s="2" t="s">
        <v>6</v>
      </c>
      <c r="EA394" s="2" t="s">
        <v>6</v>
      </c>
      <c r="EB394" s="2" t="s">
        <v>6</v>
      </c>
      <c r="EC394" s="2" t="s">
        <v>6</v>
      </c>
      <c r="ED394" s="2"/>
      <c r="EE394" s="2">
        <v>54938783</v>
      </c>
      <c r="EF394" s="2">
        <v>22</v>
      </c>
      <c r="EG394" s="2" t="s">
        <v>57</v>
      </c>
      <c r="EH394" s="2">
        <v>0</v>
      </c>
      <c r="EI394" s="2" t="s">
        <v>6</v>
      </c>
      <c r="EJ394" s="2">
        <v>1</v>
      </c>
      <c r="EK394" s="2">
        <v>500003</v>
      </c>
      <c r="EL394" s="2" t="s">
        <v>58</v>
      </c>
      <c r="EM394" s="2" t="s">
        <v>59</v>
      </c>
      <c r="EN394" s="2"/>
      <c r="EO394" s="2" t="s">
        <v>6</v>
      </c>
      <c r="EP394" s="2"/>
      <c r="EQ394" s="2">
        <v>0</v>
      </c>
      <c r="ER394" s="2">
        <v>11267.15</v>
      </c>
      <c r="ES394" s="110">
        <f>'1.Лок.смета.и.Акт'!F728</f>
        <v>11267.15</v>
      </c>
      <c r="ET394" s="2">
        <v>0</v>
      </c>
      <c r="EU394" s="2">
        <v>0</v>
      </c>
      <c r="EV394" s="2">
        <v>0</v>
      </c>
      <c r="EW394" s="2">
        <v>0</v>
      </c>
      <c r="EX394" s="2">
        <v>0</v>
      </c>
      <c r="EY394" s="2"/>
      <c r="EZ394" s="2"/>
      <c r="FA394" s="2"/>
      <c r="FB394" s="2"/>
      <c r="FC394" s="2"/>
      <c r="FD394" s="2"/>
      <c r="FE394" s="2"/>
      <c r="FF394" s="2"/>
      <c r="FG394" s="2"/>
      <c r="FH394" s="2"/>
      <c r="FI394" s="2"/>
      <c r="FJ394" s="2"/>
      <c r="FK394" s="2"/>
      <c r="FL394" s="2"/>
      <c r="FM394" s="2"/>
      <c r="FN394" s="2"/>
      <c r="FO394" s="2"/>
      <c r="FP394" s="2"/>
      <c r="FQ394" s="2">
        <v>0</v>
      </c>
      <c r="FR394" s="2">
        <f t="shared" si="445"/>
        <v>0</v>
      </c>
      <c r="FS394" s="2">
        <v>0</v>
      </c>
      <c r="FT394" s="2"/>
      <c r="FU394" s="2"/>
      <c r="FV394" s="2"/>
      <c r="FW394" s="2"/>
      <c r="FX394" s="2">
        <v>0</v>
      </c>
      <c r="FY394" s="2">
        <v>0</v>
      </c>
      <c r="FZ394" s="2"/>
      <c r="GA394" s="2" t="s">
        <v>6</v>
      </c>
      <c r="GB394" s="2"/>
      <c r="GC394" s="2"/>
      <c r="GD394" s="2">
        <v>1</v>
      </c>
      <c r="GE394" s="2"/>
      <c r="GF394" s="2">
        <v>-1719326189</v>
      </c>
      <c r="GG394" s="2">
        <v>2</v>
      </c>
      <c r="GH394" s="2">
        <v>2</v>
      </c>
      <c r="GI394" s="2">
        <v>-2</v>
      </c>
      <c r="GJ394" s="2">
        <v>0</v>
      </c>
      <c r="GK394" s="2">
        <v>0</v>
      </c>
      <c r="GL394" s="2">
        <f t="shared" si="446"/>
        <v>0</v>
      </c>
      <c r="GM394" s="2">
        <f t="shared" si="447"/>
        <v>46</v>
      </c>
      <c r="GN394" s="2">
        <f t="shared" si="448"/>
        <v>46</v>
      </c>
      <c r="GO394" s="2">
        <f t="shared" si="449"/>
        <v>0</v>
      </c>
      <c r="GP394" s="2">
        <f t="shared" si="450"/>
        <v>0</v>
      </c>
      <c r="GQ394" s="2"/>
      <c r="GR394" s="2">
        <v>0</v>
      </c>
      <c r="GS394" s="2">
        <v>2</v>
      </c>
      <c r="GT394" s="2">
        <v>0</v>
      </c>
      <c r="GU394" s="2" t="s">
        <v>6</v>
      </c>
      <c r="GV394" s="2">
        <f t="shared" si="451"/>
        <v>0</v>
      </c>
      <c r="GW394" s="2">
        <v>1</v>
      </c>
      <c r="GX394" s="2">
        <f t="shared" si="452"/>
        <v>0</v>
      </c>
      <c r="GY394" s="2"/>
      <c r="GZ394" s="2"/>
      <c r="HA394" s="2">
        <v>0</v>
      </c>
      <c r="HB394" s="2">
        <v>0</v>
      </c>
      <c r="HC394" s="2">
        <f t="shared" si="453"/>
        <v>0</v>
      </c>
      <c r="HD394" s="2"/>
      <c r="HE394" s="2" t="s">
        <v>6</v>
      </c>
      <c r="HF394" s="2" t="s">
        <v>6</v>
      </c>
      <c r="HG394" s="2"/>
      <c r="HH394" s="2"/>
      <c r="HI394" s="2"/>
      <c r="HJ394" s="2"/>
      <c r="HK394" s="2"/>
      <c r="HL394" s="2"/>
      <c r="HM394" s="2" t="s">
        <v>6</v>
      </c>
      <c r="HN394" s="2" t="s">
        <v>6</v>
      </c>
      <c r="HO394" s="2" t="s">
        <v>6</v>
      </c>
      <c r="HP394" s="2" t="s">
        <v>6</v>
      </c>
      <c r="HQ394" s="2" t="s">
        <v>6</v>
      </c>
      <c r="HR394" s="2"/>
      <c r="HS394" s="2"/>
      <c r="HT394" s="2"/>
      <c r="HU394" s="2"/>
      <c r="HV394" s="2"/>
      <c r="HW394" s="2"/>
      <c r="HX394" s="2"/>
      <c r="HY394" s="2"/>
      <c r="HZ394" s="2"/>
      <c r="IA394" s="2"/>
      <c r="IB394" s="2"/>
      <c r="IC394" s="2"/>
      <c r="ID394" s="2"/>
      <c r="IE394" s="2"/>
      <c r="IF394" s="2">
        <v>-1</v>
      </c>
      <c r="IG394" s="2"/>
      <c r="IH394" s="2"/>
      <c r="II394" s="2"/>
      <c r="IJ394" s="2"/>
      <c r="IK394" s="2">
        <v>0</v>
      </c>
      <c r="IL394" s="2"/>
      <c r="IM394" s="2"/>
      <c r="IN394" s="2"/>
      <c r="IO394" s="2"/>
      <c r="IP394" s="2"/>
      <c r="IQ394" s="2"/>
      <c r="IR394" s="2"/>
      <c r="IS394" s="2"/>
      <c r="IT394" s="2"/>
      <c r="IU394" s="2"/>
    </row>
    <row r="395" spans="1:255" x14ac:dyDescent="0.2">
      <c r="A395">
        <v>18</v>
      </c>
      <c r="B395">
        <v>1</v>
      </c>
      <c r="C395">
        <v>519</v>
      </c>
      <c r="E395" t="s">
        <v>531</v>
      </c>
      <c r="F395" t="e">
        <f>'2.Лок.смета.и.Акт'!#REF!</f>
        <v>#REF!</v>
      </c>
      <c r="G395" t="s">
        <v>533</v>
      </c>
      <c r="H395" t="s">
        <v>33</v>
      </c>
      <c r="I395">
        <f>I385*J395</f>
        <v>4.0800000000000003E-3</v>
      </c>
      <c r="J395">
        <v>6.0000000000000001E-3</v>
      </c>
      <c r="K395">
        <v>6.0000000000000001E-3</v>
      </c>
      <c r="O395">
        <f t="shared" si="420"/>
        <v>364</v>
      </c>
      <c r="P395">
        <f t="shared" si="421"/>
        <v>364</v>
      </c>
      <c r="Q395">
        <f t="shared" si="422"/>
        <v>0</v>
      </c>
      <c r="R395">
        <f t="shared" si="423"/>
        <v>0</v>
      </c>
      <c r="S395">
        <f t="shared" si="424"/>
        <v>0</v>
      </c>
      <c r="T395">
        <f t="shared" si="425"/>
        <v>0</v>
      </c>
      <c r="U395">
        <f t="shared" si="426"/>
        <v>0</v>
      </c>
      <c r="V395">
        <f t="shared" si="427"/>
        <v>0</v>
      </c>
      <c r="W395">
        <f t="shared" si="428"/>
        <v>0</v>
      </c>
      <c r="X395">
        <f t="shared" si="429"/>
        <v>0</v>
      </c>
      <c r="Y395">
        <f t="shared" si="430"/>
        <v>0</v>
      </c>
      <c r="AA395">
        <v>86326988</v>
      </c>
      <c r="AB395">
        <f t="shared" si="431"/>
        <v>11805.72</v>
      </c>
      <c r="AC395">
        <f t="shared" si="456"/>
        <v>11805.72</v>
      </c>
      <c r="AD395">
        <f t="shared" si="417"/>
        <v>0</v>
      </c>
      <c r="AE395">
        <f t="shared" si="432"/>
        <v>0</v>
      </c>
      <c r="AF395">
        <f t="shared" si="454"/>
        <v>0</v>
      </c>
      <c r="AG395">
        <f t="shared" si="433"/>
        <v>0</v>
      </c>
      <c r="AH395">
        <f t="shared" si="455"/>
        <v>0</v>
      </c>
      <c r="AI395">
        <f t="shared" si="434"/>
        <v>0</v>
      </c>
      <c r="AJ395">
        <f t="shared" si="435"/>
        <v>0</v>
      </c>
      <c r="AK395">
        <v>11805.72</v>
      </c>
      <c r="AL395">
        <v>11805.72</v>
      </c>
      <c r="AM395">
        <v>0</v>
      </c>
      <c r="AN395">
        <v>0</v>
      </c>
      <c r="AO395">
        <v>0</v>
      </c>
      <c r="AP395">
        <v>0</v>
      </c>
      <c r="AQ395">
        <v>0</v>
      </c>
      <c r="AR395">
        <v>0</v>
      </c>
      <c r="AS395">
        <v>0</v>
      </c>
      <c r="AT395">
        <v>0</v>
      </c>
      <c r="AU395">
        <v>0</v>
      </c>
      <c r="AV395">
        <v>1</v>
      </c>
      <c r="AW395">
        <v>1</v>
      </c>
      <c r="AZ395">
        <v>1</v>
      </c>
      <c r="BA395">
        <v>1</v>
      </c>
      <c r="BB395">
        <v>1</v>
      </c>
      <c r="BC395">
        <v>7.56</v>
      </c>
      <c r="BD395" t="s">
        <v>6</v>
      </c>
      <c r="BE395" t="s">
        <v>6</v>
      </c>
      <c r="BF395" t="s">
        <v>6</v>
      </c>
      <c r="BG395" t="s">
        <v>6</v>
      </c>
      <c r="BH395">
        <v>3</v>
      </c>
      <c r="BI395">
        <v>1</v>
      </c>
      <c r="BJ395" t="s">
        <v>534</v>
      </c>
      <c r="BM395">
        <v>500003</v>
      </c>
      <c r="BN395">
        <v>0</v>
      </c>
      <c r="BO395" t="s">
        <v>6</v>
      </c>
      <c r="BP395">
        <v>0</v>
      </c>
      <c r="BQ395">
        <v>22</v>
      </c>
      <c r="BR395">
        <v>0</v>
      </c>
      <c r="BS395">
        <v>1</v>
      </c>
      <c r="BT395">
        <v>1</v>
      </c>
      <c r="BU395">
        <v>1</v>
      </c>
      <c r="BV395">
        <v>1</v>
      </c>
      <c r="BW395">
        <v>1</v>
      </c>
      <c r="BX395">
        <v>1</v>
      </c>
      <c r="BY395" t="s">
        <v>6</v>
      </c>
      <c r="BZ395">
        <v>0</v>
      </c>
      <c r="CA395">
        <v>0</v>
      </c>
      <c r="CB395" t="s">
        <v>6</v>
      </c>
      <c r="CE395">
        <v>0</v>
      </c>
      <c r="CF395">
        <v>0</v>
      </c>
      <c r="CG395">
        <v>0</v>
      </c>
      <c r="CM395">
        <v>0</v>
      </c>
      <c r="CN395" t="s">
        <v>6</v>
      </c>
      <c r="CO395">
        <v>0</v>
      </c>
      <c r="CP395">
        <f t="shared" si="436"/>
        <v>364</v>
      </c>
      <c r="CQ395">
        <f t="shared" si="437"/>
        <v>89251.243199999997</v>
      </c>
      <c r="CR395">
        <f t="shared" si="438"/>
        <v>0</v>
      </c>
      <c r="CS395">
        <f t="shared" si="439"/>
        <v>0</v>
      </c>
      <c r="CT395">
        <f t="shared" si="440"/>
        <v>0</v>
      </c>
      <c r="CU395">
        <f t="shared" si="441"/>
        <v>0</v>
      </c>
      <c r="CV395">
        <f t="shared" si="442"/>
        <v>0</v>
      </c>
      <c r="CW395">
        <f t="shared" si="443"/>
        <v>0</v>
      </c>
      <c r="CX395">
        <f t="shared" si="444"/>
        <v>0</v>
      </c>
      <c r="CY395">
        <f>(S395+R395)*(BZ395/100)</f>
        <v>0</v>
      </c>
      <c r="CZ395">
        <f>(S395+R395)*(CA395/100)</f>
        <v>0</v>
      </c>
      <c r="DC395" t="s">
        <v>6</v>
      </c>
      <c r="DD395" t="s">
        <v>6</v>
      </c>
      <c r="DE395" t="s">
        <v>6</v>
      </c>
      <c r="DF395" t="s">
        <v>6</v>
      </c>
      <c r="DG395" t="s">
        <v>6</v>
      </c>
      <c r="DH395" t="s">
        <v>6</v>
      </c>
      <c r="DI395" t="s">
        <v>6</v>
      </c>
      <c r="DJ395" t="s">
        <v>6</v>
      </c>
      <c r="DK395" t="s">
        <v>6</v>
      </c>
      <c r="DL395" t="s">
        <v>6</v>
      </c>
      <c r="DM395" t="s">
        <v>6</v>
      </c>
      <c r="DN395">
        <v>0</v>
      </c>
      <c r="DO395">
        <v>0</v>
      </c>
      <c r="DP395">
        <v>1</v>
      </c>
      <c r="DQ395">
        <v>1</v>
      </c>
      <c r="DU395">
        <v>1009</v>
      </c>
      <c r="DV395" t="s">
        <v>33</v>
      </c>
      <c r="DW395" t="e">
        <f>'2.Лок.смета.и.Акт'!#REF!</f>
        <v>#REF!</v>
      </c>
      <c r="DX395">
        <v>1000</v>
      </c>
      <c r="DZ395" t="s">
        <v>6</v>
      </c>
      <c r="EA395" t="s">
        <v>6</v>
      </c>
      <c r="EB395" t="s">
        <v>6</v>
      </c>
      <c r="EC395" t="s">
        <v>6</v>
      </c>
      <c r="EE395">
        <v>54938783</v>
      </c>
      <c r="EF395">
        <v>22</v>
      </c>
      <c r="EG395" t="s">
        <v>57</v>
      </c>
      <c r="EH395">
        <v>0</v>
      </c>
      <c r="EI395" t="s">
        <v>6</v>
      </c>
      <c r="EJ395">
        <v>1</v>
      </c>
      <c r="EK395">
        <v>500003</v>
      </c>
      <c r="EL395" t="s">
        <v>58</v>
      </c>
      <c r="EM395" t="s">
        <v>59</v>
      </c>
      <c r="EO395" t="s">
        <v>6</v>
      </c>
      <c r="EQ395">
        <v>0</v>
      </c>
      <c r="ER395">
        <v>85179.64</v>
      </c>
      <c r="ES395">
        <v>11805.72</v>
      </c>
      <c r="ET395">
        <v>0</v>
      </c>
      <c r="EU395">
        <v>0</v>
      </c>
      <c r="EV395">
        <v>0</v>
      </c>
      <c r="EW395">
        <v>0</v>
      </c>
      <c r="EX395">
        <v>0</v>
      </c>
      <c r="EZ395">
        <v>5</v>
      </c>
      <c r="FC395">
        <v>0</v>
      </c>
      <c r="FD395">
        <v>18</v>
      </c>
      <c r="FF395">
        <v>85179.64</v>
      </c>
      <c r="FQ395">
        <v>0</v>
      </c>
      <c r="FR395">
        <f t="shared" si="445"/>
        <v>0</v>
      </c>
      <c r="FS395">
        <v>0</v>
      </c>
      <c r="FX395">
        <v>0</v>
      </c>
      <c r="FY395">
        <v>0</v>
      </c>
      <c r="GA395" t="s">
        <v>535</v>
      </c>
      <c r="GD395">
        <v>1</v>
      </c>
      <c r="GF395">
        <v>-1719326189</v>
      </c>
      <c r="GG395">
        <v>2</v>
      </c>
      <c r="GH395">
        <v>3</v>
      </c>
      <c r="GI395">
        <v>5</v>
      </c>
      <c r="GJ395">
        <v>0</v>
      </c>
      <c r="GK395">
        <v>0</v>
      </c>
      <c r="GL395">
        <f t="shared" si="446"/>
        <v>0</v>
      </c>
      <c r="GM395">
        <f t="shared" si="447"/>
        <v>364</v>
      </c>
      <c r="GN395">
        <f t="shared" si="448"/>
        <v>364</v>
      </c>
      <c r="GO395">
        <f t="shared" si="449"/>
        <v>0</v>
      </c>
      <c r="GP395">
        <f t="shared" si="450"/>
        <v>0</v>
      </c>
      <c r="GR395">
        <v>1</v>
      </c>
      <c r="GS395">
        <v>1</v>
      </c>
      <c r="GT395">
        <v>0</v>
      </c>
      <c r="GU395" t="s">
        <v>6</v>
      </c>
      <c r="GV395">
        <f t="shared" si="451"/>
        <v>0</v>
      </c>
      <c r="GW395">
        <v>1</v>
      </c>
      <c r="GX395">
        <f t="shared" si="452"/>
        <v>0</v>
      </c>
      <c r="HA395">
        <v>0</v>
      </c>
      <c r="HB395">
        <v>0</v>
      </c>
      <c r="HC395">
        <f t="shared" si="453"/>
        <v>0</v>
      </c>
      <c r="HE395" t="s">
        <v>39</v>
      </c>
      <c r="HF395" t="s">
        <v>61</v>
      </c>
      <c r="HM395" t="s">
        <v>6</v>
      </c>
      <c r="HN395" t="s">
        <v>6</v>
      </c>
      <c r="HO395" t="s">
        <v>6</v>
      </c>
      <c r="HP395" t="s">
        <v>6</v>
      </c>
      <c r="HQ395" t="s">
        <v>6</v>
      </c>
      <c r="IF395">
        <v>-1</v>
      </c>
      <c r="IK395">
        <v>0</v>
      </c>
    </row>
    <row r="396" spans="1:255" x14ac:dyDescent="0.2">
      <c r="A396" s="2">
        <v>18</v>
      </c>
      <c r="B396" s="2">
        <v>1</v>
      </c>
      <c r="C396" s="2">
        <v>509</v>
      </c>
      <c r="D396" s="2"/>
      <c r="E396" s="2" t="s">
        <v>536</v>
      </c>
      <c r="F396" s="2" t="s">
        <v>337</v>
      </c>
      <c r="G396" s="2" t="s">
        <v>338</v>
      </c>
      <c r="H396" s="2" t="s">
        <v>44</v>
      </c>
      <c r="I396" s="2">
        <f>I384*J396</f>
        <v>1.4279999999999999E-2</v>
      </c>
      <c r="J396" s="226">
        <f>'5.Ведомость_списания'!F174</f>
        <v>2.0999999999999998E-2</v>
      </c>
      <c r="K396" s="2">
        <v>2.1000000000000001E-2</v>
      </c>
      <c r="L396" s="2"/>
      <c r="M396" s="2"/>
      <c r="N396" s="2"/>
      <c r="O396" s="2">
        <f t="shared" si="420"/>
        <v>8</v>
      </c>
      <c r="P396" s="2">
        <f t="shared" si="421"/>
        <v>8</v>
      </c>
      <c r="Q396" s="2">
        <f t="shared" si="422"/>
        <v>0</v>
      </c>
      <c r="R396" s="2">
        <f t="shared" si="423"/>
        <v>0</v>
      </c>
      <c r="S396" s="2">
        <f t="shared" si="424"/>
        <v>0</v>
      </c>
      <c r="T396" s="2">
        <f t="shared" si="425"/>
        <v>0</v>
      </c>
      <c r="U396" s="2">
        <f t="shared" si="426"/>
        <v>0</v>
      </c>
      <c r="V396" s="2">
        <f t="shared" si="427"/>
        <v>0</v>
      </c>
      <c r="W396" s="2">
        <f t="shared" si="428"/>
        <v>0</v>
      </c>
      <c r="X396" s="2">
        <f t="shared" si="429"/>
        <v>0</v>
      </c>
      <c r="Y396" s="2">
        <f t="shared" si="430"/>
        <v>0</v>
      </c>
      <c r="Z396" s="2"/>
      <c r="AA396" s="2">
        <v>86326987</v>
      </c>
      <c r="AB396" s="2">
        <f t="shared" si="431"/>
        <v>586.71</v>
      </c>
      <c r="AC396" s="2">
        <f t="shared" si="456"/>
        <v>586.71</v>
      </c>
      <c r="AD396" s="2">
        <f t="shared" si="417"/>
        <v>0</v>
      </c>
      <c r="AE396" s="2">
        <f t="shared" si="432"/>
        <v>0</v>
      </c>
      <c r="AF396" s="2">
        <f t="shared" si="454"/>
        <v>0</v>
      </c>
      <c r="AG396" s="2">
        <f t="shared" si="433"/>
        <v>0</v>
      </c>
      <c r="AH396" s="2">
        <f t="shared" si="455"/>
        <v>0</v>
      </c>
      <c r="AI396" s="2">
        <f t="shared" si="434"/>
        <v>0</v>
      </c>
      <c r="AJ396" s="2">
        <f t="shared" si="435"/>
        <v>0</v>
      </c>
      <c r="AK396" s="2">
        <v>586.71</v>
      </c>
      <c r="AL396" s="110">
        <f>'1.Лок.смета.и.Акт'!F730</f>
        <v>586.71</v>
      </c>
      <c r="AM396" s="2">
        <v>0</v>
      </c>
      <c r="AN396" s="2">
        <v>0</v>
      </c>
      <c r="AO396" s="2">
        <v>0</v>
      </c>
      <c r="AP396" s="2">
        <v>0</v>
      </c>
      <c r="AQ396" s="2">
        <v>0</v>
      </c>
      <c r="AR396" s="2">
        <v>0</v>
      </c>
      <c r="AS396" s="2">
        <v>0</v>
      </c>
      <c r="AT396" s="2">
        <v>0</v>
      </c>
      <c r="AU396" s="2">
        <v>0</v>
      </c>
      <c r="AV396" s="2">
        <v>1</v>
      </c>
      <c r="AW396" s="2">
        <v>1</v>
      </c>
      <c r="AX396" s="2"/>
      <c r="AY396" s="2"/>
      <c r="AZ396" s="2">
        <v>1</v>
      </c>
      <c r="BA396" s="2">
        <v>1</v>
      </c>
      <c r="BB396" s="2">
        <v>1</v>
      </c>
      <c r="BC396" s="2">
        <v>1</v>
      </c>
      <c r="BD396" s="2" t="s">
        <v>6</v>
      </c>
      <c r="BE396" s="2" t="s">
        <v>6</v>
      </c>
      <c r="BF396" s="2" t="s">
        <v>6</v>
      </c>
      <c r="BG396" s="2" t="s">
        <v>6</v>
      </c>
      <c r="BH396" s="2">
        <v>3</v>
      </c>
      <c r="BI396" s="2">
        <v>1</v>
      </c>
      <c r="BJ396" s="2" t="s">
        <v>339</v>
      </c>
      <c r="BK396" s="2"/>
      <c r="BL396" s="2"/>
      <c r="BM396" s="2">
        <v>500003</v>
      </c>
      <c r="BN396" s="2">
        <v>0</v>
      </c>
      <c r="BO396" s="2" t="s">
        <v>6</v>
      </c>
      <c r="BP396" s="2">
        <v>0</v>
      </c>
      <c r="BQ396" s="2">
        <v>22</v>
      </c>
      <c r="BR396" s="2">
        <v>0</v>
      </c>
      <c r="BS396" s="2">
        <v>1</v>
      </c>
      <c r="BT396" s="2">
        <v>1</v>
      </c>
      <c r="BU396" s="2">
        <v>1</v>
      </c>
      <c r="BV396" s="2">
        <v>1</v>
      </c>
      <c r="BW396" s="2">
        <v>1</v>
      </c>
      <c r="BX396" s="2">
        <v>1</v>
      </c>
      <c r="BY396" s="2" t="s">
        <v>6</v>
      </c>
      <c r="BZ396" s="2">
        <v>0</v>
      </c>
      <c r="CA396" s="2">
        <v>0</v>
      </c>
      <c r="CB396" s="2" t="s">
        <v>6</v>
      </c>
      <c r="CC396" s="2"/>
      <c r="CD396" s="2"/>
      <c r="CE396" s="2">
        <v>0</v>
      </c>
      <c r="CF396" s="2">
        <v>0</v>
      </c>
      <c r="CG396" s="2">
        <v>0</v>
      </c>
      <c r="CH396" s="2"/>
      <c r="CI396" s="2"/>
      <c r="CJ396" s="2"/>
      <c r="CK396" s="2"/>
      <c r="CL396" s="2"/>
      <c r="CM396" s="2">
        <v>0</v>
      </c>
      <c r="CN396" s="2" t="s">
        <v>6</v>
      </c>
      <c r="CO396" s="2">
        <v>0</v>
      </c>
      <c r="CP396" s="2">
        <f t="shared" si="436"/>
        <v>8</v>
      </c>
      <c r="CQ396" s="2">
        <f t="shared" si="437"/>
        <v>586.71</v>
      </c>
      <c r="CR396" s="2">
        <f t="shared" si="438"/>
        <v>0</v>
      </c>
      <c r="CS396" s="2">
        <f t="shared" si="439"/>
        <v>0</v>
      </c>
      <c r="CT396" s="2">
        <f t="shared" si="440"/>
        <v>0</v>
      </c>
      <c r="CU396" s="2">
        <f t="shared" si="441"/>
        <v>0</v>
      </c>
      <c r="CV396" s="2">
        <f t="shared" si="442"/>
        <v>0</v>
      </c>
      <c r="CW396" s="2">
        <f t="shared" si="443"/>
        <v>0</v>
      </c>
      <c r="CX396" s="2">
        <f t="shared" si="444"/>
        <v>0</v>
      </c>
      <c r="CY396" s="2">
        <f>(((S396+(R396*IF(0,0,1)))*AT396)/100)</f>
        <v>0</v>
      </c>
      <c r="CZ396" s="2">
        <f>(((S396+(R396*IF(0,0,1)))*AU396)/100)</f>
        <v>0</v>
      </c>
      <c r="DA396" s="2"/>
      <c r="DB396" s="2"/>
      <c r="DC396" s="2" t="s">
        <v>6</v>
      </c>
      <c r="DD396" s="2" t="s">
        <v>6</v>
      </c>
      <c r="DE396" s="2" t="s">
        <v>6</v>
      </c>
      <c r="DF396" s="2" t="s">
        <v>6</v>
      </c>
      <c r="DG396" s="2" t="s">
        <v>6</v>
      </c>
      <c r="DH396" s="2" t="s">
        <v>6</v>
      </c>
      <c r="DI396" s="2" t="s">
        <v>6</v>
      </c>
      <c r="DJ396" s="2" t="s">
        <v>6</v>
      </c>
      <c r="DK396" s="2" t="s">
        <v>6</v>
      </c>
      <c r="DL396" s="2" t="s">
        <v>6</v>
      </c>
      <c r="DM396" s="2" t="s">
        <v>6</v>
      </c>
      <c r="DN396" s="2">
        <v>0</v>
      </c>
      <c r="DO396" s="2">
        <v>0</v>
      </c>
      <c r="DP396" s="2">
        <v>1</v>
      </c>
      <c r="DQ396" s="2">
        <v>1</v>
      </c>
      <c r="DR396" s="2"/>
      <c r="DS396" s="2"/>
      <c r="DT396" s="2"/>
      <c r="DU396" s="2">
        <v>1007</v>
      </c>
      <c r="DV396" s="2" t="s">
        <v>44</v>
      </c>
      <c r="DW396" s="2" t="s">
        <v>44</v>
      </c>
      <c r="DX396" s="2">
        <v>1</v>
      </c>
      <c r="DY396" s="2"/>
      <c r="DZ396" s="2" t="s">
        <v>6</v>
      </c>
      <c r="EA396" s="2" t="s">
        <v>6</v>
      </c>
      <c r="EB396" s="2" t="s">
        <v>6</v>
      </c>
      <c r="EC396" s="2" t="s">
        <v>6</v>
      </c>
      <c r="ED396" s="2"/>
      <c r="EE396" s="2">
        <v>54938783</v>
      </c>
      <c r="EF396" s="2">
        <v>22</v>
      </c>
      <c r="EG396" s="2" t="s">
        <v>57</v>
      </c>
      <c r="EH396" s="2">
        <v>0</v>
      </c>
      <c r="EI396" s="2" t="s">
        <v>6</v>
      </c>
      <c r="EJ396" s="2">
        <v>1</v>
      </c>
      <c r="EK396" s="2">
        <v>500003</v>
      </c>
      <c r="EL396" s="2" t="s">
        <v>58</v>
      </c>
      <c r="EM396" s="2" t="s">
        <v>59</v>
      </c>
      <c r="EN396" s="2"/>
      <c r="EO396" s="2" t="s">
        <v>6</v>
      </c>
      <c r="EP396" s="2"/>
      <c r="EQ396" s="2">
        <v>0</v>
      </c>
      <c r="ER396" s="2">
        <v>586.71</v>
      </c>
      <c r="ES396" s="110">
        <f>'1.Лок.смета.и.Акт'!F730</f>
        <v>586.71</v>
      </c>
      <c r="ET396" s="2">
        <v>0</v>
      </c>
      <c r="EU396" s="2">
        <v>0</v>
      </c>
      <c r="EV396" s="2">
        <v>0</v>
      </c>
      <c r="EW396" s="2">
        <v>0</v>
      </c>
      <c r="EX396" s="2">
        <v>0</v>
      </c>
      <c r="EY396" s="2"/>
      <c r="EZ396" s="2"/>
      <c r="FA396" s="2"/>
      <c r="FB396" s="2"/>
      <c r="FC396" s="2"/>
      <c r="FD396" s="2"/>
      <c r="FE396" s="2"/>
      <c r="FF396" s="2"/>
      <c r="FG396" s="2"/>
      <c r="FH396" s="2"/>
      <c r="FI396" s="2"/>
      <c r="FJ396" s="2"/>
      <c r="FK396" s="2"/>
      <c r="FL396" s="2"/>
      <c r="FM396" s="2"/>
      <c r="FN396" s="2"/>
      <c r="FO396" s="2"/>
      <c r="FP396" s="2"/>
      <c r="FQ396" s="2">
        <v>0</v>
      </c>
      <c r="FR396" s="2">
        <f t="shared" si="445"/>
        <v>0</v>
      </c>
      <c r="FS396" s="2">
        <v>0</v>
      </c>
      <c r="FT396" s="2"/>
      <c r="FU396" s="2"/>
      <c r="FV396" s="2"/>
      <c r="FW396" s="2"/>
      <c r="FX396" s="2">
        <v>0</v>
      </c>
      <c r="FY396" s="2">
        <v>0</v>
      </c>
      <c r="FZ396" s="2"/>
      <c r="GA396" s="2" t="s">
        <v>6</v>
      </c>
      <c r="GB396" s="2"/>
      <c r="GC396" s="2"/>
      <c r="GD396" s="2">
        <v>1</v>
      </c>
      <c r="GE396" s="2"/>
      <c r="GF396" s="2">
        <v>2111049581</v>
      </c>
      <c r="GG396" s="2">
        <v>2</v>
      </c>
      <c r="GH396" s="2">
        <v>2</v>
      </c>
      <c r="GI396" s="2">
        <v>-2</v>
      </c>
      <c r="GJ396" s="2">
        <v>0</v>
      </c>
      <c r="GK396" s="2">
        <v>0</v>
      </c>
      <c r="GL396" s="2">
        <f t="shared" si="446"/>
        <v>0</v>
      </c>
      <c r="GM396" s="2">
        <f t="shared" si="447"/>
        <v>8</v>
      </c>
      <c r="GN396" s="2">
        <f t="shared" si="448"/>
        <v>8</v>
      </c>
      <c r="GO396" s="2">
        <f t="shared" si="449"/>
        <v>0</v>
      </c>
      <c r="GP396" s="2">
        <f t="shared" si="450"/>
        <v>0</v>
      </c>
      <c r="GQ396" s="2"/>
      <c r="GR396" s="2">
        <v>0</v>
      </c>
      <c r="GS396" s="2">
        <v>2</v>
      </c>
      <c r="GT396" s="2">
        <v>0</v>
      </c>
      <c r="GU396" s="2" t="s">
        <v>6</v>
      </c>
      <c r="GV396" s="2">
        <f t="shared" si="451"/>
        <v>0</v>
      </c>
      <c r="GW396" s="2">
        <v>1</v>
      </c>
      <c r="GX396" s="2">
        <f t="shared" si="452"/>
        <v>0</v>
      </c>
      <c r="GY396" s="2"/>
      <c r="GZ396" s="2"/>
      <c r="HA396" s="2">
        <v>0</v>
      </c>
      <c r="HB396" s="2">
        <v>0</v>
      </c>
      <c r="HC396" s="2">
        <f t="shared" si="453"/>
        <v>0</v>
      </c>
      <c r="HD396" s="2"/>
      <c r="HE396" s="2" t="s">
        <v>6</v>
      </c>
      <c r="HF396" s="2" t="s">
        <v>6</v>
      </c>
      <c r="HG396" s="2"/>
      <c r="HH396" s="2"/>
      <c r="HI396" s="2"/>
      <c r="HJ396" s="2"/>
      <c r="HK396" s="2"/>
      <c r="HL396" s="2"/>
      <c r="HM396" s="2" t="s">
        <v>6</v>
      </c>
      <c r="HN396" s="2" t="s">
        <v>6</v>
      </c>
      <c r="HO396" s="2" t="s">
        <v>6</v>
      </c>
      <c r="HP396" s="2" t="s">
        <v>6</v>
      </c>
      <c r="HQ396" s="2" t="s">
        <v>6</v>
      </c>
      <c r="HR396" s="2"/>
      <c r="HS396" s="2"/>
      <c r="HT396" s="2"/>
      <c r="HU396" s="2"/>
      <c r="HV396" s="2"/>
      <c r="HW396" s="2"/>
      <c r="HX396" s="2"/>
      <c r="HY396" s="2"/>
      <c r="HZ396" s="2"/>
      <c r="IA396" s="2"/>
      <c r="IB396" s="2"/>
      <c r="IC396" s="2"/>
      <c r="ID396" s="2"/>
      <c r="IE396" s="2"/>
      <c r="IF396" s="2">
        <v>-1</v>
      </c>
      <c r="IG396" s="2"/>
      <c r="IH396" s="2"/>
      <c r="II396" s="2"/>
      <c r="IJ396" s="2"/>
      <c r="IK396" s="2">
        <v>0</v>
      </c>
      <c r="IL396" s="2"/>
      <c r="IM396" s="2"/>
      <c r="IN396" s="2"/>
      <c r="IO396" s="2"/>
      <c r="IP396" s="2"/>
      <c r="IQ396" s="2"/>
      <c r="IR396" s="2"/>
      <c r="IS396" s="2"/>
      <c r="IT396" s="2"/>
      <c r="IU396" s="2"/>
    </row>
    <row r="397" spans="1:255" x14ac:dyDescent="0.2">
      <c r="A397">
        <v>18</v>
      </c>
      <c r="B397">
        <v>1</v>
      </c>
      <c r="C397">
        <v>520</v>
      </c>
      <c r="E397" t="s">
        <v>536</v>
      </c>
      <c r="F397" t="e">
        <f>'2.Лок.смета.и.Акт'!#REF!</f>
        <v>#REF!</v>
      </c>
      <c r="G397" t="s">
        <v>338</v>
      </c>
      <c r="H397" t="s">
        <v>44</v>
      </c>
      <c r="I397">
        <f>I385*J397</f>
        <v>1.4279999999999999E-2</v>
      </c>
      <c r="J397">
        <v>2.0999999999999998E-2</v>
      </c>
      <c r="K397">
        <v>2.1000000000000001E-2</v>
      </c>
      <c r="O397">
        <f t="shared" si="420"/>
        <v>75</v>
      </c>
      <c r="P397">
        <f t="shared" si="421"/>
        <v>75</v>
      </c>
      <c r="Q397">
        <f t="shared" si="422"/>
        <v>0</v>
      </c>
      <c r="R397">
        <f t="shared" si="423"/>
        <v>0</v>
      </c>
      <c r="S397">
        <f t="shared" si="424"/>
        <v>0</v>
      </c>
      <c r="T397">
        <f t="shared" si="425"/>
        <v>0</v>
      </c>
      <c r="U397">
        <f t="shared" si="426"/>
        <v>0</v>
      </c>
      <c r="V397">
        <f t="shared" si="427"/>
        <v>0</v>
      </c>
      <c r="W397">
        <f t="shared" si="428"/>
        <v>0</v>
      </c>
      <c r="X397">
        <f t="shared" si="429"/>
        <v>0</v>
      </c>
      <c r="Y397">
        <f t="shared" si="430"/>
        <v>0</v>
      </c>
      <c r="AA397">
        <v>86326988</v>
      </c>
      <c r="AB397">
        <f t="shared" si="431"/>
        <v>691.67</v>
      </c>
      <c r="AC397">
        <f t="shared" si="456"/>
        <v>691.67</v>
      </c>
      <c r="AD397">
        <f t="shared" si="417"/>
        <v>0</v>
      </c>
      <c r="AE397">
        <f t="shared" si="432"/>
        <v>0</v>
      </c>
      <c r="AF397">
        <f t="shared" si="454"/>
        <v>0</v>
      </c>
      <c r="AG397">
        <f t="shared" si="433"/>
        <v>0</v>
      </c>
      <c r="AH397">
        <f t="shared" si="455"/>
        <v>0</v>
      </c>
      <c r="AI397">
        <f t="shared" si="434"/>
        <v>0</v>
      </c>
      <c r="AJ397">
        <f t="shared" si="435"/>
        <v>0</v>
      </c>
      <c r="AK397">
        <v>691.67</v>
      </c>
      <c r="AL397">
        <v>691.67</v>
      </c>
      <c r="AM397">
        <v>0</v>
      </c>
      <c r="AN397">
        <v>0</v>
      </c>
      <c r="AO397">
        <v>0</v>
      </c>
      <c r="AP397">
        <v>0</v>
      </c>
      <c r="AQ397">
        <v>0</v>
      </c>
      <c r="AR397">
        <v>0</v>
      </c>
      <c r="AS397">
        <v>0</v>
      </c>
      <c r="AT397">
        <v>0</v>
      </c>
      <c r="AU397">
        <v>0</v>
      </c>
      <c r="AV397">
        <v>1</v>
      </c>
      <c r="AW397">
        <v>1</v>
      </c>
      <c r="AZ397">
        <v>1</v>
      </c>
      <c r="BA397">
        <v>1</v>
      </c>
      <c r="BB397">
        <v>1</v>
      </c>
      <c r="BC397">
        <v>7.56</v>
      </c>
      <c r="BD397" t="s">
        <v>6</v>
      </c>
      <c r="BE397" t="s">
        <v>6</v>
      </c>
      <c r="BF397" t="s">
        <v>6</v>
      </c>
      <c r="BG397" t="s">
        <v>6</v>
      </c>
      <c r="BH397">
        <v>3</v>
      </c>
      <c r="BI397">
        <v>1</v>
      </c>
      <c r="BJ397" t="s">
        <v>339</v>
      </c>
      <c r="BM397">
        <v>500003</v>
      </c>
      <c r="BN397">
        <v>0</v>
      </c>
      <c r="BO397" t="s">
        <v>6</v>
      </c>
      <c r="BP397">
        <v>0</v>
      </c>
      <c r="BQ397">
        <v>22</v>
      </c>
      <c r="BR397">
        <v>0</v>
      </c>
      <c r="BS397">
        <v>1</v>
      </c>
      <c r="BT397">
        <v>1</v>
      </c>
      <c r="BU397">
        <v>1</v>
      </c>
      <c r="BV397">
        <v>1</v>
      </c>
      <c r="BW397">
        <v>1</v>
      </c>
      <c r="BX397">
        <v>1</v>
      </c>
      <c r="BY397" t="s">
        <v>6</v>
      </c>
      <c r="BZ397">
        <v>0</v>
      </c>
      <c r="CA397">
        <v>0</v>
      </c>
      <c r="CB397" t="s">
        <v>6</v>
      </c>
      <c r="CE397">
        <v>0</v>
      </c>
      <c r="CF397">
        <v>0</v>
      </c>
      <c r="CG397">
        <v>0</v>
      </c>
      <c r="CM397">
        <v>0</v>
      </c>
      <c r="CN397" t="s">
        <v>6</v>
      </c>
      <c r="CO397">
        <v>0</v>
      </c>
      <c r="CP397">
        <f t="shared" si="436"/>
        <v>75</v>
      </c>
      <c r="CQ397">
        <f t="shared" si="437"/>
        <v>5229.0251999999991</v>
      </c>
      <c r="CR397">
        <f t="shared" si="438"/>
        <v>0</v>
      </c>
      <c r="CS397">
        <f t="shared" si="439"/>
        <v>0</v>
      </c>
      <c r="CT397">
        <f t="shared" si="440"/>
        <v>0</v>
      </c>
      <c r="CU397">
        <f t="shared" si="441"/>
        <v>0</v>
      </c>
      <c r="CV397">
        <f t="shared" si="442"/>
        <v>0</v>
      </c>
      <c r="CW397">
        <f t="shared" si="443"/>
        <v>0</v>
      </c>
      <c r="CX397">
        <f t="shared" si="444"/>
        <v>0</v>
      </c>
      <c r="CY397">
        <f>(S397+R397)*(BZ397/100)</f>
        <v>0</v>
      </c>
      <c r="CZ397">
        <f>(S397+R397)*(CA397/100)</f>
        <v>0</v>
      </c>
      <c r="DC397" t="s">
        <v>6</v>
      </c>
      <c r="DD397" t="s">
        <v>6</v>
      </c>
      <c r="DE397" t="s">
        <v>6</v>
      </c>
      <c r="DF397" t="s">
        <v>6</v>
      </c>
      <c r="DG397" t="s">
        <v>6</v>
      </c>
      <c r="DH397" t="s">
        <v>6</v>
      </c>
      <c r="DI397" t="s">
        <v>6</v>
      </c>
      <c r="DJ397" t="s">
        <v>6</v>
      </c>
      <c r="DK397" t="s">
        <v>6</v>
      </c>
      <c r="DL397" t="s">
        <v>6</v>
      </c>
      <c r="DM397" t="s">
        <v>6</v>
      </c>
      <c r="DN397">
        <v>0</v>
      </c>
      <c r="DO397">
        <v>0</v>
      </c>
      <c r="DP397">
        <v>1</v>
      </c>
      <c r="DQ397">
        <v>1</v>
      </c>
      <c r="DU397">
        <v>1007</v>
      </c>
      <c r="DV397" t="s">
        <v>44</v>
      </c>
      <c r="DW397" t="e">
        <f>'2.Лок.смета.и.Акт'!#REF!</f>
        <v>#REF!</v>
      </c>
      <c r="DX397">
        <v>1</v>
      </c>
      <c r="DZ397" t="s">
        <v>6</v>
      </c>
      <c r="EA397" t="s">
        <v>6</v>
      </c>
      <c r="EB397" t="s">
        <v>6</v>
      </c>
      <c r="EC397" t="s">
        <v>6</v>
      </c>
      <c r="EE397">
        <v>54938783</v>
      </c>
      <c r="EF397">
        <v>22</v>
      </c>
      <c r="EG397" t="s">
        <v>57</v>
      </c>
      <c r="EH397">
        <v>0</v>
      </c>
      <c r="EI397" t="s">
        <v>6</v>
      </c>
      <c r="EJ397">
        <v>1</v>
      </c>
      <c r="EK397">
        <v>500003</v>
      </c>
      <c r="EL397" t="s">
        <v>58</v>
      </c>
      <c r="EM397" t="s">
        <v>59</v>
      </c>
      <c r="EO397" t="s">
        <v>6</v>
      </c>
      <c r="EQ397">
        <v>0</v>
      </c>
      <c r="ER397">
        <v>4929.3500000000004</v>
      </c>
      <c r="ES397">
        <v>691.67</v>
      </c>
      <c r="ET397">
        <v>0</v>
      </c>
      <c r="EU397">
        <v>0</v>
      </c>
      <c r="EV397">
        <v>0</v>
      </c>
      <c r="EW397">
        <v>0</v>
      </c>
      <c r="EX397">
        <v>0</v>
      </c>
      <c r="EZ397">
        <v>5</v>
      </c>
      <c r="FC397">
        <v>0</v>
      </c>
      <c r="FD397">
        <v>18</v>
      </c>
      <c r="FF397">
        <v>4929.3500000000004</v>
      </c>
      <c r="FQ397">
        <v>0</v>
      </c>
      <c r="FR397">
        <f t="shared" si="445"/>
        <v>0</v>
      </c>
      <c r="FS397">
        <v>0</v>
      </c>
      <c r="FX397">
        <v>0</v>
      </c>
      <c r="FY397">
        <v>0</v>
      </c>
      <c r="GA397" t="s">
        <v>340</v>
      </c>
      <c r="GD397">
        <v>1</v>
      </c>
      <c r="GF397">
        <v>2111049581</v>
      </c>
      <c r="GG397">
        <v>2</v>
      </c>
      <c r="GH397">
        <v>3</v>
      </c>
      <c r="GI397">
        <v>5</v>
      </c>
      <c r="GJ397">
        <v>0</v>
      </c>
      <c r="GK397">
        <v>0</v>
      </c>
      <c r="GL397">
        <f t="shared" si="446"/>
        <v>0</v>
      </c>
      <c r="GM397">
        <f t="shared" si="447"/>
        <v>75</v>
      </c>
      <c r="GN397">
        <f t="shared" si="448"/>
        <v>75</v>
      </c>
      <c r="GO397">
        <f t="shared" si="449"/>
        <v>0</v>
      </c>
      <c r="GP397">
        <f t="shared" si="450"/>
        <v>0</v>
      </c>
      <c r="GR397">
        <v>1</v>
      </c>
      <c r="GS397">
        <v>1</v>
      </c>
      <c r="GT397">
        <v>0</v>
      </c>
      <c r="GU397" t="s">
        <v>6</v>
      </c>
      <c r="GV397">
        <f t="shared" si="451"/>
        <v>0</v>
      </c>
      <c r="GW397">
        <v>1</v>
      </c>
      <c r="GX397">
        <f t="shared" si="452"/>
        <v>0</v>
      </c>
      <c r="HA397">
        <v>0</v>
      </c>
      <c r="HB397">
        <v>0</v>
      </c>
      <c r="HC397">
        <f t="shared" si="453"/>
        <v>0</v>
      </c>
      <c r="HE397" t="s">
        <v>39</v>
      </c>
      <c r="HF397" t="s">
        <v>40</v>
      </c>
      <c r="HM397" t="s">
        <v>6</v>
      </c>
      <c r="HN397" t="s">
        <v>6</v>
      </c>
      <c r="HO397" t="s">
        <v>6</v>
      </c>
      <c r="HP397" t="s">
        <v>6</v>
      </c>
      <c r="HQ397" t="s">
        <v>6</v>
      </c>
      <c r="IF397">
        <v>-1</v>
      </c>
      <c r="IK397">
        <v>0</v>
      </c>
    </row>
    <row r="398" spans="1:255" x14ac:dyDescent="0.2">
      <c r="A398" s="2">
        <v>17</v>
      </c>
      <c r="B398" s="2">
        <v>1</v>
      </c>
      <c r="C398" s="2">
        <f>ROW(SmtRes!A525)</f>
        <v>525</v>
      </c>
      <c r="D398" s="2">
        <f>ROW(EtalonRes!A439)</f>
        <v>439</v>
      </c>
      <c r="E398" s="2" t="s">
        <v>537</v>
      </c>
      <c r="F398" s="2" t="s">
        <v>394</v>
      </c>
      <c r="G398" s="2" t="s">
        <v>538</v>
      </c>
      <c r="H398" s="2" t="s">
        <v>396</v>
      </c>
      <c r="I398" s="2" t="e">
        <f>'2.Лок.смета.и.Акт'!#REF!</f>
        <v>#REF!</v>
      </c>
      <c r="J398" s="2">
        <v>0</v>
      </c>
      <c r="K398" s="2">
        <v>0.04</v>
      </c>
      <c r="L398" s="2"/>
      <c r="M398" s="2"/>
      <c r="N398" s="2"/>
      <c r="O398" s="2" t="e">
        <f t="shared" si="420"/>
        <v>#REF!</v>
      </c>
      <c r="P398" s="2" t="e">
        <f t="shared" si="421"/>
        <v>#REF!</v>
      </c>
      <c r="Q398" s="2" t="e">
        <f t="shared" si="422"/>
        <v>#REF!</v>
      </c>
      <c r="R398" s="2" t="e">
        <f t="shared" si="423"/>
        <v>#REF!</v>
      </c>
      <c r="S398" s="2" t="e">
        <f t="shared" si="424"/>
        <v>#REF!</v>
      </c>
      <c r="T398" s="2" t="e">
        <f t="shared" si="425"/>
        <v>#REF!</v>
      </c>
      <c r="U398" s="2" t="e">
        <f t="shared" si="426"/>
        <v>#REF!</v>
      </c>
      <c r="V398" s="2" t="e">
        <f t="shared" si="427"/>
        <v>#REF!</v>
      </c>
      <c r="W398" s="2" t="e">
        <f t="shared" si="428"/>
        <v>#REF!</v>
      </c>
      <c r="X398" s="2" t="e">
        <f t="shared" si="429"/>
        <v>#REF!</v>
      </c>
      <c r="Y398" s="2" t="e">
        <f t="shared" si="430"/>
        <v>#REF!</v>
      </c>
      <c r="Z398" s="2"/>
      <c r="AA398" s="2">
        <v>86326987</v>
      </c>
      <c r="AB398" s="2">
        <f t="shared" si="431"/>
        <v>93.09</v>
      </c>
      <c r="AC398" s="2">
        <f t="shared" si="456"/>
        <v>0</v>
      </c>
      <c r="AD398" s="2">
        <f t="shared" si="417"/>
        <v>18.27</v>
      </c>
      <c r="AE398" s="2">
        <f t="shared" si="432"/>
        <v>0</v>
      </c>
      <c r="AF398" s="2">
        <f t="shared" si="454"/>
        <v>74.819999999999993</v>
      </c>
      <c r="AG398" s="2">
        <f t="shared" si="433"/>
        <v>0</v>
      </c>
      <c r="AH398" s="2">
        <f t="shared" si="455"/>
        <v>8.6999999999999993</v>
      </c>
      <c r="AI398" s="2">
        <f t="shared" si="434"/>
        <v>0</v>
      </c>
      <c r="AJ398" s="2">
        <f t="shared" si="435"/>
        <v>0</v>
      </c>
      <c r="AK398" s="2">
        <v>93.09</v>
      </c>
      <c r="AL398" s="2">
        <v>0</v>
      </c>
      <c r="AM398" s="2">
        <v>18.27</v>
      </c>
      <c r="AN398" s="2">
        <v>0</v>
      </c>
      <c r="AO398" s="2">
        <v>74.819999999999993</v>
      </c>
      <c r="AP398" s="2">
        <v>0</v>
      </c>
      <c r="AQ398" s="2">
        <v>8.6999999999999993</v>
      </c>
      <c r="AR398" s="2">
        <v>0</v>
      </c>
      <c r="AS398" s="2">
        <v>0</v>
      </c>
      <c r="AT398" s="2">
        <v>110</v>
      </c>
      <c r="AU398" s="2">
        <v>70</v>
      </c>
      <c r="AV398" s="2">
        <v>1</v>
      </c>
      <c r="AW398" s="2">
        <v>1</v>
      </c>
      <c r="AX398" s="2"/>
      <c r="AY398" s="2"/>
      <c r="AZ398" s="2">
        <v>1</v>
      </c>
      <c r="BA398" s="2">
        <v>1</v>
      </c>
      <c r="BB398" s="2">
        <v>1</v>
      </c>
      <c r="BC398" s="2">
        <v>1</v>
      </c>
      <c r="BD398" s="2" t="s">
        <v>6</v>
      </c>
      <c r="BE398" s="2" t="s">
        <v>6</v>
      </c>
      <c r="BF398" s="2" t="s">
        <v>6</v>
      </c>
      <c r="BG398" s="2" t="s">
        <v>6</v>
      </c>
      <c r="BH398" s="2">
        <v>0</v>
      </c>
      <c r="BI398" s="2">
        <v>1</v>
      </c>
      <c r="BJ398" s="2" t="s">
        <v>397</v>
      </c>
      <c r="BK398" s="2"/>
      <c r="BL398" s="2"/>
      <c r="BM398" s="2">
        <v>46001</v>
      </c>
      <c r="BN398" s="2">
        <v>0</v>
      </c>
      <c r="BO398" s="2" t="s">
        <v>6</v>
      </c>
      <c r="BP398" s="2">
        <v>0</v>
      </c>
      <c r="BQ398" s="2">
        <v>9</v>
      </c>
      <c r="BR398" s="2">
        <v>0</v>
      </c>
      <c r="BS398" s="2">
        <v>1</v>
      </c>
      <c r="BT398" s="2">
        <v>1</v>
      </c>
      <c r="BU398" s="2">
        <v>1</v>
      </c>
      <c r="BV398" s="2">
        <v>1</v>
      </c>
      <c r="BW398" s="2">
        <v>1</v>
      </c>
      <c r="BX398" s="2">
        <v>1</v>
      </c>
      <c r="BY398" s="2" t="s">
        <v>6</v>
      </c>
      <c r="BZ398" s="2">
        <v>110</v>
      </c>
      <c r="CA398" s="2">
        <v>70</v>
      </c>
      <c r="CB398" s="2" t="s">
        <v>6</v>
      </c>
      <c r="CC398" s="2"/>
      <c r="CD398" s="2"/>
      <c r="CE398" s="2">
        <v>0</v>
      </c>
      <c r="CF398" s="2">
        <v>0</v>
      </c>
      <c r="CG398" s="2">
        <v>0</v>
      </c>
      <c r="CH398" s="2"/>
      <c r="CI398" s="2"/>
      <c r="CJ398" s="2"/>
      <c r="CK398" s="2"/>
      <c r="CL398" s="2"/>
      <c r="CM398" s="2">
        <v>0</v>
      </c>
      <c r="CN398" s="2" t="s">
        <v>6</v>
      </c>
      <c r="CO398" s="2">
        <v>0</v>
      </c>
      <c r="CP398" s="2" t="e">
        <f t="shared" si="436"/>
        <v>#REF!</v>
      </c>
      <c r="CQ398" s="2">
        <f t="shared" si="437"/>
        <v>0</v>
      </c>
      <c r="CR398" s="2">
        <f t="shared" si="438"/>
        <v>18.27</v>
      </c>
      <c r="CS398" s="2">
        <f t="shared" si="439"/>
        <v>0</v>
      </c>
      <c r="CT398" s="2">
        <f t="shared" si="440"/>
        <v>74.819999999999993</v>
      </c>
      <c r="CU398" s="2">
        <f t="shared" si="441"/>
        <v>0</v>
      </c>
      <c r="CV398" s="2">
        <f t="shared" si="442"/>
        <v>8.6999999999999993</v>
      </c>
      <c r="CW398" s="2">
        <f t="shared" si="443"/>
        <v>0</v>
      </c>
      <c r="CX398" s="2">
        <f t="shared" si="444"/>
        <v>0</v>
      </c>
      <c r="CY398" s="2" t="e">
        <f>(((S398+(R398*IF(0,0,1)))*AT398)/100)</f>
        <v>#REF!</v>
      </c>
      <c r="CZ398" s="2" t="e">
        <f>(((S398+(R398*IF(0,0,1)))*AU398)/100)</f>
        <v>#REF!</v>
      </c>
      <c r="DA398" s="2"/>
      <c r="DB398" s="2"/>
      <c r="DC398" s="2" t="s">
        <v>6</v>
      </c>
      <c r="DD398" s="2" t="s">
        <v>6</v>
      </c>
      <c r="DE398" s="2" t="s">
        <v>6</v>
      </c>
      <c r="DF398" s="2" t="s">
        <v>6</v>
      </c>
      <c r="DG398" s="2" t="s">
        <v>6</v>
      </c>
      <c r="DH398" s="2" t="s">
        <v>6</v>
      </c>
      <c r="DI398" s="2" t="s">
        <v>6</v>
      </c>
      <c r="DJ398" s="2" t="s">
        <v>6</v>
      </c>
      <c r="DK398" s="2" t="s">
        <v>6</v>
      </c>
      <c r="DL398" s="2" t="s">
        <v>6</v>
      </c>
      <c r="DM398" s="2" t="s">
        <v>6</v>
      </c>
      <c r="DN398" s="2">
        <v>0</v>
      </c>
      <c r="DO398" s="2">
        <v>0</v>
      </c>
      <c r="DP398" s="2">
        <v>1</v>
      </c>
      <c r="DQ398" s="2">
        <v>1</v>
      </c>
      <c r="DR398" s="2"/>
      <c r="DS398" s="2"/>
      <c r="DT398" s="2"/>
      <c r="DU398" s="2">
        <v>1010</v>
      </c>
      <c r="DV398" s="2" t="s">
        <v>396</v>
      </c>
      <c r="DW398" s="2" t="s">
        <v>396</v>
      </c>
      <c r="DX398" s="2">
        <v>100</v>
      </c>
      <c r="DY398" s="2"/>
      <c r="DZ398" s="2" t="s">
        <v>6</v>
      </c>
      <c r="EA398" s="2" t="s">
        <v>6</v>
      </c>
      <c r="EB398" s="2" t="s">
        <v>6</v>
      </c>
      <c r="EC398" s="2" t="s">
        <v>6</v>
      </c>
      <c r="ED398" s="2"/>
      <c r="EE398" s="2">
        <v>54938666</v>
      </c>
      <c r="EF398" s="2">
        <v>9</v>
      </c>
      <c r="EG398" s="2" t="s">
        <v>398</v>
      </c>
      <c r="EH398" s="2">
        <v>0</v>
      </c>
      <c r="EI398" s="2" t="s">
        <v>6</v>
      </c>
      <c r="EJ398" s="2">
        <v>1</v>
      </c>
      <c r="EK398" s="2">
        <v>46001</v>
      </c>
      <c r="EL398" s="2" t="s">
        <v>398</v>
      </c>
      <c r="EM398" s="2" t="s">
        <v>399</v>
      </c>
      <c r="EN398" s="2"/>
      <c r="EO398" s="2" t="s">
        <v>6</v>
      </c>
      <c r="EP398" s="2"/>
      <c r="EQ398" s="2">
        <v>2097152</v>
      </c>
      <c r="ER398" s="2">
        <v>93.09</v>
      </c>
      <c r="ES398" s="2">
        <v>0</v>
      </c>
      <c r="ET398" s="2">
        <v>18.27</v>
      </c>
      <c r="EU398" s="2">
        <v>0</v>
      </c>
      <c r="EV398" s="2">
        <v>74.819999999999993</v>
      </c>
      <c r="EW398" s="2">
        <v>8.6999999999999993</v>
      </c>
      <c r="EX398" s="2">
        <v>0</v>
      </c>
      <c r="EY398" s="2">
        <v>0</v>
      </c>
      <c r="EZ398" s="2"/>
      <c r="FA398" s="2"/>
      <c r="FB398" s="2"/>
      <c r="FC398" s="2"/>
      <c r="FD398" s="2"/>
      <c r="FE398" s="2"/>
      <c r="FF398" s="2"/>
      <c r="FG398" s="2"/>
      <c r="FH398" s="2"/>
      <c r="FI398" s="2"/>
      <c r="FJ398" s="2"/>
      <c r="FK398" s="2"/>
      <c r="FL398" s="2"/>
      <c r="FM398" s="2"/>
      <c r="FN398" s="2"/>
      <c r="FO398" s="2"/>
      <c r="FP398" s="2"/>
      <c r="FQ398" s="2">
        <v>0</v>
      </c>
      <c r="FR398" s="2">
        <f t="shared" si="445"/>
        <v>0</v>
      </c>
      <c r="FS398" s="2">
        <v>0</v>
      </c>
      <c r="FT398" s="2"/>
      <c r="FU398" s="2"/>
      <c r="FV398" s="2"/>
      <c r="FW398" s="2"/>
      <c r="FX398" s="2">
        <v>110</v>
      </c>
      <c r="FY398" s="2">
        <v>70</v>
      </c>
      <c r="FZ398" s="2"/>
      <c r="GA398" s="2" t="s">
        <v>6</v>
      </c>
      <c r="GB398" s="2"/>
      <c r="GC398" s="2"/>
      <c r="GD398" s="2">
        <v>1</v>
      </c>
      <c r="GE398" s="2"/>
      <c r="GF398" s="2">
        <v>1948486950</v>
      </c>
      <c r="GG398" s="2">
        <v>2</v>
      </c>
      <c r="GH398" s="2">
        <v>1</v>
      </c>
      <c r="GI398" s="2">
        <v>-2</v>
      </c>
      <c r="GJ398" s="2">
        <v>0</v>
      </c>
      <c r="GK398" s="2">
        <v>0</v>
      </c>
      <c r="GL398" s="2">
        <f t="shared" si="446"/>
        <v>0</v>
      </c>
      <c r="GM398" s="2" t="e">
        <f t="shared" si="447"/>
        <v>#REF!</v>
      </c>
      <c r="GN398" s="2" t="e">
        <f t="shared" si="448"/>
        <v>#REF!</v>
      </c>
      <c r="GO398" s="2">
        <f t="shared" si="449"/>
        <v>0</v>
      </c>
      <c r="GP398" s="2">
        <f t="shared" si="450"/>
        <v>0</v>
      </c>
      <c r="GQ398" s="2"/>
      <c r="GR398" s="2">
        <v>0</v>
      </c>
      <c r="GS398" s="2">
        <v>3</v>
      </c>
      <c r="GT398" s="2">
        <v>0</v>
      </c>
      <c r="GU398" s="2" t="s">
        <v>6</v>
      </c>
      <c r="GV398" s="2">
        <f t="shared" si="451"/>
        <v>0</v>
      </c>
      <c r="GW398" s="2">
        <v>1</v>
      </c>
      <c r="GX398" s="2" t="e">
        <f t="shared" si="452"/>
        <v>#REF!</v>
      </c>
      <c r="GY398" s="2"/>
      <c r="GZ398" s="2"/>
      <c r="HA398" s="2">
        <v>0</v>
      </c>
      <c r="HB398" s="2">
        <v>0</v>
      </c>
      <c r="HC398" s="2">
        <f t="shared" si="453"/>
        <v>0</v>
      </c>
      <c r="HD398" s="2"/>
      <c r="HE398" s="2" t="s">
        <v>6</v>
      </c>
      <c r="HF398" s="2" t="s">
        <v>6</v>
      </c>
      <c r="HG398" s="2"/>
      <c r="HH398" s="2"/>
      <c r="HI398" s="2"/>
      <c r="HJ398" s="2"/>
      <c r="HK398" s="2"/>
      <c r="HL398" s="2"/>
      <c r="HM398" s="2" t="s">
        <v>6</v>
      </c>
      <c r="HN398" s="2" t="s">
        <v>6</v>
      </c>
      <c r="HO398" s="2" t="s">
        <v>6</v>
      </c>
      <c r="HP398" s="2" t="s">
        <v>6</v>
      </c>
      <c r="HQ398" s="2" t="s">
        <v>6</v>
      </c>
      <c r="HR398" s="2"/>
      <c r="HS398" s="2"/>
      <c r="HT398" s="2"/>
      <c r="HU398" s="2"/>
      <c r="HV398" s="2"/>
      <c r="HW398" s="2"/>
      <c r="HX398" s="2"/>
      <c r="HY398" s="2"/>
      <c r="HZ398" s="2"/>
      <c r="IA398" s="2"/>
      <c r="IB398" s="2"/>
      <c r="IC398" s="2"/>
      <c r="ID398" s="2"/>
      <c r="IE398" s="2"/>
      <c r="IF398" s="2">
        <v>-1</v>
      </c>
      <c r="IG398" s="2"/>
      <c r="IH398" s="2"/>
      <c r="II398" s="2"/>
      <c r="IJ398" s="2"/>
      <c r="IK398" s="2">
        <v>0</v>
      </c>
      <c r="IL398" s="2"/>
      <c r="IM398" s="2"/>
      <c r="IN398" s="2"/>
      <c r="IO398" s="2"/>
      <c r="IP398" s="2"/>
      <c r="IQ398" s="2"/>
      <c r="IR398" s="2"/>
      <c r="IS398" s="2"/>
      <c r="IT398" s="2"/>
      <c r="IU398" s="2"/>
    </row>
    <row r="399" spans="1:255" x14ac:dyDescent="0.2">
      <c r="A399">
        <v>17</v>
      </c>
      <c r="B399">
        <v>1</v>
      </c>
      <c r="C399">
        <f>ROW(SmtRes!A530)</f>
        <v>530</v>
      </c>
      <c r="D399">
        <f>ROW(EtalonRes!A444)</f>
        <v>444</v>
      </c>
      <c r="E399" t="s">
        <v>537</v>
      </c>
      <c r="F399" t="s">
        <v>394</v>
      </c>
      <c r="G399" t="s">
        <v>538</v>
      </c>
      <c r="H399" t="s">
        <v>396</v>
      </c>
      <c r="I399" t="e">
        <f>'2.Лок.смета.и.Акт'!#REF!</f>
        <v>#REF!</v>
      </c>
      <c r="J399">
        <v>0</v>
      </c>
      <c r="K399">
        <v>0.04</v>
      </c>
      <c r="O399" t="e">
        <f t="shared" si="420"/>
        <v>#REF!</v>
      </c>
      <c r="P399" t="e">
        <f t="shared" si="421"/>
        <v>#REF!</v>
      </c>
      <c r="Q399" t="e">
        <f t="shared" si="422"/>
        <v>#REF!</v>
      </c>
      <c r="R399" t="e">
        <f t="shared" si="423"/>
        <v>#REF!</v>
      </c>
      <c r="S399" t="e">
        <f t="shared" si="424"/>
        <v>#REF!</v>
      </c>
      <c r="T399" t="e">
        <f t="shared" si="425"/>
        <v>#REF!</v>
      </c>
      <c r="U399" t="e">
        <f t="shared" si="426"/>
        <v>#REF!</v>
      </c>
      <c r="V399" t="e">
        <f t="shared" si="427"/>
        <v>#REF!</v>
      </c>
      <c r="W399" t="e">
        <f t="shared" si="428"/>
        <v>#REF!</v>
      </c>
      <c r="X399" t="e">
        <f t="shared" si="429"/>
        <v>#REF!</v>
      </c>
      <c r="Y399" t="e">
        <f t="shared" si="430"/>
        <v>#REF!</v>
      </c>
      <c r="AA399">
        <v>86326988</v>
      </c>
      <c r="AB399">
        <f t="shared" si="431"/>
        <v>93.09</v>
      </c>
      <c r="AC399">
        <f t="shared" si="456"/>
        <v>0</v>
      </c>
      <c r="AD399">
        <f t="shared" si="417"/>
        <v>18.27</v>
      </c>
      <c r="AE399">
        <f t="shared" si="432"/>
        <v>0</v>
      </c>
      <c r="AF399">
        <f t="shared" si="454"/>
        <v>74.819999999999993</v>
      </c>
      <c r="AG399">
        <f t="shared" si="433"/>
        <v>0</v>
      </c>
      <c r="AH399" t="e">
        <f t="shared" si="455"/>
        <v>#REF!</v>
      </c>
      <c r="AI399">
        <f t="shared" si="434"/>
        <v>0</v>
      </c>
      <c r="AJ399">
        <f t="shared" si="435"/>
        <v>0</v>
      </c>
      <c r="AK399">
        <f>AL399+AM399+AO399</f>
        <v>93.089999999999989</v>
      </c>
      <c r="AL399">
        <v>0</v>
      </c>
      <c r="AM399" s="75">
        <f>'1.Лок.смета.и.Акт'!F737</f>
        <v>18.27</v>
      </c>
      <c r="AN399">
        <v>0</v>
      </c>
      <c r="AO399" s="75">
        <f>'1.Лок.смета.и.Акт'!F736</f>
        <v>74.819999999999993</v>
      </c>
      <c r="AP399">
        <v>0</v>
      </c>
      <c r="AQ399" t="e">
        <f>'2.Лок.смета.и.Акт'!#REF!</f>
        <v>#REF!</v>
      </c>
      <c r="AR399">
        <v>0</v>
      </c>
      <c r="AS399">
        <v>0</v>
      </c>
      <c r="AT399">
        <v>105</v>
      </c>
      <c r="AU399">
        <v>60</v>
      </c>
      <c r="AV399">
        <v>1</v>
      </c>
      <c r="AW399">
        <v>1</v>
      </c>
      <c r="AZ399">
        <v>1</v>
      </c>
      <c r="BA399">
        <f>'1.Лок.смета.и.Акт'!J736</f>
        <v>25.36</v>
      </c>
      <c r="BB399">
        <f>'1.Лок.смета.и.Акт'!J737</f>
        <v>7.84</v>
      </c>
      <c r="BC399">
        <v>7.56</v>
      </c>
      <c r="BD399" t="s">
        <v>6</v>
      </c>
      <c r="BE399" t="s">
        <v>6</v>
      </c>
      <c r="BF399" t="s">
        <v>6</v>
      </c>
      <c r="BG399" t="s">
        <v>6</v>
      </c>
      <c r="BH399">
        <v>0</v>
      </c>
      <c r="BI399">
        <v>1</v>
      </c>
      <c r="BJ399" t="s">
        <v>397</v>
      </c>
      <c r="BM399">
        <v>46001</v>
      </c>
      <c r="BN399">
        <v>0</v>
      </c>
      <c r="BO399" t="s">
        <v>394</v>
      </c>
      <c r="BP399">
        <v>1</v>
      </c>
      <c r="BQ399">
        <v>9</v>
      </c>
      <c r="BR399">
        <v>0</v>
      </c>
      <c r="BS399">
        <v>19.8</v>
      </c>
      <c r="BT399">
        <v>1</v>
      </c>
      <c r="BU399">
        <v>1</v>
      </c>
      <c r="BV399">
        <v>1</v>
      </c>
      <c r="BW399">
        <v>1</v>
      </c>
      <c r="BX399">
        <v>1</v>
      </c>
      <c r="BY399" t="s">
        <v>6</v>
      </c>
      <c r="BZ399" t="e">
        <f>'2.Лок.смета.и.Акт'!#REF!</f>
        <v>#REF!</v>
      </c>
      <c r="CA399" t="e">
        <f>'2.Лок.смета.и.Акт'!#REF!</f>
        <v>#REF!</v>
      </c>
      <c r="CB399" t="s">
        <v>6</v>
      </c>
      <c r="CE399">
        <v>0</v>
      </c>
      <c r="CF399">
        <v>0</v>
      </c>
      <c r="CG399">
        <v>0</v>
      </c>
      <c r="CM399">
        <v>0</v>
      </c>
      <c r="CN399" t="s">
        <v>6</v>
      </c>
      <c r="CO399">
        <v>0</v>
      </c>
      <c r="CP399" t="e">
        <f t="shared" si="436"/>
        <v>#REF!</v>
      </c>
      <c r="CQ399">
        <f t="shared" si="437"/>
        <v>0</v>
      </c>
      <c r="CR399">
        <f t="shared" si="438"/>
        <v>143.23679999999999</v>
      </c>
      <c r="CS399">
        <f t="shared" si="439"/>
        <v>0</v>
      </c>
      <c r="CT399">
        <f t="shared" si="440"/>
        <v>1897.4351999999999</v>
      </c>
      <c r="CU399">
        <f t="shared" si="441"/>
        <v>0</v>
      </c>
      <c r="CV399" t="e">
        <f t="shared" si="442"/>
        <v>#REF!</v>
      </c>
      <c r="CW399">
        <f t="shared" si="443"/>
        <v>0</v>
      </c>
      <c r="CX399">
        <f t="shared" si="444"/>
        <v>0</v>
      </c>
      <c r="CY399" t="e">
        <f>(S399+R399)*(BZ399/100)</f>
        <v>#REF!</v>
      </c>
      <c r="CZ399" t="e">
        <f>(S399+R399)*(CA399/100)</f>
        <v>#REF!</v>
      </c>
      <c r="DC399" t="s">
        <v>6</v>
      </c>
      <c r="DD399" t="s">
        <v>6</v>
      </c>
      <c r="DE399" t="s">
        <v>6</v>
      </c>
      <c r="DF399" t="s">
        <v>6</v>
      </c>
      <c r="DG399" t="s">
        <v>6</v>
      </c>
      <c r="DH399" t="s">
        <v>6</v>
      </c>
      <c r="DI399" t="s">
        <v>6</v>
      </c>
      <c r="DJ399" t="s">
        <v>6</v>
      </c>
      <c r="DK399" t="s">
        <v>6</v>
      </c>
      <c r="DL399" t="s">
        <v>6</v>
      </c>
      <c r="DM399" t="s">
        <v>6</v>
      </c>
      <c r="DN399">
        <f>'1.Лок.смета.и.Акт'!E738</f>
        <v>110</v>
      </c>
      <c r="DO399">
        <f>'1.Лок.смета.и.Акт'!E739</f>
        <v>70</v>
      </c>
      <c r="DP399">
        <v>1</v>
      </c>
      <c r="DQ399">
        <v>1</v>
      </c>
      <c r="DU399">
        <v>1010</v>
      </c>
      <c r="DV399" t="s">
        <v>396</v>
      </c>
      <c r="DW399" t="e">
        <f>'2.Лок.смета.и.Акт'!#REF!</f>
        <v>#REF!</v>
      </c>
      <c r="DX399">
        <v>100</v>
      </c>
      <c r="DZ399" t="s">
        <v>6</v>
      </c>
      <c r="EA399" t="s">
        <v>6</v>
      </c>
      <c r="EB399" t="s">
        <v>6</v>
      </c>
      <c r="EC399" t="s">
        <v>6</v>
      </c>
      <c r="EE399">
        <v>54938666</v>
      </c>
      <c r="EF399">
        <v>9</v>
      </c>
      <c r="EG399" t="s">
        <v>398</v>
      </c>
      <c r="EH399">
        <v>0</v>
      </c>
      <c r="EI399" t="s">
        <v>6</v>
      </c>
      <c r="EJ399">
        <v>1</v>
      </c>
      <c r="EK399">
        <v>46001</v>
      </c>
      <c r="EL399" t="s">
        <v>398</v>
      </c>
      <c r="EM399" t="s">
        <v>399</v>
      </c>
      <c r="EO399" t="s">
        <v>6</v>
      </c>
      <c r="EQ399">
        <v>2097152</v>
      </c>
      <c r="ER399">
        <f>ES399+ET399+EV399</f>
        <v>93.089999999999989</v>
      </c>
      <c r="ES399">
        <v>0</v>
      </c>
      <c r="ET399" s="75">
        <f>'1.Лок.смета.и.Акт'!F737</f>
        <v>18.27</v>
      </c>
      <c r="EU399">
        <v>0</v>
      </c>
      <c r="EV399" s="75">
        <f>'1.Лок.смета.и.Акт'!F736</f>
        <v>74.819999999999993</v>
      </c>
      <c r="EW399" t="e">
        <f>'2.Лок.смета.и.Акт'!#REF!</f>
        <v>#REF!</v>
      </c>
      <c r="EX399">
        <v>0</v>
      </c>
      <c r="EY399">
        <v>0</v>
      </c>
      <c r="FQ399">
        <v>0</v>
      </c>
      <c r="FR399">
        <f t="shared" si="445"/>
        <v>0</v>
      </c>
      <c r="FS399">
        <v>0</v>
      </c>
      <c r="FX399">
        <v>110</v>
      </c>
      <c r="FY399">
        <v>70</v>
      </c>
      <c r="GA399" t="s">
        <v>6</v>
      </c>
      <c r="GD399">
        <v>1</v>
      </c>
      <c r="GF399">
        <v>1948486950</v>
      </c>
      <c r="GG399">
        <v>2</v>
      </c>
      <c r="GH399">
        <v>1</v>
      </c>
      <c r="GI399">
        <v>2</v>
      </c>
      <c r="GJ399">
        <v>0</v>
      </c>
      <c r="GK399">
        <v>0</v>
      </c>
      <c r="GL399">
        <f t="shared" si="446"/>
        <v>0</v>
      </c>
      <c r="GM399" t="e">
        <f t="shared" si="447"/>
        <v>#REF!</v>
      </c>
      <c r="GN399" t="e">
        <f t="shared" si="448"/>
        <v>#REF!</v>
      </c>
      <c r="GO399">
        <f t="shared" si="449"/>
        <v>0</v>
      </c>
      <c r="GP399">
        <f t="shared" si="450"/>
        <v>0</v>
      </c>
      <c r="GR399">
        <v>0</v>
      </c>
      <c r="GS399">
        <v>3</v>
      </c>
      <c r="GT399">
        <v>0</v>
      </c>
      <c r="GU399" t="s">
        <v>6</v>
      </c>
      <c r="GV399">
        <f t="shared" si="451"/>
        <v>0</v>
      </c>
      <c r="GW399">
        <v>1015.2</v>
      </c>
      <c r="GX399" t="e">
        <f t="shared" si="452"/>
        <v>#REF!</v>
      </c>
      <c r="HA399">
        <v>0</v>
      </c>
      <c r="HB399">
        <v>0</v>
      </c>
      <c r="HC399">
        <f t="shared" si="453"/>
        <v>0</v>
      </c>
      <c r="HE399" t="s">
        <v>6</v>
      </c>
      <c r="HF399" t="s">
        <v>6</v>
      </c>
      <c r="HM399" t="s">
        <v>6</v>
      </c>
      <c r="HN399" t="s">
        <v>6</v>
      </c>
      <c r="HO399" t="s">
        <v>6</v>
      </c>
      <c r="HP399" t="s">
        <v>6</v>
      </c>
      <c r="HQ399" t="s">
        <v>6</v>
      </c>
      <c r="IF399">
        <v>-1</v>
      </c>
      <c r="IK399">
        <v>0</v>
      </c>
    </row>
    <row r="400" spans="1:255" x14ac:dyDescent="0.2">
      <c r="A400" s="2">
        <v>18</v>
      </c>
      <c r="B400" s="2">
        <v>1</v>
      </c>
      <c r="C400" s="2">
        <v>525</v>
      </c>
      <c r="D400" s="2"/>
      <c r="E400" s="2" t="s">
        <v>539</v>
      </c>
      <c r="F400" s="2" t="s">
        <v>401</v>
      </c>
      <c r="G400" s="2" t="s">
        <v>402</v>
      </c>
      <c r="H400" s="2" t="s">
        <v>33</v>
      </c>
      <c r="I400" s="2" t="e">
        <f>I398*J400</f>
        <v>#REF!</v>
      </c>
      <c r="J400" s="226">
        <f>'5.Ведомость_списания'!F176</f>
        <v>4.8000000000000001E-2</v>
      </c>
      <c r="K400" s="2">
        <v>4.8000000000000001E-2</v>
      </c>
      <c r="L400" s="2"/>
      <c r="M400" s="2"/>
      <c r="N400" s="2"/>
      <c r="O400" s="2" t="e">
        <f t="shared" si="420"/>
        <v>#REF!</v>
      </c>
      <c r="P400" s="2" t="e">
        <f t="shared" si="421"/>
        <v>#REF!</v>
      </c>
      <c r="Q400" s="2" t="e">
        <f t="shared" si="422"/>
        <v>#REF!</v>
      </c>
      <c r="R400" s="2" t="e">
        <f t="shared" si="423"/>
        <v>#REF!</v>
      </c>
      <c r="S400" s="2" t="e">
        <f t="shared" si="424"/>
        <v>#REF!</v>
      </c>
      <c r="T400" s="2" t="e">
        <f t="shared" si="425"/>
        <v>#REF!</v>
      </c>
      <c r="U400" s="2" t="e">
        <f t="shared" si="426"/>
        <v>#REF!</v>
      </c>
      <c r="V400" s="2" t="e">
        <f t="shared" si="427"/>
        <v>#REF!</v>
      </c>
      <c r="W400" s="2" t="e">
        <f t="shared" si="428"/>
        <v>#REF!</v>
      </c>
      <c r="X400" s="2" t="e">
        <f t="shared" si="429"/>
        <v>#REF!</v>
      </c>
      <c r="Y400" s="2" t="e">
        <f t="shared" si="430"/>
        <v>#REF!</v>
      </c>
      <c r="Z400" s="2"/>
      <c r="AA400" s="2">
        <v>86326987</v>
      </c>
      <c r="AB400" s="2">
        <f t="shared" si="431"/>
        <v>18003.77</v>
      </c>
      <c r="AC400" s="2">
        <f t="shared" si="456"/>
        <v>18003.77</v>
      </c>
      <c r="AD400" s="2">
        <f t="shared" si="417"/>
        <v>0</v>
      </c>
      <c r="AE400" s="2">
        <f t="shared" si="432"/>
        <v>0</v>
      </c>
      <c r="AF400" s="2">
        <f t="shared" si="454"/>
        <v>0</v>
      </c>
      <c r="AG400" s="2">
        <f t="shared" si="433"/>
        <v>0</v>
      </c>
      <c r="AH400" s="2">
        <f t="shared" si="455"/>
        <v>0</v>
      </c>
      <c r="AI400" s="2">
        <f t="shared" si="434"/>
        <v>0</v>
      </c>
      <c r="AJ400" s="2">
        <f t="shared" si="435"/>
        <v>0</v>
      </c>
      <c r="AK400" s="2">
        <v>18003.77</v>
      </c>
      <c r="AL400" s="110">
        <f>'1.Лок.смета.и.Акт'!F741</f>
        <v>18003.77</v>
      </c>
      <c r="AM400" s="2">
        <v>0</v>
      </c>
      <c r="AN400" s="2">
        <v>0</v>
      </c>
      <c r="AO400" s="2">
        <v>0</v>
      </c>
      <c r="AP400" s="2">
        <v>0</v>
      </c>
      <c r="AQ400" s="2">
        <v>0</v>
      </c>
      <c r="AR400" s="2">
        <v>0</v>
      </c>
      <c r="AS400" s="2">
        <v>0</v>
      </c>
      <c r="AT400" s="2">
        <v>0</v>
      </c>
      <c r="AU400" s="2">
        <v>0</v>
      </c>
      <c r="AV400" s="2">
        <v>1</v>
      </c>
      <c r="AW400" s="2">
        <v>1</v>
      </c>
      <c r="AX400" s="2"/>
      <c r="AY400" s="2"/>
      <c r="AZ400" s="2">
        <v>1</v>
      </c>
      <c r="BA400" s="2">
        <v>1</v>
      </c>
      <c r="BB400" s="2">
        <v>1</v>
      </c>
      <c r="BC400" s="2">
        <v>1</v>
      </c>
      <c r="BD400" s="2" t="s">
        <v>6</v>
      </c>
      <c r="BE400" s="2" t="s">
        <v>6</v>
      </c>
      <c r="BF400" s="2" t="s">
        <v>6</v>
      </c>
      <c r="BG400" s="2" t="s">
        <v>6</v>
      </c>
      <c r="BH400" s="2">
        <v>3</v>
      </c>
      <c r="BI400" s="2">
        <v>1</v>
      </c>
      <c r="BJ400" s="2" t="s">
        <v>403</v>
      </c>
      <c r="BK400" s="2"/>
      <c r="BL400" s="2"/>
      <c r="BM400" s="2">
        <v>500003</v>
      </c>
      <c r="BN400" s="2">
        <v>0</v>
      </c>
      <c r="BO400" s="2" t="s">
        <v>6</v>
      </c>
      <c r="BP400" s="2">
        <v>0</v>
      </c>
      <c r="BQ400" s="2">
        <v>22</v>
      </c>
      <c r="BR400" s="2">
        <v>0</v>
      </c>
      <c r="BS400" s="2">
        <v>1</v>
      </c>
      <c r="BT400" s="2">
        <v>1</v>
      </c>
      <c r="BU400" s="2">
        <v>1</v>
      </c>
      <c r="BV400" s="2">
        <v>1</v>
      </c>
      <c r="BW400" s="2">
        <v>1</v>
      </c>
      <c r="BX400" s="2">
        <v>1</v>
      </c>
      <c r="BY400" s="2" t="s">
        <v>6</v>
      </c>
      <c r="BZ400" s="2">
        <v>0</v>
      </c>
      <c r="CA400" s="2">
        <v>0</v>
      </c>
      <c r="CB400" s="2" t="s">
        <v>6</v>
      </c>
      <c r="CC400" s="2"/>
      <c r="CD400" s="2"/>
      <c r="CE400" s="2">
        <v>0</v>
      </c>
      <c r="CF400" s="2">
        <v>0</v>
      </c>
      <c r="CG400" s="2">
        <v>0</v>
      </c>
      <c r="CH400" s="2"/>
      <c r="CI400" s="2"/>
      <c r="CJ400" s="2"/>
      <c r="CK400" s="2"/>
      <c r="CL400" s="2"/>
      <c r="CM400" s="2">
        <v>0</v>
      </c>
      <c r="CN400" s="2" t="s">
        <v>6</v>
      </c>
      <c r="CO400" s="2">
        <v>0</v>
      </c>
      <c r="CP400" s="2" t="e">
        <f t="shared" si="436"/>
        <v>#REF!</v>
      </c>
      <c r="CQ400" s="2">
        <f t="shared" si="437"/>
        <v>18003.77</v>
      </c>
      <c r="CR400" s="2">
        <f t="shared" si="438"/>
        <v>0</v>
      </c>
      <c r="CS400" s="2">
        <f t="shared" si="439"/>
        <v>0</v>
      </c>
      <c r="CT400" s="2">
        <f t="shared" si="440"/>
        <v>0</v>
      </c>
      <c r="CU400" s="2">
        <f t="shared" si="441"/>
        <v>0</v>
      </c>
      <c r="CV400" s="2">
        <f t="shared" si="442"/>
        <v>0</v>
      </c>
      <c r="CW400" s="2">
        <f t="shared" si="443"/>
        <v>0</v>
      </c>
      <c r="CX400" s="2">
        <f t="shared" si="444"/>
        <v>0</v>
      </c>
      <c r="CY400" s="2" t="e">
        <f>(((S400+(R400*IF(0,0,1)))*AT400)/100)</f>
        <v>#REF!</v>
      </c>
      <c r="CZ400" s="2" t="e">
        <f>(((S400+(R400*IF(0,0,1)))*AU400)/100)</f>
        <v>#REF!</v>
      </c>
      <c r="DA400" s="2"/>
      <c r="DB400" s="2"/>
      <c r="DC400" s="2" t="s">
        <v>6</v>
      </c>
      <c r="DD400" s="2" t="s">
        <v>6</v>
      </c>
      <c r="DE400" s="2" t="s">
        <v>6</v>
      </c>
      <c r="DF400" s="2" t="s">
        <v>6</v>
      </c>
      <c r="DG400" s="2" t="s">
        <v>6</v>
      </c>
      <c r="DH400" s="2" t="s">
        <v>6</v>
      </c>
      <c r="DI400" s="2" t="s">
        <v>6</v>
      </c>
      <c r="DJ400" s="2" t="s">
        <v>6</v>
      </c>
      <c r="DK400" s="2" t="s">
        <v>6</v>
      </c>
      <c r="DL400" s="2" t="s">
        <v>6</v>
      </c>
      <c r="DM400" s="2" t="s">
        <v>6</v>
      </c>
      <c r="DN400" s="2">
        <v>0</v>
      </c>
      <c r="DO400" s="2">
        <v>0</v>
      </c>
      <c r="DP400" s="2">
        <v>1</v>
      </c>
      <c r="DQ400" s="2">
        <v>1</v>
      </c>
      <c r="DR400" s="2"/>
      <c r="DS400" s="2"/>
      <c r="DT400" s="2"/>
      <c r="DU400" s="2">
        <v>1009</v>
      </c>
      <c r="DV400" s="2" t="s">
        <v>33</v>
      </c>
      <c r="DW400" s="2" t="s">
        <v>33</v>
      </c>
      <c r="DX400" s="2">
        <v>1000</v>
      </c>
      <c r="DY400" s="2"/>
      <c r="DZ400" s="2" t="s">
        <v>6</v>
      </c>
      <c r="EA400" s="2" t="s">
        <v>6</v>
      </c>
      <c r="EB400" s="2" t="s">
        <v>6</v>
      </c>
      <c r="EC400" s="2" t="s">
        <v>6</v>
      </c>
      <c r="ED400" s="2"/>
      <c r="EE400" s="2">
        <v>54938783</v>
      </c>
      <c r="EF400" s="2">
        <v>22</v>
      </c>
      <c r="EG400" s="2" t="s">
        <v>57</v>
      </c>
      <c r="EH400" s="2">
        <v>0</v>
      </c>
      <c r="EI400" s="2" t="s">
        <v>6</v>
      </c>
      <c r="EJ400" s="2">
        <v>1</v>
      </c>
      <c r="EK400" s="2">
        <v>500003</v>
      </c>
      <c r="EL400" s="2" t="s">
        <v>58</v>
      </c>
      <c r="EM400" s="2" t="s">
        <v>59</v>
      </c>
      <c r="EN400" s="2"/>
      <c r="EO400" s="2" t="s">
        <v>6</v>
      </c>
      <c r="EP400" s="2"/>
      <c r="EQ400" s="2">
        <v>0</v>
      </c>
      <c r="ER400" s="2">
        <v>17182.45</v>
      </c>
      <c r="ES400" s="110">
        <f>'1.Лок.смета.и.Акт'!F741</f>
        <v>18003.77</v>
      </c>
      <c r="ET400" s="2">
        <v>0</v>
      </c>
      <c r="EU400" s="2">
        <v>0</v>
      </c>
      <c r="EV400" s="2">
        <v>0</v>
      </c>
      <c r="EW400" s="2">
        <v>0</v>
      </c>
      <c r="EX400" s="2">
        <v>0</v>
      </c>
      <c r="EY400" s="2"/>
      <c r="EZ400" s="2"/>
      <c r="FA400" s="2"/>
      <c r="FB400" s="2"/>
      <c r="FC400" s="2"/>
      <c r="FD400" s="2"/>
      <c r="FE400" s="2"/>
      <c r="FF400" s="2"/>
      <c r="FG400" s="2"/>
      <c r="FH400" s="2"/>
      <c r="FI400" s="2"/>
      <c r="FJ400" s="2"/>
      <c r="FK400" s="2"/>
      <c r="FL400" s="2"/>
      <c r="FM400" s="2"/>
      <c r="FN400" s="2"/>
      <c r="FO400" s="2"/>
      <c r="FP400" s="2"/>
      <c r="FQ400" s="2">
        <v>0</v>
      </c>
      <c r="FR400" s="2">
        <f t="shared" si="445"/>
        <v>0</v>
      </c>
      <c r="FS400" s="2">
        <v>0</v>
      </c>
      <c r="FT400" s="2"/>
      <c r="FU400" s="2"/>
      <c r="FV400" s="2"/>
      <c r="FW400" s="2"/>
      <c r="FX400" s="2">
        <v>0</v>
      </c>
      <c r="FY400" s="2">
        <v>0</v>
      </c>
      <c r="FZ400" s="2"/>
      <c r="GA400" s="2" t="s">
        <v>6</v>
      </c>
      <c r="GB400" s="2"/>
      <c r="GC400" s="2"/>
      <c r="GD400" s="2">
        <v>1</v>
      </c>
      <c r="GE400" s="2"/>
      <c r="GF400" s="2">
        <v>-1182898848</v>
      </c>
      <c r="GG400" s="2">
        <v>2</v>
      </c>
      <c r="GH400" s="2">
        <v>2</v>
      </c>
      <c r="GI400" s="2">
        <v>-2</v>
      </c>
      <c r="GJ400" s="2">
        <v>0</v>
      </c>
      <c r="GK400" s="2">
        <v>0</v>
      </c>
      <c r="GL400" s="2">
        <f t="shared" si="446"/>
        <v>0</v>
      </c>
      <c r="GM400" s="2" t="e">
        <f t="shared" si="447"/>
        <v>#REF!</v>
      </c>
      <c r="GN400" s="2" t="e">
        <f t="shared" si="448"/>
        <v>#REF!</v>
      </c>
      <c r="GO400" s="2">
        <f t="shared" si="449"/>
        <v>0</v>
      </c>
      <c r="GP400" s="2">
        <f t="shared" si="450"/>
        <v>0</v>
      </c>
      <c r="GQ400" s="2"/>
      <c r="GR400" s="2">
        <v>0</v>
      </c>
      <c r="GS400" s="2">
        <v>2</v>
      </c>
      <c r="GT400" s="2">
        <v>0</v>
      </c>
      <c r="GU400" s="2" t="s">
        <v>6</v>
      </c>
      <c r="GV400" s="2">
        <f t="shared" si="451"/>
        <v>0</v>
      </c>
      <c r="GW400" s="2">
        <v>1</v>
      </c>
      <c r="GX400" s="2" t="e">
        <f t="shared" si="452"/>
        <v>#REF!</v>
      </c>
      <c r="GY400" s="2"/>
      <c r="GZ400" s="2"/>
      <c r="HA400" s="2">
        <v>0</v>
      </c>
      <c r="HB400" s="2">
        <v>0</v>
      </c>
      <c r="HC400" s="2">
        <f t="shared" si="453"/>
        <v>0</v>
      </c>
      <c r="HD400" s="2"/>
      <c r="HE400" s="2" t="s">
        <v>6</v>
      </c>
      <c r="HF400" s="2" t="s">
        <v>6</v>
      </c>
      <c r="HG400" s="2"/>
      <c r="HH400" s="2"/>
      <c r="HI400" s="2"/>
      <c r="HJ400" s="2"/>
      <c r="HK400" s="2"/>
      <c r="HL400" s="2"/>
      <c r="HM400" s="2" t="s">
        <v>6</v>
      </c>
      <c r="HN400" s="2" t="s">
        <v>6</v>
      </c>
      <c r="HO400" s="2" t="s">
        <v>6</v>
      </c>
      <c r="HP400" s="2" t="s">
        <v>6</v>
      </c>
      <c r="HQ400" s="2" t="s">
        <v>6</v>
      </c>
      <c r="HR400" s="2"/>
      <c r="HS400" s="2"/>
      <c r="HT400" s="2"/>
      <c r="HU400" s="2"/>
      <c r="HV400" s="2"/>
      <c r="HW400" s="2"/>
      <c r="HX400" s="2"/>
      <c r="HY400" s="2"/>
      <c r="HZ400" s="2"/>
      <c r="IA400" s="2"/>
      <c r="IB400" s="2"/>
      <c r="IC400" s="2"/>
      <c r="ID400" s="2"/>
      <c r="IE400" s="2"/>
      <c r="IF400" s="2">
        <v>-1</v>
      </c>
      <c r="IG400" s="2"/>
      <c r="IH400" s="2"/>
      <c r="II400" s="2"/>
      <c r="IJ400" s="2"/>
      <c r="IK400" s="2">
        <v>0</v>
      </c>
      <c r="IL400" s="2"/>
      <c r="IM400" s="2"/>
      <c r="IN400" s="2"/>
      <c r="IO400" s="2"/>
      <c r="IP400" s="2"/>
      <c r="IQ400" s="2"/>
      <c r="IR400" s="2"/>
      <c r="IS400" s="2"/>
      <c r="IT400" s="2"/>
      <c r="IU400" s="2"/>
    </row>
    <row r="401" spans="1:255" x14ac:dyDescent="0.2">
      <c r="A401">
        <v>18</v>
      </c>
      <c r="B401">
        <v>1</v>
      </c>
      <c r="C401">
        <v>530</v>
      </c>
      <c r="E401" t="s">
        <v>539</v>
      </c>
      <c r="F401" t="e">
        <f>'2.Лок.смета.и.Акт'!#REF!</f>
        <v>#REF!</v>
      </c>
      <c r="G401" t="s">
        <v>402</v>
      </c>
      <c r="H401" t="s">
        <v>33</v>
      </c>
      <c r="I401" t="e">
        <f>I399*J401</f>
        <v>#REF!</v>
      </c>
      <c r="J401">
        <v>4.8000000000000001E-2</v>
      </c>
      <c r="K401">
        <v>4.8000000000000001E-2</v>
      </c>
      <c r="O401" t="e">
        <f t="shared" si="420"/>
        <v>#REF!</v>
      </c>
      <c r="P401" t="e">
        <f t="shared" si="421"/>
        <v>#REF!</v>
      </c>
      <c r="Q401" t="e">
        <f t="shared" si="422"/>
        <v>#REF!</v>
      </c>
      <c r="R401" t="e">
        <f t="shared" si="423"/>
        <v>#REF!</v>
      </c>
      <c r="S401" t="e">
        <f t="shared" si="424"/>
        <v>#REF!</v>
      </c>
      <c r="T401" t="e">
        <f t="shared" si="425"/>
        <v>#REF!</v>
      </c>
      <c r="U401" t="e">
        <f t="shared" si="426"/>
        <v>#REF!</v>
      </c>
      <c r="V401" t="e">
        <f t="shared" si="427"/>
        <v>#REF!</v>
      </c>
      <c r="W401" t="e">
        <f t="shared" si="428"/>
        <v>#REF!</v>
      </c>
      <c r="X401" t="e">
        <f t="shared" si="429"/>
        <v>#REF!</v>
      </c>
      <c r="Y401" t="e">
        <f t="shared" si="430"/>
        <v>#REF!</v>
      </c>
      <c r="AA401">
        <v>86326988</v>
      </c>
      <c r="AB401">
        <f t="shared" si="431"/>
        <v>18003.77</v>
      </c>
      <c r="AC401">
        <f t="shared" si="456"/>
        <v>18003.77</v>
      </c>
      <c r="AD401">
        <f t="shared" si="417"/>
        <v>0</v>
      </c>
      <c r="AE401">
        <f t="shared" si="432"/>
        <v>0</v>
      </c>
      <c r="AF401">
        <f t="shared" si="454"/>
        <v>0</v>
      </c>
      <c r="AG401">
        <f t="shared" si="433"/>
        <v>0</v>
      </c>
      <c r="AH401">
        <f t="shared" si="455"/>
        <v>0</v>
      </c>
      <c r="AI401">
        <f t="shared" si="434"/>
        <v>0</v>
      </c>
      <c r="AJ401">
        <f t="shared" si="435"/>
        <v>0</v>
      </c>
      <c r="AK401">
        <v>18003.77</v>
      </c>
      <c r="AL401">
        <v>18003.77</v>
      </c>
      <c r="AM401">
        <v>0</v>
      </c>
      <c r="AN401">
        <v>0</v>
      </c>
      <c r="AO401">
        <v>0</v>
      </c>
      <c r="AP401">
        <v>0</v>
      </c>
      <c r="AQ401">
        <v>0</v>
      </c>
      <c r="AR401">
        <v>0</v>
      </c>
      <c r="AS401">
        <v>0</v>
      </c>
      <c r="AT401">
        <v>0</v>
      </c>
      <c r="AU401">
        <v>0</v>
      </c>
      <c r="AV401">
        <v>1</v>
      </c>
      <c r="AW401">
        <v>1</v>
      </c>
      <c r="AZ401">
        <v>1</v>
      </c>
      <c r="BA401">
        <v>1</v>
      </c>
      <c r="BB401">
        <v>1</v>
      </c>
      <c r="BC401">
        <v>7.56</v>
      </c>
      <c r="BD401" t="s">
        <v>6</v>
      </c>
      <c r="BE401" t="s">
        <v>6</v>
      </c>
      <c r="BF401" t="s">
        <v>6</v>
      </c>
      <c r="BG401" t="s">
        <v>6</v>
      </c>
      <c r="BH401">
        <v>3</v>
      </c>
      <c r="BI401">
        <v>1</v>
      </c>
      <c r="BJ401" t="s">
        <v>403</v>
      </c>
      <c r="BM401">
        <v>500003</v>
      </c>
      <c r="BN401">
        <v>0</v>
      </c>
      <c r="BO401" t="s">
        <v>6</v>
      </c>
      <c r="BP401">
        <v>0</v>
      </c>
      <c r="BQ401">
        <v>22</v>
      </c>
      <c r="BR401">
        <v>0</v>
      </c>
      <c r="BS401">
        <v>1</v>
      </c>
      <c r="BT401">
        <v>1</v>
      </c>
      <c r="BU401">
        <v>1</v>
      </c>
      <c r="BV401">
        <v>1</v>
      </c>
      <c r="BW401">
        <v>1</v>
      </c>
      <c r="BX401">
        <v>1</v>
      </c>
      <c r="BY401" t="s">
        <v>6</v>
      </c>
      <c r="BZ401">
        <v>0</v>
      </c>
      <c r="CA401">
        <v>0</v>
      </c>
      <c r="CB401" t="s">
        <v>6</v>
      </c>
      <c r="CE401">
        <v>0</v>
      </c>
      <c r="CF401">
        <v>0</v>
      </c>
      <c r="CG401">
        <v>0</v>
      </c>
      <c r="CM401">
        <v>0</v>
      </c>
      <c r="CN401" t="s">
        <v>6</v>
      </c>
      <c r="CO401">
        <v>0</v>
      </c>
      <c r="CP401" t="e">
        <f t="shared" si="436"/>
        <v>#REF!</v>
      </c>
      <c r="CQ401">
        <f t="shared" si="437"/>
        <v>136108.5012</v>
      </c>
      <c r="CR401">
        <f t="shared" si="438"/>
        <v>0</v>
      </c>
      <c r="CS401">
        <f t="shared" si="439"/>
        <v>0</v>
      </c>
      <c r="CT401">
        <f t="shared" si="440"/>
        <v>0</v>
      </c>
      <c r="CU401">
        <f t="shared" si="441"/>
        <v>0</v>
      </c>
      <c r="CV401">
        <f t="shared" si="442"/>
        <v>0</v>
      </c>
      <c r="CW401">
        <f t="shared" si="443"/>
        <v>0</v>
      </c>
      <c r="CX401">
        <f t="shared" si="444"/>
        <v>0</v>
      </c>
      <c r="CY401" t="e">
        <f>(S401+R401)*(BZ401/100)</f>
        <v>#REF!</v>
      </c>
      <c r="CZ401" t="e">
        <f>(S401+R401)*(CA401/100)</f>
        <v>#REF!</v>
      </c>
      <c r="DC401" t="s">
        <v>6</v>
      </c>
      <c r="DD401" t="s">
        <v>6</v>
      </c>
      <c r="DE401" t="s">
        <v>6</v>
      </c>
      <c r="DF401" t="s">
        <v>6</v>
      </c>
      <c r="DG401" t="s">
        <v>6</v>
      </c>
      <c r="DH401" t="s">
        <v>6</v>
      </c>
      <c r="DI401" t="s">
        <v>6</v>
      </c>
      <c r="DJ401" t="s">
        <v>6</v>
      </c>
      <c r="DK401" t="s">
        <v>6</v>
      </c>
      <c r="DL401" t="s">
        <v>6</v>
      </c>
      <c r="DM401" t="s">
        <v>6</v>
      </c>
      <c r="DN401">
        <v>0</v>
      </c>
      <c r="DO401">
        <v>0</v>
      </c>
      <c r="DP401">
        <v>1</v>
      </c>
      <c r="DQ401">
        <v>1</v>
      </c>
      <c r="DU401">
        <v>1009</v>
      </c>
      <c r="DV401" t="s">
        <v>33</v>
      </c>
      <c r="DW401" t="e">
        <f>'2.Лок.смета.и.Акт'!#REF!</f>
        <v>#REF!</v>
      </c>
      <c r="DX401">
        <v>1000</v>
      </c>
      <c r="DZ401" t="s">
        <v>6</v>
      </c>
      <c r="EA401" t="s">
        <v>6</v>
      </c>
      <c r="EB401" t="s">
        <v>6</v>
      </c>
      <c r="EC401" t="s">
        <v>6</v>
      </c>
      <c r="EE401">
        <v>54938783</v>
      </c>
      <c r="EF401">
        <v>22</v>
      </c>
      <c r="EG401" t="s">
        <v>57</v>
      </c>
      <c r="EH401">
        <v>0</v>
      </c>
      <c r="EI401" t="s">
        <v>6</v>
      </c>
      <c r="EJ401">
        <v>1</v>
      </c>
      <c r="EK401">
        <v>500003</v>
      </c>
      <c r="EL401" t="s">
        <v>58</v>
      </c>
      <c r="EM401" t="s">
        <v>59</v>
      </c>
      <c r="EO401" t="s">
        <v>6</v>
      </c>
      <c r="EQ401">
        <v>0</v>
      </c>
      <c r="ER401">
        <v>129899.35</v>
      </c>
      <c r="ES401">
        <v>18003.77</v>
      </c>
      <c r="ET401">
        <v>0</v>
      </c>
      <c r="EU401">
        <v>0</v>
      </c>
      <c r="EV401">
        <v>0</v>
      </c>
      <c r="EW401">
        <v>0</v>
      </c>
      <c r="EX401">
        <v>0</v>
      </c>
      <c r="EZ401">
        <v>5</v>
      </c>
      <c r="FC401">
        <v>0</v>
      </c>
      <c r="FD401">
        <v>18</v>
      </c>
      <c r="FF401">
        <v>129899.35</v>
      </c>
      <c r="FQ401">
        <v>0</v>
      </c>
      <c r="FR401">
        <f t="shared" si="445"/>
        <v>0</v>
      </c>
      <c r="FS401">
        <v>0</v>
      </c>
      <c r="FX401">
        <v>0</v>
      </c>
      <c r="FY401">
        <v>0</v>
      </c>
      <c r="GA401" t="s">
        <v>404</v>
      </c>
      <c r="GD401">
        <v>1</v>
      </c>
      <c r="GF401">
        <v>-1182898848</v>
      </c>
      <c r="GG401">
        <v>2</v>
      </c>
      <c r="GH401">
        <v>3</v>
      </c>
      <c r="GI401">
        <v>5</v>
      </c>
      <c r="GJ401">
        <v>0</v>
      </c>
      <c r="GK401">
        <v>0</v>
      </c>
      <c r="GL401">
        <f t="shared" si="446"/>
        <v>0</v>
      </c>
      <c r="GM401" t="e">
        <f t="shared" si="447"/>
        <v>#REF!</v>
      </c>
      <c r="GN401" t="e">
        <f t="shared" si="448"/>
        <v>#REF!</v>
      </c>
      <c r="GO401">
        <f t="shared" si="449"/>
        <v>0</v>
      </c>
      <c r="GP401">
        <f t="shared" si="450"/>
        <v>0</v>
      </c>
      <c r="GR401">
        <v>1</v>
      </c>
      <c r="GS401">
        <v>1</v>
      </c>
      <c r="GT401">
        <v>0</v>
      </c>
      <c r="GU401" t="s">
        <v>6</v>
      </c>
      <c r="GV401">
        <f t="shared" si="451"/>
        <v>0</v>
      </c>
      <c r="GW401">
        <v>1</v>
      </c>
      <c r="GX401" t="e">
        <f t="shared" si="452"/>
        <v>#REF!</v>
      </c>
      <c r="HA401">
        <v>0</v>
      </c>
      <c r="HB401">
        <v>0</v>
      </c>
      <c r="HC401">
        <f t="shared" si="453"/>
        <v>0</v>
      </c>
      <c r="HE401" t="s">
        <v>39</v>
      </c>
      <c r="HF401" t="s">
        <v>61</v>
      </c>
      <c r="HM401" t="s">
        <v>6</v>
      </c>
      <c r="HN401" t="s">
        <v>6</v>
      </c>
      <c r="HO401" t="s">
        <v>6</v>
      </c>
      <c r="HP401" t="s">
        <v>6</v>
      </c>
      <c r="HQ401" t="s">
        <v>6</v>
      </c>
      <c r="IF401">
        <v>-1</v>
      </c>
      <c r="IK401">
        <v>0</v>
      </c>
    </row>
    <row r="402" spans="1:255" x14ac:dyDescent="0.2">
      <c r="A402" s="2">
        <v>18</v>
      </c>
      <c r="B402" s="2">
        <v>1</v>
      </c>
      <c r="C402" s="2">
        <v>524</v>
      </c>
      <c r="D402" s="2"/>
      <c r="E402" s="2" t="s">
        <v>540</v>
      </c>
      <c r="F402" s="2" t="s">
        <v>406</v>
      </c>
      <c r="G402" s="2" t="s">
        <v>407</v>
      </c>
      <c r="H402" s="2" t="s">
        <v>323</v>
      </c>
      <c r="I402" s="2" t="e">
        <f>I398*J402</f>
        <v>#REF!</v>
      </c>
      <c r="J402" s="226">
        <f>'5.Ведомость_списания'!F177</f>
        <v>8.1666749999999997</v>
      </c>
      <c r="K402" s="2">
        <v>8.1666670000000003</v>
      </c>
      <c r="L402" s="2"/>
      <c r="M402" s="2"/>
      <c r="N402" s="2"/>
      <c r="O402" s="2" t="e">
        <f t="shared" si="420"/>
        <v>#REF!</v>
      </c>
      <c r="P402" s="2" t="e">
        <f t="shared" si="421"/>
        <v>#REF!</v>
      </c>
      <c r="Q402" s="2" t="e">
        <f t="shared" si="422"/>
        <v>#REF!</v>
      </c>
      <c r="R402" s="2" t="e">
        <f t="shared" si="423"/>
        <v>#REF!</v>
      </c>
      <c r="S402" s="2" t="e">
        <f t="shared" si="424"/>
        <v>#REF!</v>
      </c>
      <c r="T402" s="2" t="e">
        <f t="shared" si="425"/>
        <v>#REF!</v>
      </c>
      <c r="U402" s="2" t="e">
        <f t="shared" si="426"/>
        <v>#REF!</v>
      </c>
      <c r="V402" s="2" t="e">
        <f t="shared" si="427"/>
        <v>#REF!</v>
      </c>
      <c r="W402" s="2" t="e">
        <f t="shared" si="428"/>
        <v>#REF!</v>
      </c>
      <c r="X402" s="2" t="e">
        <f t="shared" si="429"/>
        <v>#REF!</v>
      </c>
      <c r="Y402" s="2" t="e">
        <f t="shared" si="430"/>
        <v>#REF!</v>
      </c>
      <c r="Z402" s="2"/>
      <c r="AA402" s="2">
        <v>86326987</v>
      </c>
      <c r="AB402" s="2">
        <f t="shared" si="431"/>
        <v>391.34</v>
      </c>
      <c r="AC402" s="2">
        <f t="shared" si="456"/>
        <v>391.34</v>
      </c>
      <c r="AD402" s="2">
        <f t="shared" si="417"/>
        <v>0</v>
      </c>
      <c r="AE402" s="2">
        <f t="shared" si="432"/>
        <v>0</v>
      </c>
      <c r="AF402" s="2">
        <f t="shared" si="454"/>
        <v>0</v>
      </c>
      <c r="AG402" s="2">
        <f t="shared" si="433"/>
        <v>0</v>
      </c>
      <c r="AH402" s="2">
        <f t="shared" si="455"/>
        <v>0</v>
      </c>
      <c r="AI402" s="2">
        <f t="shared" si="434"/>
        <v>0</v>
      </c>
      <c r="AJ402" s="2">
        <f t="shared" si="435"/>
        <v>0.15</v>
      </c>
      <c r="AK402" s="2">
        <v>391.34</v>
      </c>
      <c r="AL402" s="110">
        <f>'1.Лок.смета.и.Акт'!F743</f>
        <v>391.34</v>
      </c>
      <c r="AM402" s="2">
        <v>0</v>
      </c>
      <c r="AN402" s="2">
        <v>0</v>
      </c>
      <c r="AO402" s="2">
        <v>0</v>
      </c>
      <c r="AP402" s="2">
        <v>0</v>
      </c>
      <c r="AQ402" s="2">
        <v>0</v>
      </c>
      <c r="AR402" s="2">
        <v>0</v>
      </c>
      <c r="AS402" s="2">
        <v>0.15</v>
      </c>
      <c r="AT402" s="2">
        <v>0</v>
      </c>
      <c r="AU402" s="2">
        <v>0</v>
      </c>
      <c r="AV402" s="2">
        <v>1</v>
      </c>
      <c r="AW402" s="2">
        <v>1</v>
      </c>
      <c r="AX402" s="2"/>
      <c r="AY402" s="2"/>
      <c r="AZ402" s="2">
        <v>1</v>
      </c>
      <c r="BA402" s="2">
        <v>1</v>
      </c>
      <c r="BB402" s="2">
        <v>1</v>
      </c>
      <c r="BC402" s="2">
        <v>1</v>
      </c>
      <c r="BD402" s="2" t="s">
        <v>6</v>
      </c>
      <c r="BE402" s="2" t="s">
        <v>6</v>
      </c>
      <c r="BF402" s="2" t="s">
        <v>6</v>
      </c>
      <c r="BG402" s="2" t="s">
        <v>6</v>
      </c>
      <c r="BH402" s="2">
        <v>3</v>
      </c>
      <c r="BI402" s="2">
        <v>2</v>
      </c>
      <c r="BJ402" s="2" t="s">
        <v>408</v>
      </c>
      <c r="BK402" s="2"/>
      <c r="BL402" s="2"/>
      <c r="BM402" s="2">
        <v>500002</v>
      </c>
      <c r="BN402" s="2">
        <v>0</v>
      </c>
      <c r="BO402" s="2" t="s">
        <v>6</v>
      </c>
      <c r="BP402" s="2">
        <v>0</v>
      </c>
      <c r="BQ402" s="2">
        <v>21</v>
      </c>
      <c r="BR402" s="2">
        <v>0</v>
      </c>
      <c r="BS402" s="2">
        <v>1</v>
      </c>
      <c r="BT402" s="2">
        <v>1</v>
      </c>
      <c r="BU402" s="2">
        <v>1</v>
      </c>
      <c r="BV402" s="2">
        <v>1</v>
      </c>
      <c r="BW402" s="2">
        <v>1</v>
      </c>
      <c r="BX402" s="2">
        <v>1</v>
      </c>
      <c r="BY402" s="2" t="s">
        <v>6</v>
      </c>
      <c r="BZ402" s="2">
        <v>0</v>
      </c>
      <c r="CA402" s="2">
        <v>0</v>
      </c>
      <c r="CB402" s="2" t="s">
        <v>6</v>
      </c>
      <c r="CC402" s="2"/>
      <c r="CD402" s="2"/>
      <c r="CE402" s="2">
        <v>0</v>
      </c>
      <c r="CF402" s="2">
        <v>0</v>
      </c>
      <c r="CG402" s="2">
        <v>0</v>
      </c>
      <c r="CH402" s="2"/>
      <c r="CI402" s="2"/>
      <c r="CJ402" s="2"/>
      <c r="CK402" s="2"/>
      <c r="CL402" s="2"/>
      <c r="CM402" s="2">
        <v>0</v>
      </c>
      <c r="CN402" s="2" t="s">
        <v>6</v>
      </c>
      <c r="CO402" s="2">
        <v>0</v>
      </c>
      <c r="CP402" s="2" t="e">
        <f t="shared" si="436"/>
        <v>#REF!</v>
      </c>
      <c r="CQ402" s="2">
        <f t="shared" si="437"/>
        <v>391.34</v>
      </c>
      <c r="CR402" s="2">
        <f t="shared" si="438"/>
        <v>0</v>
      </c>
      <c r="CS402" s="2">
        <f t="shared" si="439"/>
        <v>0</v>
      </c>
      <c r="CT402" s="2">
        <f t="shared" si="440"/>
        <v>0</v>
      </c>
      <c r="CU402" s="2">
        <f t="shared" si="441"/>
        <v>0</v>
      </c>
      <c r="CV402" s="2">
        <f t="shared" si="442"/>
        <v>0</v>
      </c>
      <c r="CW402" s="2">
        <f t="shared" si="443"/>
        <v>0</v>
      </c>
      <c r="CX402" s="2">
        <f t="shared" si="444"/>
        <v>0.15</v>
      </c>
      <c r="CY402" s="2" t="e">
        <f>(((S402+(R402*IF(0,0,1)))*AT402)/100)</f>
        <v>#REF!</v>
      </c>
      <c r="CZ402" s="2" t="e">
        <f>(((S402+(R402*IF(0,0,1)))*AU402)/100)</f>
        <v>#REF!</v>
      </c>
      <c r="DA402" s="2"/>
      <c r="DB402" s="2"/>
      <c r="DC402" s="2" t="s">
        <v>6</v>
      </c>
      <c r="DD402" s="2" t="s">
        <v>6</v>
      </c>
      <c r="DE402" s="2" t="s">
        <v>6</v>
      </c>
      <c r="DF402" s="2" t="s">
        <v>6</v>
      </c>
      <c r="DG402" s="2" t="s">
        <v>6</v>
      </c>
      <c r="DH402" s="2" t="s">
        <v>6</v>
      </c>
      <c r="DI402" s="2" t="s">
        <v>6</v>
      </c>
      <c r="DJ402" s="2" t="s">
        <v>6</v>
      </c>
      <c r="DK402" s="2" t="s">
        <v>6</v>
      </c>
      <c r="DL402" s="2" t="s">
        <v>6</v>
      </c>
      <c r="DM402" s="2" t="s">
        <v>6</v>
      </c>
      <c r="DN402" s="2">
        <v>0</v>
      </c>
      <c r="DO402" s="2">
        <v>0</v>
      </c>
      <c r="DP402" s="2">
        <v>1</v>
      </c>
      <c r="DQ402" s="2">
        <v>1</v>
      </c>
      <c r="DR402" s="2"/>
      <c r="DS402" s="2"/>
      <c r="DT402" s="2"/>
      <c r="DU402" s="2">
        <v>1010</v>
      </c>
      <c r="DV402" s="2" t="s">
        <v>323</v>
      </c>
      <c r="DW402" s="2" t="s">
        <v>325</v>
      </c>
      <c r="DX402" s="2">
        <v>1</v>
      </c>
      <c r="DY402" s="2"/>
      <c r="DZ402" s="2" t="s">
        <v>6</v>
      </c>
      <c r="EA402" s="2" t="s">
        <v>6</v>
      </c>
      <c r="EB402" s="2" t="s">
        <v>6</v>
      </c>
      <c r="EC402" s="2" t="s">
        <v>6</v>
      </c>
      <c r="ED402" s="2"/>
      <c r="EE402" s="2">
        <v>54938782</v>
      </c>
      <c r="EF402" s="2">
        <v>21</v>
      </c>
      <c r="EG402" s="2" t="s">
        <v>96</v>
      </c>
      <c r="EH402" s="2">
        <v>0</v>
      </c>
      <c r="EI402" s="2" t="s">
        <v>6</v>
      </c>
      <c r="EJ402" s="2">
        <v>2</v>
      </c>
      <c r="EK402" s="2">
        <v>500002</v>
      </c>
      <c r="EL402" s="2" t="s">
        <v>97</v>
      </c>
      <c r="EM402" s="2" t="s">
        <v>98</v>
      </c>
      <c r="EN402" s="2"/>
      <c r="EO402" s="2" t="s">
        <v>6</v>
      </c>
      <c r="EP402" s="2"/>
      <c r="EQ402" s="2">
        <v>0</v>
      </c>
      <c r="ER402" s="2">
        <v>391.34</v>
      </c>
      <c r="ES402" s="110">
        <f>'1.Лок.смета.и.Акт'!F743</f>
        <v>391.34</v>
      </c>
      <c r="ET402" s="2">
        <v>0</v>
      </c>
      <c r="EU402" s="2">
        <v>0</v>
      </c>
      <c r="EV402" s="2">
        <v>0</v>
      </c>
      <c r="EW402" s="2">
        <v>0</v>
      </c>
      <c r="EX402" s="2">
        <v>0</v>
      </c>
      <c r="EY402" s="2"/>
      <c r="EZ402" s="2"/>
      <c r="FA402" s="2"/>
      <c r="FB402" s="2"/>
      <c r="FC402" s="2"/>
      <c r="FD402" s="2"/>
      <c r="FE402" s="2"/>
      <c r="FF402" s="2"/>
      <c r="FG402" s="2"/>
      <c r="FH402" s="2"/>
      <c r="FI402" s="2"/>
      <c r="FJ402" s="2"/>
      <c r="FK402" s="2"/>
      <c r="FL402" s="2"/>
      <c r="FM402" s="2"/>
      <c r="FN402" s="2"/>
      <c r="FO402" s="2"/>
      <c r="FP402" s="2"/>
      <c r="FQ402" s="2">
        <v>0</v>
      </c>
      <c r="FR402" s="2">
        <f t="shared" si="445"/>
        <v>0</v>
      </c>
      <c r="FS402" s="2">
        <v>0</v>
      </c>
      <c r="FT402" s="2"/>
      <c r="FU402" s="2"/>
      <c r="FV402" s="2"/>
      <c r="FW402" s="2"/>
      <c r="FX402" s="2">
        <v>0</v>
      </c>
      <c r="FY402" s="2">
        <v>0</v>
      </c>
      <c r="FZ402" s="2"/>
      <c r="GA402" s="2" t="s">
        <v>6</v>
      </c>
      <c r="GB402" s="2"/>
      <c r="GC402" s="2"/>
      <c r="GD402" s="2">
        <v>1</v>
      </c>
      <c r="GE402" s="2"/>
      <c r="GF402" s="2">
        <v>231135007</v>
      </c>
      <c r="GG402" s="2">
        <v>2</v>
      </c>
      <c r="GH402" s="2">
        <v>1</v>
      </c>
      <c r="GI402" s="2">
        <v>-2</v>
      </c>
      <c r="GJ402" s="2">
        <v>0</v>
      </c>
      <c r="GK402" s="2">
        <v>0</v>
      </c>
      <c r="GL402" s="2">
        <f t="shared" si="446"/>
        <v>0</v>
      </c>
      <c r="GM402" s="2" t="e">
        <f t="shared" si="447"/>
        <v>#REF!</v>
      </c>
      <c r="GN402" s="2">
        <f t="shared" si="448"/>
        <v>0</v>
      </c>
      <c r="GO402" s="2" t="e">
        <f t="shared" si="449"/>
        <v>#REF!</v>
      </c>
      <c r="GP402" s="2">
        <f t="shared" si="450"/>
        <v>0</v>
      </c>
      <c r="GQ402" s="2"/>
      <c r="GR402" s="2">
        <v>0</v>
      </c>
      <c r="GS402" s="2">
        <v>3</v>
      </c>
      <c r="GT402" s="2">
        <v>0</v>
      </c>
      <c r="GU402" s="2" t="s">
        <v>6</v>
      </c>
      <c r="GV402" s="2">
        <f t="shared" si="451"/>
        <v>0</v>
      </c>
      <c r="GW402" s="2">
        <v>1</v>
      </c>
      <c r="GX402" s="2" t="e">
        <f t="shared" si="452"/>
        <v>#REF!</v>
      </c>
      <c r="GY402" s="2"/>
      <c r="GZ402" s="2"/>
      <c r="HA402" s="2">
        <v>0</v>
      </c>
      <c r="HB402" s="2">
        <v>0</v>
      </c>
      <c r="HC402" s="2">
        <f t="shared" si="453"/>
        <v>0</v>
      </c>
      <c r="HD402" s="2"/>
      <c r="HE402" s="2" t="s">
        <v>6</v>
      </c>
      <c r="HF402" s="2" t="s">
        <v>6</v>
      </c>
      <c r="HG402" s="2"/>
      <c r="HH402" s="2"/>
      <c r="HI402" s="2"/>
      <c r="HJ402" s="2"/>
      <c r="HK402" s="2"/>
      <c r="HL402" s="2"/>
      <c r="HM402" s="2" t="s">
        <v>6</v>
      </c>
      <c r="HN402" s="2" t="s">
        <v>6</v>
      </c>
      <c r="HO402" s="2" t="s">
        <v>6</v>
      </c>
      <c r="HP402" s="2" t="s">
        <v>6</v>
      </c>
      <c r="HQ402" s="2" t="s">
        <v>6</v>
      </c>
      <c r="HR402" s="2"/>
      <c r="HS402" s="2"/>
      <c r="HT402" s="2"/>
      <c r="HU402" s="2"/>
      <c r="HV402" s="2"/>
      <c r="HW402" s="2"/>
      <c r="HX402" s="2"/>
      <c r="HY402" s="2"/>
      <c r="HZ402" s="2"/>
      <c r="IA402" s="2"/>
      <c r="IB402" s="2"/>
      <c r="IC402" s="2"/>
      <c r="ID402" s="2"/>
      <c r="IE402" s="2"/>
      <c r="IF402" s="2">
        <v>-1</v>
      </c>
      <c r="IG402" s="2"/>
      <c r="IH402" s="2"/>
      <c r="II402" s="2"/>
      <c r="IJ402" s="2"/>
      <c r="IK402" s="2">
        <v>0</v>
      </c>
      <c r="IL402" s="2"/>
      <c r="IM402" s="2"/>
      <c r="IN402" s="2"/>
      <c r="IO402" s="2"/>
      <c r="IP402" s="2"/>
      <c r="IQ402" s="2"/>
      <c r="IR402" s="2"/>
      <c r="IS402" s="2"/>
      <c r="IT402" s="2"/>
      <c r="IU402" s="2"/>
    </row>
    <row r="403" spans="1:255" x14ac:dyDescent="0.2">
      <c r="A403">
        <v>18</v>
      </c>
      <c r="B403">
        <v>1</v>
      </c>
      <c r="C403">
        <v>529</v>
      </c>
      <c r="E403" t="s">
        <v>540</v>
      </c>
      <c r="F403" t="e">
        <f>'2.Лок.смета.и.Акт'!#REF!</f>
        <v>#REF!</v>
      </c>
      <c r="G403" t="s">
        <v>407</v>
      </c>
      <c r="H403" t="s">
        <v>323</v>
      </c>
      <c r="I403" t="e">
        <f>I399*J403</f>
        <v>#REF!</v>
      </c>
      <c r="J403">
        <v>8.1666749999999997</v>
      </c>
      <c r="K403">
        <v>8.1666670000000003</v>
      </c>
      <c r="O403" t="e">
        <f t="shared" si="420"/>
        <v>#REF!</v>
      </c>
      <c r="P403" t="e">
        <f t="shared" si="421"/>
        <v>#REF!</v>
      </c>
      <c r="Q403" t="e">
        <f t="shared" si="422"/>
        <v>#REF!</v>
      </c>
      <c r="R403" t="e">
        <f t="shared" si="423"/>
        <v>#REF!</v>
      </c>
      <c r="S403" t="e">
        <f t="shared" si="424"/>
        <v>#REF!</v>
      </c>
      <c r="T403" t="e">
        <f t="shared" si="425"/>
        <v>#REF!</v>
      </c>
      <c r="U403" t="e">
        <f t="shared" si="426"/>
        <v>#REF!</v>
      </c>
      <c r="V403" t="e">
        <f t="shared" si="427"/>
        <v>#REF!</v>
      </c>
      <c r="W403" t="e">
        <f t="shared" si="428"/>
        <v>#REF!</v>
      </c>
      <c r="X403" t="e">
        <f t="shared" si="429"/>
        <v>#REF!</v>
      </c>
      <c r="Y403" t="e">
        <f t="shared" si="430"/>
        <v>#REF!</v>
      </c>
      <c r="AA403">
        <v>86326988</v>
      </c>
      <c r="AB403">
        <f t="shared" si="431"/>
        <v>311.81</v>
      </c>
      <c r="AC403">
        <f t="shared" si="456"/>
        <v>311.81</v>
      </c>
      <c r="AD403">
        <f t="shared" si="417"/>
        <v>0</v>
      </c>
      <c r="AE403">
        <f t="shared" si="432"/>
        <v>0</v>
      </c>
      <c r="AF403">
        <f t="shared" si="454"/>
        <v>0</v>
      </c>
      <c r="AG403">
        <f t="shared" si="433"/>
        <v>0</v>
      </c>
      <c r="AH403">
        <f t="shared" si="455"/>
        <v>0</v>
      </c>
      <c r="AI403">
        <f t="shared" si="434"/>
        <v>0</v>
      </c>
      <c r="AJ403">
        <f t="shared" si="435"/>
        <v>0.15</v>
      </c>
      <c r="AK403">
        <v>311.81</v>
      </c>
      <c r="AL403">
        <v>311.81</v>
      </c>
      <c r="AM403">
        <v>0</v>
      </c>
      <c r="AN403">
        <v>0</v>
      </c>
      <c r="AO403">
        <v>0</v>
      </c>
      <c r="AP403">
        <v>0</v>
      </c>
      <c r="AQ403">
        <v>0</v>
      </c>
      <c r="AR403">
        <v>0</v>
      </c>
      <c r="AS403">
        <v>0.15</v>
      </c>
      <c r="AT403">
        <v>0</v>
      </c>
      <c r="AU403">
        <v>0</v>
      </c>
      <c r="AV403">
        <v>1</v>
      </c>
      <c r="AW403">
        <v>1</v>
      </c>
      <c r="AZ403">
        <v>1</v>
      </c>
      <c r="BA403">
        <v>1</v>
      </c>
      <c r="BB403">
        <v>1</v>
      </c>
      <c r="BC403">
        <v>7.56</v>
      </c>
      <c r="BD403" t="s">
        <v>6</v>
      </c>
      <c r="BE403" t="s">
        <v>6</v>
      </c>
      <c r="BF403" t="s">
        <v>6</v>
      </c>
      <c r="BG403" t="s">
        <v>6</v>
      </c>
      <c r="BH403">
        <v>3</v>
      </c>
      <c r="BI403">
        <v>2</v>
      </c>
      <c r="BJ403" t="s">
        <v>408</v>
      </c>
      <c r="BM403">
        <v>500002</v>
      </c>
      <c r="BN403">
        <v>0</v>
      </c>
      <c r="BO403" t="s">
        <v>6</v>
      </c>
      <c r="BP403">
        <v>0</v>
      </c>
      <c r="BQ403">
        <v>21</v>
      </c>
      <c r="BR403">
        <v>0</v>
      </c>
      <c r="BS403">
        <v>1</v>
      </c>
      <c r="BT403">
        <v>1</v>
      </c>
      <c r="BU403">
        <v>1</v>
      </c>
      <c r="BV403">
        <v>1</v>
      </c>
      <c r="BW403">
        <v>1</v>
      </c>
      <c r="BX403">
        <v>1</v>
      </c>
      <c r="BY403" t="s">
        <v>6</v>
      </c>
      <c r="BZ403">
        <v>0</v>
      </c>
      <c r="CA403">
        <v>0</v>
      </c>
      <c r="CB403" t="s">
        <v>6</v>
      </c>
      <c r="CE403">
        <v>0</v>
      </c>
      <c r="CF403">
        <v>0</v>
      </c>
      <c r="CG403">
        <v>0</v>
      </c>
      <c r="CM403">
        <v>0</v>
      </c>
      <c r="CN403" t="s">
        <v>6</v>
      </c>
      <c r="CO403">
        <v>0</v>
      </c>
      <c r="CP403" t="e">
        <f t="shared" si="436"/>
        <v>#REF!</v>
      </c>
      <c r="CQ403">
        <f t="shared" si="437"/>
        <v>2357.2835999999998</v>
      </c>
      <c r="CR403">
        <f t="shared" si="438"/>
        <v>0</v>
      </c>
      <c r="CS403">
        <f t="shared" si="439"/>
        <v>0</v>
      </c>
      <c r="CT403">
        <f t="shared" si="440"/>
        <v>0</v>
      </c>
      <c r="CU403">
        <f t="shared" si="441"/>
        <v>0</v>
      </c>
      <c r="CV403">
        <f t="shared" si="442"/>
        <v>0</v>
      </c>
      <c r="CW403">
        <f t="shared" si="443"/>
        <v>0</v>
      </c>
      <c r="CX403">
        <f t="shared" si="444"/>
        <v>0.15</v>
      </c>
      <c r="CY403" t="e">
        <f>(S403+R403)*(BZ403/100)</f>
        <v>#REF!</v>
      </c>
      <c r="CZ403" t="e">
        <f>(S403+R403)*(CA403/100)</f>
        <v>#REF!</v>
      </c>
      <c r="DC403" t="s">
        <v>6</v>
      </c>
      <c r="DD403" t="s">
        <v>6</v>
      </c>
      <c r="DE403" t="s">
        <v>6</v>
      </c>
      <c r="DF403" t="s">
        <v>6</v>
      </c>
      <c r="DG403" t="s">
        <v>6</v>
      </c>
      <c r="DH403" t="s">
        <v>6</v>
      </c>
      <c r="DI403" t="s">
        <v>6</v>
      </c>
      <c r="DJ403" t="s">
        <v>6</v>
      </c>
      <c r="DK403" t="s">
        <v>6</v>
      </c>
      <c r="DL403" t="s">
        <v>6</v>
      </c>
      <c r="DM403" t="s">
        <v>6</v>
      </c>
      <c r="DN403">
        <v>0</v>
      </c>
      <c r="DO403">
        <v>0</v>
      </c>
      <c r="DP403">
        <v>1</v>
      </c>
      <c r="DQ403">
        <v>1</v>
      </c>
      <c r="DU403">
        <v>1010</v>
      </c>
      <c r="DV403" t="s">
        <v>323</v>
      </c>
      <c r="DW403" t="e">
        <f>'2.Лок.смета.и.Акт'!#REF!</f>
        <v>#REF!</v>
      </c>
      <c r="DX403">
        <v>1</v>
      </c>
      <c r="DZ403" t="s">
        <v>6</v>
      </c>
      <c r="EA403" t="s">
        <v>6</v>
      </c>
      <c r="EB403" t="s">
        <v>6</v>
      </c>
      <c r="EC403" t="s">
        <v>6</v>
      </c>
      <c r="EE403">
        <v>54938782</v>
      </c>
      <c r="EF403">
        <v>21</v>
      </c>
      <c r="EG403" t="s">
        <v>96</v>
      </c>
      <c r="EH403">
        <v>0</v>
      </c>
      <c r="EI403" t="s">
        <v>6</v>
      </c>
      <c r="EJ403">
        <v>2</v>
      </c>
      <c r="EK403">
        <v>500002</v>
      </c>
      <c r="EL403" t="s">
        <v>97</v>
      </c>
      <c r="EM403" t="s">
        <v>98</v>
      </c>
      <c r="EO403" t="s">
        <v>6</v>
      </c>
      <c r="EQ403">
        <v>0</v>
      </c>
      <c r="ER403">
        <v>2222.2199999999998</v>
      </c>
      <c r="ES403">
        <v>311.81</v>
      </c>
      <c r="ET403">
        <v>0</v>
      </c>
      <c r="EU403">
        <v>0</v>
      </c>
      <c r="EV403">
        <v>0</v>
      </c>
      <c r="EW403">
        <v>0</v>
      </c>
      <c r="EX403">
        <v>0</v>
      </c>
      <c r="EZ403">
        <v>5</v>
      </c>
      <c r="FC403">
        <v>0</v>
      </c>
      <c r="FD403">
        <v>18</v>
      </c>
      <c r="FF403">
        <v>2222.2199999999998</v>
      </c>
      <c r="FQ403">
        <v>0</v>
      </c>
      <c r="FR403">
        <f t="shared" si="445"/>
        <v>0</v>
      </c>
      <c r="FS403">
        <v>0</v>
      </c>
      <c r="FX403">
        <v>0</v>
      </c>
      <c r="FY403">
        <v>0</v>
      </c>
      <c r="GA403" t="s">
        <v>409</v>
      </c>
      <c r="GD403">
        <v>1</v>
      </c>
      <c r="GF403">
        <v>231135007</v>
      </c>
      <c r="GG403">
        <v>2</v>
      </c>
      <c r="GH403">
        <v>3</v>
      </c>
      <c r="GI403">
        <v>5</v>
      </c>
      <c r="GJ403">
        <v>0</v>
      </c>
      <c r="GK403">
        <v>0</v>
      </c>
      <c r="GL403">
        <f t="shared" si="446"/>
        <v>0</v>
      </c>
      <c r="GM403" t="e">
        <f t="shared" si="447"/>
        <v>#REF!</v>
      </c>
      <c r="GN403">
        <f t="shared" si="448"/>
        <v>0</v>
      </c>
      <c r="GO403" t="e">
        <f t="shared" si="449"/>
        <v>#REF!</v>
      </c>
      <c r="GP403">
        <f t="shared" si="450"/>
        <v>0</v>
      </c>
      <c r="GR403">
        <v>1</v>
      </c>
      <c r="GS403">
        <v>1</v>
      </c>
      <c r="GT403">
        <v>0</v>
      </c>
      <c r="GU403" t="s">
        <v>6</v>
      </c>
      <c r="GV403">
        <f t="shared" si="451"/>
        <v>0</v>
      </c>
      <c r="GW403">
        <v>1</v>
      </c>
      <c r="GX403" t="e">
        <f t="shared" si="452"/>
        <v>#REF!</v>
      </c>
      <c r="HA403">
        <v>0</v>
      </c>
      <c r="HB403">
        <v>0</v>
      </c>
      <c r="HC403">
        <f t="shared" si="453"/>
        <v>0</v>
      </c>
      <c r="HE403" t="s">
        <v>39</v>
      </c>
      <c r="HF403" t="s">
        <v>40</v>
      </c>
      <c r="HM403" t="s">
        <v>6</v>
      </c>
      <c r="HN403" t="s">
        <v>6</v>
      </c>
      <c r="HO403" t="s">
        <v>6</v>
      </c>
      <c r="HP403" t="s">
        <v>6</v>
      </c>
      <c r="HQ403" t="s">
        <v>6</v>
      </c>
      <c r="IF403">
        <v>-1</v>
      </c>
      <c r="IK403">
        <v>0</v>
      </c>
    </row>
    <row r="404" spans="1:255" x14ac:dyDescent="0.2">
      <c r="A404" s="2">
        <v>17</v>
      </c>
      <c r="B404" s="2">
        <v>1</v>
      </c>
      <c r="C404" s="2">
        <f>ROW(SmtRes!A533)</f>
        <v>533</v>
      </c>
      <c r="D404" s="2">
        <f>ROW(EtalonRes!A449)</f>
        <v>449</v>
      </c>
      <c r="E404" s="2" t="s">
        <v>541</v>
      </c>
      <c r="F404" s="2" t="s">
        <v>411</v>
      </c>
      <c r="G404" s="2" t="s">
        <v>412</v>
      </c>
      <c r="H404" s="2" t="s">
        <v>396</v>
      </c>
      <c r="I404" s="2" t="e">
        <f>'2.Лок.смета.и.Акт'!#REF!</f>
        <v>#REF!</v>
      </c>
      <c r="J404" s="2">
        <v>0</v>
      </c>
      <c r="K404" s="2">
        <v>0.04</v>
      </c>
      <c r="L404" s="2"/>
      <c r="M404" s="2"/>
      <c r="N404" s="2"/>
      <c r="O404" s="2" t="e">
        <f t="shared" si="420"/>
        <v>#REF!</v>
      </c>
      <c r="P404" s="2" t="e">
        <f t="shared" si="421"/>
        <v>#REF!</v>
      </c>
      <c r="Q404" s="2" t="e">
        <f t="shared" si="422"/>
        <v>#REF!</v>
      </c>
      <c r="R404" s="2" t="e">
        <f t="shared" si="423"/>
        <v>#REF!</v>
      </c>
      <c r="S404" s="2" t="e">
        <f t="shared" si="424"/>
        <v>#REF!</v>
      </c>
      <c r="T404" s="2" t="e">
        <f t="shared" si="425"/>
        <v>#REF!</v>
      </c>
      <c r="U404" s="2" t="e">
        <f t="shared" si="426"/>
        <v>#REF!</v>
      </c>
      <c r="V404" s="2" t="e">
        <f t="shared" si="427"/>
        <v>#REF!</v>
      </c>
      <c r="W404" s="2" t="e">
        <f t="shared" si="428"/>
        <v>#REF!</v>
      </c>
      <c r="X404" s="2" t="e">
        <f t="shared" si="429"/>
        <v>#REF!</v>
      </c>
      <c r="Y404" s="2" t="e">
        <f t="shared" si="430"/>
        <v>#REF!</v>
      </c>
      <c r="Z404" s="2"/>
      <c r="AA404" s="2">
        <v>86326987</v>
      </c>
      <c r="AB404" s="2">
        <f t="shared" si="431"/>
        <v>122.5</v>
      </c>
      <c r="AC404" s="2">
        <f>ROUND(((ES404*14)),2)</f>
        <v>0</v>
      </c>
      <c r="AD404" s="2">
        <f>ROUND(((((ET404*14))-((EU404*14)))+AE404),2)</f>
        <v>23.8</v>
      </c>
      <c r="AE404" s="2">
        <f>ROUND(((EU404*14)),2)</f>
        <v>0</v>
      </c>
      <c r="AF404" s="2">
        <f>ROUND(((EV404*14)),2)</f>
        <v>98.7</v>
      </c>
      <c r="AG404" s="2">
        <f t="shared" si="433"/>
        <v>0</v>
      </c>
      <c r="AH404" s="2">
        <f>((EW404*14))</f>
        <v>11.479999999999999</v>
      </c>
      <c r="AI404" s="2">
        <f>((EX404*14))</f>
        <v>0</v>
      </c>
      <c r="AJ404" s="2">
        <f t="shared" si="435"/>
        <v>0</v>
      </c>
      <c r="AK404" s="2">
        <v>8.75</v>
      </c>
      <c r="AL404" s="2">
        <v>0</v>
      </c>
      <c r="AM404" s="2">
        <v>1.7</v>
      </c>
      <c r="AN404" s="2">
        <v>0</v>
      </c>
      <c r="AO404" s="2">
        <v>7.05</v>
      </c>
      <c r="AP404" s="2">
        <v>0</v>
      </c>
      <c r="AQ404" s="2">
        <v>0.82</v>
      </c>
      <c r="AR404" s="2">
        <v>0</v>
      </c>
      <c r="AS404" s="2">
        <v>0</v>
      </c>
      <c r="AT404" s="2">
        <v>110</v>
      </c>
      <c r="AU404" s="2">
        <v>70</v>
      </c>
      <c r="AV404" s="2">
        <v>1</v>
      </c>
      <c r="AW404" s="2">
        <v>1</v>
      </c>
      <c r="AX404" s="2"/>
      <c r="AY404" s="2"/>
      <c r="AZ404" s="2">
        <v>1</v>
      </c>
      <c r="BA404" s="2">
        <v>1</v>
      </c>
      <c r="BB404" s="2">
        <v>1</v>
      </c>
      <c r="BC404" s="2">
        <v>1</v>
      </c>
      <c r="BD404" s="2" t="s">
        <v>6</v>
      </c>
      <c r="BE404" s="2" t="s">
        <v>6</v>
      </c>
      <c r="BF404" s="2" t="s">
        <v>6</v>
      </c>
      <c r="BG404" s="2" t="s">
        <v>6</v>
      </c>
      <c r="BH404" s="2">
        <v>0</v>
      </c>
      <c r="BI404" s="2">
        <v>1</v>
      </c>
      <c r="BJ404" s="2" t="s">
        <v>413</v>
      </c>
      <c r="BK404" s="2"/>
      <c r="BL404" s="2"/>
      <c r="BM404" s="2">
        <v>46001</v>
      </c>
      <c r="BN404" s="2">
        <v>0</v>
      </c>
      <c r="BO404" s="2" t="s">
        <v>6</v>
      </c>
      <c r="BP404" s="2">
        <v>0</v>
      </c>
      <c r="BQ404" s="2">
        <v>9</v>
      </c>
      <c r="BR404" s="2">
        <v>0</v>
      </c>
      <c r="BS404" s="2">
        <v>1</v>
      </c>
      <c r="BT404" s="2">
        <v>1</v>
      </c>
      <c r="BU404" s="2">
        <v>1</v>
      </c>
      <c r="BV404" s="2">
        <v>1</v>
      </c>
      <c r="BW404" s="2">
        <v>1</v>
      </c>
      <c r="BX404" s="2">
        <v>1</v>
      </c>
      <c r="BY404" s="2" t="s">
        <v>6</v>
      </c>
      <c r="BZ404" s="2">
        <v>110</v>
      </c>
      <c r="CA404" s="2">
        <v>70</v>
      </c>
      <c r="CB404" s="2" t="s">
        <v>6</v>
      </c>
      <c r="CC404" s="2"/>
      <c r="CD404" s="2"/>
      <c r="CE404" s="2">
        <v>0</v>
      </c>
      <c r="CF404" s="2">
        <v>0</v>
      </c>
      <c r="CG404" s="2">
        <v>0</v>
      </c>
      <c r="CH404" s="2"/>
      <c r="CI404" s="2"/>
      <c r="CJ404" s="2"/>
      <c r="CK404" s="2"/>
      <c r="CL404" s="2"/>
      <c r="CM404" s="2">
        <v>0</v>
      </c>
      <c r="CN404" s="2" t="s">
        <v>6</v>
      </c>
      <c r="CO404" s="2">
        <v>0</v>
      </c>
      <c r="CP404" s="2" t="e">
        <f t="shared" si="436"/>
        <v>#REF!</v>
      </c>
      <c r="CQ404" s="2">
        <f t="shared" si="437"/>
        <v>0</v>
      </c>
      <c r="CR404" s="2">
        <f t="shared" si="438"/>
        <v>23.8</v>
      </c>
      <c r="CS404" s="2">
        <f t="shared" si="439"/>
        <v>0</v>
      </c>
      <c r="CT404" s="2">
        <f t="shared" si="440"/>
        <v>98.7</v>
      </c>
      <c r="CU404" s="2">
        <f t="shared" si="441"/>
        <v>0</v>
      </c>
      <c r="CV404" s="2">
        <f t="shared" si="442"/>
        <v>11.479999999999999</v>
      </c>
      <c r="CW404" s="2">
        <f t="shared" si="443"/>
        <v>0</v>
      </c>
      <c r="CX404" s="2">
        <f t="shared" si="444"/>
        <v>0</v>
      </c>
      <c r="CY404" s="2" t="e">
        <f>(((S404+(R404*IF(0,0,1)))*AT404)/100)</f>
        <v>#REF!</v>
      </c>
      <c r="CZ404" s="2" t="e">
        <f>(((S404+(R404*IF(0,0,1)))*AU404)/100)</f>
        <v>#REF!</v>
      </c>
      <c r="DA404" s="2"/>
      <c r="DB404" s="2"/>
      <c r="DC404" s="2" t="s">
        <v>6</v>
      </c>
      <c r="DD404" s="2" t="s">
        <v>542</v>
      </c>
      <c r="DE404" s="2" t="s">
        <v>542</v>
      </c>
      <c r="DF404" s="2" t="s">
        <v>542</v>
      </c>
      <c r="DG404" s="2" t="s">
        <v>542</v>
      </c>
      <c r="DH404" s="2" t="s">
        <v>6</v>
      </c>
      <c r="DI404" s="2" t="s">
        <v>542</v>
      </c>
      <c r="DJ404" s="2" t="s">
        <v>542</v>
      </c>
      <c r="DK404" s="2" t="s">
        <v>6</v>
      </c>
      <c r="DL404" s="2" t="s">
        <v>6</v>
      </c>
      <c r="DM404" s="2" t="s">
        <v>6</v>
      </c>
      <c r="DN404" s="2">
        <v>0</v>
      </c>
      <c r="DO404" s="2">
        <v>0</v>
      </c>
      <c r="DP404" s="2">
        <v>1</v>
      </c>
      <c r="DQ404" s="2">
        <v>1</v>
      </c>
      <c r="DR404" s="2"/>
      <c r="DS404" s="2"/>
      <c r="DT404" s="2"/>
      <c r="DU404" s="2">
        <v>1010</v>
      </c>
      <c r="DV404" s="2" t="s">
        <v>396</v>
      </c>
      <c r="DW404" s="2" t="s">
        <v>396</v>
      </c>
      <c r="DX404" s="2">
        <v>100</v>
      </c>
      <c r="DY404" s="2"/>
      <c r="DZ404" s="2" t="s">
        <v>6</v>
      </c>
      <c r="EA404" s="2" t="s">
        <v>6</v>
      </c>
      <c r="EB404" s="2" t="s">
        <v>6</v>
      </c>
      <c r="EC404" s="2" t="s">
        <v>6</v>
      </c>
      <c r="ED404" s="2"/>
      <c r="EE404" s="2">
        <v>54938666</v>
      </c>
      <c r="EF404" s="2">
        <v>9</v>
      </c>
      <c r="EG404" s="2" t="s">
        <v>398</v>
      </c>
      <c r="EH404" s="2">
        <v>0</v>
      </c>
      <c r="EI404" s="2" t="s">
        <v>6</v>
      </c>
      <c r="EJ404" s="2">
        <v>1</v>
      </c>
      <c r="EK404" s="2">
        <v>46001</v>
      </c>
      <c r="EL404" s="2" t="s">
        <v>398</v>
      </c>
      <c r="EM404" s="2" t="s">
        <v>399</v>
      </c>
      <c r="EN404" s="2"/>
      <c r="EO404" s="2" t="s">
        <v>6</v>
      </c>
      <c r="EP404" s="2"/>
      <c r="EQ404" s="2">
        <v>2097152</v>
      </c>
      <c r="ER404" s="2">
        <v>8.75</v>
      </c>
      <c r="ES404" s="2">
        <v>0</v>
      </c>
      <c r="ET404" s="2">
        <v>1.7</v>
      </c>
      <c r="EU404" s="2">
        <v>0</v>
      </c>
      <c r="EV404" s="2">
        <v>7.05</v>
      </c>
      <c r="EW404" s="2">
        <v>0.82</v>
      </c>
      <c r="EX404" s="2">
        <v>0</v>
      </c>
      <c r="EY404" s="2">
        <v>0</v>
      </c>
      <c r="EZ404" s="2"/>
      <c r="FA404" s="2"/>
      <c r="FB404" s="2"/>
      <c r="FC404" s="2"/>
      <c r="FD404" s="2"/>
      <c r="FE404" s="2"/>
      <c r="FF404" s="2"/>
      <c r="FG404" s="2"/>
      <c r="FH404" s="2"/>
      <c r="FI404" s="2"/>
      <c r="FJ404" s="2"/>
      <c r="FK404" s="2"/>
      <c r="FL404" s="2"/>
      <c r="FM404" s="2"/>
      <c r="FN404" s="2"/>
      <c r="FO404" s="2"/>
      <c r="FP404" s="2"/>
      <c r="FQ404" s="2">
        <v>0</v>
      </c>
      <c r="FR404" s="2">
        <f t="shared" si="445"/>
        <v>0</v>
      </c>
      <c r="FS404" s="2">
        <v>0</v>
      </c>
      <c r="FT404" s="2"/>
      <c r="FU404" s="2"/>
      <c r="FV404" s="2"/>
      <c r="FW404" s="2"/>
      <c r="FX404" s="2">
        <v>110</v>
      </c>
      <c r="FY404" s="2">
        <v>70</v>
      </c>
      <c r="FZ404" s="2"/>
      <c r="GA404" s="2" t="s">
        <v>6</v>
      </c>
      <c r="GB404" s="2"/>
      <c r="GC404" s="2"/>
      <c r="GD404" s="2">
        <v>1</v>
      </c>
      <c r="GE404" s="2"/>
      <c r="GF404" s="2">
        <v>1024512293</v>
      </c>
      <c r="GG404" s="2">
        <v>2</v>
      </c>
      <c r="GH404" s="2">
        <v>1</v>
      </c>
      <c r="GI404" s="2">
        <v>-2</v>
      </c>
      <c r="GJ404" s="2">
        <v>0</v>
      </c>
      <c r="GK404" s="2">
        <v>0</v>
      </c>
      <c r="GL404" s="2">
        <f t="shared" si="446"/>
        <v>0</v>
      </c>
      <c r="GM404" s="2" t="e">
        <f t="shared" si="447"/>
        <v>#REF!</v>
      </c>
      <c r="GN404" s="2" t="e">
        <f t="shared" si="448"/>
        <v>#REF!</v>
      </c>
      <c r="GO404" s="2">
        <f t="shared" si="449"/>
        <v>0</v>
      </c>
      <c r="GP404" s="2">
        <f t="shared" si="450"/>
        <v>0</v>
      </c>
      <c r="GQ404" s="2"/>
      <c r="GR404" s="2">
        <v>0</v>
      </c>
      <c r="GS404" s="2">
        <v>3</v>
      </c>
      <c r="GT404" s="2">
        <v>0</v>
      </c>
      <c r="GU404" s="2" t="s">
        <v>542</v>
      </c>
      <c r="GV404" s="2">
        <f>ROUND(((GT404*14)),2)</f>
        <v>0</v>
      </c>
      <c r="GW404" s="2">
        <v>1</v>
      </c>
      <c r="GX404" s="2" t="e">
        <f t="shared" si="452"/>
        <v>#REF!</v>
      </c>
      <c r="GY404" s="2"/>
      <c r="GZ404" s="2"/>
      <c r="HA404" s="2">
        <v>0</v>
      </c>
      <c r="HB404" s="2">
        <v>0</v>
      </c>
      <c r="HC404" s="2">
        <f t="shared" si="453"/>
        <v>0</v>
      </c>
      <c r="HD404" s="2"/>
      <c r="HE404" s="2" t="s">
        <v>6</v>
      </c>
      <c r="HF404" s="2" t="s">
        <v>6</v>
      </c>
      <c r="HG404" s="2"/>
      <c r="HH404" s="2"/>
      <c r="HI404" s="2"/>
      <c r="HJ404" s="2"/>
      <c r="HK404" s="2"/>
      <c r="HL404" s="2"/>
      <c r="HM404" s="2" t="s">
        <v>6</v>
      </c>
      <c r="HN404" s="2" t="s">
        <v>6</v>
      </c>
      <c r="HO404" s="2" t="s">
        <v>6</v>
      </c>
      <c r="HP404" s="2" t="s">
        <v>6</v>
      </c>
      <c r="HQ404" s="2" t="s">
        <v>6</v>
      </c>
      <c r="HR404" s="2"/>
      <c r="HS404" s="2"/>
      <c r="HT404" s="2"/>
      <c r="HU404" s="2"/>
      <c r="HV404" s="2"/>
      <c r="HW404" s="2"/>
      <c r="HX404" s="2"/>
      <c r="HY404" s="2"/>
      <c r="HZ404" s="2"/>
      <c r="IA404" s="2"/>
      <c r="IB404" s="2"/>
      <c r="IC404" s="2"/>
      <c r="ID404" s="2"/>
      <c r="IE404" s="2"/>
      <c r="IF404" s="2">
        <v>-1</v>
      </c>
      <c r="IG404" s="2"/>
      <c r="IH404" s="2"/>
      <c r="II404" s="2"/>
      <c r="IJ404" s="2"/>
      <c r="IK404" s="2">
        <v>0</v>
      </c>
      <c r="IL404" s="2"/>
      <c r="IM404" s="2"/>
      <c r="IN404" s="2"/>
      <c r="IO404" s="2"/>
      <c r="IP404" s="2"/>
      <c r="IQ404" s="2"/>
      <c r="IR404" s="2"/>
      <c r="IS404" s="2"/>
      <c r="IT404" s="2"/>
      <c r="IU404" s="2"/>
    </row>
    <row r="405" spans="1:255" x14ac:dyDescent="0.2">
      <c r="A405">
        <v>17</v>
      </c>
      <c r="B405">
        <v>1</v>
      </c>
      <c r="C405">
        <f>ROW(SmtRes!A536)</f>
        <v>536</v>
      </c>
      <c r="D405">
        <f>ROW(EtalonRes!A454)</f>
        <v>454</v>
      </c>
      <c r="E405" t="s">
        <v>541</v>
      </c>
      <c r="F405" t="s">
        <v>411</v>
      </c>
      <c r="G405" t="s">
        <v>412</v>
      </c>
      <c r="H405" t="s">
        <v>396</v>
      </c>
      <c r="I405" t="e">
        <f>'2.Лок.смета.и.Акт'!#REF!</f>
        <v>#REF!</v>
      </c>
      <c r="J405">
        <v>0</v>
      </c>
      <c r="K405">
        <v>0.04</v>
      </c>
      <c r="O405" t="e">
        <f t="shared" si="420"/>
        <v>#REF!</v>
      </c>
      <c r="P405" t="e">
        <f t="shared" si="421"/>
        <v>#REF!</v>
      </c>
      <c r="Q405" t="e">
        <f t="shared" si="422"/>
        <v>#REF!</v>
      </c>
      <c r="R405" t="e">
        <f t="shared" si="423"/>
        <v>#REF!</v>
      </c>
      <c r="S405" t="e">
        <f t="shared" si="424"/>
        <v>#REF!</v>
      </c>
      <c r="T405" t="e">
        <f t="shared" si="425"/>
        <v>#REF!</v>
      </c>
      <c r="U405" t="e">
        <f t="shared" si="426"/>
        <v>#REF!</v>
      </c>
      <c r="V405" t="e">
        <f t="shared" si="427"/>
        <v>#REF!</v>
      </c>
      <c r="W405" t="e">
        <f t="shared" si="428"/>
        <v>#REF!</v>
      </c>
      <c r="X405" t="e">
        <f t="shared" si="429"/>
        <v>#REF!</v>
      </c>
      <c r="Y405" t="e">
        <f t="shared" si="430"/>
        <v>#REF!</v>
      </c>
      <c r="AA405">
        <v>86326988</v>
      </c>
      <c r="AB405">
        <f t="shared" si="431"/>
        <v>122.5</v>
      </c>
      <c r="AC405">
        <f>ROUND(((ES405*14)),2)</f>
        <v>0</v>
      </c>
      <c r="AD405">
        <f>ROUND(((((ET405*14))-((EU405*14)))+AE405),2)</f>
        <v>23.8</v>
      </c>
      <c r="AE405">
        <f>ROUND(((EU405*14)),2)</f>
        <v>0</v>
      </c>
      <c r="AF405">
        <f>ROUND(((EV405*14)),2)</f>
        <v>98.7</v>
      </c>
      <c r="AG405">
        <f t="shared" si="433"/>
        <v>0</v>
      </c>
      <c r="AH405" t="e">
        <f>((EW405*14))</f>
        <v>#REF!</v>
      </c>
      <c r="AI405">
        <f>((EX405*14))</f>
        <v>0</v>
      </c>
      <c r="AJ405">
        <f t="shared" si="435"/>
        <v>0</v>
      </c>
      <c r="AK405">
        <f>AL405+AM405+AO405</f>
        <v>8.75</v>
      </c>
      <c r="AL405">
        <v>0</v>
      </c>
      <c r="AM405" s="75">
        <f>'1.Лок.смета.и.Акт'!F750</f>
        <v>1.7</v>
      </c>
      <c r="AN405">
        <v>0</v>
      </c>
      <c r="AO405" s="75">
        <f>'1.Лок.смета.и.Акт'!F749</f>
        <v>7.05</v>
      </c>
      <c r="AP405">
        <v>0</v>
      </c>
      <c r="AQ405" t="e">
        <f>'2.Лок.смета.и.Акт'!#REF!</f>
        <v>#REF!</v>
      </c>
      <c r="AR405">
        <v>0</v>
      </c>
      <c r="AS405">
        <v>0</v>
      </c>
      <c r="AT405">
        <v>105</v>
      </c>
      <c r="AU405">
        <v>60</v>
      </c>
      <c r="AV405">
        <v>1</v>
      </c>
      <c r="AW405">
        <v>1</v>
      </c>
      <c r="AZ405">
        <v>1</v>
      </c>
      <c r="BA405">
        <f>'1.Лок.смета.и.Акт'!J749</f>
        <v>25.36</v>
      </c>
      <c r="BB405">
        <f>'1.Лок.смета.и.Акт'!J750</f>
        <v>7.84</v>
      </c>
      <c r="BC405">
        <v>7.56</v>
      </c>
      <c r="BD405" t="s">
        <v>6</v>
      </c>
      <c r="BE405" t="s">
        <v>6</v>
      </c>
      <c r="BF405" t="s">
        <v>6</v>
      </c>
      <c r="BG405" t="s">
        <v>6</v>
      </c>
      <c r="BH405">
        <v>0</v>
      </c>
      <c r="BI405">
        <v>1</v>
      </c>
      <c r="BJ405" t="s">
        <v>413</v>
      </c>
      <c r="BM405">
        <v>46001</v>
      </c>
      <c r="BN405">
        <v>0</v>
      </c>
      <c r="BO405" t="s">
        <v>411</v>
      </c>
      <c r="BP405">
        <v>1</v>
      </c>
      <c r="BQ405">
        <v>9</v>
      </c>
      <c r="BR405">
        <v>0</v>
      </c>
      <c r="BS405">
        <v>19.8</v>
      </c>
      <c r="BT405">
        <v>1</v>
      </c>
      <c r="BU405">
        <v>1</v>
      </c>
      <c r="BV405">
        <v>1</v>
      </c>
      <c r="BW405">
        <v>1</v>
      </c>
      <c r="BX405">
        <v>1</v>
      </c>
      <c r="BY405" t="s">
        <v>6</v>
      </c>
      <c r="BZ405" t="e">
        <f>'2.Лок.смета.и.Акт'!#REF!</f>
        <v>#REF!</v>
      </c>
      <c r="CA405" t="e">
        <f>'2.Лок.смета.и.Акт'!#REF!</f>
        <v>#REF!</v>
      </c>
      <c r="CB405" t="s">
        <v>6</v>
      </c>
      <c r="CE405">
        <v>0</v>
      </c>
      <c r="CF405">
        <v>0</v>
      </c>
      <c r="CG405">
        <v>0</v>
      </c>
      <c r="CM405">
        <v>0</v>
      </c>
      <c r="CN405" t="s">
        <v>6</v>
      </c>
      <c r="CO405">
        <v>0</v>
      </c>
      <c r="CP405" t="e">
        <f t="shared" si="436"/>
        <v>#REF!</v>
      </c>
      <c r="CQ405">
        <f t="shared" si="437"/>
        <v>0</v>
      </c>
      <c r="CR405">
        <f t="shared" si="438"/>
        <v>186.59200000000001</v>
      </c>
      <c r="CS405">
        <f t="shared" si="439"/>
        <v>0</v>
      </c>
      <c r="CT405">
        <f t="shared" si="440"/>
        <v>2503.0320000000002</v>
      </c>
      <c r="CU405">
        <f t="shared" si="441"/>
        <v>0</v>
      </c>
      <c r="CV405" t="e">
        <f t="shared" si="442"/>
        <v>#REF!</v>
      </c>
      <c r="CW405">
        <f t="shared" si="443"/>
        <v>0</v>
      </c>
      <c r="CX405">
        <f t="shared" si="444"/>
        <v>0</v>
      </c>
      <c r="CY405" t="e">
        <f>(S405+R405)*(BZ405/100)</f>
        <v>#REF!</v>
      </c>
      <c r="CZ405" t="e">
        <f>(S405+R405)*(CA405/100)</f>
        <v>#REF!</v>
      </c>
      <c r="DC405" t="s">
        <v>6</v>
      </c>
      <c r="DD405" t="s">
        <v>542</v>
      </c>
      <c r="DE405" t="s">
        <v>542</v>
      </c>
      <c r="DF405" t="s">
        <v>542</v>
      </c>
      <c r="DG405" t="s">
        <v>542</v>
      </c>
      <c r="DH405" t="s">
        <v>6</v>
      </c>
      <c r="DI405" t="s">
        <v>542</v>
      </c>
      <c r="DJ405" t="s">
        <v>542</v>
      </c>
      <c r="DK405" t="s">
        <v>6</v>
      </c>
      <c r="DL405" t="s">
        <v>6</v>
      </c>
      <c r="DM405" t="s">
        <v>6</v>
      </c>
      <c r="DN405">
        <f>'1.Лок.смета.и.Акт'!E751</f>
        <v>110</v>
      </c>
      <c r="DO405">
        <f>'1.Лок.смета.и.Акт'!E752</f>
        <v>70</v>
      </c>
      <c r="DP405">
        <v>1</v>
      </c>
      <c r="DQ405">
        <v>1</v>
      </c>
      <c r="DU405">
        <v>1010</v>
      </c>
      <c r="DV405" t="s">
        <v>396</v>
      </c>
      <c r="DW405" t="e">
        <f>'2.Лок.смета.и.Акт'!#REF!</f>
        <v>#REF!</v>
      </c>
      <c r="DX405">
        <v>100</v>
      </c>
      <c r="DZ405" t="s">
        <v>6</v>
      </c>
      <c r="EA405" t="s">
        <v>6</v>
      </c>
      <c r="EB405" t="s">
        <v>6</v>
      </c>
      <c r="EC405" t="s">
        <v>6</v>
      </c>
      <c r="EE405">
        <v>54938666</v>
      </c>
      <c r="EF405">
        <v>9</v>
      </c>
      <c r="EG405" t="s">
        <v>398</v>
      </c>
      <c r="EH405">
        <v>0</v>
      </c>
      <c r="EI405" t="s">
        <v>6</v>
      </c>
      <c r="EJ405">
        <v>1</v>
      </c>
      <c r="EK405">
        <v>46001</v>
      </c>
      <c r="EL405" t="s">
        <v>398</v>
      </c>
      <c r="EM405" t="s">
        <v>399</v>
      </c>
      <c r="EO405" t="s">
        <v>6</v>
      </c>
      <c r="EQ405">
        <v>2097152</v>
      </c>
      <c r="ER405">
        <f>ES405+ET405+EV405</f>
        <v>8.75</v>
      </c>
      <c r="ES405">
        <v>0</v>
      </c>
      <c r="ET405" s="75">
        <f>'1.Лок.смета.и.Акт'!F750</f>
        <v>1.7</v>
      </c>
      <c r="EU405">
        <v>0</v>
      </c>
      <c r="EV405" s="75">
        <f>'1.Лок.смета.и.Акт'!F749</f>
        <v>7.05</v>
      </c>
      <c r="EW405" t="e">
        <f>'2.Лок.смета.и.Акт'!#REF!</f>
        <v>#REF!</v>
      </c>
      <c r="EX405">
        <v>0</v>
      </c>
      <c r="EY405">
        <v>0</v>
      </c>
      <c r="FQ405">
        <v>0</v>
      </c>
      <c r="FR405">
        <f t="shared" si="445"/>
        <v>0</v>
      </c>
      <c r="FS405">
        <v>0</v>
      </c>
      <c r="FX405">
        <v>110</v>
      </c>
      <c r="FY405">
        <v>70</v>
      </c>
      <c r="GA405" t="s">
        <v>6</v>
      </c>
      <c r="GD405">
        <v>1</v>
      </c>
      <c r="GF405">
        <v>1024512293</v>
      </c>
      <c r="GG405">
        <v>2</v>
      </c>
      <c r="GH405">
        <v>1</v>
      </c>
      <c r="GI405">
        <v>2</v>
      </c>
      <c r="GJ405">
        <v>0</v>
      </c>
      <c r="GK405">
        <v>0</v>
      </c>
      <c r="GL405">
        <f t="shared" si="446"/>
        <v>0</v>
      </c>
      <c r="GM405" t="e">
        <f t="shared" si="447"/>
        <v>#REF!</v>
      </c>
      <c r="GN405" t="e">
        <f t="shared" si="448"/>
        <v>#REF!</v>
      </c>
      <c r="GO405">
        <f t="shared" si="449"/>
        <v>0</v>
      </c>
      <c r="GP405">
        <f t="shared" si="450"/>
        <v>0</v>
      </c>
      <c r="GR405">
        <v>0</v>
      </c>
      <c r="GS405">
        <v>3</v>
      </c>
      <c r="GT405">
        <v>0</v>
      </c>
      <c r="GU405" t="s">
        <v>542</v>
      </c>
      <c r="GV405">
        <f>ROUND(((GT405*14)),2)</f>
        <v>0</v>
      </c>
      <c r="GW405">
        <v>1015.2</v>
      </c>
      <c r="GX405" t="e">
        <f t="shared" si="452"/>
        <v>#REF!</v>
      </c>
      <c r="HA405">
        <v>0</v>
      </c>
      <c r="HB405">
        <v>0</v>
      </c>
      <c r="HC405">
        <f t="shared" si="453"/>
        <v>0</v>
      </c>
      <c r="HE405" t="s">
        <v>6</v>
      </c>
      <c r="HF405" t="s">
        <v>6</v>
      </c>
      <c r="HM405" t="s">
        <v>6</v>
      </c>
      <c r="HN405" t="s">
        <v>6</v>
      </c>
      <c r="HO405" t="s">
        <v>6</v>
      </c>
      <c r="HP405" t="s">
        <v>6</v>
      </c>
      <c r="HQ405" t="s">
        <v>6</v>
      </c>
      <c r="IF405">
        <v>-1</v>
      </c>
      <c r="IK405">
        <v>0</v>
      </c>
    </row>
    <row r="406" spans="1:255" x14ac:dyDescent="0.2">
      <c r="IF406">
        <v>-1</v>
      </c>
    </row>
    <row r="407" spans="1:255" x14ac:dyDescent="0.2">
      <c r="A407" s="3">
        <v>51</v>
      </c>
      <c r="B407" s="3">
        <f>B312</f>
        <v>1</v>
      </c>
      <c r="C407" s="3">
        <f>A312</f>
        <v>4</v>
      </c>
      <c r="D407" s="3">
        <f>ROW(A312)</f>
        <v>312</v>
      </c>
      <c r="E407" s="3"/>
      <c r="F407" s="3" t="str">
        <f>IF(F312&lt;&gt;"",F312,"")</f>
        <v>Перекрытие,  балки 17-20 этажи</v>
      </c>
      <c r="G407" s="3" t="str">
        <f>IF(G312&lt;&gt;"",G312,"")</f>
        <v>Перекрытие,  балки 17-20 этажи</v>
      </c>
      <c r="H407" s="3">
        <v>0</v>
      </c>
      <c r="I407" s="3"/>
      <c r="J407" s="3"/>
      <c r="K407" s="3"/>
      <c r="L407" s="3"/>
      <c r="M407" s="3"/>
      <c r="N407" s="3"/>
      <c r="O407" s="3" t="e">
        <f t="shared" ref="O407:T407" si="457">ROUND(AB407,0)</f>
        <v>#REF!</v>
      </c>
      <c r="P407" s="3" t="e">
        <f t="shared" si="457"/>
        <v>#REF!</v>
      </c>
      <c r="Q407" s="3" t="e">
        <f t="shared" si="457"/>
        <v>#REF!</v>
      </c>
      <c r="R407" s="3" t="e">
        <f t="shared" si="457"/>
        <v>#REF!</v>
      </c>
      <c r="S407" s="3" t="e">
        <f t="shared" si="457"/>
        <v>#REF!</v>
      </c>
      <c r="T407" s="3" t="e">
        <f t="shared" si="457"/>
        <v>#REF!</v>
      </c>
      <c r="U407" s="3" t="e">
        <f>AH407</f>
        <v>#REF!</v>
      </c>
      <c r="V407" s="3" t="e">
        <f>AI407</f>
        <v>#REF!</v>
      </c>
      <c r="W407" s="3" t="e">
        <f>ROUND(AJ407,0)</f>
        <v>#REF!</v>
      </c>
      <c r="X407" s="3" t="e">
        <f>ROUND(AK407,0)</f>
        <v>#REF!</v>
      </c>
      <c r="Y407" s="3" t="e">
        <f>ROUND(AL407,0)</f>
        <v>#REF!</v>
      </c>
      <c r="Z407" s="3"/>
      <c r="AA407" s="3"/>
      <c r="AB407" s="3" t="e">
        <f>ROUND(SUMIF(AA316:AA405,"=86326987",O316:O405),0)</f>
        <v>#REF!</v>
      </c>
      <c r="AC407" s="3" t="e">
        <f>ROUND(SUMIF(AA316:AA405,"=86326987",P316:P405),0)</f>
        <v>#REF!</v>
      </c>
      <c r="AD407" s="3" t="e">
        <f>ROUND(SUMIF(AA316:AA405,"=86326987",Q316:Q405),0)</f>
        <v>#REF!</v>
      </c>
      <c r="AE407" s="3" t="e">
        <f>ROUND(SUMIF(AA316:AA405,"=86326987",R316:R405),0)</f>
        <v>#REF!</v>
      </c>
      <c r="AF407" s="3" t="e">
        <f>ROUND(SUMIF(AA316:AA405,"=86326987",S316:S405),0)</f>
        <v>#REF!</v>
      </c>
      <c r="AG407" s="3" t="e">
        <f>ROUND(SUMIF(AA316:AA405,"=86326987",T316:T405),0)</f>
        <v>#REF!</v>
      </c>
      <c r="AH407" s="3" t="e">
        <f>SUMIF(AA316:AA405,"=86326987",U316:U405)</f>
        <v>#REF!</v>
      </c>
      <c r="AI407" s="3" t="e">
        <f>SUMIF(AA316:AA405,"=86326987",V316:V405)</f>
        <v>#REF!</v>
      </c>
      <c r="AJ407" s="3" t="e">
        <f>ROUND(SUMIF(AA316:AA405,"=86326987",W316:W405),0)</f>
        <v>#REF!</v>
      </c>
      <c r="AK407" s="3" t="e">
        <f>ROUND(SUMIF(AA316:AA405,"=86326987",X316:X405),0)</f>
        <v>#REF!</v>
      </c>
      <c r="AL407" s="3" t="e">
        <f>ROUND(SUMIF(AA316:AA405,"=86326987",Y316:Y405),0)</f>
        <v>#REF!</v>
      </c>
      <c r="AM407" s="3"/>
      <c r="AN407" s="3"/>
      <c r="AO407" s="3">
        <f t="shared" ref="AO407:BD407" si="458">ROUND(BX407,0)</f>
        <v>0</v>
      </c>
      <c r="AP407" s="3">
        <f t="shared" si="458"/>
        <v>0</v>
      </c>
      <c r="AQ407" s="3">
        <f t="shared" si="458"/>
        <v>0</v>
      </c>
      <c r="AR407" s="3" t="e">
        <f t="shared" si="458"/>
        <v>#REF!</v>
      </c>
      <c r="AS407" s="3" t="e">
        <f t="shared" si="458"/>
        <v>#REF!</v>
      </c>
      <c r="AT407" s="3" t="e">
        <f t="shared" si="458"/>
        <v>#REF!</v>
      </c>
      <c r="AU407" s="3">
        <f t="shared" si="458"/>
        <v>0</v>
      </c>
      <c r="AV407" s="3" t="e">
        <f t="shared" si="458"/>
        <v>#REF!</v>
      </c>
      <c r="AW407" s="3" t="e">
        <f t="shared" si="458"/>
        <v>#REF!</v>
      </c>
      <c r="AX407" s="3">
        <f t="shared" si="458"/>
        <v>0</v>
      </c>
      <c r="AY407" s="3" t="e">
        <f t="shared" si="458"/>
        <v>#REF!</v>
      </c>
      <c r="AZ407" s="3">
        <f t="shared" si="458"/>
        <v>0</v>
      </c>
      <c r="BA407" s="3" t="e">
        <f t="shared" si="458"/>
        <v>#REF!</v>
      </c>
      <c r="BB407" s="3">
        <f t="shared" si="458"/>
        <v>0</v>
      </c>
      <c r="BC407" s="3">
        <f t="shared" si="458"/>
        <v>0</v>
      </c>
      <c r="BD407" s="3">
        <f t="shared" si="458"/>
        <v>0</v>
      </c>
      <c r="BE407" s="3"/>
      <c r="BF407" s="3"/>
      <c r="BG407" s="3"/>
      <c r="BH407" s="3"/>
      <c r="BI407" s="3"/>
      <c r="BJ407" s="3"/>
      <c r="BK407" s="3"/>
      <c r="BL407" s="3"/>
      <c r="BM407" s="3"/>
      <c r="BN407" s="3"/>
      <c r="BO407" s="3"/>
      <c r="BP407" s="3"/>
      <c r="BQ407" s="3"/>
      <c r="BR407" s="3"/>
      <c r="BS407" s="3"/>
      <c r="BT407" s="3"/>
      <c r="BU407" s="3"/>
      <c r="BV407" s="3"/>
      <c r="BW407" s="3"/>
      <c r="BX407" s="3">
        <f>ROUND(SUMIF(AA316:AA405,"=86326987",FQ316:FQ405),0)</f>
        <v>0</v>
      </c>
      <c r="BY407" s="3">
        <f>ROUND(SUMIF(AA316:AA405,"=86326987",FR316:FR405),0)</f>
        <v>0</v>
      </c>
      <c r="BZ407" s="3">
        <f>ROUND(SUMIF(AA316:AA405,"=86326987",GL316:GL405),0)</f>
        <v>0</v>
      </c>
      <c r="CA407" s="3" t="e">
        <f>ROUND(SUMIF(AA316:AA405,"=86326987",GM316:GM405),0)</f>
        <v>#REF!</v>
      </c>
      <c r="CB407" s="3" t="e">
        <f>ROUND(SUMIF(AA316:AA405,"=86326987",GN316:GN405),0)</f>
        <v>#REF!</v>
      </c>
      <c r="CC407" s="3" t="e">
        <f>ROUND(SUMIF(AA316:AA405,"=86326987",GO316:GO405),0)</f>
        <v>#REF!</v>
      </c>
      <c r="CD407" s="3">
        <f>ROUND(SUMIF(AA316:AA405,"=86326987",GP316:GP405),0)</f>
        <v>0</v>
      </c>
      <c r="CE407" s="3" t="e">
        <f>AC407-BX407</f>
        <v>#REF!</v>
      </c>
      <c r="CF407" s="3" t="e">
        <f>AC407-BY407</f>
        <v>#REF!</v>
      </c>
      <c r="CG407" s="3">
        <f>BX407-BZ407</f>
        <v>0</v>
      </c>
      <c r="CH407" s="3" t="e">
        <f>AC407-BX407-BY407+BZ407</f>
        <v>#REF!</v>
      </c>
      <c r="CI407" s="3">
        <f>BY407-BZ407</f>
        <v>0</v>
      </c>
      <c r="CJ407" s="3" t="e">
        <f>ROUND(SUMIF(AA316:AA405,"=86326987",GX316:GX405),0)</f>
        <v>#REF!</v>
      </c>
      <c r="CK407" s="3">
        <f>ROUND(SUMIF(AA316:AA405,"=86326987",GY316:GY405),0)</f>
        <v>0</v>
      </c>
      <c r="CL407" s="3">
        <f>ROUND(SUMIF(AA316:AA405,"=86326987",GZ316:GZ405),0)</f>
        <v>0</v>
      </c>
      <c r="CM407" s="3">
        <f>ROUND(SUMIF(AA316:AA405,"=86326987",HD316:HD405),0)</f>
        <v>0</v>
      </c>
      <c r="CN407" s="3"/>
      <c r="CO407" s="3"/>
      <c r="CP407" s="3"/>
      <c r="CQ407" s="3"/>
      <c r="CR407" s="3"/>
      <c r="CS407" s="3"/>
      <c r="CT407" s="3"/>
      <c r="CU407" s="3"/>
      <c r="CV407" s="3"/>
      <c r="CW407" s="3"/>
      <c r="CX407" s="3"/>
      <c r="CY407" s="3"/>
      <c r="CZ407" s="3"/>
      <c r="DA407" s="3"/>
      <c r="DB407" s="3"/>
      <c r="DC407" s="3"/>
      <c r="DD407" s="3"/>
      <c r="DE407" s="3"/>
      <c r="DF407" s="3"/>
      <c r="DG407" s="4" t="e">
        <f t="shared" ref="DG407:DL407" si="459">ROUND(DT407,0)</f>
        <v>#REF!</v>
      </c>
      <c r="DH407" s="4" t="e">
        <f t="shared" si="459"/>
        <v>#REF!</v>
      </c>
      <c r="DI407" s="4" t="e">
        <f t="shared" si="459"/>
        <v>#REF!</v>
      </c>
      <c r="DJ407" s="4" t="e">
        <f t="shared" si="459"/>
        <v>#REF!</v>
      </c>
      <c r="DK407" s="4" t="e">
        <f t="shared" si="459"/>
        <v>#REF!</v>
      </c>
      <c r="DL407" s="4" t="e">
        <f t="shared" si="459"/>
        <v>#REF!</v>
      </c>
      <c r="DM407" s="4" t="e">
        <f>DZ407</f>
        <v>#REF!</v>
      </c>
      <c r="DN407" s="4" t="e">
        <f>EA407</f>
        <v>#REF!</v>
      </c>
      <c r="DO407" s="4" t="e">
        <f>ROUND(EB407,0)</f>
        <v>#REF!</v>
      </c>
      <c r="DP407" s="4" t="e">
        <f>ROUND(EC407,0)</f>
        <v>#REF!</v>
      </c>
      <c r="DQ407" s="4" t="e">
        <f>ROUND(ED407,0)</f>
        <v>#REF!</v>
      </c>
      <c r="DR407" s="4"/>
      <c r="DS407" s="4"/>
      <c r="DT407" s="4" t="e">
        <f>ROUND(SUMIF(AA316:AA405,"=86326988",O316:O405),0)</f>
        <v>#REF!</v>
      </c>
      <c r="DU407" s="4" t="e">
        <f>ROUND(SUMIF(AA316:AA405,"=86326988",P316:P405),0)</f>
        <v>#REF!</v>
      </c>
      <c r="DV407" s="4" t="e">
        <f>ROUND(SUMIF(AA316:AA405,"=86326988",Q316:Q405),0)</f>
        <v>#REF!</v>
      </c>
      <c r="DW407" s="4" t="e">
        <f>ROUND(SUMIF(AA316:AA405,"=86326988",R316:R405),0)</f>
        <v>#REF!</v>
      </c>
      <c r="DX407" s="4" t="e">
        <f>ROUND(SUMIF(AA316:AA405,"=86326988",S316:S405),0)</f>
        <v>#REF!</v>
      </c>
      <c r="DY407" s="4" t="e">
        <f>ROUND(SUMIF(AA316:AA405,"=86326988",T316:T405),0)</f>
        <v>#REF!</v>
      </c>
      <c r="DZ407" s="4" t="e">
        <f>SUMIF(AA316:AA405,"=86326988",U316:U405)</f>
        <v>#REF!</v>
      </c>
      <c r="EA407" s="4" t="e">
        <f>SUMIF(AA316:AA405,"=86326988",V316:V405)</f>
        <v>#REF!</v>
      </c>
      <c r="EB407" s="4" t="e">
        <f>ROUND(SUMIF(AA316:AA405,"=86326988",W316:W405),0)</f>
        <v>#REF!</v>
      </c>
      <c r="EC407" s="4" t="e">
        <f>ROUND(SUMIF(AA316:AA405,"=86326988",X316:X405),0)</f>
        <v>#REF!</v>
      </c>
      <c r="ED407" s="4" t="e">
        <f>ROUND(SUMIF(AA316:AA405,"=86326988",Y316:Y405),0)</f>
        <v>#REF!</v>
      </c>
      <c r="EE407" s="4"/>
      <c r="EF407" s="4"/>
      <c r="EG407" s="4">
        <f t="shared" ref="EG407:EV407" si="460">ROUND(FP407,0)</f>
        <v>0</v>
      </c>
      <c r="EH407" s="4">
        <f t="shared" si="460"/>
        <v>0</v>
      </c>
      <c r="EI407" s="4">
        <f t="shared" si="460"/>
        <v>0</v>
      </c>
      <c r="EJ407" s="4" t="e">
        <f t="shared" si="460"/>
        <v>#REF!</v>
      </c>
      <c r="EK407" s="4" t="e">
        <f t="shared" si="460"/>
        <v>#REF!</v>
      </c>
      <c r="EL407" s="4" t="e">
        <f t="shared" si="460"/>
        <v>#REF!</v>
      </c>
      <c r="EM407" s="4">
        <f t="shared" si="460"/>
        <v>0</v>
      </c>
      <c r="EN407" s="4" t="e">
        <f t="shared" si="460"/>
        <v>#REF!</v>
      </c>
      <c r="EO407" s="4" t="e">
        <f t="shared" si="460"/>
        <v>#REF!</v>
      </c>
      <c r="EP407" s="4">
        <f t="shared" si="460"/>
        <v>0</v>
      </c>
      <c r="EQ407" s="4" t="e">
        <f t="shared" si="460"/>
        <v>#REF!</v>
      </c>
      <c r="ER407" s="4">
        <f t="shared" si="460"/>
        <v>0</v>
      </c>
      <c r="ES407" s="4" t="e">
        <f t="shared" si="460"/>
        <v>#REF!</v>
      </c>
      <c r="ET407" s="4">
        <f t="shared" si="460"/>
        <v>0</v>
      </c>
      <c r="EU407" s="4">
        <f t="shared" si="460"/>
        <v>0</v>
      </c>
      <c r="EV407" s="4">
        <f t="shared" si="460"/>
        <v>0</v>
      </c>
      <c r="EW407" s="4"/>
      <c r="EX407" s="4"/>
      <c r="EY407" s="4"/>
      <c r="EZ407" s="4"/>
      <c r="FA407" s="4"/>
      <c r="FB407" s="4"/>
      <c r="FC407" s="4"/>
      <c r="FD407" s="4"/>
      <c r="FE407" s="4"/>
      <c r="FF407" s="4"/>
      <c r="FG407" s="4"/>
      <c r="FH407" s="4"/>
      <c r="FI407" s="4"/>
      <c r="FJ407" s="4"/>
      <c r="FK407" s="4"/>
      <c r="FL407" s="4"/>
      <c r="FM407" s="4"/>
      <c r="FN407" s="4"/>
      <c r="FO407" s="4"/>
      <c r="FP407" s="4">
        <f>ROUND(SUMIF(AA316:AA405,"=86326988",FQ316:FQ405),0)</f>
        <v>0</v>
      </c>
      <c r="FQ407" s="4">
        <f>ROUND(SUMIF(AA316:AA405,"=86326988",FR316:FR405),0)</f>
        <v>0</v>
      </c>
      <c r="FR407" s="4">
        <f>ROUND(SUMIF(AA316:AA405,"=86326988",GL316:GL405),0)</f>
        <v>0</v>
      </c>
      <c r="FS407" s="4" t="e">
        <f>ROUND(SUMIF(AA316:AA405,"=86326988",GM316:GM405),0)</f>
        <v>#REF!</v>
      </c>
      <c r="FT407" s="4" t="e">
        <f>ROUND(SUMIF(AA316:AA405,"=86326988",GN316:GN405),0)</f>
        <v>#REF!</v>
      </c>
      <c r="FU407" s="4" t="e">
        <f>ROUND(SUMIF(AA316:AA405,"=86326988",GO316:GO405),0)</f>
        <v>#REF!</v>
      </c>
      <c r="FV407" s="4">
        <f>ROUND(SUMIF(AA316:AA405,"=86326988",GP316:GP405),0)</f>
        <v>0</v>
      </c>
      <c r="FW407" s="4" t="e">
        <f>DU407-FP407</f>
        <v>#REF!</v>
      </c>
      <c r="FX407" s="4" t="e">
        <f>DU407-FQ407</f>
        <v>#REF!</v>
      </c>
      <c r="FY407" s="4">
        <f>FP407-FR407</f>
        <v>0</v>
      </c>
      <c r="FZ407" s="4" t="e">
        <f>DU407-FP407-FQ407+FR407</f>
        <v>#REF!</v>
      </c>
      <c r="GA407" s="4">
        <f>FQ407-FR407</f>
        <v>0</v>
      </c>
      <c r="GB407" s="4" t="e">
        <f>ROUND(SUMIF(AA316:AA405,"=86326988",GX316:GX405),0)</f>
        <v>#REF!</v>
      </c>
      <c r="GC407" s="4">
        <f>ROUND(SUMIF(AA316:AA405,"=86326988",GY316:GY405),0)</f>
        <v>0</v>
      </c>
      <c r="GD407" s="4">
        <f>ROUND(SUMIF(AA316:AA405,"=86326988",GZ316:GZ405),0)</f>
        <v>0</v>
      </c>
      <c r="GE407" s="4">
        <f>ROUND(SUMIF(AA316:AA405,"=86326988",HD316:HD405),0)</f>
        <v>0</v>
      </c>
      <c r="GF407" s="4"/>
      <c r="GG407" s="4"/>
      <c r="GH407" s="4"/>
      <c r="GI407" s="4"/>
      <c r="GJ407" s="4"/>
      <c r="GK407" s="4"/>
      <c r="GL407" s="4"/>
      <c r="GM407" s="4"/>
      <c r="GN407" s="4"/>
      <c r="GO407" s="4"/>
      <c r="GP407" s="4"/>
      <c r="GQ407" s="4"/>
      <c r="GR407" s="4"/>
      <c r="GS407" s="4"/>
      <c r="GT407" s="4"/>
      <c r="GU407" s="4"/>
      <c r="GV407" s="4"/>
      <c r="GW407" s="4"/>
      <c r="GX407" s="4">
        <v>0</v>
      </c>
      <c r="IF407">
        <v>-1</v>
      </c>
    </row>
    <row r="408" spans="1:255" x14ac:dyDescent="0.2">
      <c r="IF408">
        <v>-1</v>
      </c>
    </row>
    <row r="409" spans="1:255" x14ac:dyDescent="0.2">
      <c r="A409" s="5">
        <v>50</v>
      </c>
      <c r="B409" s="5">
        <v>0</v>
      </c>
      <c r="C409" s="5">
        <v>0</v>
      </c>
      <c r="D409" s="5">
        <v>1</v>
      </c>
      <c r="E409" s="5">
        <v>201</v>
      </c>
      <c r="F409" s="5" t="e">
        <f>ROUND(Source!O407,O409)</f>
        <v>#REF!</v>
      </c>
      <c r="G409" s="5" t="s">
        <v>142</v>
      </c>
      <c r="H409" s="5" t="s">
        <v>143</v>
      </c>
      <c r="I409" s="5"/>
      <c r="J409" s="5"/>
      <c r="K409" s="5">
        <v>201</v>
      </c>
      <c r="L409" s="5">
        <v>1</v>
      </c>
      <c r="M409" s="5">
        <v>3</v>
      </c>
      <c r="N409" s="5" t="s">
        <v>6</v>
      </c>
      <c r="O409" s="5">
        <v>0</v>
      </c>
      <c r="P409" s="5" t="e">
        <f>ROUND(Source!DG407,O409)</f>
        <v>#REF!</v>
      </c>
      <c r="Q409" s="5"/>
      <c r="R409" s="5"/>
      <c r="S409" s="5"/>
      <c r="T409" s="5"/>
      <c r="U409" s="5"/>
      <c r="V409" s="5"/>
      <c r="W409" s="5">
        <v>814569</v>
      </c>
      <c r="X409" s="5">
        <v>1</v>
      </c>
      <c r="Y409" s="5">
        <v>814569</v>
      </c>
      <c r="Z409" s="5">
        <v>8801682</v>
      </c>
      <c r="AA409" s="5">
        <v>1</v>
      </c>
      <c r="AB409" s="5">
        <v>8801682</v>
      </c>
      <c r="IF409">
        <v>-1</v>
      </c>
    </row>
    <row r="410" spans="1:255" x14ac:dyDescent="0.2">
      <c r="A410" s="5">
        <v>50</v>
      </c>
      <c r="B410" s="5">
        <v>0</v>
      </c>
      <c r="C410" s="5">
        <v>0</v>
      </c>
      <c r="D410" s="5">
        <v>1</v>
      </c>
      <c r="E410" s="5">
        <v>202</v>
      </c>
      <c r="F410" s="5" t="e">
        <f>ROUND(Source!P407,O410)</f>
        <v>#REF!</v>
      </c>
      <c r="G410" s="5" t="s">
        <v>144</v>
      </c>
      <c r="H410" s="5" t="s">
        <v>145</v>
      </c>
      <c r="I410" s="5"/>
      <c r="J410" s="5"/>
      <c r="K410" s="5">
        <v>202</v>
      </c>
      <c r="L410" s="5">
        <v>2</v>
      </c>
      <c r="M410" s="5">
        <v>3</v>
      </c>
      <c r="N410" s="5" t="s">
        <v>6</v>
      </c>
      <c r="O410" s="5">
        <v>0</v>
      </c>
      <c r="P410" s="5" t="e">
        <f>ROUND(Source!DH407,O410)</f>
        <v>#REF!</v>
      </c>
      <c r="Q410" s="5"/>
      <c r="R410" s="5"/>
      <c r="S410" s="5"/>
      <c r="T410" s="5"/>
      <c r="U410" s="5"/>
      <c r="V410" s="5"/>
      <c r="W410" s="5">
        <v>655522</v>
      </c>
      <c r="X410" s="5">
        <v>1</v>
      </c>
      <c r="Y410" s="5">
        <v>655522</v>
      </c>
      <c r="Z410" s="5">
        <v>6079103</v>
      </c>
      <c r="AA410" s="5">
        <v>1</v>
      </c>
      <c r="AB410" s="5">
        <v>6079103</v>
      </c>
      <c r="IF410">
        <v>-1</v>
      </c>
    </row>
    <row r="411" spans="1:255" x14ac:dyDescent="0.2">
      <c r="A411" s="5">
        <v>50</v>
      </c>
      <c r="B411" s="5">
        <v>0</v>
      </c>
      <c r="C411" s="5">
        <v>0</v>
      </c>
      <c r="D411" s="5">
        <v>1</v>
      </c>
      <c r="E411" s="5">
        <v>222</v>
      </c>
      <c r="F411" s="5">
        <f>ROUND(Source!AO407,O411)</f>
        <v>0</v>
      </c>
      <c r="G411" s="5" t="s">
        <v>146</v>
      </c>
      <c r="H411" s="5" t="s">
        <v>147</v>
      </c>
      <c r="I411" s="5"/>
      <c r="J411" s="5"/>
      <c r="K411" s="5">
        <v>222</v>
      </c>
      <c r="L411" s="5">
        <v>3</v>
      </c>
      <c r="M411" s="5">
        <v>3</v>
      </c>
      <c r="N411" s="5" t="s">
        <v>6</v>
      </c>
      <c r="O411" s="5">
        <v>0</v>
      </c>
      <c r="P411" s="5">
        <f>ROUND(Source!EG407,O411)</f>
        <v>0</v>
      </c>
      <c r="Q411" s="5"/>
      <c r="R411" s="5"/>
      <c r="S411" s="5"/>
      <c r="T411" s="5"/>
      <c r="U411" s="5"/>
      <c r="V411" s="5"/>
      <c r="W411" s="5">
        <v>0</v>
      </c>
      <c r="X411" s="5">
        <v>1</v>
      </c>
      <c r="Y411" s="5">
        <v>0</v>
      </c>
      <c r="Z411" s="5">
        <v>0</v>
      </c>
      <c r="AA411" s="5">
        <v>1</v>
      </c>
      <c r="AB411" s="5">
        <v>0</v>
      </c>
      <c r="IF411">
        <v>-1</v>
      </c>
    </row>
    <row r="412" spans="1:255" x14ac:dyDescent="0.2">
      <c r="A412" s="5">
        <v>50</v>
      </c>
      <c r="B412" s="5">
        <v>0</v>
      </c>
      <c r="C412" s="5">
        <v>0</v>
      </c>
      <c r="D412" s="5">
        <v>1</v>
      </c>
      <c r="E412" s="5">
        <v>225</v>
      </c>
      <c r="F412" s="5" t="e">
        <f>ROUND(Source!AV407,O412)</f>
        <v>#REF!</v>
      </c>
      <c r="G412" s="5" t="s">
        <v>148</v>
      </c>
      <c r="H412" s="5" t="s">
        <v>149</v>
      </c>
      <c r="I412" s="5"/>
      <c r="J412" s="5"/>
      <c r="K412" s="5">
        <v>225</v>
      </c>
      <c r="L412" s="5">
        <v>4</v>
      </c>
      <c r="M412" s="5">
        <v>3</v>
      </c>
      <c r="N412" s="5" t="s">
        <v>6</v>
      </c>
      <c r="O412" s="5">
        <v>0</v>
      </c>
      <c r="P412" s="5" t="e">
        <f>ROUND(Source!EN407,O412)</f>
        <v>#REF!</v>
      </c>
      <c r="Q412" s="5"/>
      <c r="R412" s="5"/>
      <c r="S412" s="5"/>
      <c r="T412" s="5"/>
      <c r="U412" s="5"/>
      <c r="V412" s="5"/>
      <c r="W412" s="5">
        <v>655522</v>
      </c>
      <c r="X412" s="5">
        <v>1</v>
      </c>
      <c r="Y412" s="5">
        <v>655522</v>
      </c>
      <c r="Z412" s="5">
        <v>6079103</v>
      </c>
      <c r="AA412" s="5">
        <v>1</v>
      </c>
      <c r="AB412" s="5">
        <v>6079103</v>
      </c>
      <c r="IF412">
        <v>-1</v>
      </c>
    </row>
    <row r="413" spans="1:255" x14ac:dyDescent="0.2">
      <c r="A413" s="5">
        <v>50</v>
      </c>
      <c r="B413" s="5">
        <v>0</v>
      </c>
      <c r="C413" s="5">
        <v>0</v>
      </c>
      <c r="D413" s="5">
        <v>1</v>
      </c>
      <c r="E413" s="5">
        <v>226</v>
      </c>
      <c r="F413" s="5" t="e">
        <f>ROUND(Source!AW407,O413)</f>
        <v>#REF!</v>
      </c>
      <c r="G413" s="5" t="s">
        <v>150</v>
      </c>
      <c r="H413" s="5" t="s">
        <v>151</v>
      </c>
      <c r="I413" s="5"/>
      <c r="J413" s="5"/>
      <c r="K413" s="5">
        <v>226</v>
      </c>
      <c r="L413" s="5">
        <v>5</v>
      </c>
      <c r="M413" s="5">
        <v>3</v>
      </c>
      <c r="N413" s="5" t="s">
        <v>6</v>
      </c>
      <c r="O413" s="5">
        <v>0</v>
      </c>
      <c r="P413" s="5" t="e">
        <f>ROUND(Source!EO407,O413)</f>
        <v>#REF!</v>
      </c>
      <c r="Q413" s="5"/>
      <c r="R413" s="5"/>
      <c r="S413" s="5"/>
      <c r="T413" s="5"/>
      <c r="U413" s="5"/>
      <c r="V413" s="5"/>
      <c r="W413" s="5">
        <v>655522</v>
      </c>
      <c r="X413" s="5">
        <v>1</v>
      </c>
      <c r="Y413" s="5">
        <v>655522</v>
      </c>
      <c r="Z413" s="5">
        <v>6079103</v>
      </c>
      <c r="AA413" s="5">
        <v>1</v>
      </c>
      <c r="AB413" s="5">
        <v>6079103</v>
      </c>
      <c r="IF413">
        <v>-1</v>
      </c>
    </row>
    <row r="414" spans="1:255" x14ac:dyDescent="0.2">
      <c r="A414" s="5">
        <v>50</v>
      </c>
      <c r="B414" s="5">
        <v>0</v>
      </c>
      <c r="C414" s="5">
        <v>0</v>
      </c>
      <c r="D414" s="5">
        <v>1</v>
      </c>
      <c r="E414" s="5">
        <v>227</v>
      </c>
      <c r="F414" s="5">
        <f>ROUND(Source!AX407,O414)</f>
        <v>0</v>
      </c>
      <c r="G414" s="5" t="s">
        <v>152</v>
      </c>
      <c r="H414" s="5" t="s">
        <v>153</v>
      </c>
      <c r="I414" s="5"/>
      <c r="J414" s="5"/>
      <c r="K414" s="5">
        <v>227</v>
      </c>
      <c r="L414" s="5">
        <v>6</v>
      </c>
      <c r="M414" s="5">
        <v>3</v>
      </c>
      <c r="N414" s="5" t="s">
        <v>6</v>
      </c>
      <c r="O414" s="5">
        <v>0</v>
      </c>
      <c r="P414" s="5">
        <f>ROUND(Source!EP407,O414)</f>
        <v>0</v>
      </c>
      <c r="Q414" s="5"/>
      <c r="R414" s="5"/>
      <c r="S414" s="5"/>
      <c r="T414" s="5"/>
      <c r="U414" s="5"/>
      <c r="V414" s="5"/>
      <c r="W414" s="5">
        <v>0</v>
      </c>
      <c r="X414" s="5">
        <v>1</v>
      </c>
      <c r="Y414" s="5">
        <v>0</v>
      </c>
      <c r="Z414" s="5">
        <v>0</v>
      </c>
      <c r="AA414" s="5">
        <v>1</v>
      </c>
      <c r="AB414" s="5">
        <v>0</v>
      </c>
      <c r="IF414">
        <v>-1</v>
      </c>
    </row>
    <row r="415" spans="1:255" x14ac:dyDescent="0.2">
      <c r="A415" s="5">
        <v>50</v>
      </c>
      <c r="B415" s="5">
        <v>0</v>
      </c>
      <c r="C415" s="5">
        <v>0</v>
      </c>
      <c r="D415" s="5">
        <v>1</v>
      </c>
      <c r="E415" s="5">
        <v>228</v>
      </c>
      <c r="F415" s="5" t="e">
        <f>ROUND(Source!AY407,O415)</f>
        <v>#REF!</v>
      </c>
      <c r="G415" s="5" t="s">
        <v>154</v>
      </c>
      <c r="H415" s="5" t="s">
        <v>155</v>
      </c>
      <c r="I415" s="5"/>
      <c r="J415" s="5"/>
      <c r="K415" s="5">
        <v>228</v>
      </c>
      <c r="L415" s="5">
        <v>7</v>
      </c>
      <c r="M415" s="5">
        <v>3</v>
      </c>
      <c r="N415" s="5" t="s">
        <v>6</v>
      </c>
      <c r="O415" s="5">
        <v>0</v>
      </c>
      <c r="P415" s="5" t="e">
        <f>ROUND(Source!EQ407,O415)</f>
        <v>#REF!</v>
      </c>
      <c r="Q415" s="5"/>
      <c r="R415" s="5"/>
      <c r="S415" s="5"/>
      <c r="T415" s="5"/>
      <c r="U415" s="5"/>
      <c r="V415" s="5"/>
      <c r="W415" s="5">
        <v>655522</v>
      </c>
      <c r="X415" s="5">
        <v>1</v>
      </c>
      <c r="Y415" s="5">
        <v>655522</v>
      </c>
      <c r="Z415" s="5">
        <v>6079103</v>
      </c>
      <c r="AA415" s="5">
        <v>1</v>
      </c>
      <c r="AB415" s="5">
        <v>6079103</v>
      </c>
      <c r="IF415">
        <v>-1</v>
      </c>
    </row>
    <row r="416" spans="1:255" x14ac:dyDescent="0.2">
      <c r="A416" s="5">
        <v>50</v>
      </c>
      <c r="B416" s="5">
        <v>0</v>
      </c>
      <c r="C416" s="5">
        <v>0</v>
      </c>
      <c r="D416" s="5">
        <v>1</v>
      </c>
      <c r="E416" s="5">
        <v>216</v>
      </c>
      <c r="F416" s="5">
        <f>ROUND(Source!AP407,O416)</f>
        <v>0</v>
      </c>
      <c r="G416" s="5" t="s">
        <v>156</v>
      </c>
      <c r="H416" s="5" t="s">
        <v>157</v>
      </c>
      <c r="I416" s="5"/>
      <c r="J416" s="5"/>
      <c r="K416" s="5">
        <v>216</v>
      </c>
      <c r="L416" s="5">
        <v>8</v>
      </c>
      <c r="M416" s="5">
        <v>3</v>
      </c>
      <c r="N416" s="5" t="s">
        <v>6</v>
      </c>
      <c r="O416" s="5">
        <v>0</v>
      </c>
      <c r="P416" s="5">
        <f>ROUND(Source!EH407,O416)</f>
        <v>0</v>
      </c>
      <c r="Q416" s="5"/>
      <c r="R416" s="5"/>
      <c r="S416" s="5"/>
      <c r="T416" s="5"/>
      <c r="U416" s="5"/>
      <c r="V416" s="5"/>
      <c r="W416" s="5">
        <v>0</v>
      </c>
      <c r="X416" s="5">
        <v>1</v>
      </c>
      <c r="Y416" s="5">
        <v>0</v>
      </c>
      <c r="Z416" s="5">
        <v>0</v>
      </c>
      <c r="AA416" s="5">
        <v>1</v>
      </c>
      <c r="AB416" s="5">
        <v>0</v>
      </c>
      <c r="IF416">
        <v>-1</v>
      </c>
    </row>
    <row r="417" spans="1:240" x14ac:dyDescent="0.2">
      <c r="A417" s="5">
        <v>50</v>
      </c>
      <c r="B417" s="5">
        <v>0</v>
      </c>
      <c r="C417" s="5">
        <v>0</v>
      </c>
      <c r="D417" s="5">
        <v>1</v>
      </c>
      <c r="E417" s="5">
        <v>223</v>
      </c>
      <c r="F417" s="5">
        <f>ROUND(Source!AQ407,O417)</f>
        <v>0</v>
      </c>
      <c r="G417" s="5" t="s">
        <v>158</v>
      </c>
      <c r="H417" s="5" t="s">
        <v>159</v>
      </c>
      <c r="I417" s="5"/>
      <c r="J417" s="5"/>
      <c r="K417" s="5">
        <v>223</v>
      </c>
      <c r="L417" s="5">
        <v>9</v>
      </c>
      <c r="M417" s="5">
        <v>3</v>
      </c>
      <c r="N417" s="5" t="s">
        <v>6</v>
      </c>
      <c r="O417" s="5">
        <v>0</v>
      </c>
      <c r="P417" s="5">
        <f>ROUND(Source!EI407,O417)</f>
        <v>0</v>
      </c>
      <c r="Q417" s="5"/>
      <c r="R417" s="5"/>
      <c r="S417" s="5"/>
      <c r="T417" s="5"/>
      <c r="U417" s="5"/>
      <c r="V417" s="5"/>
      <c r="W417" s="5">
        <v>0</v>
      </c>
      <c r="X417" s="5">
        <v>1</v>
      </c>
      <c r="Y417" s="5">
        <v>0</v>
      </c>
      <c r="Z417" s="5">
        <v>0</v>
      </c>
      <c r="AA417" s="5">
        <v>1</v>
      </c>
      <c r="AB417" s="5">
        <v>0</v>
      </c>
      <c r="IF417">
        <v>-1</v>
      </c>
    </row>
    <row r="418" spans="1:240" x14ac:dyDescent="0.2">
      <c r="A418" s="5">
        <v>50</v>
      </c>
      <c r="B418" s="5">
        <v>0</v>
      </c>
      <c r="C418" s="5">
        <v>0</v>
      </c>
      <c r="D418" s="5">
        <v>1</v>
      </c>
      <c r="E418" s="5">
        <v>229</v>
      </c>
      <c r="F418" s="5">
        <f>ROUND(Source!AZ407,O418)</f>
        <v>0</v>
      </c>
      <c r="G418" s="5" t="s">
        <v>160</v>
      </c>
      <c r="H418" s="5" t="s">
        <v>161</v>
      </c>
      <c r="I418" s="5"/>
      <c r="J418" s="5"/>
      <c r="K418" s="5">
        <v>229</v>
      </c>
      <c r="L418" s="5">
        <v>10</v>
      </c>
      <c r="M418" s="5">
        <v>3</v>
      </c>
      <c r="N418" s="5" t="s">
        <v>6</v>
      </c>
      <c r="O418" s="5">
        <v>0</v>
      </c>
      <c r="P418" s="5">
        <f>ROUND(Source!ER407,O418)</f>
        <v>0</v>
      </c>
      <c r="Q418" s="5"/>
      <c r="R418" s="5"/>
      <c r="S418" s="5"/>
      <c r="T418" s="5"/>
      <c r="U418" s="5"/>
      <c r="V418" s="5"/>
      <c r="W418" s="5">
        <v>0</v>
      </c>
      <c r="X418" s="5">
        <v>1</v>
      </c>
      <c r="Y418" s="5">
        <v>0</v>
      </c>
      <c r="Z418" s="5">
        <v>0</v>
      </c>
      <c r="AA418" s="5">
        <v>1</v>
      </c>
      <c r="AB418" s="5">
        <v>0</v>
      </c>
      <c r="IF418">
        <v>-1</v>
      </c>
    </row>
    <row r="419" spans="1:240" x14ac:dyDescent="0.2">
      <c r="A419" s="5">
        <v>50</v>
      </c>
      <c r="B419" s="5">
        <v>0</v>
      </c>
      <c r="C419" s="5">
        <v>0</v>
      </c>
      <c r="D419" s="5">
        <v>1</v>
      </c>
      <c r="E419" s="5">
        <v>203</v>
      </c>
      <c r="F419" s="5" t="e">
        <f>ROUND(Source!Q407,O419)</f>
        <v>#REF!</v>
      </c>
      <c r="G419" s="5" t="s">
        <v>162</v>
      </c>
      <c r="H419" s="5" t="s">
        <v>163</v>
      </c>
      <c r="I419" s="5"/>
      <c r="J419" s="5"/>
      <c r="K419" s="5">
        <v>203</v>
      </c>
      <c r="L419" s="5">
        <v>11</v>
      </c>
      <c r="M419" s="5">
        <v>3</v>
      </c>
      <c r="N419" s="5" t="s">
        <v>6</v>
      </c>
      <c r="O419" s="5">
        <v>0</v>
      </c>
      <c r="P419" s="5" t="e">
        <f>ROUND(Source!DI407,O419)</f>
        <v>#REF!</v>
      </c>
      <c r="Q419" s="5"/>
      <c r="R419" s="5"/>
      <c r="S419" s="5"/>
      <c r="T419" s="5"/>
      <c r="U419" s="5"/>
      <c r="V419" s="5"/>
      <c r="W419" s="5">
        <v>91352</v>
      </c>
      <c r="X419" s="5">
        <v>1</v>
      </c>
      <c r="Y419" s="5">
        <v>91352</v>
      </c>
      <c r="Z419" s="5">
        <v>834530</v>
      </c>
      <c r="AA419" s="5">
        <v>1</v>
      </c>
      <c r="AB419" s="5">
        <v>834530</v>
      </c>
      <c r="IF419">
        <v>-1</v>
      </c>
    </row>
    <row r="420" spans="1:240" x14ac:dyDescent="0.2">
      <c r="A420" s="5">
        <v>50</v>
      </c>
      <c r="B420" s="5">
        <v>0</v>
      </c>
      <c r="C420" s="5">
        <v>0</v>
      </c>
      <c r="D420" s="5">
        <v>1</v>
      </c>
      <c r="E420" s="5">
        <v>231</v>
      </c>
      <c r="F420" s="5">
        <f>ROUND(Source!BB407,O420)</f>
        <v>0</v>
      </c>
      <c r="G420" s="5" t="s">
        <v>164</v>
      </c>
      <c r="H420" s="5" t="s">
        <v>165</v>
      </c>
      <c r="I420" s="5"/>
      <c r="J420" s="5"/>
      <c r="K420" s="5">
        <v>231</v>
      </c>
      <c r="L420" s="5">
        <v>12</v>
      </c>
      <c r="M420" s="5">
        <v>3</v>
      </c>
      <c r="N420" s="5" t="s">
        <v>6</v>
      </c>
      <c r="O420" s="5">
        <v>0</v>
      </c>
      <c r="P420" s="5">
        <f>ROUND(Source!ET407,O420)</f>
        <v>0</v>
      </c>
      <c r="Q420" s="5"/>
      <c r="R420" s="5"/>
      <c r="S420" s="5"/>
      <c r="T420" s="5"/>
      <c r="U420" s="5"/>
      <c r="V420" s="5"/>
      <c r="W420" s="5">
        <v>0</v>
      </c>
      <c r="X420" s="5">
        <v>1</v>
      </c>
      <c r="Y420" s="5">
        <v>0</v>
      </c>
      <c r="Z420" s="5">
        <v>0</v>
      </c>
      <c r="AA420" s="5">
        <v>1</v>
      </c>
      <c r="AB420" s="5">
        <v>0</v>
      </c>
      <c r="IF420">
        <v>-1</v>
      </c>
    </row>
    <row r="421" spans="1:240" x14ac:dyDescent="0.2">
      <c r="A421" s="5">
        <v>50</v>
      </c>
      <c r="B421" s="5">
        <v>0</v>
      </c>
      <c r="C421" s="5">
        <v>0</v>
      </c>
      <c r="D421" s="5">
        <v>1</v>
      </c>
      <c r="E421" s="5">
        <v>204</v>
      </c>
      <c r="F421" s="5" t="e">
        <f>ROUND(Source!R407,O421)</f>
        <v>#REF!</v>
      </c>
      <c r="G421" s="5" t="s">
        <v>166</v>
      </c>
      <c r="H421" s="5" t="s">
        <v>167</v>
      </c>
      <c r="I421" s="5"/>
      <c r="J421" s="5"/>
      <c r="K421" s="5">
        <v>204</v>
      </c>
      <c r="L421" s="5">
        <v>13</v>
      </c>
      <c r="M421" s="5">
        <v>3</v>
      </c>
      <c r="N421" s="5" t="s">
        <v>6</v>
      </c>
      <c r="O421" s="5">
        <v>0</v>
      </c>
      <c r="P421" s="5" t="e">
        <f>ROUND(Source!DJ407,O421)</f>
        <v>#REF!</v>
      </c>
      <c r="Q421" s="5"/>
      <c r="R421" s="5"/>
      <c r="S421" s="5"/>
      <c r="T421" s="5"/>
      <c r="U421" s="5"/>
      <c r="V421" s="5"/>
      <c r="W421" s="5">
        <v>10887</v>
      </c>
      <c r="X421" s="5">
        <v>1</v>
      </c>
      <c r="Y421" s="5">
        <v>10887</v>
      </c>
      <c r="Z421" s="5">
        <v>215548</v>
      </c>
      <c r="AA421" s="5">
        <v>1</v>
      </c>
      <c r="AB421" s="5">
        <v>215548</v>
      </c>
      <c r="IF421">
        <v>-1</v>
      </c>
    </row>
    <row r="422" spans="1:240" x14ac:dyDescent="0.2">
      <c r="A422" s="5">
        <v>50</v>
      </c>
      <c r="B422" s="5">
        <v>0</v>
      </c>
      <c r="C422" s="5">
        <v>0</v>
      </c>
      <c r="D422" s="5">
        <v>1</v>
      </c>
      <c r="E422" s="5">
        <v>205</v>
      </c>
      <c r="F422" s="5" t="e">
        <f>ROUND(Source!S407,O422)</f>
        <v>#REF!</v>
      </c>
      <c r="G422" s="5" t="s">
        <v>168</v>
      </c>
      <c r="H422" s="5" t="s">
        <v>169</v>
      </c>
      <c r="I422" s="5"/>
      <c r="J422" s="5"/>
      <c r="K422" s="5">
        <v>205</v>
      </c>
      <c r="L422" s="5">
        <v>14</v>
      </c>
      <c r="M422" s="5">
        <v>3</v>
      </c>
      <c r="N422" s="5" t="s">
        <v>6</v>
      </c>
      <c r="O422" s="5">
        <v>0</v>
      </c>
      <c r="P422" s="5" t="e">
        <f>ROUND(Source!DK407,O422)</f>
        <v>#REF!</v>
      </c>
      <c r="Q422" s="5"/>
      <c r="R422" s="5"/>
      <c r="S422" s="5"/>
      <c r="T422" s="5"/>
      <c r="U422" s="5"/>
      <c r="V422" s="5"/>
      <c r="W422" s="5">
        <v>67695</v>
      </c>
      <c r="X422" s="5">
        <v>1</v>
      </c>
      <c r="Y422" s="5">
        <v>67695</v>
      </c>
      <c r="Z422" s="5">
        <v>1888049</v>
      </c>
      <c r="AA422" s="5">
        <v>1</v>
      </c>
      <c r="AB422" s="5">
        <v>1888049</v>
      </c>
      <c r="IF422">
        <v>-1</v>
      </c>
    </row>
    <row r="423" spans="1:240" x14ac:dyDescent="0.2">
      <c r="A423" s="5">
        <v>50</v>
      </c>
      <c r="B423" s="5">
        <v>0</v>
      </c>
      <c r="C423" s="5">
        <v>0</v>
      </c>
      <c r="D423" s="5">
        <v>1</v>
      </c>
      <c r="E423" s="5">
        <v>232</v>
      </c>
      <c r="F423" s="5">
        <f>ROUND(Source!BC407,O423)</f>
        <v>0</v>
      </c>
      <c r="G423" s="5" t="s">
        <v>170</v>
      </c>
      <c r="H423" s="5" t="s">
        <v>171</v>
      </c>
      <c r="I423" s="5"/>
      <c r="J423" s="5"/>
      <c r="K423" s="5">
        <v>232</v>
      </c>
      <c r="L423" s="5">
        <v>15</v>
      </c>
      <c r="M423" s="5">
        <v>3</v>
      </c>
      <c r="N423" s="5" t="s">
        <v>6</v>
      </c>
      <c r="O423" s="5">
        <v>0</v>
      </c>
      <c r="P423" s="5">
        <f>ROUND(Source!EU407,O423)</f>
        <v>0</v>
      </c>
      <c r="Q423" s="5"/>
      <c r="R423" s="5"/>
      <c r="S423" s="5"/>
      <c r="T423" s="5"/>
      <c r="U423" s="5"/>
      <c r="V423" s="5"/>
      <c r="W423" s="5">
        <v>0</v>
      </c>
      <c r="X423" s="5">
        <v>1</v>
      </c>
      <c r="Y423" s="5">
        <v>0</v>
      </c>
      <c r="Z423" s="5">
        <v>0</v>
      </c>
      <c r="AA423" s="5">
        <v>1</v>
      </c>
      <c r="AB423" s="5">
        <v>0</v>
      </c>
      <c r="IF423">
        <v>-1</v>
      </c>
    </row>
    <row r="424" spans="1:240" x14ac:dyDescent="0.2">
      <c r="A424" s="5">
        <v>50</v>
      </c>
      <c r="B424" s="5">
        <v>0</v>
      </c>
      <c r="C424" s="5">
        <v>0</v>
      </c>
      <c r="D424" s="5">
        <v>1</v>
      </c>
      <c r="E424" s="5">
        <v>214</v>
      </c>
      <c r="F424" s="5" t="e">
        <f>ROUND(Source!AS407,O424)</f>
        <v>#REF!</v>
      </c>
      <c r="G424" s="5" t="s">
        <v>172</v>
      </c>
      <c r="H424" s="5" t="s">
        <v>173</v>
      </c>
      <c r="I424" s="5"/>
      <c r="J424" s="5"/>
      <c r="K424" s="5">
        <v>214</v>
      </c>
      <c r="L424" s="5">
        <v>16</v>
      </c>
      <c r="M424" s="5">
        <v>3</v>
      </c>
      <c r="N424" s="5" t="s">
        <v>6</v>
      </c>
      <c r="O424" s="5">
        <v>0</v>
      </c>
      <c r="P424" s="5" t="e">
        <f>ROUND(Source!EK407,O424)</f>
        <v>#REF!</v>
      </c>
      <c r="Q424" s="5"/>
      <c r="R424" s="5"/>
      <c r="S424" s="5"/>
      <c r="T424" s="5"/>
      <c r="U424" s="5"/>
      <c r="V424" s="5"/>
      <c r="W424" s="5">
        <v>926749</v>
      </c>
      <c r="X424" s="5">
        <v>1</v>
      </c>
      <c r="Y424" s="5">
        <v>926749</v>
      </c>
      <c r="Z424" s="5">
        <v>11659402</v>
      </c>
      <c r="AA424" s="5">
        <v>1</v>
      </c>
      <c r="AB424" s="5">
        <v>11659402</v>
      </c>
      <c r="IF424">
        <v>-1</v>
      </c>
    </row>
    <row r="425" spans="1:240" x14ac:dyDescent="0.2">
      <c r="A425" s="5">
        <v>50</v>
      </c>
      <c r="B425" s="5">
        <v>0</v>
      </c>
      <c r="C425" s="5">
        <v>0</v>
      </c>
      <c r="D425" s="5">
        <v>1</v>
      </c>
      <c r="E425" s="5">
        <v>215</v>
      </c>
      <c r="F425" s="5" t="e">
        <f>ROUND(Source!AT407,O425)</f>
        <v>#REF!</v>
      </c>
      <c r="G425" s="5" t="s">
        <v>174</v>
      </c>
      <c r="H425" s="5" t="s">
        <v>175</v>
      </c>
      <c r="I425" s="5"/>
      <c r="J425" s="5"/>
      <c r="K425" s="5">
        <v>215</v>
      </c>
      <c r="L425" s="5">
        <v>17</v>
      </c>
      <c r="M425" s="5">
        <v>3</v>
      </c>
      <c r="N425" s="5" t="s">
        <v>6</v>
      </c>
      <c r="O425" s="5">
        <v>0</v>
      </c>
      <c r="P425" s="5" t="e">
        <f>ROUND(Source!EL407,O425)</f>
        <v>#REF!</v>
      </c>
      <c r="Q425" s="5"/>
      <c r="R425" s="5"/>
      <c r="S425" s="5"/>
      <c r="T425" s="5"/>
      <c r="U425" s="5"/>
      <c r="V425" s="5"/>
      <c r="W425" s="5">
        <v>4832</v>
      </c>
      <c r="X425" s="5">
        <v>1</v>
      </c>
      <c r="Y425" s="5">
        <v>4832</v>
      </c>
      <c r="Z425" s="5">
        <v>39392</v>
      </c>
      <c r="AA425" s="5">
        <v>1</v>
      </c>
      <c r="AB425" s="5">
        <v>39392</v>
      </c>
      <c r="IF425">
        <v>-1</v>
      </c>
    </row>
    <row r="426" spans="1:240" x14ac:dyDescent="0.2">
      <c r="A426" s="5">
        <v>50</v>
      </c>
      <c r="B426" s="5">
        <v>0</v>
      </c>
      <c r="C426" s="5">
        <v>0</v>
      </c>
      <c r="D426" s="5">
        <v>1</v>
      </c>
      <c r="E426" s="5">
        <v>217</v>
      </c>
      <c r="F426" s="5">
        <f>ROUND(Source!AU407,O426)</f>
        <v>0</v>
      </c>
      <c r="G426" s="5" t="s">
        <v>176</v>
      </c>
      <c r="H426" s="5" t="s">
        <v>177</v>
      </c>
      <c r="I426" s="5"/>
      <c r="J426" s="5"/>
      <c r="K426" s="5">
        <v>217</v>
      </c>
      <c r="L426" s="5">
        <v>18</v>
      </c>
      <c r="M426" s="5">
        <v>3</v>
      </c>
      <c r="N426" s="5" t="s">
        <v>6</v>
      </c>
      <c r="O426" s="5">
        <v>0</v>
      </c>
      <c r="P426" s="5">
        <f>ROUND(Source!EM407,O426)</f>
        <v>0</v>
      </c>
      <c r="Q426" s="5"/>
      <c r="R426" s="5"/>
      <c r="S426" s="5"/>
      <c r="T426" s="5"/>
      <c r="U426" s="5"/>
      <c r="V426" s="5"/>
      <c r="W426" s="5">
        <v>0</v>
      </c>
      <c r="X426" s="5">
        <v>1</v>
      </c>
      <c r="Y426" s="5">
        <v>0</v>
      </c>
      <c r="Z426" s="5">
        <v>0</v>
      </c>
      <c r="AA426" s="5">
        <v>1</v>
      </c>
      <c r="AB426" s="5">
        <v>0</v>
      </c>
      <c r="IF426">
        <v>-1</v>
      </c>
    </row>
    <row r="427" spans="1:240" x14ac:dyDescent="0.2">
      <c r="A427" s="5">
        <v>50</v>
      </c>
      <c r="B427" s="5">
        <v>0</v>
      </c>
      <c r="C427" s="5">
        <v>0</v>
      </c>
      <c r="D427" s="5">
        <v>1</v>
      </c>
      <c r="E427" s="5">
        <v>230</v>
      </c>
      <c r="F427" s="5" t="e">
        <f>ROUND(Source!BA407,O427)</f>
        <v>#REF!</v>
      </c>
      <c r="G427" s="5" t="s">
        <v>178</v>
      </c>
      <c r="H427" s="5" t="s">
        <v>179</v>
      </c>
      <c r="I427" s="5"/>
      <c r="J427" s="5"/>
      <c r="K427" s="5">
        <v>230</v>
      </c>
      <c r="L427" s="5">
        <v>19</v>
      </c>
      <c r="M427" s="5">
        <v>3</v>
      </c>
      <c r="N427" s="5" t="s">
        <v>6</v>
      </c>
      <c r="O427" s="5">
        <v>0</v>
      </c>
      <c r="P427" s="5" t="e">
        <f>ROUND(Source!ES407,O427)</f>
        <v>#REF!</v>
      </c>
      <c r="Q427" s="5"/>
      <c r="R427" s="5"/>
      <c r="S427" s="5"/>
      <c r="T427" s="5"/>
      <c r="U427" s="5"/>
      <c r="V427" s="5"/>
      <c r="W427" s="5">
        <v>0</v>
      </c>
      <c r="X427" s="5">
        <v>1</v>
      </c>
      <c r="Y427" s="5">
        <v>0</v>
      </c>
      <c r="Z427" s="5">
        <v>0</v>
      </c>
      <c r="AA427" s="5">
        <v>1</v>
      </c>
      <c r="AB427" s="5">
        <v>0</v>
      </c>
      <c r="IF427">
        <v>-1</v>
      </c>
    </row>
    <row r="428" spans="1:240" x14ac:dyDescent="0.2">
      <c r="A428" s="5">
        <v>50</v>
      </c>
      <c r="B428" s="5">
        <v>0</v>
      </c>
      <c r="C428" s="5">
        <v>0</v>
      </c>
      <c r="D428" s="5">
        <v>1</v>
      </c>
      <c r="E428" s="5">
        <v>206</v>
      </c>
      <c r="F428" s="5" t="e">
        <f>ROUND(Source!T407,O428)</f>
        <v>#REF!</v>
      </c>
      <c r="G428" s="5" t="s">
        <v>180</v>
      </c>
      <c r="H428" s="5" t="s">
        <v>181</v>
      </c>
      <c r="I428" s="5"/>
      <c r="J428" s="5"/>
      <c r="K428" s="5">
        <v>206</v>
      </c>
      <c r="L428" s="5">
        <v>20</v>
      </c>
      <c r="M428" s="5">
        <v>3</v>
      </c>
      <c r="N428" s="5" t="s">
        <v>6</v>
      </c>
      <c r="O428" s="5">
        <v>0</v>
      </c>
      <c r="P428" s="5" t="e">
        <f>ROUND(Source!DL407,O428)</f>
        <v>#REF!</v>
      </c>
      <c r="Q428" s="5"/>
      <c r="R428" s="5"/>
      <c r="S428" s="5"/>
      <c r="T428" s="5"/>
      <c r="U428" s="5"/>
      <c r="V428" s="5"/>
      <c r="W428" s="5">
        <v>0</v>
      </c>
      <c r="X428" s="5">
        <v>1</v>
      </c>
      <c r="Y428" s="5">
        <v>0</v>
      </c>
      <c r="Z428" s="5">
        <v>0</v>
      </c>
      <c r="AA428" s="5">
        <v>1</v>
      </c>
      <c r="AB428" s="5">
        <v>0</v>
      </c>
      <c r="IF428">
        <v>-1</v>
      </c>
    </row>
    <row r="429" spans="1:240" x14ac:dyDescent="0.2">
      <c r="A429" s="5">
        <v>50</v>
      </c>
      <c r="B429" s="5">
        <v>0</v>
      </c>
      <c r="C429" s="5">
        <v>0</v>
      </c>
      <c r="D429" s="5">
        <v>1</v>
      </c>
      <c r="E429" s="5">
        <v>207</v>
      </c>
      <c r="F429" s="5" t="e">
        <f>Source!U407</f>
        <v>#REF!</v>
      </c>
      <c r="G429" s="5" t="s">
        <v>182</v>
      </c>
      <c r="H429" s="5" t="s">
        <v>183</v>
      </c>
      <c r="I429" s="5"/>
      <c r="J429" s="5"/>
      <c r="K429" s="5">
        <v>207</v>
      </c>
      <c r="L429" s="5">
        <v>21</v>
      </c>
      <c r="M429" s="5">
        <v>3</v>
      </c>
      <c r="N429" s="5" t="s">
        <v>6</v>
      </c>
      <c r="O429" s="5">
        <v>-1</v>
      </c>
      <c r="P429" s="5" t="e">
        <f>Source!DM407</f>
        <v>#REF!</v>
      </c>
      <c r="Q429" s="5"/>
      <c r="R429" s="5"/>
      <c r="S429" s="5"/>
      <c r="T429" s="5"/>
      <c r="U429" s="5"/>
      <c r="V429" s="5"/>
      <c r="W429" s="5">
        <v>6343.0792054000012</v>
      </c>
      <c r="X429" s="5">
        <v>1</v>
      </c>
      <c r="Y429" s="5">
        <v>6343.0792054000012</v>
      </c>
      <c r="Z429" s="5">
        <v>6343.0792054000012</v>
      </c>
      <c r="AA429" s="5">
        <v>1</v>
      </c>
      <c r="AB429" s="5">
        <v>6343.0792054000012</v>
      </c>
      <c r="IF429">
        <v>-1</v>
      </c>
    </row>
    <row r="430" spans="1:240" x14ac:dyDescent="0.2">
      <c r="A430" s="5">
        <v>50</v>
      </c>
      <c r="B430" s="5">
        <v>0</v>
      </c>
      <c r="C430" s="5">
        <v>0</v>
      </c>
      <c r="D430" s="5">
        <v>1</v>
      </c>
      <c r="E430" s="5">
        <v>208</v>
      </c>
      <c r="F430" s="5" t="e">
        <f>Source!V407</f>
        <v>#REF!</v>
      </c>
      <c r="G430" s="5" t="s">
        <v>184</v>
      </c>
      <c r="H430" s="5" t="s">
        <v>185</v>
      </c>
      <c r="I430" s="5"/>
      <c r="J430" s="5"/>
      <c r="K430" s="5">
        <v>208</v>
      </c>
      <c r="L430" s="5">
        <v>22</v>
      </c>
      <c r="M430" s="5">
        <v>3</v>
      </c>
      <c r="N430" s="5" t="s">
        <v>6</v>
      </c>
      <c r="O430" s="5">
        <v>-1</v>
      </c>
      <c r="P430" s="5" t="e">
        <f>Source!DN407</f>
        <v>#REF!</v>
      </c>
      <c r="Q430" s="5"/>
      <c r="R430" s="5"/>
      <c r="S430" s="5"/>
      <c r="T430" s="5"/>
      <c r="U430" s="5"/>
      <c r="V430" s="5"/>
      <c r="W430" s="5">
        <v>809.07836352000004</v>
      </c>
      <c r="X430" s="5">
        <v>1</v>
      </c>
      <c r="Y430" s="5">
        <v>809.07836352000004</v>
      </c>
      <c r="Z430" s="5">
        <v>809.07836352000004</v>
      </c>
      <c r="AA430" s="5">
        <v>1</v>
      </c>
      <c r="AB430" s="5">
        <v>809.07836352000004</v>
      </c>
      <c r="IF430">
        <v>-1</v>
      </c>
    </row>
    <row r="431" spans="1:240" x14ac:dyDescent="0.2">
      <c r="A431" s="5">
        <v>50</v>
      </c>
      <c r="B431" s="5">
        <v>0</v>
      </c>
      <c r="C431" s="5">
        <v>0</v>
      </c>
      <c r="D431" s="5">
        <v>1</v>
      </c>
      <c r="E431" s="5">
        <v>209</v>
      </c>
      <c r="F431" s="5" t="e">
        <f>ROUND(Source!W407,O431)</f>
        <v>#REF!</v>
      </c>
      <c r="G431" s="5" t="s">
        <v>186</v>
      </c>
      <c r="H431" s="5" t="s">
        <v>187</v>
      </c>
      <c r="I431" s="5"/>
      <c r="J431" s="5"/>
      <c r="K431" s="5">
        <v>209</v>
      </c>
      <c r="L431" s="5">
        <v>23</v>
      </c>
      <c r="M431" s="5">
        <v>3</v>
      </c>
      <c r="N431" s="5" t="s">
        <v>6</v>
      </c>
      <c r="O431" s="5">
        <v>0</v>
      </c>
      <c r="P431" s="5" t="e">
        <f>ROUND(Source!DO407,O431)</f>
        <v>#REF!</v>
      </c>
      <c r="Q431" s="5"/>
      <c r="R431" s="5"/>
      <c r="S431" s="5"/>
      <c r="T431" s="5"/>
      <c r="U431" s="5"/>
      <c r="V431" s="5"/>
      <c r="W431" s="5">
        <v>37</v>
      </c>
      <c r="X431" s="5">
        <v>1</v>
      </c>
      <c r="Y431" s="5">
        <v>37</v>
      </c>
      <c r="Z431" s="5">
        <v>37</v>
      </c>
      <c r="AA431" s="5">
        <v>1</v>
      </c>
      <c r="AB431" s="5">
        <v>37</v>
      </c>
      <c r="IF431">
        <v>-1</v>
      </c>
    </row>
    <row r="432" spans="1:240" x14ac:dyDescent="0.2">
      <c r="A432" s="5">
        <v>50</v>
      </c>
      <c r="B432" s="5">
        <v>0</v>
      </c>
      <c r="C432" s="5">
        <v>0</v>
      </c>
      <c r="D432" s="5">
        <v>1</v>
      </c>
      <c r="E432" s="5">
        <v>233</v>
      </c>
      <c r="F432" s="5">
        <f>ROUND(Source!BD407,O432)</f>
        <v>0</v>
      </c>
      <c r="G432" s="5" t="s">
        <v>188</v>
      </c>
      <c r="H432" s="5" t="s">
        <v>189</v>
      </c>
      <c r="I432" s="5"/>
      <c r="J432" s="5"/>
      <c r="K432" s="5">
        <v>233</v>
      </c>
      <c r="L432" s="5">
        <v>24</v>
      </c>
      <c r="M432" s="5">
        <v>3</v>
      </c>
      <c r="N432" s="5" t="s">
        <v>6</v>
      </c>
      <c r="O432" s="5">
        <v>0</v>
      </c>
      <c r="P432" s="5">
        <f>ROUND(Source!EV407,O432)</f>
        <v>0</v>
      </c>
      <c r="Q432" s="5"/>
      <c r="R432" s="5"/>
      <c r="S432" s="5"/>
      <c r="T432" s="5"/>
      <c r="U432" s="5"/>
      <c r="V432" s="5"/>
      <c r="W432" s="5">
        <v>0</v>
      </c>
      <c r="X432" s="5">
        <v>1</v>
      </c>
      <c r="Y432" s="5">
        <v>0</v>
      </c>
      <c r="Z432" s="5">
        <v>0</v>
      </c>
      <c r="AA432" s="5">
        <v>1</v>
      </c>
      <c r="AB432" s="5">
        <v>0</v>
      </c>
      <c r="IF432">
        <v>-1</v>
      </c>
    </row>
    <row r="433" spans="1:240" x14ac:dyDescent="0.2">
      <c r="A433" s="5">
        <v>50</v>
      </c>
      <c r="B433" s="5">
        <v>0</v>
      </c>
      <c r="C433" s="5">
        <v>0</v>
      </c>
      <c r="D433" s="5">
        <v>1</v>
      </c>
      <c r="E433" s="5">
        <v>210</v>
      </c>
      <c r="F433" s="5" t="e">
        <f>ROUND(Source!X407,O433)</f>
        <v>#REF!</v>
      </c>
      <c r="G433" s="5" t="s">
        <v>190</v>
      </c>
      <c r="H433" s="5" t="s">
        <v>191</v>
      </c>
      <c r="I433" s="5"/>
      <c r="J433" s="5"/>
      <c r="K433" s="5">
        <v>210</v>
      </c>
      <c r="L433" s="5">
        <v>25</v>
      </c>
      <c r="M433" s="5">
        <v>3</v>
      </c>
      <c r="N433" s="5" t="s">
        <v>6</v>
      </c>
      <c r="O433" s="5">
        <v>0</v>
      </c>
      <c r="P433" s="5" t="e">
        <f>ROUND(Source!DP407,O433)</f>
        <v>#REF!</v>
      </c>
      <c r="Q433" s="5"/>
      <c r="R433" s="5"/>
      <c r="S433" s="5"/>
      <c r="T433" s="5"/>
      <c r="U433" s="5"/>
      <c r="V433" s="5"/>
      <c r="W433" s="5">
        <v>65795</v>
      </c>
      <c r="X433" s="5">
        <v>1</v>
      </c>
      <c r="Y433" s="5">
        <v>65795</v>
      </c>
      <c r="Z433" s="5">
        <v>1720955</v>
      </c>
      <c r="AA433" s="5">
        <v>1</v>
      </c>
      <c r="AB433" s="5">
        <v>1720955</v>
      </c>
      <c r="IF433">
        <v>-1</v>
      </c>
    </row>
    <row r="434" spans="1:240" x14ac:dyDescent="0.2">
      <c r="A434" s="5">
        <v>50</v>
      </c>
      <c r="B434" s="5">
        <v>0</v>
      </c>
      <c r="C434" s="5">
        <v>0</v>
      </c>
      <c r="D434" s="5">
        <v>1</v>
      </c>
      <c r="E434" s="5">
        <v>211</v>
      </c>
      <c r="F434" s="5" t="e">
        <f>ROUND(Source!Y407,O434)</f>
        <v>#REF!</v>
      </c>
      <c r="G434" s="5" t="s">
        <v>192</v>
      </c>
      <c r="H434" s="5" t="s">
        <v>193</v>
      </c>
      <c r="I434" s="5"/>
      <c r="J434" s="5"/>
      <c r="K434" s="5">
        <v>211</v>
      </c>
      <c r="L434" s="5">
        <v>26</v>
      </c>
      <c r="M434" s="5">
        <v>3</v>
      </c>
      <c r="N434" s="5" t="s">
        <v>6</v>
      </c>
      <c r="O434" s="5">
        <v>0</v>
      </c>
      <c r="P434" s="5" t="e">
        <f>ROUND(Source!DQ407,O434)</f>
        <v>#REF!</v>
      </c>
      <c r="Q434" s="5"/>
      <c r="R434" s="5"/>
      <c r="S434" s="5"/>
      <c r="T434" s="5"/>
      <c r="U434" s="5"/>
      <c r="V434" s="5"/>
      <c r="W434" s="5">
        <v>51217</v>
      </c>
      <c r="X434" s="5">
        <v>1</v>
      </c>
      <c r="Y434" s="5">
        <v>51217</v>
      </c>
      <c r="Z434" s="5">
        <v>1176157</v>
      </c>
      <c r="AA434" s="5">
        <v>1</v>
      </c>
      <c r="AB434" s="5">
        <v>1176157</v>
      </c>
      <c r="IF434">
        <v>-1</v>
      </c>
    </row>
    <row r="435" spans="1:240" x14ac:dyDescent="0.2">
      <c r="A435" s="5">
        <v>50</v>
      </c>
      <c r="B435" s="5">
        <v>0</v>
      </c>
      <c r="C435" s="5">
        <v>0</v>
      </c>
      <c r="D435" s="5">
        <v>1</v>
      </c>
      <c r="E435" s="5">
        <v>224</v>
      </c>
      <c r="F435" s="5" t="e">
        <f>ROUND(Source!AR407,O435)</f>
        <v>#REF!</v>
      </c>
      <c r="G435" s="5" t="s">
        <v>194</v>
      </c>
      <c r="H435" s="5" t="s">
        <v>195</v>
      </c>
      <c r="I435" s="5"/>
      <c r="J435" s="5"/>
      <c r="K435" s="5">
        <v>224</v>
      </c>
      <c r="L435" s="5">
        <v>27</v>
      </c>
      <c r="M435" s="5">
        <v>3</v>
      </c>
      <c r="N435" s="5" t="s">
        <v>6</v>
      </c>
      <c r="O435" s="5">
        <v>0</v>
      </c>
      <c r="P435" s="5" t="e">
        <f>ROUND(Source!EJ407,O435)</f>
        <v>#REF!</v>
      </c>
      <c r="Q435" s="5"/>
      <c r="R435" s="5"/>
      <c r="S435" s="5"/>
      <c r="T435" s="5"/>
      <c r="U435" s="5"/>
      <c r="V435" s="5"/>
      <c r="W435" s="5">
        <v>931581</v>
      </c>
      <c r="X435" s="5">
        <v>1</v>
      </c>
      <c r="Y435" s="5">
        <v>931581</v>
      </c>
      <c r="Z435" s="5">
        <v>11698794</v>
      </c>
      <c r="AA435" s="5">
        <v>1</v>
      </c>
      <c r="AB435" s="5">
        <v>11698794</v>
      </c>
      <c r="IF435">
        <v>-1</v>
      </c>
    </row>
    <row r="436" spans="1:240" x14ac:dyDescent="0.2">
      <c r="IF436">
        <v>-1</v>
      </c>
    </row>
    <row r="437" spans="1:240" x14ac:dyDescent="0.2">
      <c r="A437" s="3">
        <v>51</v>
      </c>
      <c r="B437" s="3">
        <f>B20</f>
        <v>1</v>
      </c>
      <c r="C437" s="3">
        <f>A20</f>
        <v>3</v>
      </c>
      <c r="D437" s="3">
        <f>ROW(A20)</f>
        <v>20</v>
      </c>
      <c r="E437" s="3"/>
      <c r="F437" s="3" t="str">
        <f>IF(F20&lt;&gt;"",F20,"")</f>
        <v>5.3.1.24</v>
      </c>
      <c r="G437" s="3" t="str">
        <f>IF(G20&lt;&gt;"",G20,"")</f>
        <v>Монтаж конструкций здания выше 0.000. Монолитный каркас 17-20 этажей 2 сек</v>
      </c>
      <c r="H437" s="3">
        <v>0</v>
      </c>
      <c r="I437" s="3"/>
      <c r="J437" s="3"/>
      <c r="K437" s="3"/>
      <c r="L437" s="3"/>
      <c r="M437" s="3"/>
      <c r="N437" s="3"/>
      <c r="O437" s="3" t="e">
        <f t="shared" ref="O437:T437" si="461">ROUND(O85+O282+O407+AB437,0)</f>
        <v>#REF!</v>
      </c>
      <c r="P437" s="3" t="e">
        <f t="shared" si="461"/>
        <v>#REF!</v>
      </c>
      <c r="Q437" s="3" t="e">
        <f t="shared" si="461"/>
        <v>#REF!</v>
      </c>
      <c r="R437" s="3" t="e">
        <f t="shared" si="461"/>
        <v>#REF!</v>
      </c>
      <c r="S437" s="3" t="e">
        <f t="shared" si="461"/>
        <v>#REF!</v>
      </c>
      <c r="T437" s="3" t="e">
        <f t="shared" si="461"/>
        <v>#REF!</v>
      </c>
      <c r="U437" s="3" t="e">
        <f>U85+U282+U407+AH437</f>
        <v>#REF!</v>
      </c>
      <c r="V437" s="3" t="e">
        <f>V85+V282+V407+AI437</f>
        <v>#REF!</v>
      </c>
      <c r="W437" s="3" t="e">
        <f>ROUND(W85+W282+W407+AJ437,0)</f>
        <v>#REF!</v>
      </c>
      <c r="X437" s="3" t="e">
        <f>ROUND(X85+X282+X407+AK437,0)</f>
        <v>#REF!</v>
      </c>
      <c r="Y437" s="3" t="e">
        <f>ROUND(Y85+Y282+Y407+AL437,0)</f>
        <v>#REF!</v>
      </c>
      <c r="Z437" s="3"/>
      <c r="AA437" s="3"/>
      <c r="AB437" s="3"/>
      <c r="AC437" s="3"/>
      <c r="AD437" s="3"/>
      <c r="AE437" s="3"/>
      <c r="AF437" s="3"/>
      <c r="AG437" s="3"/>
      <c r="AH437" s="3"/>
      <c r="AI437" s="3"/>
      <c r="AJ437" s="3"/>
      <c r="AK437" s="3"/>
      <c r="AL437" s="3"/>
      <c r="AM437" s="3"/>
      <c r="AN437" s="3"/>
      <c r="AO437" s="3">
        <f t="shared" ref="AO437:BD437" si="462">ROUND(AO85+AO282+AO407+BX437,0)</f>
        <v>0</v>
      </c>
      <c r="AP437" s="3">
        <f t="shared" si="462"/>
        <v>0</v>
      </c>
      <c r="AQ437" s="3">
        <f t="shared" si="462"/>
        <v>0</v>
      </c>
      <c r="AR437" s="3" t="e">
        <f t="shared" si="462"/>
        <v>#REF!</v>
      </c>
      <c r="AS437" s="3" t="e">
        <f t="shared" si="462"/>
        <v>#REF!</v>
      </c>
      <c r="AT437" s="3" t="e">
        <f t="shared" si="462"/>
        <v>#REF!</v>
      </c>
      <c r="AU437" s="3">
        <f t="shared" si="462"/>
        <v>0</v>
      </c>
      <c r="AV437" s="3" t="e">
        <f t="shared" si="462"/>
        <v>#REF!</v>
      </c>
      <c r="AW437" s="3" t="e">
        <f t="shared" si="462"/>
        <v>#REF!</v>
      </c>
      <c r="AX437" s="3">
        <f t="shared" si="462"/>
        <v>0</v>
      </c>
      <c r="AY437" s="3" t="e">
        <f t="shared" si="462"/>
        <v>#REF!</v>
      </c>
      <c r="AZ437" s="3">
        <f t="shared" si="462"/>
        <v>0</v>
      </c>
      <c r="BA437" s="3" t="e">
        <f t="shared" si="462"/>
        <v>#REF!</v>
      </c>
      <c r="BB437" s="3">
        <f t="shared" si="462"/>
        <v>0</v>
      </c>
      <c r="BC437" s="3">
        <f t="shared" si="462"/>
        <v>0</v>
      </c>
      <c r="BD437" s="3">
        <f t="shared" si="462"/>
        <v>0</v>
      </c>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4" t="e">
        <f t="shared" ref="DG437:DL437" si="463">ROUND(DG85+DG282+DG407+DT437,0)</f>
        <v>#REF!</v>
      </c>
      <c r="DH437" s="4" t="e">
        <f t="shared" si="463"/>
        <v>#REF!</v>
      </c>
      <c r="DI437" s="4" t="e">
        <f t="shared" si="463"/>
        <v>#REF!</v>
      </c>
      <c r="DJ437" s="4" t="e">
        <f t="shared" si="463"/>
        <v>#REF!</v>
      </c>
      <c r="DK437" s="4" t="e">
        <f t="shared" si="463"/>
        <v>#REF!</v>
      </c>
      <c r="DL437" s="4" t="e">
        <f t="shared" si="463"/>
        <v>#REF!</v>
      </c>
      <c r="DM437" s="4" t="e">
        <f>DM85+DM282+DM407+DZ437</f>
        <v>#REF!</v>
      </c>
      <c r="DN437" s="4" t="e">
        <f>DN85+DN282+DN407+EA437</f>
        <v>#REF!</v>
      </c>
      <c r="DO437" s="4" t="e">
        <f>ROUND(DO85+DO282+DO407+EB437,0)</f>
        <v>#REF!</v>
      </c>
      <c r="DP437" s="4" t="e">
        <f>ROUND(DP85+DP282+DP407+EC437,0)</f>
        <v>#REF!</v>
      </c>
      <c r="DQ437" s="4" t="e">
        <f>ROUND(DQ85+DQ282+DQ407+ED437,0)</f>
        <v>#REF!</v>
      </c>
      <c r="DR437" s="4"/>
      <c r="DS437" s="4"/>
      <c r="DT437" s="4"/>
      <c r="DU437" s="4"/>
      <c r="DV437" s="4"/>
      <c r="DW437" s="4"/>
      <c r="DX437" s="4"/>
      <c r="DY437" s="4"/>
      <c r="DZ437" s="4"/>
      <c r="EA437" s="4"/>
      <c r="EB437" s="4"/>
      <c r="EC437" s="4"/>
      <c r="ED437" s="4"/>
      <c r="EE437" s="4"/>
      <c r="EF437" s="4"/>
      <c r="EG437" s="4">
        <f t="shared" ref="EG437:EV437" si="464">ROUND(EG85+EG282+EG407+FP437,0)</f>
        <v>0</v>
      </c>
      <c r="EH437" s="4">
        <f t="shared" si="464"/>
        <v>0</v>
      </c>
      <c r="EI437" s="4">
        <f t="shared" si="464"/>
        <v>0</v>
      </c>
      <c r="EJ437" s="4" t="e">
        <f t="shared" si="464"/>
        <v>#REF!</v>
      </c>
      <c r="EK437" s="4" t="e">
        <f t="shared" si="464"/>
        <v>#REF!</v>
      </c>
      <c r="EL437" s="4" t="e">
        <f t="shared" si="464"/>
        <v>#REF!</v>
      </c>
      <c r="EM437" s="4">
        <f t="shared" si="464"/>
        <v>0</v>
      </c>
      <c r="EN437" s="4" t="e">
        <f t="shared" si="464"/>
        <v>#REF!</v>
      </c>
      <c r="EO437" s="4" t="e">
        <f t="shared" si="464"/>
        <v>#REF!</v>
      </c>
      <c r="EP437" s="4">
        <f t="shared" si="464"/>
        <v>0</v>
      </c>
      <c r="EQ437" s="4" t="e">
        <f t="shared" si="464"/>
        <v>#REF!</v>
      </c>
      <c r="ER437" s="4">
        <f t="shared" si="464"/>
        <v>0</v>
      </c>
      <c r="ES437" s="4" t="e">
        <f t="shared" si="464"/>
        <v>#REF!</v>
      </c>
      <c r="ET437" s="4">
        <f t="shared" si="464"/>
        <v>0</v>
      </c>
      <c r="EU437" s="4">
        <f t="shared" si="464"/>
        <v>0</v>
      </c>
      <c r="EV437" s="4">
        <f t="shared" si="464"/>
        <v>0</v>
      </c>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v>0</v>
      </c>
      <c r="IF437">
        <v>-1</v>
      </c>
    </row>
    <row r="438" spans="1:240" x14ac:dyDescent="0.2">
      <c r="IF438">
        <v>-1</v>
      </c>
    </row>
    <row r="439" spans="1:240" x14ac:dyDescent="0.2">
      <c r="A439" s="5">
        <v>50</v>
      </c>
      <c r="B439" s="5">
        <v>0</v>
      </c>
      <c r="C439" s="5">
        <v>0</v>
      </c>
      <c r="D439" s="5">
        <v>1</v>
      </c>
      <c r="E439" s="5">
        <v>201</v>
      </c>
      <c r="F439" s="5" t="e">
        <f>ROUND(Source!O437,O439)</f>
        <v>#REF!</v>
      </c>
      <c r="G439" s="5" t="s">
        <v>142</v>
      </c>
      <c r="H439" s="5" t="s">
        <v>143</v>
      </c>
      <c r="I439" s="5"/>
      <c r="J439" s="5"/>
      <c r="K439" s="5">
        <v>201</v>
      </c>
      <c r="L439" s="5">
        <v>1</v>
      </c>
      <c r="M439" s="5">
        <v>3</v>
      </c>
      <c r="N439" s="5" t="s">
        <v>6</v>
      </c>
      <c r="O439" s="5">
        <v>0</v>
      </c>
      <c r="P439" s="5" t="e">
        <f>ROUND(Source!DG437,O439)</f>
        <v>#REF!</v>
      </c>
      <c r="Q439" s="5"/>
      <c r="R439" s="5"/>
      <c r="S439" s="5"/>
      <c r="T439" s="5"/>
      <c r="U439" s="5"/>
      <c r="V439" s="5"/>
      <c r="W439" s="5">
        <v>1736301</v>
      </c>
      <c r="X439" s="5">
        <v>1</v>
      </c>
      <c r="Y439" s="5">
        <v>1736301</v>
      </c>
      <c r="Z439" s="5">
        <v>18951086</v>
      </c>
      <c r="AA439" s="5">
        <v>1</v>
      </c>
      <c r="AB439" s="5">
        <v>18951086</v>
      </c>
      <c r="IF439">
        <v>-1</v>
      </c>
    </row>
    <row r="440" spans="1:240" x14ac:dyDescent="0.2">
      <c r="A440" s="5">
        <v>50</v>
      </c>
      <c r="B440" s="5">
        <v>0</v>
      </c>
      <c r="C440" s="5">
        <v>0</v>
      </c>
      <c r="D440" s="5">
        <v>1</v>
      </c>
      <c r="E440" s="5">
        <v>202</v>
      </c>
      <c r="F440" s="5" t="e">
        <f>ROUND(Source!P437,O440)</f>
        <v>#REF!</v>
      </c>
      <c r="G440" s="5" t="s">
        <v>144</v>
      </c>
      <c r="H440" s="5" t="s">
        <v>145</v>
      </c>
      <c r="I440" s="5"/>
      <c r="J440" s="5"/>
      <c r="K440" s="5">
        <v>202</v>
      </c>
      <c r="L440" s="5">
        <v>2</v>
      </c>
      <c r="M440" s="5">
        <v>3</v>
      </c>
      <c r="N440" s="5" t="s">
        <v>6</v>
      </c>
      <c r="O440" s="5">
        <v>0</v>
      </c>
      <c r="P440" s="5" t="e">
        <f>ROUND(Source!DH437,O440)</f>
        <v>#REF!</v>
      </c>
      <c r="Q440" s="5"/>
      <c r="R440" s="5"/>
      <c r="S440" s="5"/>
      <c r="T440" s="5"/>
      <c r="U440" s="5"/>
      <c r="V440" s="5"/>
      <c r="W440" s="5">
        <v>1347195</v>
      </c>
      <c r="X440" s="5">
        <v>1</v>
      </c>
      <c r="Y440" s="5">
        <v>1347195</v>
      </c>
      <c r="Z440" s="5">
        <v>12672093</v>
      </c>
      <c r="AA440" s="5">
        <v>1</v>
      </c>
      <c r="AB440" s="5">
        <v>12672093</v>
      </c>
      <c r="IF440">
        <v>-1</v>
      </c>
    </row>
    <row r="441" spans="1:240" x14ac:dyDescent="0.2">
      <c r="A441" s="5">
        <v>50</v>
      </c>
      <c r="B441" s="5">
        <v>0</v>
      </c>
      <c r="C441" s="5">
        <v>0</v>
      </c>
      <c r="D441" s="5">
        <v>1</v>
      </c>
      <c r="E441" s="5">
        <v>227</v>
      </c>
      <c r="F441" s="5">
        <f>ROUND(Source!AO437,O441)</f>
        <v>0</v>
      </c>
      <c r="G441" s="5" t="s">
        <v>146</v>
      </c>
      <c r="H441" s="5" t="s">
        <v>147</v>
      </c>
      <c r="I441" s="5"/>
      <c r="J441" s="5"/>
      <c r="K441" s="5">
        <v>222</v>
      </c>
      <c r="L441" s="5">
        <v>3</v>
      </c>
      <c r="M441" s="5">
        <v>3</v>
      </c>
      <c r="N441" s="5" t="s">
        <v>6</v>
      </c>
      <c r="O441" s="5">
        <v>0</v>
      </c>
      <c r="P441" s="5">
        <f>ROUND(Source!EG437,O441)</f>
        <v>0</v>
      </c>
      <c r="Q441" s="5"/>
      <c r="R441" s="5"/>
      <c r="S441" s="5"/>
      <c r="T441" s="5"/>
      <c r="U441" s="5"/>
      <c r="V441" s="5"/>
      <c r="W441" s="5">
        <v>0</v>
      </c>
      <c r="X441" s="5">
        <v>1</v>
      </c>
      <c r="Y441" s="5">
        <v>0</v>
      </c>
      <c r="Z441" s="5">
        <v>0</v>
      </c>
      <c r="AA441" s="5">
        <v>1</v>
      </c>
      <c r="AB441" s="5">
        <v>0</v>
      </c>
      <c r="IF441">
        <v>-1</v>
      </c>
    </row>
    <row r="442" spans="1:240" x14ac:dyDescent="0.2">
      <c r="A442" s="5">
        <v>50</v>
      </c>
      <c r="B442" s="5">
        <v>0</v>
      </c>
      <c r="C442" s="5">
        <v>0</v>
      </c>
      <c r="D442" s="5">
        <v>1</v>
      </c>
      <c r="E442" s="5">
        <v>225</v>
      </c>
      <c r="F442" s="5" t="e">
        <f>ROUND(Source!AV437,O442)</f>
        <v>#REF!</v>
      </c>
      <c r="G442" s="5" t="s">
        <v>148</v>
      </c>
      <c r="H442" s="5" t="s">
        <v>149</v>
      </c>
      <c r="I442" s="5"/>
      <c r="J442" s="5"/>
      <c r="K442" s="5">
        <v>225</v>
      </c>
      <c r="L442" s="5">
        <v>4</v>
      </c>
      <c r="M442" s="5">
        <v>3</v>
      </c>
      <c r="N442" s="5" t="s">
        <v>6</v>
      </c>
      <c r="O442" s="5">
        <v>0</v>
      </c>
      <c r="P442" s="5" t="e">
        <f>ROUND(Source!EN437,O442)</f>
        <v>#REF!</v>
      </c>
      <c r="Q442" s="5"/>
      <c r="R442" s="5"/>
      <c r="S442" s="5"/>
      <c r="T442" s="5"/>
      <c r="U442" s="5"/>
      <c r="V442" s="5"/>
      <c r="W442" s="5">
        <v>1347195</v>
      </c>
      <c r="X442" s="5">
        <v>1</v>
      </c>
      <c r="Y442" s="5">
        <v>1347195</v>
      </c>
      <c r="Z442" s="5">
        <v>12672093</v>
      </c>
      <c r="AA442" s="5">
        <v>1</v>
      </c>
      <c r="AB442" s="5">
        <v>12672093</v>
      </c>
      <c r="IF442">
        <v>-1</v>
      </c>
    </row>
    <row r="443" spans="1:240" x14ac:dyDescent="0.2">
      <c r="A443" s="5">
        <v>50</v>
      </c>
      <c r="B443" s="5">
        <v>0</v>
      </c>
      <c r="C443" s="5">
        <v>0</v>
      </c>
      <c r="D443" s="5">
        <v>1</v>
      </c>
      <c r="E443" s="5">
        <v>226</v>
      </c>
      <c r="F443" s="5" t="e">
        <f>ROUND(Source!AW437,O443)</f>
        <v>#REF!</v>
      </c>
      <c r="G443" s="5" t="s">
        <v>150</v>
      </c>
      <c r="H443" s="5" t="s">
        <v>151</v>
      </c>
      <c r="I443" s="5"/>
      <c r="J443" s="5"/>
      <c r="K443" s="5">
        <v>226</v>
      </c>
      <c r="L443" s="5">
        <v>5</v>
      </c>
      <c r="M443" s="5">
        <v>3</v>
      </c>
      <c r="N443" s="5" t="s">
        <v>6</v>
      </c>
      <c r="O443" s="5">
        <v>0</v>
      </c>
      <c r="P443" s="5" t="e">
        <f>ROUND(Source!EO437,O443)</f>
        <v>#REF!</v>
      </c>
      <c r="Q443" s="5"/>
      <c r="R443" s="5"/>
      <c r="S443" s="5"/>
      <c r="T443" s="5"/>
      <c r="U443" s="5"/>
      <c r="V443" s="5"/>
      <c r="W443" s="5">
        <v>1347195</v>
      </c>
      <c r="X443" s="5">
        <v>1</v>
      </c>
      <c r="Y443" s="5">
        <v>1347195</v>
      </c>
      <c r="Z443" s="5">
        <v>12672093</v>
      </c>
      <c r="AA443" s="5">
        <v>1</v>
      </c>
      <c r="AB443" s="5">
        <v>12672093</v>
      </c>
      <c r="IF443">
        <v>-1</v>
      </c>
    </row>
    <row r="444" spans="1:240" x14ac:dyDescent="0.2">
      <c r="A444" s="5">
        <v>50</v>
      </c>
      <c r="B444" s="5">
        <v>0</v>
      </c>
      <c r="C444" s="5">
        <v>0</v>
      </c>
      <c r="D444" s="5">
        <v>1</v>
      </c>
      <c r="E444" s="5">
        <v>0</v>
      </c>
      <c r="F444" s="5">
        <f>ROUND(Source!AX437,O444)</f>
        <v>0</v>
      </c>
      <c r="G444" s="5" t="s">
        <v>152</v>
      </c>
      <c r="H444" s="5" t="s">
        <v>153</v>
      </c>
      <c r="I444" s="5"/>
      <c r="J444" s="5"/>
      <c r="K444" s="5">
        <v>227</v>
      </c>
      <c r="L444" s="5">
        <v>6</v>
      </c>
      <c r="M444" s="5">
        <v>3</v>
      </c>
      <c r="N444" s="5" t="s">
        <v>6</v>
      </c>
      <c r="O444" s="5">
        <v>0</v>
      </c>
      <c r="P444" s="5">
        <f>ROUND(Source!EP437,O444)</f>
        <v>0</v>
      </c>
      <c r="Q444" s="5"/>
      <c r="R444" s="5"/>
      <c r="S444" s="5"/>
      <c r="T444" s="5"/>
      <c r="U444" s="5"/>
      <c r="V444" s="5"/>
      <c r="W444" s="5">
        <v>0</v>
      </c>
      <c r="X444" s="5">
        <v>1</v>
      </c>
      <c r="Y444" s="5">
        <v>0</v>
      </c>
      <c r="Z444" s="5">
        <v>0</v>
      </c>
      <c r="AA444" s="5">
        <v>1</v>
      </c>
      <c r="AB444" s="5">
        <v>0</v>
      </c>
      <c r="IF444">
        <v>-1</v>
      </c>
    </row>
    <row r="445" spans="1:240" x14ac:dyDescent="0.2">
      <c r="A445" s="5">
        <v>50</v>
      </c>
      <c r="B445" s="5">
        <v>0</v>
      </c>
      <c r="C445" s="5">
        <v>0</v>
      </c>
      <c r="D445" s="5">
        <v>1</v>
      </c>
      <c r="E445" s="5">
        <v>228</v>
      </c>
      <c r="F445" s="5" t="e">
        <f>ROUND(Source!AY437,O445)</f>
        <v>#REF!</v>
      </c>
      <c r="G445" s="5" t="s">
        <v>154</v>
      </c>
      <c r="H445" s="5" t="s">
        <v>155</v>
      </c>
      <c r="I445" s="5"/>
      <c r="J445" s="5"/>
      <c r="K445" s="5">
        <v>228</v>
      </c>
      <c r="L445" s="5">
        <v>7</v>
      </c>
      <c r="M445" s="5">
        <v>3</v>
      </c>
      <c r="N445" s="5" t="s">
        <v>6</v>
      </c>
      <c r="O445" s="5">
        <v>0</v>
      </c>
      <c r="P445" s="5" t="e">
        <f>ROUND(Source!EQ437,O445)</f>
        <v>#REF!</v>
      </c>
      <c r="Q445" s="5"/>
      <c r="R445" s="5"/>
      <c r="S445" s="5"/>
      <c r="T445" s="5"/>
      <c r="U445" s="5"/>
      <c r="V445" s="5"/>
      <c r="W445" s="5">
        <v>1347195</v>
      </c>
      <c r="X445" s="5">
        <v>1</v>
      </c>
      <c r="Y445" s="5">
        <v>1347195</v>
      </c>
      <c r="Z445" s="5">
        <v>12672093</v>
      </c>
      <c r="AA445" s="5">
        <v>1</v>
      </c>
      <c r="AB445" s="5">
        <v>12672093</v>
      </c>
      <c r="IF445">
        <v>-1</v>
      </c>
    </row>
    <row r="446" spans="1:240" x14ac:dyDescent="0.2">
      <c r="A446" s="5">
        <v>50</v>
      </c>
      <c r="B446" s="5">
        <v>0</v>
      </c>
      <c r="C446" s="5">
        <v>0</v>
      </c>
      <c r="D446" s="5">
        <v>1</v>
      </c>
      <c r="E446" s="5">
        <v>216</v>
      </c>
      <c r="F446" s="5">
        <f>ROUND(Source!AP437,O446)</f>
        <v>0</v>
      </c>
      <c r="G446" s="5" t="s">
        <v>156</v>
      </c>
      <c r="H446" s="5" t="s">
        <v>157</v>
      </c>
      <c r="I446" s="5"/>
      <c r="J446" s="5"/>
      <c r="K446" s="5">
        <v>216</v>
      </c>
      <c r="L446" s="5">
        <v>8</v>
      </c>
      <c r="M446" s="5">
        <v>3</v>
      </c>
      <c r="N446" s="5" t="s">
        <v>6</v>
      </c>
      <c r="O446" s="5">
        <v>0</v>
      </c>
      <c r="P446" s="5">
        <f>ROUND(Source!EH437,O446)</f>
        <v>0</v>
      </c>
      <c r="Q446" s="5"/>
      <c r="R446" s="5"/>
      <c r="S446" s="5"/>
      <c r="T446" s="5"/>
      <c r="U446" s="5"/>
      <c r="V446" s="5"/>
      <c r="W446" s="5">
        <v>0</v>
      </c>
      <c r="X446" s="5">
        <v>1</v>
      </c>
      <c r="Y446" s="5">
        <v>0</v>
      </c>
      <c r="Z446" s="5">
        <v>0</v>
      </c>
      <c r="AA446" s="5">
        <v>1</v>
      </c>
      <c r="AB446" s="5">
        <v>0</v>
      </c>
      <c r="IF446">
        <v>-1</v>
      </c>
    </row>
    <row r="447" spans="1:240" x14ac:dyDescent="0.2">
      <c r="A447" s="5">
        <v>50</v>
      </c>
      <c r="B447" s="5">
        <v>0</v>
      </c>
      <c r="C447" s="5">
        <v>0</v>
      </c>
      <c r="D447" s="5">
        <v>1</v>
      </c>
      <c r="E447" s="5">
        <v>223</v>
      </c>
      <c r="F447" s="5">
        <f>ROUND(Source!AQ437,O447)</f>
        <v>0</v>
      </c>
      <c r="G447" s="5" t="s">
        <v>158</v>
      </c>
      <c r="H447" s="5" t="s">
        <v>159</v>
      </c>
      <c r="I447" s="5"/>
      <c r="J447" s="5"/>
      <c r="K447" s="5">
        <v>223</v>
      </c>
      <c r="L447" s="5">
        <v>9</v>
      </c>
      <c r="M447" s="5">
        <v>3</v>
      </c>
      <c r="N447" s="5" t="s">
        <v>6</v>
      </c>
      <c r="O447" s="5">
        <v>0</v>
      </c>
      <c r="P447" s="5">
        <f>ROUND(Source!EI437,O447)</f>
        <v>0</v>
      </c>
      <c r="Q447" s="5"/>
      <c r="R447" s="5"/>
      <c r="S447" s="5"/>
      <c r="T447" s="5"/>
      <c r="U447" s="5"/>
      <c r="V447" s="5"/>
      <c r="W447" s="5">
        <v>0</v>
      </c>
      <c r="X447" s="5">
        <v>1</v>
      </c>
      <c r="Y447" s="5">
        <v>0</v>
      </c>
      <c r="Z447" s="5">
        <v>0</v>
      </c>
      <c r="AA447" s="5">
        <v>1</v>
      </c>
      <c r="AB447" s="5">
        <v>0</v>
      </c>
      <c r="IF447">
        <v>-1</v>
      </c>
    </row>
    <row r="448" spans="1:240" x14ac:dyDescent="0.2">
      <c r="A448" s="5">
        <v>50</v>
      </c>
      <c r="B448" s="5">
        <v>0</v>
      </c>
      <c r="C448" s="5">
        <v>0</v>
      </c>
      <c r="D448" s="5">
        <v>1</v>
      </c>
      <c r="E448" s="5">
        <v>229</v>
      </c>
      <c r="F448" s="5">
        <f>ROUND(Source!AZ437,O448)</f>
        <v>0</v>
      </c>
      <c r="G448" s="5" t="s">
        <v>160</v>
      </c>
      <c r="H448" s="5" t="s">
        <v>161</v>
      </c>
      <c r="I448" s="5"/>
      <c r="J448" s="5"/>
      <c r="K448" s="5">
        <v>229</v>
      </c>
      <c r="L448" s="5">
        <v>10</v>
      </c>
      <c r="M448" s="5">
        <v>3</v>
      </c>
      <c r="N448" s="5" t="s">
        <v>6</v>
      </c>
      <c r="O448" s="5">
        <v>0</v>
      </c>
      <c r="P448" s="5">
        <f>ROUND(Source!ER437,O448)</f>
        <v>0</v>
      </c>
      <c r="Q448" s="5"/>
      <c r="R448" s="5"/>
      <c r="S448" s="5"/>
      <c r="T448" s="5"/>
      <c r="U448" s="5"/>
      <c r="V448" s="5"/>
      <c r="W448" s="5">
        <v>0</v>
      </c>
      <c r="X448" s="5">
        <v>1</v>
      </c>
      <c r="Y448" s="5">
        <v>0</v>
      </c>
      <c r="Z448" s="5">
        <v>0</v>
      </c>
      <c r="AA448" s="5">
        <v>1</v>
      </c>
      <c r="AB448" s="5">
        <v>0</v>
      </c>
      <c r="IF448">
        <v>-1</v>
      </c>
    </row>
    <row r="449" spans="1:240" x14ac:dyDescent="0.2">
      <c r="A449" s="5">
        <v>50</v>
      </c>
      <c r="B449" s="5">
        <v>0</v>
      </c>
      <c r="C449" s="5">
        <v>0</v>
      </c>
      <c r="D449" s="5">
        <v>1</v>
      </c>
      <c r="E449" s="5">
        <v>203</v>
      </c>
      <c r="F449" s="5" t="e">
        <f>ROUND(Source!Q437,O449)</f>
        <v>#REF!</v>
      </c>
      <c r="G449" s="5" t="s">
        <v>162</v>
      </c>
      <c r="H449" s="5" t="s">
        <v>163</v>
      </c>
      <c r="I449" s="5"/>
      <c r="J449" s="5"/>
      <c r="K449" s="5">
        <v>203</v>
      </c>
      <c r="L449" s="5">
        <v>11</v>
      </c>
      <c r="M449" s="5">
        <v>3</v>
      </c>
      <c r="N449" s="5" t="s">
        <v>6</v>
      </c>
      <c r="O449" s="5">
        <v>0</v>
      </c>
      <c r="P449" s="5" t="e">
        <f>ROUND(Source!DI437,O449)</f>
        <v>#REF!</v>
      </c>
      <c r="Q449" s="5"/>
      <c r="R449" s="5"/>
      <c r="S449" s="5"/>
      <c r="T449" s="5"/>
      <c r="U449" s="5"/>
      <c r="V449" s="5"/>
      <c r="W449" s="5">
        <v>253242</v>
      </c>
      <c r="X449" s="5">
        <v>1</v>
      </c>
      <c r="Y449" s="5">
        <v>253242</v>
      </c>
      <c r="Z449" s="5">
        <v>2316801</v>
      </c>
      <c r="AA449" s="5">
        <v>1</v>
      </c>
      <c r="AB449" s="5">
        <v>2316801</v>
      </c>
      <c r="IF449">
        <v>-1</v>
      </c>
    </row>
    <row r="450" spans="1:240" x14ac:dyDescent="0.2">
      <c r="A450" s="5">
        <v>50</v>
      </c>
      <c r="B450" s="5">
        <v>0</v>
      </c>
      <c r="C450" s="5">
        <v>0</v>
      </c>
      <c r="D450" s="5">
        <v>1</v>
      </c>
      <c r="E450" s="5">
        <v>231</v>
      </c>
      <c r="F450" s="5">
        <f>ROUND(Source!BB437,O450)</f>
        <v>0</v>
      </c>
      <c r="G450" s="5" t="s">
        <v>164</v>
      </c>
      <c r="H450" s="5" t="s">
        <v>165</v>
      </c>
      <c r="I450" s="5"/>
      <c r="J450" s="5"/>
      <c r="K450" s="5">
        <v>231</v>
      </c>
      <c r="L450" s="5">
        <v>12</v>
      </c>
      <c r="M450" s="5">
        <v>3</v>
      </c>
      <c r="N450" s="5" t="s">
        <v>6</v>
      </c>
      <c r="O450" s="5">
        <v>0</v>
      </c>
      <c r="P450" s="5">
        <f>ROUND(Source!ET437,O450)</f>
        <v>0</v>
      </c>
      <c r="Q450" s="5"/>
      <c r="R450" s="5"/>
      <c r="S450" s="5"/>
      <c r="T450" s="5"/>
      <c r="U450" s="5"/>
      <c r="V450" s="5"/>
      <c r="W450" s="5">
        <v>0</v>
      </c>
      <c r="X450" s="5">
        <v>1</v>
      </c>
      <c r="Y450" s="5">
        <v>0</v>
      </c>
      <c r="Z450" s="5">
        <v>0</v>
      </c>
      <c r="AA450" s="5">
        <v>1</v>
      </c>
      <c r="AB450" s="5">
        <v>0</v>
      </c>
      <c r="IF450">
        <v>-1</v>
      </c>
    </row>
    <row r="451" spans="1:240" x14ac:dyDescent="0.2">
      <c r="A451" s="5">
        <v>50</v>
      </c>
      <c r="B451" s="5">
        <v>0</v>
      </c>
      <c r="C451" s="5">
        <v>0</v>
      </c>
      <c r="D451" s="5">
        <v>1</v>
      </c>
      <c r="E451" s="5">
        <v>204</v>
      </c>
      <c r="F451" s="5" t="e">
        <f>ROUND(Source!R437,O451)</f>
        <v>#REF!</v>
      </c>
      <c r="G451" s="5" t="s">
        <v>166</v>
      </c>
      <c r="H451" s="5" t="s">
        <v>167</v>
      </c>
      <c r="I451" s="5"/>
      <c r="J451" s="5"/>
      <c r="K451" s="5">
        <v>204</v>
      </c>
      <c r="L451" s="5">
        <v>13</v>
      </c>
      <c r="M451" s="5">
        <v>3</v>
      </c>
      <c r="N451" s="5" t="s">
        <v>6</v>
      </c>
      <c r="O451" s="5">
        <v>0</v>
      </c>
      <c r="P451" s="5" t="e">
        <f>ROUND(Source!DJ437,O451)</f>
        <v>#REF!</v>
      </c>
      <c r="Q451" s="5"/>
      <c r="R451" s="5"/>
      <c r="S451" s="5"/>
      <c r="T451" s="5"/>
      <c r="U451" s="5"/>
      <c r="V451" s="5"/>
      <c r="W451" s="5">
        <v>31478</v>
      </c>
      <c r="X451" s="5">
        <v>1</v>
      </c>
      <c r="Y451" s="5">
        <v>31478</v>
      </c>
      <c r="Z451" s="5">
        <v>623235</v>
      </c>
      <c r="AA451" s="5">
        <v>1</v>
      </c>
      <c r="AB451" s="5">
        <v>623235</v>
      </c>
      <c r="IF451">
        <v>-1</v>
      </c>
    </row>
    <row r="452" spans="1:240" x14ac:dyDescent="0.2">
      <c r="A452" s="5">
        <v>50</v>
      </c>
      <c r="B452" s="5">
        <v>0</v>
      </c>
      <c r="C452" s="5">
        <v>0</v>
      </c>
      <c r="D452" s="5">
        <v>1</v>
      </c>
      <c r="E452" s="5">
        <v>205</v>
      </c>
      <c r="F452" s="5" t="e">
        <f>ROUND(Source!S437,O452)</f>
        <v>#REF!</v>
      </c>
      <c r="G452" s="5" t="s">
        <v>168</v>
      </c>
      <c r="H452" s="5" t="s">
        <v>169</v>
      </c>
      <c r="I452" s="5"/>
      <c r="J452" s="5"/>
      <c r="K452" s="5">
        <v>205</v>
      </c>
      <c r="L452" s="5">
        <v>14</v>
      </c>
      <c r="M452" s="5">
        <v>3</v>
      </c>
      <c r="N452" s="5" t="s">
        <v>6</v>
      </c>
      <c r="O452" s="5">
        <v>0</v>
      </c>
      <c r="P452" s="5" t="e">
        <f>ROUND(Source!DK437,O452)</f>
        <v>#REF!</v>
      </c>
      <c r="Q452" s="5"/>
      <c r="R452" s="5"/>
      <c r="S452" s="5"/>
      <c r="T452" s="5"/>
      <c r="U452" s="5"/>
      <c r="V452" s="5"/>
      <c r="W452" s="5">
        <v>135864</v>
      </c>
      <c r="X452" s="5">
        <v>1</v>
      </c>
      <c r="Y452" s="5">
        <v>135864</v>
      </c>
      <c r="Z452" s="5">
        <v>3962192</v>
      </c>
      <c r="AA452" s="5">
        <v>1</v>
      </c>
      <c r="AB452" s="5">
        <v>3962192</v>
      </c>
      <c r="IF452">
        <v>-1</v>
      </c>
    </row>
    <row r="453" spans="1:240" x14ac:dyDescent="0.2">
      <c r="A453" s="5">
        <v>50</v>
      </c>
      <c r="B453" s="5">
        <v>0</v>
      </c>
      <c r="C453" s="5">
        <v>0</v>
      </c>
      <c r="D453" s="5">
        <v>1</v>
      </c>
      <c r="E453" s="5">
        <v>232</v>
      </c>
      <c r="F453" s="5">
        <f>ROUND(Source!BC437,O453)</f>
        <v>0</v>
      </c>
      <c r="G453" s="5" t="s">
        <v>170</v>
      </c>
      <c r="H453" s="5" t="s">
        <v>171</v>
      </c>
      <c r="I453" s="5"/>
      <c r="J453" s="5"/>
      <c r="K453" s="5">
        <v>232</v>
      </c>
      <c r="L453" s="5">
        <v>15</v>
      </c>
      <c r="M453" s="5">
        <v>3</v>
      </c>
      <c r="N453" s="5" t="s">
        <v>6</v>
      </c>
      <c r="O453" s="5">
        <v>0</v>
      </c>
      <c r="P453" s="5">
        <f>ROUND(Source!EU437,O453)</f>
        <v>0</v>
      </c>
      <c r="Q453" s="5"/>
      <c r="R453" s="5"/>
      <c r="S453" s="5"/>
      <c r="T453" s="5"/>
      <c r="U453" s="5"/>
      <c r="V453" s="5"/>
      <c r="W453" s="5">
        <v>0</v>
      </c>
      <c r="X453" s="5">
        <v>1</v>
      </c>
      <c r="Y453" s="5">
        <v>0</v>
      </c>
      <c r="Z453" s="5">
        <v>0</v>
      </c>
      <c r="AA453" s="5">
        <v>1</v>
      </c>
      <c r="AB453" s="5">
        <v>0</v>
      </c>
      <c r="IF453">
        <v>-1</v>
      </c>
    </row>
    <row r="454" spans="1:240" x14ac:dyDescent="0.2">
      <c r="A454" s="5">
        <v>50</v>
      </c>
      <c r="B454" s="5">
        <v>0</v>
      </c>
      <c r="C454" s="5">
        <v>0</v>
      </c>
      <c r="D454" s="5">
        <v>1</v>
      </c>
      <c r="E454" s="5">
        <v>214</v>
      </c>
      <c r="F454" s="5" t="e">
        <f>ROUND(Source!AS437,O454)</f>
        <v>#REF!</v>
      </c>
      <c r="G454" s="5" t="s">
        <v>172</v>
      </c>
      <c r="H454" s="5" t="s">
        <v>173</v>
      </c>
      <c r="I454" s="5"/>
      <c r="J454" s="5"/>
      <c r="K454" s="5">
        <v>214</v>
      </c>
      <c r="L454" s="5">
        <v>16</v>
      </c>
      <c r="M454" s="5">
        <v>3</v>
      </c>
      <c r="N454" s="5" t="s">
        <v>6</v>
      </c>
      <c r="O454" s="5">
        <v>0</v>
      </c>
      <c r="P454" s="5" t="e">
        <f>ROUND(Source!EK437,O454)</f>
        <v>#REF!</v>
      </c>
      <c r="Q454" s="5"/>
      <c r="R454" s="5"/>
      <c r="S454" s="5"/>
      <c r="T454" s="5"/>
      <c r="U454" s="5"/>
      <c r="V454" s="5"/>
      <c r="W454" s="5">
        <v>1981558</v>
      </c>
      <c r="X454" s="5">
        <v>1</v>
      </c>
      <c r="Y454" s="5">
        <v>1981558</v>
      </c>
      <c r="Z454" s="5">
        <v>25520406</v>
      </c>
      <c r="AA454" s="5">
        <v>1</v>
      </c>
      <c r="AB454" s="5">
        <v>25520406</v>
      </c>
      <c r="IF454">
        <v>-1</v>
      </c>
    </row>
    <row r="455" spans="1:240" x14ac:dyDescent="0.2">
      <c r="A455" s="5">
        <v>50</v>
      </c>
      <c r="B455" s="5">
        <v>0</v>
      </c>
      <c r="C455" s="5">
        <v>0</v>
      </c>
      <c r="D455" s="5">
        <v>1</v>
      </c>
      <c r="E455" s="5">
        <v>215</v>
      </c>
      <c r="F455" s="5" t="e">
        <f>ROUND(Source!AT437,O455)</f>
        <v>#REF!</v>
      </c>
      <c r="G455" s="5" t="s">
        <v>174</v>
      </c>
      <c r="H455" s="5" t="s">
        <v>175</v>
      </c>
      <c r="I455" s="5"/>
      <c r="J455" s="5"/>
      <c r="K455" s="5">
        <v>215</v>
      </c>
      <c r="L455" s="5">
        <v>17</v>
      </c>
      <c r="M455" s="5">
        <v>3</v>
      </c>
      <c r="N455" s="5" t="s">
        <v>6</v>
      </c>
      <c r="O455" s="5">
        <v>0</v>
      </c>
      <c r="P455" s="5" t="e">
        <f>ROUND(Source!EL437,O455)</f>
        <v>#REF!</v>
      </c>
      <c r="Q455" s="5"/>
      <c r="R455" s="5"/>
      <c r="S455" s="5"/>
      <c r="T455" s="5"/>
      <c r="U455" s="5"/>
      <c r="V455" s="5"/>
      <c r="W455" s="5">
        <v>18637</v>
      </c>
      <c r="X455" s="5">
        <v>1</v>
      </c>
      <c r="Y455" s="5">
        <v>18637</v>
      </c>
      <c r="Z455" s="5">
        <v>135679</v>
      </c>
      <c r="AA455" s="5">
        <v>1</v>
      </c>
      <c r="AB455" s="5">
        <v>135679</v>
      </c>
      <c r="IF455">
        <v>-1</v>
      </c>
    </row>
    <row r="456" spans="1:240" x14ac:dyDescent="0.2">
      <c r="A456" s="5">
        <v>50</v>
      </c>
      <c r="B456" s="5">
        <v>0</v>
      </c>
      <c r="C456" s="5">
        <v>0</v>
      </c>
      <c r="D456" s="5">
        <v>1</v>
      </c>
      <c r="E456" s="5">
        <v>217</v>
      </c>
      <c r="F456" s="5">
        <f>ROUND(Source!AU437,O456)</f>
        <v>0</v>
      </c>
      <c r="G456" s="5" t="s">
        <v>176</v>
      </c>
      <c r="H456" s="5" t="s">
        <v>177</v>
      </c>
      <c r="I456" s="5"/>
      <c r="J456" s="5"/>
      <c r="K456" s="5">
        <v>217</v>
      </c>
      <c r="L456" s="5">
        <v>18</v>
      </c>
      <c r="M456" s="5">
        <v>3</v>
      </c>
      <c r="N456" s="5" t="s">
        <v>6</v>
      </c>
      <c r="O456" s="5">
        <v>0</v>
      </c>
      <c r="P456" s="5">
        <f>ROUND(Source!EM437,O456)</f>
        <v>0</v>
      </c>
      <c r="Q456" s="5"/>
      <c r="R456" s="5"/>
      <c r="S456" s="5"/>
      <c r="T456" s="5"/>
      <c r="U456" s="5"/>
      <c r="V456" s="5"/>
      <c r="W456" s="5">
        <v>0</v>
      </c>
      <c r="X456" s="5">
        <v>1</v>
      </c>
      <c r="Y456" s="5">
        <v>0</v>
      </c>
      <c r="Z456" s="5">
        <v>0</v>
      </c>
      <c r="AA456" s="5">
        <v>1</v>
      </c>
      <c r="AB456" s="5">
        <v>0</v>
      </c>
      <c r="IF456">
        <v>-1</v>
      </c>
    </row>
    <row r="457" spans="1:240" x14ac:dyDescent="0.2">
      <c r="A457" s="5">
        <v>50</v>
      </c>
      <c r="B457" s="5">
        <v>0</v>
      </c>
      <c r="C457" s="5">
        <v>0</v>
      </c>
      <c r="D457" s="5">
        <v>1</v>
      </c>
      <c r="E457" s="5">
        <v>230</v>
      </c>
      <c r="F457" s="5" t="e">
        <f>ROUND(Source!BA437,O457)</f>
        <v>#REF!</v>
      </c>
      <c r="G457" s="5" t="s">
        <v>178</v>
      </c>
      <c r="H457" s="5" t="s">
        <v>179</v>
      </c>
      <c r="I457" s="5"/>
      <c r="J457" s="5"/>
      <c r="K457" s="5">
        <v>230</v>
      </c>
      <c r="L457" s="5">
        <v>19</v>
      </c>
      <c r="M457" s="5">
        <v>3</v>
      </c>
      <c r="N457" s="5" t="s">
        <v>6</v>
      </c>
      <c r="O457" s="5">
        <v>0</v>
      </c>
      <c r="P457" s="5" t="e">
        <f>ROUND(Source!ES437,O457)</f>
        <v>#REF!</v>
      </c>
      <c r="Q457" s="5"/>
      <c r="R457" s="5"/>
      <c r="S457" s="5"/>
      <c r="T457" s="5"/>
      <c r="U457" s="5"/>
      <c r="V457" s="5"/>
      <c r="W457" s="5">
        <v>0</v>
      </c>
      <c r="X457" s="5">
        <v>1</v>
      </c>
      <c r="Y457" s="5">
        <v>0</v>
      </c>
      <c r="Z457" s="5">
        <v>0</v>
      </c>
      <c r="AA457" s="5">
        <v>1</v>
      </c>
      <c r="AB457" s="5">
        <v>0</v>
      </c>
      <c r="IF457">
        <v>-1</v>
      </c>
    </row>
    <row r="458" spans="1:240" x14ac:dyDescent="0.2">
      <c r="A458" s="5">
        <v>50</v>
      </c>
      <c r="B458" s="5">
        <v>0</v>
      </c>
      <c r="C458" s="5">
        <v>0</v>
      </c>
      <c r="D458" s="5">
        <v>1</v>
      </c>
      <c r="E458" s="5">
        <v>206</v>
      </c>
      <c r="F458" s="5" t="e">
        <f>ROUND(Source!T437,O458)</f>
        <v>#REF!</v>
      </c>
      <c r="G458" s="5" t="s">
        <v>180</v>
      </c>
      <c r="H458" s="5" t="s">
        <v>181</v>
      </c>
      <c r="I458" s="5"/>
      <c r="J458" s="5"/>
      <c r="K458" s="5">
        <v>206</v>
      </c>
      <c r="L458" s="5">
        <v>20</v>
      </c>
      <c r="M458" s="5">
        <v>3</v>
      </c>
      <c r="N458" s="5" t="s">
        <v>6</v>
      </c>
      <c r="O458" s="5">
        <v>0</v>
      </c>
      <c r="P458" s="5" t="e">
        <f>ROUND(Source!DL437,O458)</f>
        <v>#REF!</v>
      </c>
      <c r="Q458" s="5"/>
      <c r="R458" s="5"/>
      <c r="S458" s="5"/>
      <c r="T458" s="5"/>
      <c r="U458" s="5"/>
      <c r="V458" s="5"/>
      <c r="W458" s="5">
        <v>0</v>
      </c>
      <c r="X458" s="5">
        <v>1</v>
      </c>
      <c r="Y458" s="5">
        <v>0</v>
      </c>
      <c r="Z458" s="5">
        <v>0</v>
      </c>
      <c r="AA458" s="5">
        <v>1</v>
      </c>
      <c r="AB458" s="5">
        <v>0</v>
      </c>
      <c r="IF458">
        <v>-1</v>
      </c>
    </row>
    <row r="459" spans="1:240" x14ac:dyDescent="0.2">
      <c r="A459" s="5">
        <v>50</v>
      </c>
      <c r="B459" s="5">
        <v>0</v>
      </c>
      <c r="C459" s="5">
        <v>0</v>
      </c>
      <c r="D459" s="5">
        <v>1</v>
      </c>
      <c r="E459" s="5">
        <v>207</v>
      </c>
      <c r="F459" s="5" t="e">
        <f>ROUND(Source!U437,O459)</f>
        <v>#REF!</v>
      </c>
      <c r="G459" s="5" t="s">
        <v>182</v>
      </c>
      <c r="H459" s="5" t="s">
        <v>183</v>
      </c>
      <c r="I459" s="5"/>
      <c r="J459" s="5"/>
      <c r="K459" s="5">
        <v>207</v>
      </c>
      <c r="L459" s="5">
        <v>21</v>
      </c>
      <c r="M459" s="5">
        <v>3</v>
      </c>
      <c r="N459" s="5" t="s">
        <v>6</v>
      </c>
      <c r="O459" s="5">
        <v>0</v>
      </c>
      <c r="P459" s="5" t="e">
        <f>ROUND(Source!DM437,O459)</f>
        <v>#REF!</v>
      </c>
      <c r="Q459" s="5"/>
      <c r="R459" s="5"/>
      <c r="S459" s="5"/>
      <c r="T459" s="5"/>
      <c r="U459" s="5"/>
      <c r="V459" s="5"/>
      <c r="W459" s="5">
        <v>13385</v>
      </c>
      <c r="X459" s="5">
        <v>1</v>
      </c>
      <c r="Y459" s="5">
        <v>13385</v>
      </c>
      <c r="Z459" s="5">
        <v>13385</v>
      </c>
      <c r="AA459" s="5">
        <v>1</v>
      </c>
      <c r="AB459" s="5">
        <v>13385</v>
      </c>
      <c r="IF459">
        <v>-1</v>
      </c>
    </row>
    <row r="460" spans="1:240" x14ac:dyDescent="0.2">
      <c r="A460" s="5">
        <v>50</v>
      </c>
      <c r="B460" s="5">
        <v>0</v>
      </c>
      <c r="C460" s="5">
        <v>0</v>
      </c>
      <c r="D460" s="5">
        <v>1</v>
      </c>
      <c r="E460" s="5">
        <v>208</v>
      </c>
      <c r="F460" s="5" t="e">
        <f>ROUND(Source!V437,O460)</f>
        <v>#REF!</v>
      </c>
      <c r="G460" s="5" t="s">
        <v>184</v>
      </c>
      <c r="H460" s="5" t="s">
        <v>185</v>
      </c>
      <c r="I460" s="5"/>
      <c r="J460" s="5"/>
      <c r="K460" s="5">
        <v>208</v>
      </c>
      <c r="L460" s="5">
        <v>22</v>
      </c>
      <c r="M460" s="5">
        <v>3</v>
      </c>
      <c r="N460" s="5" t="s">
        <v>6</v>
      </c>
      <c r="O460" s="5">
        <v>0</v>
      </c>
      <c r="P460" s="5" t="e">
        <f>ROUND(Source!DN437,O460)</f>
        <v>#REF!</v>
      </c>
      <c r="Q460" s="5"/>
      <c r="R460" s="5"/>
      <c r="S460" s="5"/>
      <c r="T460" s="5"/>
      <c r="U460" s="5"/>
      <c r="V460" s="5"/>
      <c r="W460" s="5">
        <v>2338</v>
      </c>
      <c r="X460" s="5">
        <v>1</v>
      </c>
      <c r="Y460" s="5">
        <v>2338</v>
      </c>
      <c r="Z460" s="5">
        <v>2338</v>
      </c>
      <c r="AA460" s="5">
        <v>1</v>
      </c>
      <c r="AB460" s="5">
        <v>2338</v>
      </c>
      <c r="IF460">
        <v>-1</v>
      </c>
    </row>
    <row r="461" spans="1:240" x14ac:dyDescent="0.2">
      <c r="A461" s="5">
        <v>50</v>
      </c>
      <c r="B461" s="5">
        <v>0</v>
      </c>
      <c r="C461" s="5">
        <v>0</v>
      </c>
      <c r="D461" s="5">
        <v>1</v>
      </c>
      <c r="E461" s="5">
        <v>209</v>
      </c>
      <c r="F461" s="5" t="e">
        <f>ROUND(Source!W437,O461)</f>
        <v>#REF!</v>
      </c>
      <c r="G461" s="5" t="s">
        <v>186</v>
      </c>
      <c r="H461" s="5" t="s">
        <v>187</v>
      </c>
      <c r="I461" s="5"/>
      <c r="J461" s="5"/>
      <c r="K461" s="5">
        <v>209</v>
      </c>
      <c r="L461" s="5">
        <v>23</v>
      </c>
      <c r="M461" s="5">
        <v>3</v>
      </c>
      <c r="N461" s="5" t="s">
        <v>6</v>
      </c>
      <c r="O461" s="5">
        <v>0</v>
      </c>
      <c r="P461" s="5" t="e">
        <f>ROUND(Source!DO437,O461)</f>
        <v>#REF!</v>
      </c>
      <c r="Q461" s="5"/>
      <c r="R461" s="5"/>
      <c r="S461" s="5"/>
      <c r="T461" s="5"/>
      <c r="U461" s="5"/>
      <c r="V461" s="5"/>
      <c r="W461" s="5">
        <v>95</v>
      </c>
      <c r="X461" s="5">
        <v>1</v>
      </c>
      <c r="Y461" s="5">
        <v>95</v>
      </c>
      <c r="Z461" s="5">
        <v>95</v>
      </c>
      <c r="AA461" s="5">
        <v>1</v>
      </c>
      <c r="AB461" s="5">
        <v>95</v>
      </c>
      <c r="IF461">
        <v>-1</v>
      </c>
    </row>
    <row r="462" spans="1:240" x14ac:dyDescent="0.2">
      <c r="A462" s="5">
        <v>50</v>
      </c>
      <c r="B462" s="5">
        <v>0</v>
      </c>
      <c r="C462" s="5">
        <v>0</v>
      </c>
      <c r="D462" s="5">
        <v>1</v>
      </c>
      <c r="E462" s="5">
        <v>233</v>
      </c>
      <c r="F462" s="5">
        <f>ROUND(Source!BD437,O462)</f>
        <v>0</v>
      </c>
      <c r="G462" s="5" t="s">
        <v>188</v>
      </c>
      <c r="H462" s="5" t="s">
        <v>189</v>
      </c>
      <c r="I462" s="5"/>
      <c r="J462" s="5"/>
      <c r="K462" s="5">
        <v>233</v>
      </c>
      <c r="L462" s="5">
        <v>24</v>
      </c>
      <c r="M462" s="5">
        <v>3</v>
      </c>
      <c r="N462" s="5" t="s">
        <v>6</v>
      </c>
      <c r="O462" s="5">
        <v>0</v>
      </c>
      <c r="P462" s="5">
        <f>ROUND(Source!EV437,O462)</f>
        <v>0</v>
      </c>
      <c r="Q462" s="5"/>
      <c r="R462" s="5"/>
      <c r="S462" s="5"/>
      <c r="T462" s="5"/>
      <c r="U462" s="5"/>
      <c r="V462" s="5"/>
      <c r="W462" s="5">
        <v>0</v>
      </c>
      <c r="X462" s="5">
        <v>1</v>
      </c>
      <c r="Y462" s="5">
        <v>0</v>
      </c>
      <c r="Z462" s="5">
        <v>0</v>
      </c>
      <c r="AA462" s="5">
        <v>1</v>
      </c>
      <c r="AB462" s="5">
        <v>0</v>
      </c>
      <c r="IF462">
        <v>-1</v>
      </c>
    </row>
    <row r="463" spans="1:240" x14ac:dyDescent="0.2">
      <c r="A463" s="5">
        <v>50</v>
      </c>
      <c r="B463" s="5">
        <v>0</v>
      </c>
      <c r="C463" s="5">
        <v>0</v>
      </c>
      <c r="D463" s="5">
        <v>1</v>
      </c>
      <c r="E463" s="5">
        <v>210</v>
      </c>
      <c r="F463" s="5" t="e">
        <f>ROUND(Source!X437,O463)</f>
        <v>#REF!</v>
      </c>
      <c r="G463" s="5" t="s">
        <v>190</v>
      </c>
      <c r="H463" s="5" t="s">
        <v>191</v>
      </c>
      <c r="I463" s="5"/>
      <c r="J463" s="5"/>
      <c r="K463" s="5">
        <v>210</v>
      </c>
      <c r="L463" s="5">
        <v>25</v>
      </c>
      <c r="M463" s="5">
        <v>3</v>
      </c>
      <c r="N463" s="5" t="s">
        <v>6</v>
      </c>
      <c r="O463" s="5">
        <v>0</v>
      </c>
      <c r="P463" s="5" t="e">
        <f>ROUND(Source!DP437,O463)</f>
        <v>#REF!</v>
      </c>
      <c r="Q463" s="5"/>
      <c r="R463" s="5"/>
      <c r="S463" s="5"/>
      <c r="T463" s="5"/>
      <c r="U463" s="5"/>
      <c r="V463" s="5"/>
      <c r="W463" s="5">
        <v>151436</v>
      </c>
      <c r="X463" s="5">
        <v>1</v>
      </c>
      <c r="Y463" s="5">
        <v>151436</v>
      </c>
      <c r="Z463" s="5">
        <v>4059527</v>
      </c>
      <c r="AA463" s="5">
        <v>1</v>
      </c>
      <c r="AB463" s="5">
        <v>4059527</v>
      </c>
      <c r="IF463">
        <v>-1</v>
      </c>
    </row>
    <row r="464" spans="1:240" x14ac:dyDescent="0.2">
      <c r="A464" s="5">
        <v>50</v>
      </c>
      <c r="B464" s="5">
        <v>0</v>
      </c>
      <c r="C464" s="5">
        <v>0</v>
      </c>
      <c r="D464" s="5">
        <v>1</v>
      </c>
      <c r="E464" s="5">
        <v>211</v>
      </c>
      <c r="F464" s="5" t="e">
        <f>ROUND(Source!Y437,O464)</f>
        <v>#REF!</v>
      </c>
      <c r="G464" s="5" t="s">
        <v>192</v>
      </c>
      <c r="H464" s="5" t="s">
        <v>193</v>
      </c>
      <c r="I464" s="5"/>
      <c r="J464" s="5"/>
      <c r="K464" s="5">
        <v>211</v>
      </c>
      <c r="L464" s="5">
        <v>26</v>
      </c>
      <c r="M464" s="5">
        <v>3</v>
      </c>
      <c r="N464" s="5" t="s">
        <v>6</v>
      </c>
      <c r="O464" s="5">
        <v>0</v>
      </c>
      <c r="P464" s="5" t="e">
        <f>ROUND(Source!DQ437,O464)</f>
        <v>#REF!</v>
      </c>
      <c r="Q464" s="5"/>
      <c r="R464" s="5"/>
      <c r="S464" s="5"/>
      <c r="T464" s="5"/>
      <c r="U464" s="5"/>
      <c r="V464" s="5"/>
      <c r="W464" s="5">
        <v>112458</v>
      </c>
      <c r="X464" s="5">
        <v>1</v>
      </c>
      <c r="Y464" s="5">
        <v>112458</v>
      </c>
      <c r="Z464" s="5">
        <v>2645472</v>
      </c>
      <c r="AA464" s="5">
        <v>1</v>
      </c>
      <c r="AB464" s="5">
        <v>2645472</v>
      </c>
      <c r="IF464">
        <v>-1</v>
      </c>
    </row>
    <row r="465" spans="1:240" x14ac:dyDescent="0.2">
      <c r="A465" s="5">
        <v>50</v>
      </c>
      <c r="B465" s="5">
        <v>0</v>
      </c>
      <c r="C465" s="5">
        <v>0</v>
      </c>
      <c r="D465" s="5">
        <v>1</v>
      </c>
      <c r="E465" s="5">
        <v>224</v>
      </c>
      <c r="F465" s="5" t="e">
        <f>ROUND(Source!AR437,O465)</f>
        <v>#REF!</v>
      </c>
      <c r="G465" s="5" t="s">
        <v>194</v>
      </c>
      <c r="H465" s="5" t="s">
        <v>195</v>
      </c>
      <c r="I465" s="5"/>
      <c r="J465" s="5"/>
      <c r="K465" s="5">
        <v>224</v>
      </c>
      <c r="L465" s="5">
        <v>27</v>
      </c>
      <c r="M465" s="5">
        <v>3</v>
      </c>
      <c r="N465" s="5" t="s">
        <v>6</v>
      </c>
      <c r="O465" s="5">
        <v>0</v>
      </c>
      <c r="P465" s="5" t="e">
        <f>ROUND(Source!EJ437,O465)</f>
        <v>#REF!</v>
      </c>
      <c r="Q465" s="5"/>
      <c r="R465" s="5"/>
      <c r="S465" s="5"/>
      <c r="T465" s="5"/>
      <c r="U465" s="5"/>
      <c r="V465" s="5"/>
      <c r="W465" s="5">
        <v>2000195</v>
      </c>
      <c r="X465" s="5">
        <v>1</v>
      </c>
      <c r="Y465" s="5">
        <v>2000195</v>
      </c>
      <c r="Z465" s="5">
        <v>25656085</v>
      </c>
      <c r="AA465" s="5">
        <v>1</v>
      </c>
      <c r="AB465" s="5">
        <v>25656085</v>
      </c>
      <c r="IF465">
        <v>-1</v>
      </c>
    </row>
    <row r="466" spans="1:240" x14ac:dyDescent="0.2">
      <c r="A466" s="5">
        <v>50</v>
      </c>
      <c r="B466" s="5">
        <v>0</v>
      </c>
      <c r="C466" s="5">
        <v>0</v>
      </c>
      <c r="D466" s="5">
        <v>2</v>
      </c>
      <c r="E466" s="5">
        <v>0</v>
      </c>
      <c r="F466" s="5" t="e">
        <f>ROUND(ROUND(F439,0),O466)</f>
        <v>#REF!</v>
      </c>
      <c r="G466" s="5" t="s">
        <v>142</v>
      </c>
      <c r="H466" s="5" t="s">
        <v>143</v>
      </c>
      <c r="I466" s="5"/>
      <c r="J466" s="5"/>
      <c r="K466" s="5">
        <v>212</v>
      </c>
      <c r="L466" s="5">
        <v>28</v>
      </c>
      <c r="M466" s="5">
        <v>3</v>
      </c>
      <c r="N466" s="5" t="s">
        <v>6</v>
      </c>
      <c r="O466" s="5">
        <v>0</v>
      </c>
      <c r="P466" s="5" t="e">
        <f>ROUND(ROUND(P439,0),O466)</f>
        <v>#REF!</v>
      </c>
      <c r="Q466" s="5"/>
      <c r="R466" s="5"/>
      <c r="S466" s="5"/>
      <c r="T466" s="5"/>
      <c r="U466" s="5"/>
      <c r="V466" s="5"/>
      <c r="W466" s="5">
        <v>1736301</v>
      </c>
      <c r="X466" s="5">
        <v>1</v>
      </c>
      <c r="Y466" s="5">
        <v>1736301</v>
      </c>
      <c r="Z466" s="5">
        <v>18951086</v>
      </c>
      <c r="AA466" s="5">
        <v>1</v>
      </c>
      <c r="AB466" s="5">
        <v>18951086</v>
      </c>
      <c r="IF466">
        <v>-1</v>
      </c>
    </row>
    <row r="467" spans="1:240" x14ac:dyDescent="0.2">
      <c r="A467" s="5">
        <v>50</v>
      </c>
      <c r="B467" s="5">
        <v>0</v>
      </c>
      <c r="C467" s="5">
        <v>0</v>
      </c>
      <c r="D467" s="5">
        <v>2</v>
      </c>
      <c r="E467" s="5">
        <v>0</v>
      </c>
      <c r="F467" s="5" t="e">
        <f>ROUND(ROUND(F463,0),O467)</f>
        <v>#REF!</v>
      </c>
      <c r="G467" s="5" t="s">
        <v>543</v>
      </c>
      <c r="H467" s="5" t="s">
        <v>191</v>
      </c>
      <c r="I467" s="5"/>
      <c r="J467" s="5"/>
      <c r="K467" s="5">
        <v>212</v>
      </c>
      <c r="L467" s="5">
        <v>29</v>
      </c>
      <c r="M467" s="5">
        <v>3</v>
      </c>
      <c r="N467" s="5" t="s">
        <v>6</v>
      </c>
      <c r="O467" s="5">
        <v>0</v>
      </c>
      <c r="P467" s="5" t="e">
        <f>ROUND(ROUND(P463,0),O467)</f>
        <v>#REF!</v>
      </c>
      <c r="Q467" s="5"/>
      <c r="R467" s="5"/>
      <c r="S467" s="5"/>
      <c r="T467" s="5"/>
      <c r="U467" s="5"/>
      <c r="V467" s="5"/>
      <c r="W467" s="5">
        <v>151436</v>
      </c>
      <c r="X467" s="5">
        <v>1</v>
      </c>
      <c r="Y467" s="5">
        <v>151436</v>
      </c>
      <c r="Z467" s="5">
        <v>4059527</v>
      </c>
      <c r="AA467" s="5">
        <v>1</v>
      </c>
      <c r="AB467" s="5">
        <v>4059527</v>
      </c>
      <c r="IF467">
        <v>-1</v>
      </c>
    </row>
    <row r="468" spans="1:240" x14ac:dyDescent="0.2">
      <c r="A468" s="5">
        <v>50</v>
      </c>
      <c r="B468" s="5">
        <v>0</v>
      </c>
      <c r="C468" s="5">
        <v>0</v>
      </c>
      <c r="D468" s="5">
        <v>2</v>
      </c>
      <c r="E468" s="5">
        <v>0</v>
      </c>
      <c r="F468" s="5" t="e">
        <f>ROUND(ROUND(F464,0),O468)</f>
        <v>#REF!</v>
      </c>
      <c r="G468" s="5" t="s">
        <v>544</v>
      </c>
      <c r="H468" s="5" t="s">
        <v>193</v>
      </c>
      <c r="I468" s="5"/>
      <c r="J468" s="5"/>
      <c r="K468" s="5">
        <v>212</v>
      </c>
      <c r="L468" s="5">
        <v>30</v>
      </c>
      <c r="M468" s="5">
        <v>3</v>
      </c>
      <c r="N468" s="5" t="s">
        <v>6</v>
      </c>
      <c r="O468" s="5">
        <v>0</v>
      </c>
      <c r="P468" s="5" t="e">
        <f>ROUND(ROUND(P464,0),O468)</f>
        <v>#REF!</v>
      </c>
      <c r="Q468" s="5"/>
      <c r="R468" s="5"/>
      <c r="S468" s="5"/>
      <c r="T468" s="5"/>
      <c r="U468" s="5"/>
      <c r="V468" s="5"/>
      <c r="W468" s="5">
        <v>112458</v>
      </c>
      <c r="X468" s="5">
        <v>1</v>
      </c>
      <c r="Y468" s="5">
        <v>112458</v>
      </c>
      <c r="Z468" s="5">
        <v>2645472</v>
      </c>
      <c r="AA468" s="5">
        <v>1</v>
      </c>
      <c r="AB468" s="5">
        <v>2645472</v>
      </c>
      <c r="IF468">
        <v>-1</v>
      </c>
    </row>
    <row r="469" spans="1:240" x14ac:dyDescent="0.2">
      <c r="A469" s="5">
        <v>50</v>
      </c>
      <c r="B469" s="5">
        <v>0</v>
      </c>
      <c r="C469" s="5">
        <v>0</v>
      </c>
      <c r="D469" s="5">
        <v>2</v>
      </c>
      <c r="E469" s="5">
        <v>0</v>
      </c>
      <c r="F469" s="5" t="e">
        <f>ROUND(F466+F467+F468,O469)</f>
        <v>#REF!</v>
      </c>
      <c r="G469" s="5" t="s">
        <v>545</v>
      </c>
      <c r="H469" s="5" t="s">
        <v>546</v>
      </c>
      <c r="I469" s="5"/>
      <c r="J469" s="5"/>
      <c r="K469" s="5">
        <v>212</v>
      </c>
      <c r="L469" s="5">
        <v>31</v>
      </c>
      <c r="M469" s="5">
        <v>3</v>
      </c>
      <c r="N469" s="5" t="s">
        <v>6</v>
      </c>
      <c r="O469" s="5">
        <v>0</v>
      </c>
      <c r="P469" s="5" t="e">
        <f>ROUND(P466+P467+P468,O469)</f>
        <v>#REF!</v>
      </c>
      <c r="Q469" s="5"/>
      <c r="R469" s="5"/>
      <c r="S469" s="5"/>
      <c r="T469" s="5"/>
      <c r="U469" s="5"/>
      <c r="V469" s="5"/>
      <c r="W469" s="5">
        <v>2000195</v>
      </c>
      <c r="X469" s="5">
        <v>1</v>
      </c>
      <c r="Y469" s="5">
        <v>2000195</v>
      </c>
      <c r="Z469" s="5">
        <v>25656085</v>
      </c>
      <c r="AA469" s="5">
        <v>1</v>
      </c>
      <c r="AB469" s="5">
        <v>25656085</v>
      </c>
      <c r="IF469">
        <v>-1</v>
      </c>
    </row>
    <row r="470" spans="1:240" x14ac:dyDescent="0.2">
      <c r="A470" s="5">
        <v>50</v>
      </c>
      <c r="B470" s="5">
        <v>0</v>
      </c>
      <c r="C470" s="5">
        <v>0</v>
      </c>
      <c r="D470" s="5">
        <v>2</v>
      </c>
      <c r="E470" s="5">
        <v>0</v>
      </c>
      <c r="F470" s="5" t="e">
        <f>ROUND(ROUND(F452+F451,0),O470)</f>
        <v>#REF!</v>
      </c>
      <c r="G470" s="5" t="s">
        <v>547</v>
      </c>
      <c r="H470" s="5" t="s">
        <v>548</v>
      </c>
      <c r="I470" s="5"/>
      <c r="J470" s="5"/>
      <c r="K470" s="5">
        <v>212</v>
      </c>
      <c r="L470" s="5">
        <v>32</v>
      </c>
      <c r="M470" s="5">
        <v>3</v>
      </c>
      <c r="N470" s="5" t="s">
        <v>6</v>
      </c>
      <c r="O470" s="5">
        <v>0</v>
      </c>
      <c r="P470" s="5" t="e">
        <f>ROUND(ROUND(P452+P451,0),O470)</f>
        <v>#REF!</v>
      </c>
      <c r="Q470" s="5"/>
      <c r="R470" s="5"/>
      <c r="S470" s="5"/>
      <c r="T470" s="5"/>
      <c r="U470" s="5"/>
      <c r="V470" s="5"/>
      <c r="W470" s="5">
        <v>167342</v>
      </c>
      <c r="X470" s="5">
        <v>1</v>
      </c>
      <c r="Y470" s="5">
        <v>167342</v>
      </c>
      <c r="Z470" s="5">
        <v>4585427</v>
      </c>
      <c r="AA470" s="5">
        <v>1</v>
      </c>
      <c r="AB470" s="5">
        <v>4585427</v>
      </c>
      <c r="IF470">
        <v>-1</v>
      </c>
    </row>
    <row r="471" spans="1:240" x14ac:dyDescent="0.2">
      <c r="A471" s="5">
        <v>50</v>
      </c>
      <c r="B471" s="5">
        <v>0</v>
      </c>
      <c r="C471" s="5">
        <v>0</v>
      </c>
      <c r="D471" s="5">
        <v>2</v>
      </c>
      <c r="E471" s="5">
        <v>0</v>
      </c>
      <c r="F471" s="5" t="e">
        <f>ROUND(F469,O471)</f>
        <v>#REF!</v>
      </c>
      <c r="G471" s="5" t="s">
        <v>549</v>
      </c>
      <c r="H471" s="5" t="s">
        <v>194</v>
      </c>
      <c r="I471" s="5"/>
      <c r="J471" s="5"/>
      <c r="K471" s="5">
        <v>212</v>
      </c>
      <c r="L471" s="5">
        <v>33</v>
      </c>
      <c r="M471" s="5">
        <v>3</v>
      </c>
      <c r="N471" s="5" t="s">
        <v>6</v>
      </c>
      <c r="O471" s="5">
        <v>0</v>
      </c>
      <c r="P471" s="5" t="e">
        <f>ROUND(P469,O471)</f>
        <v>#REF!</v>
      </c>
      <c r="Q471" s="5"/>
      <c r="R471" s="5"/>
      <c r="S471" s="5"/>
      <c r="T471" s="5"/>
      <c r="U471" s="5"/>
      <c r="V471" s="5"/>
      <c r="W471" s="5">
        <v>2000195</v>
      </c>
      <c r="X471" s="5">
        <v>1</v>
      </c>
      <c r="Y471" s="5">
        <v>2000195</v>
      </c>
      <c r="Z471" s="5">
        <v>25656085</v>
      </c>
      <c r="AA471" s="5">
        <v>1</v>
      </c>
      <c r="AB471" s="5">
        <v>25656085</v>
      </c>
      <c r="IF471">
        <v>-1</v>
      </c>
    </row>
    <row r="472" spans="1:240" x14ac:dyDescent="0.2">
      <c r="IF472">
        <v>-1</v>
      </c>
    </row>
    <row r="473" spans="1:240" x14ac:dyDescent="0.2">
      <c r="A473" s="3">
        <v>51</v>
      </c>
      <c r="B473" s="3">
        <f>B12</f>
        <v>537</v>
      </c>
      <c r="C473" s="3">
        <f>A12</f>
        <v>1</v>
      </c>
      <c r="D473" s="3">
        <f>ROW(A12)</f>
        <v>12</v>
      </c>
      <c r="E473" s="3"/>
      <c r="F473" s="3" t="str">
        <f>IF(F12&lt;&gt;"",F12,"")</f>
        <v>5.3.1.24.3  Монтаж конструкций здания выше 0.000. Монолитный каркас 17-20 этажи 2 сек,с 1.11.24</v>
      </c>
      <c r="G473" s="3" t="str">
        <f>IF(G12&lt;&gt;"",G12,"")</f>
        <v>Комплекс из 2-х многоквартирных домов, расположенных по адресу г.Орел, б-р Молодежи, участок 2а. 1-й этап строительства - многоквартирный дом корпус 2 (поз.1)</v>
      </c>
      <c r="H473" s="3">
        <v>0</v>
      </c>
      <c r="I473" s="3"/>
      <c r="J473" s="3"/>
      <c r="K473" s="3"/>
      <c r="L473" s="3"/>
      <c r="M473" s="3"/>
      <c r="N473" s="3"/>
      <c r="O473" s="3" t="e">
        <f t="shared" ref="O473:T473" si="465">ROUND(O437,0)</f>
        <v>#REF!</v>
      </c>
      <c r="P473" s="3" t="e">
        <f t="shared" si="465"/>
        <v>#REF!</v>
      </c>
      <c r="Q473" s="3" t="e">
        <f t="shared" si="465"/>
        <v>#REF!</v>
      </c>
      <c r="R473" s="3" t="e">
        <f t="shared" si="465"/>
        <v>#REF!</v>
      </c>
      <c r="S473" s="3" t="e">
        <f t="shared" si="465"/>
        <v>#REF!</v>
      </c>
      <c r="T473" s="3" t="e">
        <f t="shared" si="465"/>
        <v>#REF!</v>
      </c>
      <c r="U473" s="3" t="e">
        <f>U437</f>
        <v>#REF!</v>
      </c>
      <c r="V473" s="3" t="e">
        <f>V437</f>
        <v>#REF!</v>
      </c>
      <c r="W473" s="3" t="e">
        <f>ROUND(W437,0)</f>
        <v>#REF!</v>
      </c>
      <c r="X473" s="3" t="e">
        <f>ROUND(X437,0)</f>
        <v>#REF!</v>
      </c>
      <c r="Y473" s="3" t="e">
        <f>ROUND(Y437,0)</f>
        <v>#REF!</v>
      </c>
      <c r="Z473" s="3"/>
      <c r="AA473" s="3"/>
      <c r="AB473" s="3"/>
      <c r="AC473" s="3"/>
      <c r="AD473" s="3"/>
      <c r="AE473" s="3"/>
      <c r="AF473" s="3"/>
      <c r="AG473" s="3"/>
      <c r="AH473" s="3"/>
      <c r="AI473" s="3"/>
      <c r="AJ473" s="3"/>
      <c r="AK473" s="3"/>
      <c r="AL473" s="3"/>
      <c r="AM473" s="3"/>
      <c r="AN473" s="3"/>
      <c r="AO473" s="3">
        <f t="shared" ref="AO473:BD473" si="466">ROUND(AO437,0)</f>
        <v>0</v>
      </c>
      <c r="AP473" s="3">
        <f t="shared" si="466"/>
        <v>0</v>
      </c>
      <c r="AQ473" s="3">
        <f t="shared" si="466"/>
        <v>0</v>
      </c>
      <c r="AR473" s="3" t="e">
        <f t="shared" si="466"/>
        <v>#REF!</v>
      </c>
      <c r="AS473" s="3" t="e">
        <f t="shared" si="466"/>
        <v>#REF!</v>
      </c>
      <c r="AT473" s="3" t="e">
        <f t="shared" si="466"/>
        <v>#REF!</v>
      </c>
      <c r="AU473" s="3">
        <f t="shared" si="466"/>
        <v>0</v>
      </c>
      <c r="AV473" s="3" t="e">
        <f t="shared" si="466"/>
        <v>#REF!</v>
      </c>
      <c r="AW473" s="3" t="e">
        <f t="shared" si="466"/>
        <v>#REF!</v>
      </c>
      <c r="AX473" s="3">
        <f t="shared" si="466"/>
        <v>0</v>
      </c>
      <c r="AY473" s="3" t="e">
        <f t="shared" si="466"/>
        <v>#REF!</v>
      </c>
      <c r="AZ473" s="3">
        <f t="shared" si="466"/>
        <v>0</v>
      </c>
      <c r="BA473" s="3" t="e">
        <f t="shared" si="466"/>
        <v>#REF!</v>
      </c>
      <c r="BB473" s="3">
        <f t="shared" si="466"/>
        <v>0</v>
      </c>
      <c r="BC473" s="3">
        <f t="shared" si="466"/>
        <v>0</v>
      </c>
      <c r="BD473" s="3">
        <f t="shared" si="466"/>
        <v>0</v>
      </c>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4" t="e">
        <f t="shared" ref="DG473:DL473" si="467">ROUND(DG437,0)</f>
        <v>#REF!</v>
      </c>
      <c r="DH473" s="4" t="e">
        <f t="shared" si="467"/>
        <v>#REF!</v>
      </c>
      <c r="DI473" s="4" t="e">
        <f t="shared" si="467"/>
        <v>#REF!</v>
      </c>
      <c r="DJ473" s="4" t="e">
        <f t="shared" si="467"/>
        <v>#REF!</v>
      </c>
      <c r="DK473" s="4" t="e">
        <f t="shared" si="467"/>
        <v>#REF!</v>
      </c>
      <c r="DL473" s="4" t="e">
        <f t="shared" si="467"/>
        <v>#REF!</v>
      </c>
      <c r="DM473" s="4" t="e">
        <f>DM437</f>
        <v>#REF!</v>
      </c>
      <c r="DN473" s="4" t="e">
        <f>DN437</f>
        <v>#REF!</v>
      </c>
      <c r="DO473" s="4" t="e">
        <f>ROUND(DO437,0)</f>
        <v>#REF!</v>
      </c>
      <c r="DP473" s="4" t="e">
        <f>ROUND(DP437,0)</f>
        <v>#REF!</v>
      </c>
      <c r="DQ473" s="4" t="e">
        <f>ROUND(DQ437,0)</f>
        <v>#REF!</v>
      </c>
      <c r="DR473" s="4"/>
      <c r="DS473" s="4"/>
      <c r="DT473" s="4"/>
      <c r="DU473" s="4"/>
      <c r="DV473" s="4"/>
      <c r="DW473" s="4"/>
      <c r="DX473" s="4"/>
      <c r="DY473" s="4"/>
      <c r="DZ473" s="4"/>
      <c r="EA473" s="4"/>
      <c r="EB473" s="4"/>
      <c r="EC473" s="4"/>
      <c r="ED473" s="4"/>
      <c r="EE473" s="4"/>
      <c r="EF473" s="4"/>
      <c r="EG473" s="4">
        <f t="shared" ref="EG473:EV473" si="468">ROUND(EG437,0)</f>
        <v>0</v>
      </c>
      <c r="EH473" s="4">
        <f t="shared" si="468"/>
        <v>0</v>
      </c>
      <c r="EI473" s="4">
        <f t="shared" si="468"/>
        <v>0</v>
      </c>
      <c r="EJ473" s="4" t="e">
        <f t="shared" si="468"/>
        <v>#REF!</v>
      </c>
      <c r="EK473" s="4" t="e">
        <f t="shared" si="468"/>
        <v>#REF!</v>
      </c>
      <c r="EL473" s="4" t="e">
        <f t="shared" si="468"/>
        <v>#REF!</v>
      </c>
      <c r="EM473" s="4">
        <f t="shared" si="468"/>
        <v>0</v>
      </c>
      <c r="EN473" s="4" t="e">
        <f t="shared" si="468"/>
        <v>#REF!</v>
      </c>
      <c r="EO473" s="4" t="e">
        <f t="shared" si="468"/>
        <v>#REF!</v>
      </c>
      <c r="EP473" s="4">
        <f t="shared" si="468"/>
        <v>0</v>
      </c>
      <c r="EQ473" s="4" t="e">
        <f t="shared" si="468"/>
        <v>#REF!</v>
      </c>
      <c r="ER473" s="4">
        <f t="shared" si="468"/>
        <v>0</v>
      </c>
      <c r="ES473" s="4" t="e">
        <f t="shared" si="468"/>
        <v>#REF!</v>
      </c>
      <c r="ET473" s="4">
        <f t="shared" si="468"/>
        <v>0</v>
      </c>
      <c r="EU473" s="4">
        <f t="shared" si="468"/>
        <v>0</v>
      </c>
      <c r="EV473" s="4">
        <f t="shared" si="468"/>
        <v>0</v>
      </c>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v>0</v>
      </c>
      <c r="IF473">
        <v>-1</v>
      </c>
    </row>
    <row r="474" spans="1:240" x14ac:dyDescent="0.2">
      <c r="IF474">
        <v>-1</v>
      </c>
    </row>
    <row r="475" spans="1:240" x14ac:dyDescent="0.2">
      <c r="A475" s="5">
        <v>50</v>
      </c>
      <c r="B475" s="5">
        <v>0</v>
      </c>
      <c r="C475" s="5">
        <v>0</v>
      </c>
      <c r="D475" s="5">
        <v>1</v>
      </c>
      <c r="E475" s="5">
        <v>201</v>
      </c>
      <c r="F475" s="5" t="e">
        <f>ROUND(Source!O473,O475)</f>
        <v>#REF!</v>
      </c>
      <c r="G475" s="5" t="s">
        <v>142</v>
      </c>
      <c r="H475" s="5" t="s">
        <v>143</v>
      </c>
      <c r="I475" s="5"/>
      <c r="J475" s="5"/>
      <c r="K475" s="5">
        <v>201</v>
      </c>
      <c r="L475" s="5">
        <v>1</v>
      </c>
      <c r="M475" s="5">
        <v>3</v>
      </c>
      <c r="N475" s="5" t="s">
        <v>6</v>
      </c>
      <c r="O475" s="5">
        <v>0</v>
      </c>
      <c r="P475" s="5" t="e">
        <f>ROUND(Source!DG473,O475)</f>
        <v>#REF!</v>
      </c>
      <c r="Q475" s="5"/>
      <c r="R475" s="5"/>
      <c r="S475" s="5"/>
      <c r="T475" s="5"/>
      <c r="U475" s="5"/>
      <c r="V475" s="5"/>
      <c r="W475" s="5">
        <v>1736301</v>
      </c>
      <c r="X475" s="5">
        <v>1</v>
      </c>
      <c r="Y475" s="5">
        <v>1736301</v>
      </c>
      <c r="Z475" s="5">
        <v>18951086</v>
      </c>
      <c r="AA475" s="5">
        <v>1</v>
      </c>
      <c r="AB475" s="5">
        <v>18951086</v>
      </c>
      <c r="IF475">
        <v>-1</v>
      </c>
    </row>
    <row r="476" spans="1:240" x14ac:dyDescent="0.2">
      <c r="A476" s="5">
        <v>50</v>
      </c>
      <c r="B476" s="5">
        <v>0</v>
      </c>
      <c r="C476" s="5">
        <v>0</v>
      </c>
      <c r="D476" s="5">
        <v>1</v>
      </c>
      <c r="E476" s="5">
        <v>202</v>
      </c>
      <c r="F476" s="5" t="e">
        <f>ROUND(Source!P473,O476)</f>
        <v>#REF!</v>
      </c>
      <c r="G476" s="5" t="s">
        <v>144</v>
      </c>
      <c r="H476" s="5" t="s">
        <v>145</v>
      </c>
      <c r="I476" s="5"/>
      <c r="J476" s="5"/>
      <c r="K476" s="5">
        <v>202</v>
      </c>
      <c r="L476" s="5">
        <v>2</v>
      </c>
      <c r="M476" s="5">
        <v>3</v>
      </c>
      <c r="N476" s="5" t="s">
        <v>6</v>
      </c>
      <c r="O476" s="5">
        <v>0</v>
      </c>
      <c r="P476" s="5" t="e">
        <f>ROUND(Source!DH473,O476)</f>
        <v>#REF!</v>
      </c>
      <c r="Q476" s="5"/>
      <c r="R476" s="5"/>
      <c r="S476" s="5"/>
      <c r="T476" s="5"/>
      <c r="U476" s="5"/>
      <c r="V476" s="5"/>
      <c r="W476" s="5">
        <v>1347195</v>
      </c>
      <c r="X476" s="5">
        <v>1</v>
      </c>
      <c r="Y476" s="5">
        <v>1347195</v>
      </c>
      <c r="Z476" s="5">
        <v>12672093</v>
      </c>
      <c r="AA476" s="5">
        <v>1</v>
      </c>
      <c r="AB476" s="5">
        <v>12672093</v>
      </c>
      <c r="IF476">
        <v>-1</v>
      </c>
    </row>
    <row r="477" spans="1:240" x14ac:dyDescent="0.2">
      <c r="A477" s="5">
        <v>50</v>
      </c>
      <c r="B477" s="5">
        <v>0</v>
      </c>
      <c r="C477" s="5">
        <v>0</v>
      </c>
      <c r="D477" s="5">
        <v>1</v>
      </c>
      <c r="E477" s="5">
        <v>227</v>
      </c>
      <c r="F477" s="5">
        <f>ROUND(Source!AO473,O477)</f>
        <v>0</v>
      </c>
      <c r="G477" s="5" t="s">
        <v>146</v>
      </c>
      <c r="H477" s="5" t="s">
        <v>147</v>
      </c>
      <c r="I477" s="5"/>
      <c r="J477" s="5"/>
      <c r="K477" s="5">
        <v>222</v>
      </c>
      <c r="L477" s="5">
        <v>3</v>
      </c>
      <c r="M477" s="5">
        <v>3</v>
      </c>
      <c r="N477" s="5" t="s">
        <v>6</v>
      </c>
      <c r="O477" s="5">
        <v>0</v>
      </c>
      <c r="P477" s="5">
        <f>ROUND(Source!EG473,O477)</f>
        <v>0</v>
      </c>
      <c r="Q477" s="5"/>
      <c r="R477" s="5"/>
      <c r="S477" s="5"/>
      <c r="T477" s="5"/>
      <c r="U477" s="5"/>
      <c r="V477" s="5"/>
      <c r="W477" s="5">
        <v>0</v>
      </c>
      <c r="X477" s="5">
        <v>1</v>
      </c>
      <c r="Y477" s="5">
        <v>0</v>
      </c>
      <c r="Z477" s="5">
        <v>0</v>
      </c>
      <c r="AA477" s="5">
        <v>1</v>
      </c>
      <c r="AB477" s="5">
        <v>0</v>
      </c>
      <c r="IF477">
        <v>-1</v>
      </c>
    </row>
    <row r="478" spans="1:240" x14ac:dyDescent="0.2">
      <c r="A478" s="5">
        <v>50</v>
      </c>
      <c r="B478" s="5">
        <v>0</v>
      </c>
      <c r="C478" s="5">
        <v>0</v>
      </c>
      <c r="D478" s="5">
        <v>1</v>
      </c>
      <c r="E478" s="5">
        <v>225</v>
      </c>
      <c r="F478" s="5" t="e">
        <f>ROUND(Source!AV473,O478)</f>
        <v>#REF!</v>
      </c>
      <c r="G478" s="5" t="s">
        <v>148</v>
      </c>
      <c r="H478" s="5" t="s">
        <v>149</v>
      </c>
      <c r="I478" s="5"/>
      <c r="J478" s="5"/>
      <c r="K478" s="5">
        <v>225</v>
      </c>
      <c r="L478" s="5">
        <v>4</v>
      </c>
      <c r="M478" s="5">
        <v>3</v>
      </c>
      <c r="N478" s="5" t="s">
        <v>6</v>
      </c>
      <c r="O478" s="5">
        <v>0</v>
      </c>
      <c r="P478" s="5" t="e">
        <f>ROUND(Source!EN473,O478)</f>
        <v>#REF!</v>
      </c>
      <c r="Q478" s="5"/>
      <c r="R478" s="5"/>
      <c r="S478" s="5"/>
      <c r="T478" s="5"/>
      <c r="U478" s="5"/>
      <c r="V478" s="5"/>
      <c r="W478" s="5">
        <v>1347195</v>
      </c>
      <c r="X478" s="5">
        <v>1</v>
      </c>
      <c r="Y478" s="5">
        <v>1347195</v>
      </c>
      <c r="Z478" s="5">
        <v>12672093</v>
      </c>
      <c r="AA478" s="5">
        <v>1</v>
      </c>
      <c r="AB478" s="5">
        <v>12672093</v>
      </c>
      <c r="IF478">
        <v>-1</v>
      </c>
    </row>
    <row r="479" spans="1:240" x14ac:dyDescent="0.2">
      <c r="A479" s="5">
        <v>50</v>
      </c>
      <c r="B479" s="5">
        <v>0</v>
      </c>
      <c r="C479" s="5">
        <v>0</v>
      </c>
      <c r="D479" s="5">
        <v>1</v>
      </c>
      <c r="E479" s="5">
        <v>226</v>
      </c>
      <c r="F479" s="5" t="e">
        <f>ROUND(Source!AW473,O479)</f>
        <v>#REF!</v>
      </c>
      <c r="G479" s="5" t="s">
        <v>150</v>
      </c>
      <c r="H479" s="5" t="s">
        <v>151</v>
      </c>
      <c r="I479" s="5"/>
      <c r="J479" s="5"/>
      <c r="K479" s="5">
        <v>226</v>
      </c>
      <c r="L479" s="5">
        <v>5</v>
      </c>
      <c r="M479" s="5">
        <v>3</v>
      </c>
      <c r="N479" s="5" t="s">
        <v>6</v>
      </c>
      <c r="O479" s="5">
        <v>0</v>
      </c>
      <c r="P479" s="5" t="e">
        <f>ROUND(Source!EO473,O479)</f>
        <v>#REF!</v>
      </c>
      <c r="Q479" s="5"/>
      <c r="R479" s="5"/>
      <c r="S479" s="5"/>
      <c r="T479" s="5"/>
      <c r="U479" s="5"/>
      <c r="V479" s="5"/>
      <c r="W479" s="5">
        <v>1347195</v>
      </c>
      <c r="X479" s="5">
        <v>1</v>
      </c>
      <c r="Y479" s="5">
        <v>1347195</v>
      </c>
      <c r="Z479" s="5">
        <v>12672093</v>
      </c>
      <c r="AA479" s="5">
        <v>1</v>
      </c>
      <c r="AB479" s="5">
        <v>12672093</v>
      </c>
      <c r="IF479">
        <v>-1</v>
      </c>
    </row>
    <row r="480" spans="1:240" x14ac:dyDescent="0.2">
      <c r="A480" s="5">
        <v>50</v>
      </c>
      <c r="B480" s="5">
        <v>0</v>
      </c>
      <c r="C480" s="5">
        <v>0</v>
      </c>
      <c r="D480" s="5">
        <v>1</v>
      </c>
      <c r="E480" s="5">
        <v>0</v>
      </c>
      <c r="F480" s="5">
        <f>ROUND(Source!AX473,O480)</f>
        <v>0</v>
      </c>
      <c r="G480" s="5" t="s">
        <v>152</v>
      </c>
      <c r="H480" s="5" t="s">
        <v>153</v>
      </c>
      <c r="I480" s="5"/>
      <c r="J480" s="5"/>
      <c r="K480" s="5">
        <v>227</v>
      </c>
      <c r="L480" s="5">
        <v>6</v>
      </c>
      <c r="M480" s="5">
        <v>3</v>
      </c>
      <c r="N480" s="5" t="s">
        <v>6</v>
      </c>
      <c r="O480" s="5">
        <v>0</v>
      </c>
      <c r="P480" s="5">
        <f>ROUND(Source!EP473,O480)</f>
        <v>0</v>
      </c>
      <c r="Q480" s="5"/>
      <c r="R480" s="5"/>
      <c r="S480" s="5"/>
      <c r="T480" s="5"/>
      <c r="U480" s="5"/>
      <c r="V480" s="5"/>
      <c r="W480" s="5">
        <v>0</v>
      </c>
      <c r="X480" s="5">
        <v>1</v>
      </c>
      <c r="Y480" s="5">
        <v>0</v>
      </c>
      <c r="Z480" s="5">
        <v>0</v>
      </c>
      <c r="AA480" s="5">
        <v>1</v>
      </c>
      <c r="AB480" s="5">
        <v>0</v>
      </c>
      <c r="IF480">
        <v>-1</v>
      </c>
    </row>
    <row r="481" spans="1:240" x14ac:dyDescent="0.2">
      <c r="A481" s="5">
        <v>50</v>
      </c>
      <c r="B481" s="5">
        <v>0</v>
      </c>
      <c r="C481" s="5">
        <v>0</v>
      </c>
      <c r="D481" s="5">
        <v>1</v>
      </c>
      <c r="E481" s="5">
        <v>228</v>
      </c>
      <c r="F481" s="5" t="e">
        <f>ROUND(Source!AY473,O481)</f>
        <v>#REF!</v>
      </c>
      <c r="G481" s="5" t="s">
        <v>154</v>
      </c>
      <c r="H481" s="5" t="s">
        <v>155</v>
      </c>
      <c r="I481" s="5"/>
      <c r="J481" s="5"/>
      <c r="K481" s="5">
        <v>228</v>
      </c>
      <c r="L481" s="5">
        <v>7</v>
      </c>
      <c r="M481" s="5">
        <v>3</v>
      </c>
      <c r="N481" s="5" t="s">
        <v>6</v>
      </c>
      <c r="O481" s="5">
        <v>0</v>
      </c>
      <c r="P481" s="5" t="e">
        <f>ROUND(Source!EQ473,O481)</f>
        <v>#REF!</v>
      </c>
      <c r="Q481" s="5"/>
      <c r="R481" s="5"/>
      <c r="S481" s="5"/>
      <c r="T481" s="5"/>
      <c r="U481" s="5"/>
      <c r="V481" s="5"/>
      <c r="W481" s="5">
        <v>1347195</v>
      </c>
      <c r="X481" s="5">
        <v>1</v>
      </c>
      <c r="Y481" s="5">
        <v>1347195</v>
      </c>
      <c r="Z481" s="5">
        <v>12672093</v>
      </c>
      <c r="AA481" s="5">
        <v>1</v>
      </c>
      <c r="AB481" s="5">
        <v>12672093</v>
      </c>
      <c r="IF481">
        <v>-1</v>
      </c>
    </row>
    <row r="482" spans="1:240" x14ac:dyDescent="0.2">
      <c r="A482" s="5">
        <v>50</v>
      </c>
      <c r="B482" s="5">
        <v>0</v>
      </c>
      <c r="C482" s="5">
        <v>0</v>
      </c>
      <c r="D482" s="5">
        <v>1</v>
      </c>
      <c r="E482" s="5">
        <v>216</v>
      </c>
      <c r="F482" s="5">
        <f>ROUND(Source!AP473,O482)</f>
        <v>0</v>
      </c>
      <c r="G482" s="5" t="s">
        <v>156</v>
      </c>
      <c r="H482" s="5" t="s">
        <v>157</v>
      </c>
      <c r="I482" s="5"/>
      <c r="J482" s="5"/>
      <c r="K482" s="5">
        <v>216</v>
      </c>
      <c r="L482" s="5">
        <v>8</v>
      </c>
      <c r="M482" s="5">
        <v>3</v>
      </c>
      <c r="N482" s="5" t="s">
        <v>6</v>
      </c>
      <c r="O482" s="5">
        <v>0</v>
      </c>
      <c r="P482" s="5">
        <f>ROUND(Source!EH473,O482)</f>
        <v>0</v>
      </c>
      <c r="Q482" s="5"/>
      <c r="R482" s="5"/>
      <c r="S482" s="5"/>
      <c r="T482" s="5"/>
      <c r="U482" s="5"/>
      <c r="V482" s="5"/>
      <c r="W482" s="5">
        <v>0</v>
      </c>
      <c r="X482" s="5">
        <v>1</v>
      </c>
      <c r="Y482" s="5">
        <v>0</v>
      </c>
      <c r="Z482" s="5">
        <v>0</v>
      </c>
      <c r="AA482" s="5">
        <v>1</v>
      </c>
      <c r="AB482" s="5">
        <v>0</v>
      </c>
      <c r="IF482">
        <v>-1</v>
      </c>
    </row>
    <row r="483" spans="1:240" x14ac:dyDescent="0.2">
      <c r="A483" s="5">
        <v>50</v>
      </c>
      <c r="B483" s="5">
        <v>0</v>
      </c>
      <c r="C483" s="5">
        <v>0</v>
      </c>
      <c r="D483" s="5">
        <v>1</v>
      </c>
      <c r="E483" s="5">
        <v>223</v>
      </c>
      <c r="F483" s="5">
        <f>ROUND(Source!AQ473,O483)</f>
        <v>0</v>
      </c>
      <c r="G483" s="5" t="s">
        <v>158</v>
      </c>
      <c r="H483" s="5" t="s">
        <v>159</v>
      </c>
      <c r="I483" s="5"/>
      <c r="J483" s="5"/>
      <c r="K483" s="5">
        <v>223</v>
      </c>
      <c r="L483" s="5">
        <v>9</v>
      </c>
      <c r="M483" s="5">
        <v>3</v>
      </c>
      <c r="N483" s="5" t="s">
        <v>6</v>
      </c>
      <c r="O483" s="5">
        <v>0</v>
      </c>
      <c r="P483" s="5">
        <f>ROUND(Source!EI473,O483)</f>
        <v>0</v>
      </c>
      <c r="Q483" s="5"/>
      <c r="R483" s="5"/>
      <c r="S483" s="5"/>
      <c r="T483" s="5"/>
      <c r="U483" s="5"/>
      <c r="V483" s="5"/>
      <c r="W483" s="5">
        <v>0</v>
      </c>
      <c r="X483" s="5">
        <v>1</v>
      </c>
      <c r="Y483" s="5">
        <v>0</v>
      </c>
      <c r="Z483" s="5">
        <v>0</v>
      </c>
      <c r="AA483" s="5">
        <v>1</v>
      </c>
      <c r="AB483" s="5">
        <v>0</v>
      </c>
      <c r="IF483">
        <v>-1</v>
      </c>
    </row>
    <row r="484" spans="1:240" x14ac:dyDescent="0.2">
      <c r="A484" s="5">
        <v>50</v>
      </c>
      <c r="B484" s="5">
        <v>0</v>
      </c>
      <c r="C484" s="5">
        <v>0</v>
      </c>
      <c r="D484" s="5">
        <v>1</v>
      </c>
      <c r="E484" s="5">
        <v>229</v>
      </c>
      <c r="F484" s="5">
        <f>ROUND(Source!AZ473,O484)</f>
        <v>0</v>
      </c>
      <c r="G484" s="5" t="s">
        <v>160</v>
      </c>
      <c r="H484" s="5" t="s">
        <v>161</v>
      </c>
      <c r="I484" s="5"/>
      <c r="J484" s="5"/>
      <c r="K484" s="5">
        <v>229</v>
      </c>
      <c r="L484" s="5">
        <v>10</v>
      </c>
      <c r="M484" s="5">
        <v>3</v>
      </c>
      <c r="N484" s="5" t="s">
        <v>6</v>
      </c>
      <c r="O484" s="5">
        <v>0</v>
      </c>
      <c r="P484" s="5">
        <f>ROUND(Source!ER473,O484)</f>
        <v>0</v>
      </c>
      <c r="Q484" s="5"/>
      <c r="R484" s="5"/>
      <c r="S484" s="5"/>
      <c r="T484" s="5"/>
      <c r="U484" s="5"/>
      <c r="V484" s="5"/>
      <c r="W484" s="5">
        <v>0</v>
      </c>
      <c r="X484" s="5">
        <v>1</v>
      </c>
      <c r="Y484" s="5">
        <v>0</v>
      </c>
      <c r="Z484" s="5">
        <v>0</v>
      </c>
      <c r="AA484" s="5">
        <v>1</v>
      </c>
      <c r="AB484" s="5">
        <v>0</v>
      </c>
      <c r="IF484">
        <v>-1</v>
      </c>
    </row>
    <row r="485" spans="1:240" x14ac:dyDescent="0.2">
      <c r="A485" s="5">
        <v>50</v>
      </c>
      <c r="B485" s="5">
        <v>0</v>
      </c>
      <c r="C485" s="5">
        <v>0</v>
      </c>
      <c r="D485" s="5">
        <v>1</v>
      </c>
      <c r="E485" s="5">
        <v>203</v>
      </c>
      <c r="F485" s="5" t="e">
        <f>ROUND(Source!Q473,O485)</f>
        <v>#REF!</v>
      </c>
      <c r="G485" s="5" t="s">
        <v>162</v>
      </c>
      <c r="H485" s="5" t="s">
        <v>163</v>
      </c>
      <c r="I485" s="5"/>
      <c r="J485" s="5"/>
      <c r="K485" s="5">
        <v>203</v>
      </c>
      <c r="L485" s="5">
        <v>11</v>
      </c>
      <c r="M485" s="5">
        <v>3</v>
      </c>
      <c r="N485" s="5" t="s">
        <v>6</v>
      </c>
      <c r="O485" s="5">
        <v>0</v>
      </c>
      <c r="P485" s="5" t="e">
        <f>ROUND(Source!DI473,O485)</f>
        <v>#REF!</v>
      </c>
      <c r="Q485" s="5"/>
      <c r="R485" s="5"/>
      <c r="S485" s="5"/>
      <c r="T485" s="5"/>
      <c r="U485" s="5"/>
      <c r="V485" s="5"/>
      <c r="W485" s="5">
        <v>253242</v>
      </c>
      <c r="X485" s="5">
        <v>1</v>
      </c>
      <c r="Y485" s="5">
        <v>253242</v>
      </c>
      <c r="Z485" s="5">
        <v>2316801</v>
      </c>
      <c r="AA485" s="5">
        <v>1</v>
      </c>
      <c r="AB485" s="5">
        <v>2316801</v>
      </c>
      <c r="IF485">
        <v>-1</v>
      </c>
    </row>
    <row r="486" spans="1:240" x14ac:dyDescent="0.2">
      <c r="A486" s="5">
        <v>50</v>
      </c>
      <c r="B486" s="5">
        <v>0</v>
      </c>
      <c r="C486" s="5">
        <v>0</v>
      </c>
      <c r="D486" s="5">
        <v>1</v>
      </c>
      <c r="E486" s="5">
        <v>231</v>
      </c>
      <c r="F486" s="5">
        <f>ROUND(Source!BB473,O486)</f>
        <v>0</v>
      </c>
      <c r="G486" s="5" t="s">
        <v>164</v>
      </c>
      <c r="H486" s="5" t="s">
        <v>165</v>
      </c>
      <c r="I486" s="5"/>
      <c r="J486" s="5"/>
      <c r="K486" s="5">
        <v>231</v>
      </c>
      <c r="L486" s="5">
        <v>12</v>
      </c>
      <c r="M486" s="5">
        <v>3</v>
      </c>
      <c r="N486" s="5" t="s">
        <v>6</v>
      </c>
      <c r="O486" s="5">
        <v>0</v>
      </c>
      <c r="P486" s="5">
        <f>ROUND(Source!ET473,O486)</f>
        <v>0</v>
      </c>
      <c r="Q486" s="5"/>
      <c r="R486" s="5"/>
      <c r="S486" s="5"/>
      <c r="T486" s="5"/>
      <c r="U486" s="5"/>
      <c r="V486" s="5"/>
      <c r="W486" s="5">
        <v>0</v>
      </c>
      <c r="X486" s="5">
        <v>1</v>
      </c>
      <c r="Y486" s="5">
        <v>0</v>
      </c>
      <c r="Z486" s="5">
        <v>0</v>
      </c>
      <c r="AA486" s="5">
        <v>1</v>
      </c>
      <c r="AB486" s="5">
        <v>0</v>
      </c>
      <c r="IF486">
        <v>-1</v>
      </c>
    </row>
    <row r="487" spans="1:240" x14ac:dyDescent="0.2">
      <c r="A487" s="5">
        <v>50</v>
      </c>
      <c r="B487" s="5">
        <v>0</v>
      </c>
      <c r="C487" s="5">
        <v>0</v>
      </c>
      <c r="D487" s="5">
        <v>1</v>
      </c>
      <c r="E487" s="5">
        <v>204</v>
      </c>
      <c r="F487" s="5" t="e">
        <f>ROUND(Source!R473,O487)</f>
        <v>#REF!</v>
      </c>
      <c r="G487" s="5" t="s">
        <v>166</v>
      </c>
      <c r="H487" s="5" t="s">
        <v>167</v>
      </c>
      <c r="I487" s="5"/>
      <c r="J487" s="5"/>
      <c r="K487" s="5">
        <v>204</v>
      </c>
      <c r="L487" s="5">
        <v>13</v>
      </c>
      <c r="M487" s="5">
        <v>3</v>
      </c>
      <c r="N487" s="5" t="s">
        <v>6</v>
      </c>
      <c r="O487" s="5">
        <v>0</v>
      </c>
      <c r="P487" s="5" t="e">
        <f>ROUND(Source!DJ473,O487)</f>
        <v>#REF!</v>
      </c>
      <c r="Q487" s="5"/>
      <c r="R487" s="5"/>
      <c r="S487" s="5"/>
      <c r="T487" s="5"/>
      <c r="U487" s="5"/>
      <c r="V487" s="5"/>
      <c r="W487" s="5">
        <v>31478</v>
      </c>
      <c r="X487" s="5">
        <v>1</v>
      </c>
      <c r="Y487" s="5">
        <v>31478</v>
      </c>
      <c r="Z487" s="5">
        <v>623235</v>
      </c>
      <c r="AA487" s="5">
        <v>1</v>
      </c>
      <c r="AB487" s="5">
        <v>623235</v>
      </c>
      <c r="IF487">
        <v>-1</v>
      </c>
    </row>
    <row r="488" spans="1:240" x14ac:dyDescent="0.2">
      <c r="A488" s="5">
        <v>50</v>
      </c>
      <c r="B488" s="5">
        <v>0</v>
      </c>
      <c r="C488" s="5">
        <v>0</v>
      </c>
      <c r="D488" s="5">
        <v>1</v>
      </c>
      <c r="E488" s="5">
        <v>205</v>
      </c>
      <c r="F488" s="5" t="e">
        <f>ROUND(Source!S473,O488)</f>
        <v>#REF!</v>
      </c>
      <c r="G488" s="5" t="s">
        <v>168</v>
      </c>
      <c r="H488" s="5" t="s">
        <v>169</v>
      </c>
      <c r="I488" s="5"/>
      <c r="J488" s="5"/>
      <c r="K488" s="5">
        <v>205</v>
      </c>
      <c r="L488" s="5">
        <v>14</v>
      </c>
      <c r="M488" s="5">
        <v>3</v>
      </c>
      <c r="N488" s="5" t="s">
        <v>6</v>
      </c>
      <c r="O488" s="5">
        <v>0</v>
      </c>
      <c r="P488" s="5" t="e">
        <f>ROUND(Source!DK473,O488)</f>
        <v>#REF!</v>
      </c>
      <c r="Q488" s="5"/>
      <c r="R488" s="5"/>
      <c r="S488" s="5"/>
      <c r="T488" s="5"/>
      <c r="U488" s="5"/>
      <c r="V488" s="5"/>
      <c r="W488" s="5">
        <v>135864</v>
      </c>
      <c r="X488" s="5">
        <v>1</v>
      </c>
      <c r="Y488" s="5">
        <v>135864</v>
      </c>
      <c r="Z488" s="5">
        <v>3962192</v>
      </c>
      <c r="AA488" s="5">
        <v>1</v>
      </c>
      <c r="AB488" s="5">
        <v>3962192</v>
      </c>
      <c r="IF488">
        <v>-1</v>
      </c>
    </row>
    <row r="489" spans="1:240" x14ac:dyDescent="0.2">
      <c r="A489" s="5">
        <v>50</v>
      </c>
      <c r="B489" s="5">
        <v>0</v>
      </c>
      <c r="C489" s="5">
        <v>0</v>
      </c>
      <c r="D489" s="5">
        <v>1</v>
      </c>
      <c r="E489" s="5">
        <v>232</v>
      </c>
      <c r="F489" s="5">
        <f>ROUND(Source!BC473,O489)</f>
        <v>0</v>
      </c>
      <c r="G489" s="5" t="s">
        <v>170</v>
      </c>
      <c r="H489" s="5" t="s">
        <v>171</v>
      </c>
      <c r="I489" s="5"/>
      <c r="J489" s="5"/>
      <c r="K489" s="5">
        <v>232</v>
      </c>
      <c r="L489" s="5">
        <v>15</v>
      </c>
      <c r="M489" s="5">
        <v>3</v>
      </c>
      <c r="N489" s="5" t="s">
        <v>6</v>
      </c>
      <c r="O489" s="5">
        <v>0</v>
      </c>
      <c r="P489" s="5">
        <f>ROUND(Source!EU473,O489)</f>
        <v>0</v>
      </c>
      <c r="Q489" s="5"/>
      <c r="R489" s="5"/>
      <c r="S489" s="5"/>
      <c r="T489" s="5"/>
      <c r="U489" s="5"/>
      <c r="V489" s="5"/>
      <c r="W489" s="5">
        <v>0</v>
      </c>
      <c r="X489" s="5">
        <v>1</v>
      </c>
      <c r="Y489" s="5">
        <v>0</v>
      </c>
      <c r="Z489" s="5">
        <v>0</v>
      </c>
      <c r="AA489" s="5">
        <v>1</v>
      </c>
      <c r="AB489" s="5">
        <v>0</v>
      </c>
      <c r="IF489">
        <v>-1</v>
      </c>
    </row>
    <row r="490" spans="1:240" x14ac:dyDescent="0.2">
      <c r="A490" s="5">
        <v>50</v>
      </c>
      <c r="B490" s="5">
        <v>0</v>
      </c>
      <c r="C490" s="5">
        <v>0</v>
      </c>
      <c r="D490" s="5">
        <v>1</v>
      </c>
      <c r="E490" s="5">
        <v>214</v>
      </c>
      <c r="F490" s="5" t="e">
        <f>ROUND(Source!AS473,O490)</f>
        <v>#REF!</v>
      </c>
      <c r="G490" s="5" t="s">
        <v>172</v>
      </c>
      <c r="H490" s="5" t="s">
        <v>173</v>
      </c>
      <c r="I490" s="5"/>
      <c r="J490" s="5"/>
      <c r="K490" s="5">
        <v>214</v>
      </c>
      <c r="L490" s="5">
        <v>16</v>
      </c>
      <c r="M490" s="5">
        <v>3</v>
      </c>
      <c r="N490" s="5" t="s">
        <v>6</v>
      </c>
      <c r="O490" s="5">
        <v>0</v>
      </c>
      <c r="P490" s="5" t="e">
        <f>ROUND(Source!EK473,O490)</f>
        <v>#REF!</v>
      </c>
      <c r="Q490" s="5"/>
      <c r="R490" s="5"/>
      <c r="S490" s="5"/>
      <c r="T490" s="5"/>
      <c r="U490" s="5"/>
      <c r="V490" s="5"/>
      <c r="W490" s="5">
        <v>1981558</v>
      </c>
      <c r="X490" s="5">
        <v>1</v>
      </c>
      <c r="Y490" s="5">
        <v>1981558</v>
      </c>
      <c r="Z490" s="5">
        <v>25520406</v>
      </c>
      <c r="AA490" s="5">
        <v>1</v>
      </c>
      <c r="AB490" s="5">
        <v>25520406</v>
      </c>
      <c r="IF490">
        <v>-1</v>
      </c>
    </row>
    <row r="491" spans="1:240" x14ac:dyDescent="0.2">
      <c r="A491" s="5">
        <v>50</v>
      </c>
      <c r="B491" s="5">
        <v>0</v>
      </c>
      <c r="C491" s="5">
        <v>0</v>
      </c>
      <c r="D491" s="5">
        <v>1</v>
      </c>
      <c r="E491" s="5">
        <v>215</v>
      </c>
      <c r="F491" s="5" t="e">
        <f>ROUND(Source!AT473,O491)</f>
        <v>#REF!</v>
      </c>
      <c r="G491" s="5" t="s">
        <v>174</v>
      </c>
      <c r="H491" s="5" t="s">
        <v>175</v>
      </c>
      <c r="I491" s="5"/>
      <c r="J491" s="5"/>
      <c r="K491" s="5">
        <v>215</v>
      </c>
      <c r="L491" s="5">
        <v>17</v>
      </c>
      <c r="M491" s="5">
        <v>3</v>
      </c>
      <c r="N491" s="5" t="s">
        <v>6</v>
      </c>
      <c r="O491" s="5">
        <v>0</v>
      </c>
      <c r="P491" s="5" t="e">
        <f>ROUND(Source!EL473,O491)</f>
        <v>#REF!</v>
      </c>
      <c r="Q491" s="5"/>
      <c r="R491" s="5"/>
      <c r="S491" s="5"/>
      <c r="T491" s="5"/>
      <c r="U491" s="5"/>
      <c r="V491" s="5"/>
      <c r="W491" s="5">
        <v>18637</v>
      </c>
      <c r="X491" s="5">
        <v>1</v>
      </c>
      <c r="Y491" s="5">
        <v>18637</v>
      </c>
      <c r="Z491" s="5">
        <v>135679</v>
      </c>
      <c r="AA491" s="5">
        <v>1</v>
      </c>
      <c r="AB491" s="5">
        <v>135679</v>
      </c>
      <c r="IF491">
        <v>-1</v>
      </c>
    </row>
    <row r="492" spans="1:240" x14ac:dyDescent="0.2">
      <c r="A492" s="5">
        <v>50</v>
      </c>
      <c r="B492" s="5">
        <v>0</v>
      </c>
      <c r="C492" s="5">
        <v>0</v>
      </c>
      <c r="D492" s="5">
        <v>1</v>
      </c>
      <c r="E492" s="5">
        <v>217</v>
      </c>
      <c r="F492" s="5">
        <f>ROUND(Source!AU473,O492)</f>
        <v>0</v>
      </c>
      <c r="G492" s="5" t="s">
        <v>176</v>
      </c>
      <c r="H492" s="5" t="s">
        <v>177</v>
      </c>
      <c r="I492" s="5"/>
      <c r="J492" s="5"/>
      <c r="K492" s="5">
        <v>217</v>
      </c>
      <c r="L492" s="5">
        <v>18</v>
      </c>
      <c r="M492" s="5">
        <v>3</v>
      </c>
      <c r="N492" s="5" t="s">
        <v>6</v>
      </c>
      <c r="O492" s="5">
        <v>0</v>
      </c>
      <c r="P492" s="5">
        <f>ROUND(Source!EM473,O492)</f>
        <v>0</v>
      </c>
      <c r="Q492" s="5"/>
      <c r="R492" s="5"/>
      <c r="S492" s="5"/>
      <c r="T492" s="5"/>
      <c r="U492" s="5"/>
      <c r="V492" s="5"/>
      <c r="W492" s="5">
        <v>0</v>
      </c>
      <c r="X492" s="5">
        <v>1</v>
      </c>
      <c r="Y492" s="5">
        <v>0</v>
      </c>
      <c r="Z492" s="5">
        <v>0</v>
      </c>
      <c r="AA492" s="5">
        <v>1</v>
      </c>
      <c r="AB492" s="5">
        <v>0</v>
      </c>
      <c r="IF492">
        <v>-1</v>
      </c>
    </row>
    <row r="493" spans="1:240" x14ac:dyDescent="0.2">
      <c r="A493" s="5">
        <v>50</v>
      </c>
      <c r="B493" s="5">
        <v>0</v>
      </c>
      <c r="C493" s="5">
        <v>0</v>
      </c>
      <c r="D493" s="5">
        <v>1</v>
      </c>
      <c r="E493" s="5">
        <v>230</v>
      </c>
      <c r="F493" s="5" t="e">
        <f>ROUND(Source!BA473,O493)</f>
        <v>#REF!</v>
      </c>
      <c r="G493" s="5" t="s">
        <v>178</v>
      </c>
      <c r="H493" s="5" t="s">
        <v>179</v>
      </c>
      <c r="I493" s="5"/>
      <c r="J493" s="5"/>
      <c r="K493" s="5">
        <v>230</v>
      </c>
      <c r="L493" s="5">
        <v>19</v>
      </c>
      <c r="M493" s="5">
        <v>3</v>
      </c>
      <c r="N493" s="5" t="s">
        <v>6</v>
      </c>
      <c r="O493" s="5">
        <v>0</v>
      </c>
      <c r="P493" s="5" t="e">
        <f>ROUND(Source!ES473,O493)</f>
        <v>#REF!</v>
      </c>
      <c r="Q493" s="5"/>
      <c r="R493" s="5"/>
      <c r="S493" s="5"/>
      <c r="T493" s="5"/>
      <c r="U493" s="5"/>
      <c r="V493" s="5"/>
      <c r="W493" s="5">
        <v>0</v>
      </c>
      <c r="X493" s="5">
        <v>1</v>
      </c>
      <c r="Y493" s="5">
        <v>0</v>
      </c>
      <c r="Z493" s="5">
        <v>0</v>
      </c>
      <c r="AA493" s="5">
        <v>1</v>
      </c>
      <c r="AB493" s="5">
        <v>0</v>
      </c>
      <c r="IF493">
        <v>-1</v>
      </c>
    </row>
    <row r="494" spans="1:240" x14ac:dyDescent="0.2">
      <c r="A494" s="5">
        <v>50</v>
      </c>
      <c r="B494" s="5">
        <v>0</v>
      </c>
      <c r="C494" s="5">
        <v>0</v>
      </c>
      <c r="D494" s="5">
        <v>1</v>
      </c>
      <c r="E494" s="5">
        <v>206</v>
      </c>
      <c r="F494" s="5" t="e">
        <f>ROUND(Source!T473,O494)</f>
        <v>#REF!</v>
      </c>
      <c r="G494" s="5" t="s">
        <v>180</v>
      </c>
      <c r="H494" s="5" t="s">
        <v>181</v>
      </c>
      <c r="I494" s="5"/>
      <c r="J494" s="5"/>
      <c r="K494" s="5">
        <v>206</v>
      </c>
      <c r="L494" s="5">
        <v>20</v>
      </c>
      <c r="M494" s="5">
        <v>3</v>
      </c>
      <c r="N494" s="5" t="s">
        <v>6</v>
      </c>
      <c r="O494" s="5">
        <v>0</v>
      </c>
      <c r="P494" s="5" t="e">
        <f>ROUND(Source!DL473,O494)</f>
        <v>#REF!</v>
      </c>
      <c r="Q494" s="5"/>
      <c r="R494" s="5"/>
      <c r="S494" s="5"/>
      <c r="T494" s="5"/>
      <c r="U494" s="5"/>
      <c r="V494" s="5"/>
      <c r="W494" s="5">
        <v>0</v>
      </c>
      <c r="X494" s="5">
        <v>1</v>
      </c>
      <c r="Y494" s="5">
        <v>0</v>
      </c>
      <c r="Z494" s="5">
        <v>0</v>
      </c>
      <c r="AA494" s="5">
        <v>1</v>
      </c>
      <c r="AB494" s="5">
        <v>0</v>
      </c>
      <c r="IF494">
        <v>-1</v>
      </c>
    </row>
    <row r="495" spans="1:240" x14ac:dyDescent="0.2">
      <c r="A495" s="5">
        <v>50</v>
      </c>
      <c r="B495" s="5">
        <v>0</v>
      </c>
      <c r="C495" s="5">
        <v>0</v>
      </c>
      <c r="D495" s="5">
        <v>1</v>
      </c>
      <c r="E495" s="5">
        <v>207</v>
      </c>
      <c r="F495" s="5" t="e">
        <f>ROUND(Source!U473,O495)</f>
        <v>#REF!</v>
      </c>
      <c r="G495" s="5" t="s">
        <v>182</v>
      </c>
      <c r="H495" s="5" t="s">
        <v>183</v>
      </c>
      <c r="I495" s="5"/>
      <c r="J495" s="5"/>
      <c r="K495" s="5">
        <v>207</v>
      </c>
      <c r="L495" s="5">
        <v>21</v>
      </c>
      <c r="M495" s="5">
        <v>3</v>
      </c>
      <c r="N495" s="5" t="s">
        <v>6</v>
      </c>
      <c r="O495" s="5">
        <v>0</v>
      </c>
      <c r="P495" s="5" t="e">
        <f>ROUND(Source!DM473,O495)</f>
        <v>#REF!</v>
      </c>
      <c r="Q495" s="5"/>
      <c r="R495" s="5"/>
      <c r="S495" s="5"/>
      <c r="T495" s="5"/>
      <c r="U495" s="5"/>
      <c r="V495" s="5"/>
      <c r="W495" s="5">
        <v>13385</v>
      </c>
      <c r="X495" s="5">
        <v>1</v>
      </c>
      <c r="Y495" s="5">
        <v>13385</v>
      </c>
      <c r="Z495" s="5">
        <v>13385</v>
      </c>
      <c r="AA495" s="5">
        <v>1</v>
      </c>
      <c r="AB495" s="5">
        <v>13385</v>
      </c>
      <c r="IF495">
        <v>-1</v>
      </c>
    </row>
    <row r="496" spans="1:240" x14ac:dyDescent="0.2">
      <c r="A496" s="5">
        <v>50</v>
      </c>
      <c r="B496" s="5">
        <v>0</v>
      </c>
      <c r="C496" s="5">
        <v>0</v>
      </c>
      <c r="D496" s="5">
        <v>1</v>
      </c>
      <c r="E496" s="5">
        <v>208</v>
      </c>
      <c r="F496" s="5" t="e">
        <f>ROUND(Source!V473,O496)</f>
        <v>#REF!</v>
      </c>
      <c r="G496" s="5" t="s">
        <v>184</v>
      </c>
      <c r="H496" s="5" t="s">
        <v>185</v>
      </c>
      <c r="I496" s="5"/>
      <c r="J496" s="5"/>
      <c r="K496" s="5">
        <v>208</v>
      </c>
      <c r="L496" s="5">
        <v>22</v>
      </c>
      <c r="M496" s="5">
        <v>3</v>
      </c>
      <c r="N496" s="5" t="s">
        <v>6</v>
      </c>
      <c r="O496" s="5">
        <v>0</v>
      </c>
      <c r="P496" s="5" t="e">
        <f>ROUND(Source!DN473,O496)</f>
        <v>#REF!</v>
      </c>
      <c r="Q496" s="5"/>
      <c r="R496" s="5"/>
      <c r="S496" s="5"/>
      <c r="T496" s="5"/>
      <c r="U496" s="5"/>
      <c r="V496" s="5"/>
      <c r="W496" s="5">
        <v>2338</v>
      </c>
      <c r="X496" s="5">
        <v>1</v>
      </c>
      <c r="Y496" s="5">
        <v>2338</v>
      </c>
      <c r="Z496" s="5">
        <v>2338</v>
      </c>
      <c r="AA496" s="5">
        <v>1</v>
      </c>
      <c r="AB496" s="5">
        <v>2338</v>
      </c>
      <c r="IF496">
        <v>-1</v>
      </c>
    </row>
    <row r="497" spans="1:240" x14ac:dyDescent="0.2">
      <c r="A497" s="5">
        <v>50</v>
      </c>
      <c r="B497" s="5">
        <v>0</v>
      </c>
      <c r="C497" s="5">
        <v>0</v>
      </c>
      <c r="D497" s="5">
        <v>1</v>
      </c>
      <c r="E497" s="5">
        <v>209</v>
      </c>
      <c r="F497" s="5" t="e">
        <f>ROUND(Source!W473,O497)</f>
        <v>#REF!</v>
      </c>
      <c r="G497" s="5" t="s">
        <v>186</v>
      </c>
      <c r="H497" s="5" t="s">
        <v>187</v>
      </c>
      <c r="I497" s="5"/>
      <c r="J497" s="5"/>
      <c r="K497" s="5">
        <v>209</v>
      </c>
      <c r="L497" s="5">
        <v>23</v>
      </c>
      <c r="M497" s="5">
        <v>3</v>
      </c>
      <c r="N497" s="5" t="s">
        <v>6</v>
      </c>
      <c r="O497" s="5">
        <v>0</v>
      </c>
      <c r="P497" s="5" t="e">
        <f>ROUND(Source!DO473,O497)</f>
        <v>#REF!</v>
      </c>
      <c r="Q497" s="5"/>
      <c r="R497" s="5"/>
      <c r="S497" s="5"/>
      <c r="T497" s="5"/>
      <c r="U497" s="5"/>
      <c r="V497" s="5"/>
      <c r="W497" s="5">
        <v>95</v>
      </c>
      <c r="X497" s="5">
        <v>1</v>
      </c>
      <c r="Y497" s="5">
        <v>95</v>
      </c>
      <c r="Z497" s="5">
        <v>95</v>
      </c>
      <c r="AA497" s="5">
        <v>1</v>
      </c>
      <c r="AB497" s="5">
        <v>95</v>
      </c>
      <c r="IF497">
        <v>-1</v>
      </c>
    </row>
    <row r="498" spans="1:240" x14ac:dyDescent="0.2">
      <c r="A498" s="5">
        <v>50</v>
      </c>
      <c r="B498" s="5">
        <v>0</v>
      </c>
      <c r="C498" s="5">
        <v>0</v>
      </c>
      <c r="D498" s="5">
        <v>1</v>
      </c>
      <c r="E498" s="5">
        <v>233</v>
      </c>
      <c r="F498" s="5">
        <f>ROUND(Source!BD473,O498)</f>
        <v>0</v>
      </c>
      <c r="G498" s="5" t="s">
        <v>188</v>
      </c>
      <c r="H498" s="5" t="s">
        <v>189</v>
      </c>
      <c r="I498" s="5"/>
      <c r="J498" s="5"/>
      <c r="K498" s="5">
        <v>233</v>
      </c>
      <c r="L498" s="5">
        <v>24</v>
      </c>
      <c r="M498" s="5">
        <v>3</v>
      </c>
      <c r="N498" s="5" t="s">
        <v>6</v>
      </c>
      <c r="O498" s="5">
        <v>0</v>
      </c>
      <c r="P498" s="5">
        <f>ROUND(Source!EV473,O498)</f>
        <v>0</v>
      </c>
      <c r="Q498" s="5"/>
      <c r="R498" s="5"/>
      <c r="S498" s="5"/>
      <c r="T498" s="5"/>
      <c r="U498" s="5"/>
      <c r="V498" s="5"/>
      <c r="W498" s="5">
        <v>0</v>
      </c>
      <c r="X498" s="5">
        <v>1</v>
      </c>
      <c r="Y498" s="5">
        <v>0</v>
      </c>
      <c r="Z498" s="5">
        <v>0</v>
      </c>
      <c r="AA498" s="5">
        <v>1</v>
      </c>
      <c r="AB498" s="5">
        <v>0</v>
      </c>
      <c r="IF498">
        <v>-1</v>
      </c>
    </row>
    <row r="499" spans="1:240" x14ac:dyDescent="0.2">
      <c r="A499" s="5">
        <v>50</v>
      </c>
      <c r="B499" s="5">
        <v>0</v>
      </c>
      <c r="C499" s="5">
        <v>0</v>
      </c>
      <c r="D499" s="5">
        <v>1</v>
      </c>
      <c r="E499" s="5">
        <v>210</v>
      </c>
      <c r="F499" s="5" t="e">
        <f>ROUND(Source!X473,O499)</f>
        <v>#REF!</v>
      </c>
      <c r="G499" s="5" t="s">
        <v>190</v>
      </c>
      <c r="H499" s="5" t="s">
        <v>191</v>
      </c>
      <c r="I499" s="5"/>
      <c r="J499" s="5"/>
      <c r="K499" s="5">
        <v>210</v>
      </c>
      <c r="L499" s="5">
        <v>25</v>
      </c>
      <c r="M499" s="5">
        <v>3</v>
      </c>
      <c r="N499" s="5" t="s">
        <v>6</v>
      </c>
      <c r="O499" s="5">
        <v>0</v>
      </c>
      <c r="P499" s="5" t="e">
        <f>ROUND(Source!DP473,O499)</f>
        <v>#REF!</v>
      </c>
      <c r="Q499" s="5"/>
      <c r="R499" s="5"/>
      <c r="S499" s="5"/>
      <c r="T499" s="5"/>
      <c r="U499" s="5"/>
      <c r="V499" s="5"/>
      <c r="W499" s="5">
        <v>151436</v>
      </c>
      <c r="X499" s="5">
        <v>1</v>
      </c>
      <c r="Y499" s="5">
        <v>151436</v>
      </c>
      <c r="Z499" s="5">
        <v>4059527</v>
      </c>
      <c r="AA499" s="5">
        <v>1</v>
      </c>
      <c r="AB499" s="5">
        <v>4059527</v>
      </c>
      <c r="IF499">
        <v>-1</v>
      </c>
    </row>
    <row r="500" spans="1:240" x14ac:dyDescent="0.2">
      <c r="A500" s="5">
        <v>50</v>
      </c>
      <c r="B500" s="5">
        <v>0</v>
      </c>
      <c r="C500" s="5">
        <v>0</v>
      </c>
      <c r="D500" s="5">
        <v>1</v>
      </c>
      <c r="E500" s="5">
        <v>211</v>
      </c>
      <c r="F500" s="5" t="e">
        <f>ROUND(Source!Y473,O500)</f>
        <v>#REF!</v>
      </c>
      <c r="G500" s="5" t="s">
        <v>192</v>
      </c>
      <c r="H500" s="5" t="s">
        <v>193</v>
      </c>
      <c r="I500" s="5"/>
      <c r="J500" s="5"/>
      <c r="K500" s="5">
        <v>211</v>
      </c>
      <c r="L500" s="5">
        <v>26</v>
      </c>
      <c r="M500" s="5">
        <v>3</v>
      </c>
      <c r="N500" s="5" t="s">
        <v>6</v>
      </c>
      <c r="O500" s="5">
        <v>0</v>
      </c>
      <c r="P500" s="5" t="e">
        <f>ROUND(Source!DQ473,O500)</f>
        <v>#REF!</v>
      </c>
      <c r="Q500" s="5"/>
      <c r="R500" s="5"/>
      <c r="S500" s="5"/>
      <c r="T500" s="5"/>
      <c r="U500" s="5"/>
      <c r="V500" s="5"/>
      <c r="W500" s="5">
        <v>112458</v>
      </c>
      <c r="X500" s="5">
        <v>1</v>
      </c>
      <c r="Y500" s="5">
        <v>112458</v>
      </c>
      <c r="Z500" s="5">
        <v>2645472</v>
      </c>
      <c r="AA500" s="5">
        <v>1</v>
      </c>
      <c r="AB500" s="5">
        <v>2645472</v>
      </c>
      <c r="IF500">
        <v>-1</v>
      </c>
    </row>
    <row r="501" spans="1:240" x14ac:dyDescent="0.2">
      <c r="A501" s="5">
        <v>50</v>
      </c>
      <c r="B501" s="5">
        <v>0</v>
      </c>
      <c r="C501" s="5">
        <v>0</v>
      </c>
      <c r="D501" s="5">
        <v>1</v>
      </c>
      <c r="E501" s="5">
        <v>224</v>
      </c>
      <c r="F501" s="5" t="e">
        <f>ROUND(Source!AR473,O501)</f>
        <v>#REF!</v>
      </c>
      <c r="G501" s="5" t="s">
        <v>194</v>
      </c>
      <c r="H501" s="5" t="s">
        <v>195</v>
      </c>
      <c r="I501" s="5"/>
      <c r="J501" s="5"/>
      <c r="K501" s="5">
        <v>224</v>
      </c>
      <c r="L501" s="5">
        <v>27</v>
      </c>
      <c r="M501" s="5">
        <v>3</v>
      </c>
      <c r="N501" s="5" t="s">
        <v>6</v>
      </c>
      <c r="O501" s="5">
        <v>0</v>
      </c>
      <c r="P501" s="5" t="e">
        <f>ROUND(Source!EJ473,O501)</f>
        <v>#REF!</v>
      </c>
      <c r="Q501" s="5"/>
      <c r="R501" s="5"/>
      <c r="S501" s="5"/>
      <c r="T501" s="5"/>
      <c r="U501" s="5"/>
      <c r="V501" s="5"/>
      <c r="W501" s="5">
        <v>2000195</v>
      </c>
      <c r="X501" s="5">
        <v>1</v>
      </c>
      <c r="Y501" s="5">
        <v>2000195</v>
      </c>
      <c r="Z501" s="5">
        <v>25656085</v>
      </c>
      <c r="AA501" s="5">
        <v>1</v>
      </c>
      <c r="AB501" s="5">
        <v>25656085</v>
      </c>
      <c r="IF501">
        <v>-1</v>
      </c>
    </row>
    <row r="502" spans="1:240" x14ac:dyDescent="0.2">
      <c r="IF502">
        <v>-1</v>
      </c>
    </row>
    <row r="503" spans="1:240" x14ac:dyDescent="0.2">
      <c r="IF503">
        <v>-1</v>
      </c>
    </row>
    <row r="504" spans="1:240" x14ac:dyDescent="0.2">
      <c r="A504">
        <v>70</v>
      </c>
      <c r="B504">
        <v>1</v>
      </c>
      <c r="D504">
        <v>1</v>
      </c>
      <c r="E504" t="s">
        <v>550</v>
      </c>
      <c r="F504" t="s">
        <v>551</v>
      </c>
      <c r="G504">
        <v>1</v>
      </c>
      <c r="H504">
        <v>0</v>
      </c>
      <c r="I504" t="s">
        <v>552</v>
      </c>
      <c r="J504">
        <v>0</v>
      </c>
      <c r="K504">
        <v>0</v>
      </c>
      <c r="L504" t="s">
        <v>6</v>
      </c>
      <c r="M504" t="s">
        <v>6</v>
      </c>
      <c r="N504">
        <v>0</v>
      </c>
      <c r="O504">
        <v>1</v>
      </c>
      <c r="P504" t="s">
        <v>553</v>
      </c>
      <c r="IF504">
        <v>-1</v>
      </c>
    </row>
    <row r="505" spans="1:240" x14ac:dyDescent="0.2">
      <c r="A505">
        <v>70</v>
      </c>
      <c r="B505">
        <v>1</v>
      </c>
      <c r="D505">
        <v>2</v>
      </c>
      <c r="E505" t="s">
        <v>554</v>
      </c>
      <c r="F505" t="s">
        <v>555</v>
      </c>
      <c r="G505">
        <v>0</v>
      </c>
      <c r="H505">
        <v>0</v>
      </c>
      <c r="I505" t="s">
        <v>552</v>
      </c>
      <c r="J505">
        <v>0</v>
      </c>
      <c r="K505">
        <v>0</v>
      </c>
      <c r="L505" t="s">
        <v>6</v>
      </c>
      <c r="M505" t="s">
        <v>6</v>
      </c>
      <c r="N505">
        <v>0</v>
      </c>
      <c r="O505">
        <v>0</v>
      </c>
      <c r="P505" t="s">
        <v>556</v>
      </c>
      <c r="IF505">
        <v>-1</v>
      </c>
    </row>
    <row r="506" spans="1:240" x14ac:dyDescent="0.2">
      <c r="A506">
        <v>70</v>
      </c>
      <c r="B506">
        <v>1</v>
      </c>
      <c r="D506">
        <v>3</v>
      </c>
      <c r="E506" t="s">
        <v>557</v>
      </c>
      <c r="F506" t="s">
        <v>558</v>
      </c>
      <c r="G506">
        <v>0</v>
      </c>
      <c r="H506">
        <v>0</v>
      </c>
      <c r="I506" t="s">
        <v>552</v>
      </c>
      <c r="J506">
        <v>0</v>
      </c>
      <c r="K506">
        <v>0</v>
      </c>
      <c r="L506" t="s">
        <v>6</v>
      </c>
      <c r="M506" t="s">
        <v>6</v>
      </c>
      <c r="N506">
        <v>0</v>
      </c>
      <c r="O506">
        <v>0</v>
      </c>
      <c r="P506" t="s">
        <v>559</v>
      </c>
      <c r="IF506">
        <v>-1</v>
      </c>
    </row>
    <row r="507" spans="1:240" x14ac:dyDescent="0.2">
      <c r="A507">
        <v>70</v>
      </c>
      <c r="B507">
        <v>1</v>
      </c>
      <c r="D507">
        <v>4</v>
      </c>
      <c r="E507" t="s">
        <v>560</v>
      </c>
      <c r="F507" t="s">
        <v>561</v>
      </c>
      <c r="G507">
        <v>0</v>
      </c>
      <c r="H507">
        <v>0</v>
      </c>
      <c r="I507" t="s">
        <v>552</v>
      </c>
      <c r="J507">
        <v>0</v>
      </c>
      <c r="K507">
        <v>0</v>
      </c>
      <c r="L507" t="s">
        <v>6</v>
      </c>
      <c r="M507" t="s">
        <v>6</v>
      </c>
      <c r="N507">
        <v>0</v>
      </c>
      <c r="O507">
        <v>0</v>
      </c>
      <c r="P507" t="s">
        <v>562</v>
      </c>
      <c r="IF507">
        <v>-1</v>
      </c>
    </row>
    <row r="508" spans="1:240" x14ac:dyDescent="0.2">
      <c r="A508">
        <v>70</v>
      </c>
      <c r="B508">
        <v>1</v>
      </c>
      <c r="D508">
        <v>5</v>
      </c>
      <c r="E508" t="s">
        <v>563</v>
      </c>
      <c r="F508" t="s">
        <v>564</v>
      </c>
      <c r="G508">
        <v>0</v>
      </c>
      <c r="H508">
        <v>0</v>
      </c>
      <c r="I508" t="s">
        <v>552</v>
      </c>
      <c r="J508">
        <v>0</v>
      </c>
      <c r="K508">
        <v>0</v>
      </c>
      <c r="L508" t="s">
        <v>6</v>
      </c>
      <c r="M508" t="s">
        <v>6</v>
      </c>
      <c r="N508">
        <v>0</v>
      </c>
      <c r="O508">
        <v>0</v>
      </c>
      <c r="P508" t="s">
        <v>565</v>
      </c>
      <c r="IF508">
        <v>-1</v>
      </c>
    </row>
    <row r="509" spans="1:240" x14ac:dyDescent="0.2">
      <c r="A509">
        <v>70</v>
      </c>
      <c r="B509">
        <v>1</v>
      </c>
      <c r="D509">
        <v>6</v>
      </c>
      <c r="E509" t="s">
        <v>566</v>
      </c>
      <c r="F509" t="s">
        <v>567</v>
      </c>
      <c r="G509">
        <v>0</v>
      </c>
      <c r="H509">
        <v>0</v>
      </c>
      <c r="I509" t="s">
        <v>552</v>
      </c>
      <c r="J509">
        <v>0</v>
      </c>
      <c r="K509">
        <v>0</v>
      </c>
      <c r="L509" t="s">
        <v>6</v>
      </c>
      <c r="M509" t="s">
        <v>6</v>
      </c>
      <c r="N509">
        <v>0</v>
      </c>
      <c r="O509">
        <v>0</v>
      </c>
      <c r="P509" t="s">
        <v>568</v>
      </c>
      <c r="IF509">
        <v>-1</v>
      </c>
    </row>
    <row r="510" spans="1:240" x14ac:dyDescent="0.2">
      <c r="A510">
        <v>70</v>
      </c>
      <c r="B510">
        <v>1</v>
      </c>
      <c r="D510">
        <v>7</v>
      </c>
      <c r="E510" t="s">
        <v>569</v>
      </c>
      <c r="F510" t="s">
        <v>570</v>
      </c>
      <c r="G510">
        <v>0</v>
      </c>
      <c r="H510">
        <v>0</v>
      </c>
      <c r="I510" t="s">
        <v>552</v>
      </c>
      <c r="J510">
        <v>0</v>
      </c>
      <c r="K510">
        <v>0</v>
      </c>
      <c r="L510" t="s">
        <v>6</v>
      </c>
      <c r="M510" t="s">
        <v>6</v>
      </c>
      <c r="N510">
        <v>0</v>
      </c>
      <c r="O510">
        <v>0</v>
      </c>
      <c r="P510" t="s">
        <v>571</v>
      </c>
      <c r="IF510">
        <v>-1</v>
      </c>
    </row>
    <row r="511" spans="1:240" x14ac:dyDescent="0.2">
      <c r="A511">
        <v>70</v>
      </c>
      <c r="B511">
        <v>1</v>
      </c>
      <c r="D511">
        <v>8</v>
      </c>
      <c r="E511" t="s">
        <v>572</v>
      </c>
      <c r="F511" t="s">
        <v>573</v>
      </c>
      <c r="G511">
        <v>0</v>
      </c>
      <c r="H511">
        <v>0</v>
      </c>
      <c r="I511" t="s">
        <v>552</v>
      </c>
      <c r="J511">
        <v>0</v>
      </c>
      <c r="K511">
        <v>0</v>
      </c>
      <c r="L511" t="s">
        <v>6</v>
      </c>
      <c r="M511" t="s">
        <v>6</v>
      </c>
      <c r="N511">
        <v>0</v>
      </c>
      <c r="O511">
        <v>0</v>
      </c>
      <c r="P511" t="s">
        <v>574</v>
      </c>
      <c r="IF511">
        <v>-1</v>
      </c>
    </row>
    <row r="512" spans="1:240" x14ac:dyDescent="0.2">
      <c r="A512">
        <v>70</v>
      </c>
      <c r="B512">
        <v>1</v>
      </c>
      <c r="D512">
        <v>9</v>
      </c>
      <c r="E512" t="s">
        <v>575</v>
      </c>
      <c r="F512" t="s">
        <v>576</v>
      </c>
      <c r="G512">
        <v>0</v>
      </c>
      <c r="H512">
        <v>0</v>
      </c>
      <c r="I512" t="s">
        <v>552</v>
      </c>
      <c r="J512">
        <v>0</v>
      </c>
      <c r="K512">
        <v>0</v>
      </c>
      <c r="L512" t="s">
        <v>6</v>
      </c>
      <c r="M512" t="s">
        <v>6</v>
      </c>
      <c r="N512">
        <v>0</v>
      </c>
      <c r="O512">
        <v>0</v>
      </c>
      <c r="P512" t="s">
        <v>577</v>
      </c>
      <c r="IF512">
        <v>-1</v>
      </c>
    </row>
    <row r="513" spans="1:240" x14ac:dyDescent="0.2">
      <c r="A513">
        <v>70</v>
      </c>
      <c r="B513">
        <v>1</v>
      </c>
      <c r="D513">
        <v>1</v>
      </c>
      <c r="E513" t="s">
        <v>578</v>
      </c>
      <c r="F513" t="s">
        <v>579</v>
      </c>
      <c r="G513">
        <v>1</v>
      </c>
      <c r="H513">
        <v>1</v>
      </c>
      <c r="I513" t="s">
        <v>552</v>
      </c>
      <c r="J513">
        <v>0</v>
      </c>
      <c r="K513">
        <v>0</v>
      </c>
      <c r="L513" t="s">
        <v>6</v>
      </c>
      <c r="M513" t="s">
        <v>6</v>
      </c>
      <c r="N513">
        <v>0</v>
      </c>
      <c r="O513">
        <v>1</v>
      </c>
      <c r="P513" t="s">
        <v>579</v>
      </c>
      <c r="IF513">
        <v>-1</v>
      </c>
    </row>
    <row r="514" spans="1:240" x14ac:dyDescent="0.2">
      <c r="A514">
        <v>70</v>
      </c>
      <c r="B514">
        <v>1</v>
      </c>
      <c r="D514">
        <v>2</v>
      </c>
      <c r="E514" t="s">
        <v>580</v>
      </c>
      <c r="F514" t="s">
        <v>581</v>
      </c>
      <c r="G514">
        <v>1</v>
      </c>
      <c r="H514">
        <v>1</v>
      </c>
      <c r="I514" t="s">
        <v>552</v>
      </c>
      <c r="J514">
        <v>0</v>
      </c>
      <c r="K514">
        <v>0</v>
      </c>
      <c r="L514" t="s">
        <v>6</v>
      </c>
      <c r="M514" t="s">
        <v>6</v>
      </c>
      <c r="N514">
        <v>0</v>
      </c>
      <c r="O514">
        <v>1</v>
      </c>
      <c r="P514" t="s">
        <v>581</v>
      </c>
      <c r="IF514">
        <v>-1</v>
      </c>
    </row>
    <row r="515" spans="1:240" x14ac:dyDescent="0.2">
      <c r="A515">
        <v>70</v>
      </c>
      <c r="B515">
        <v>1</v>
      </c>
      <c r="D515">
        <v>3</v>
      </c>
      <c r="E515" t="s">
        <v>582</v>
      </c>
      <c r="F515" t="s">
        <v>583</v>
      </c>
      <c r="G515">
        <v>1</v>
      </c>
      <c r="H515">
        <v>0</v>
      </c>
      <c r="I515" t="s">
        <v>552</v>
      </c>
      <c r="J515">
        <v>0</v>
      </c>
      <c r="K515">
        <v>0</v>
      </c>
      <c r="L515" t="s">
        <v>6</v>
      </c>
      <c r="M515" t="s">
        <v>6</v>
      </c>
      <c r="N515">
        <v>0</v>
      </c>
      <c r="O515">
        <v>1</v>
      </c>
      <c r="P515" t="s">
        <v>583</v>
      </c>
      <c r="IF515">
        <v>-1</v>
      </c>
    </row>
    <row r="516" spans="1:240" x14ac:dyDescent="0.2">
      <c r="A516">
        <v>70</v>
      </c>
      <c r="B516">
        <v>1</v>
      </c>
      <c r="D516">
        <v>4</v>
      </c>
      <c r="E516" t="s">
        <v>584</v>
      </c>
      <c r="F516" t="s">
        <v>585</v>
      </c>
      <c r="G516">
        <v>1</v>
      </c>
      <c r="H516">
        <v>0</v>
      </c>
      <c r="I516" t="s">
        <v>552</v>
      </c>
      <c r="J516">
        <v>0</v>
      </c>
      <c r="K516">
        <v>0</v>
      </c>
      <c r="L516" t="s">
        <v>6</v>
      </c>
      <c r="M516" t="s">
        <v>6</v>
      </c>
      <c r="N516">
        <v>0</v>
      </c>
      <c r="O516">
        <v>1</v>
      </c>
      <c r="P516" t="s">
        <v>585</v>
      </c>
      <c r="IF516">
        <v>-1</v>
      </c>
    </row>
    <row r="517" spans="1:240" x14ac:dyDescent="0.2">
      <c r="A517">
        <v>70</v>
      </c>
      <c r="B517">
        <v>1</v>
      </c>
      <c r="D517">
        <v>5</v>
      </c>
      <c r="E517" t="s">
        <v>586</v>
      </c>
      <c r="F517" t="s">
        <v>587</v>
      </c>
      <c r="G517">
        <v>1</v>
      </c>
      <c r="H517">
        <v>0</v>
      </c>
      <c r="I517" t="s">
        <v>552</v>
      </c>
      <c r="J517">
        <v>0</v>
      </c>
      <c r="K517">
        <v>0</v>
      </c>
      <c r="L517" t="s">
        <v>6</v>
      </c>
      <c r="M517" t="s">
        <v>6</v>
      </c>
      <c r="N517">
        <v>0</v>
      </c>
      <c r="O517">
        <v>0.85</v>
      </c>
      <c r="P517" t="s">
        <v>587</v>
      </c>
      <c r="IF517">
        <v>-1</v>
      </c>
    </row>
    <row r="518" spans="1:240" x14ac:dyDescent="0.2">
      <c r="A518">
        <v>70</v>
      </c>
      <c r="B518">
        <v>1</v>
      </c>
      <c r="D518">
        <v>6</v>
      </c>
      <c r="E518" t="s">
        <v>588</v>
      </c>
      <c r="F518" t="s">
        <v>589</v>
      </c>
      <c r="G518">
        <v>1</v>
      </c>
      <c r="H518">
        <v>0</v>
      </c>
      <c r="I518" t="s">
        <v>552</v>
      </c>
      <c r="J518">
        <v>0</v>
      </c>
      <c r="K518">
        <v>0</v>
      </c>
      <c r="L518" t="s">
        <v>6</v>
      </c>
      <c r="M518" t="s">
        <v>6</v>
      </c>
      <c r="N518">
        <v>0</v>
      </c>
      <c r="O518">
        <v>0.8</v>
      </c>
      <c r="P518" t="s">
        <v>589</v>
      </c>
      <c r="IF518">
        <v>-1</v>
      </c>
    </row>
    <row r="519" spans="1:240" x14ac:dyDescent="0.2">
      <c r="A519">
        <v>70</v>
      </c>
      <c r="B519">
        <v>1</v>
      </c>
      <c r="D519">
        <v>7</v>
      </c>
      <c r="E519" t="s">
        <v>590</v>
      </c>
      <c r="F519" t="s">
        <v>591</v>
      </c>
      <c r="G519">
        <v>1</v>
      </c>
      <c r="H519">
        <v>0</v>
      </c>
      <c r="I519" t="s">
        <v>552</v>
      </c>
      <c r="J519">
        <v>0</v>
      </c>
      <c r="K519">
        <v>0</v>
      </c>
      <c r="L519" t="s">
        <v>6</v>
      </c>
      <c r="M519" t="s">
        <v>6</v>
      </c>
      <c r="N519">
        <v>0</v>
      </c>
      <c r="O519">
        <v>1</v>
      </c>
      <c r="P519" t="s">
        <v>591</v>
      </c>
      <c r="IF519">
        <v>-1</v>
      </c>
    </row>
    <row r="520" spans="1:240" x14ac:dyDescent="0.2">
      <c r="A520">
        <v>70</v>
      </c>
      <c r="B520">
        <v>1</v>
      </c>
      <c r="D520">
        <v>8</v>
      </c>
      <c r="E520" t="s">
        <v>592</v>
      </c>
      <c r="F520" t="s">
        <v>593</v>
      </c>
      <c r="G520">
        <v>1</v>
      </c>
      <c r="H520">
        <v>0.8</v>
      </c>
      <c r="I520" t="s">
        <v>552</v>
      </c>
      <c r="J520">
        <v>0</v>
      </c>
      <c r="K520">
        <v>0</v>
      </c>
      <c r="L520" t="s">
        <v>6</v>
      </c>
      <c r="M520" t="s">
        <v>6</v>
      </c>
      <c r="N520">
        <v>0</v>
      </c>
      <c r="O520">
        <v>1</v>
      </c>
      <c r="P520" t="s">
        <v>593</v>
      </c>
      <c r="IF520">
        <v>-1</v>
      </c>
    </row>
    <row r="521" spans="1:240" x14ac:dyDescent="0.2">
      <c r="A521">
        <v>70</v>
      </c>
      <c r="B521">
        <v>1</v>
      </c>
      <c r="D521">
        <v>9</v>
      </c>
      <c r="E521" t="s">
        <v>594</v>
      </c>
      <c r="F521" t="s">
        <v>595</v>
      </c>
      <c r="G521">
        <v>1</v>
      </c>
      <c r="H521">
        <v>0.85</v>
      </c>
      <c r="I521" t="s">
        <v>552</v>
      </c>
      <c r="J521">
        <v>0</v>
      </c>
      <c r="K521">
        <v>0</v>
      </c>
      <c r="L521" t="s">
        <v>6</v>
      </c>
      <c r="M521" t="s">
        <v>6</v>
      </c>
      <c r="N521">
        <v>0</v>
      </c>
      <c r="O521">
        <v>1</v>
      </c>
      <c r="P521" t="s">
        <v>595</v>
      </c>
      <c r="IF521">
        <v>-1</v>
      </c>
    </row>
    <row r="522" spans="1:240" x14ac:dyDescent="0.2">
      <c r="A522">
        <v>70</v>
      </c>
      <c r="B522">
        <v>1</v>
      </c>
      <c r="D522">
        <v>10</v>
      </c>
      <c r="E522" t="s">
        <v>596</v>
      </c>
      <c r="F522" t="s">
        <v>597</v>
      </c>
      <c r="G522">
        <v>1</v>
      </c>
      <c r="H522">
        <v>0</v>
      </c>
      <c r="I522" t="s">
        <v>552</v>
      </c>
      <c r="J522">
        <v>0</v>
      </c>
      <c r="K522">
        <v>0</v>
      </c>
      <c r="L522" t="s">
        <v>6</v>
      </c>
      <c r="M522" t="s">
        <v>6</v>
      </c>
      <c r="N522">
        <v>0</v>
      </c>
      <c r="O522">
        <v>1</v>
      </c>
      <c r="P522" t="s">
        <v>597</v>
      </c>
      <c r="IF522">
        <v>-1</v>
      </c>
    </row>
    <row r="523" spans="1:240" x14ac:dyDescent="0.2">
      <c r="A523">
        <v>70</v>
      </c>
      <c r="B523">
        <v>1</v>
      </c>
      <c r="D523">
        <v>11</v>
      </c>
      <c r="E523" t="s">
        <v>598</v>
      </c>
      <c r="F523" t="s">
        <v>599</v>
      </c>
      <c r="G523">
        <v>0.7</v>
      </c>
      <c r="H523">
        <v>0</v>
      </c>
      <c r="I523" t="s">
        <v>552</v>
      </c>
      <c r="J523">
        <v>0</v>
      </c>
      <c r="K523">
        <v>0</v>
      </c>
      <c r="L523" t="s">
        <v>6</v>
      </c>
      <c r="M523" t="s">
        <v>6</v>
      </c>
      <c r="N523">
        <v>0</v>
      </c>
      <c r="O523">
        <v>0.94</v>
      </c>
      <c r="P523" t="s">
        <v>599</v>
      </c>
      <c r="IF523">
        <v>-1</v>
      </c>
    </row>
    <row r="524" spans="1:240" x14ac:dyDescent="0.2">
      <c r="A524">
        <v>70</v>
      </c>
      <c r="B524">
        <v>1</v>
      </c>
      <c r="D524">
        <v>12</v>
      </c>
      <c r="E524" t="s">
        <v>600</v>
      </c>
      <c r="F524" t="s">
        <v>601</v>
      </c>
      <c r="G524">
        <v>0.9</v>
      </c>
      <c r="H524">
        <v>0</v>
      </c>
      <c r="I524" t="s">
        <v>552</v>
      </c>
      <c r="J524">
        <v>0</v>
      </c>
      <c r="K524">
        <v>0</v>
      </c>
      <c r="L524" t="s">
        <v>6</v>
      </c>
      <c r="M524" t="s">
        <v>6</v>
      </c>
      <c r="N524">
        <v>0</v>
      </c>
      <c r="O524">
        <v>0.9</v>
      </c>
      <c r="P524" t="s">
        <v>601</v>
      </c>
      <c r="IF524">
        <v>-1</v>
      </c>
    </row>
    <row r="525" spans="1:240" x14ac:dyDescent="0.2">
      <c r="A525">
        <v>70</v>
      </c>
      <c r="B525">
        <v>1</v>
      </c>
      <c r="D525">
        <v>13</v>
      </c>
      <c r="E525" t="s">
        <v>602</v>
      </c>
      <c r="F525" t="s">
        <v>603</v>
      </c>
      <c r="G525">
        <v>0.6</v>
      </c>
      <c r="H525">
        <v>0</v>
      </c>
      <c r="I525" t="s">
        <v>552</v>
      </c>
      <c r="J525">
        <v>0</v>
      </c>
      <c r="K525">
        <v>0</v>
      </c>
      <c r="L525" t="s">
        <v>6</v>
      </c>
      <c r="M525" t="s">
        <v>6</v>
      </c>
      <c r="N525">
        <v>0</v>
      </c>
      <c r="O525">
        <v>0.6</v>
      </c>
      <c r="P525" t="s">
        <v>603</v>
      </c>
      <c r="IF525">
        <v>-1</v>
      </c>
    </row>
    <row r="526" spans="1:240" x14ac:dyDescent="0.2">
      <c r="A526">
        <v>70</v>
      </c>
      <c r="B526">
        <v>1</v>
      </c>
      <c r="D526">
        <v>14</v>
      </c>
      <c r="E526" t="s">
        <v>604</v>
      </c>
      <c r="F526" t="s">
        <v>605</v>
      </c>
      <c r="G526">
        <v>1</v>
      </c>
      <c r="H526">
        <v>0</v>
      </c>
      <c r="I526" t="s">
        <v>552</v>
      </c>
      <c r="J526">
        <v>0</v>
      </c>
      <c r="K526">
        <v>0</v>
      </c>
      <c r="L526" t="s">
        <v>6</v>
      </c>
      <c r="M526" t="s">
        <v>6</v>
      </c>
      <c r="N526">
        <v>0</v>
      </c>
      <c r="O526">
        <v>1</v>
      </c>
      <c r="P526" t="s">
        <v>605</v>
      </c>
      <c r="IF526">
        <v>-1</v>
      </c>
    </row>
    <row r="527" spans="1:240" x14ac:dyDescent="0.2">
      <c r="A527">
        <v>70</v>
      </c>
      <c r="B527">
        <v>1</v>
      </c>
      <c r="D527">
        <v>15</v>
      </c>
      <c r="E527" t="s">
        <v>606</v>
      </c>
      <c r="F527" t="s">
        <v>607</v>
      </c>
      <c r="G527">
        <v>1.2</v>
      </c>
      <c r="H527">
        <v>0</v>
      </c>
      <c r="I527" t="s">
        <v>552</v>
      </c>
      <c r="J527">
        <v>0</v>
      </c>
      <c r="K527">
        <v>0</v>
      </c>
      <c r="L527" t="s">
        <v>6</v>
      </c>
      <c r="M527" t="s">
        <v>6</v>
      </c>
      <c r="N527">
        <v>0</v>
      </c>
      <c r="O527">
        <v>1.2</v>
      </c>
      <c r="P527" t="s">
        <v>607</v>
      </c>
      <c r="IF527">
        <v>-1</v>
      </c>
    </row>
    <row r="528" spans="1:240" x14ac:dyDescent="0.2">
      <c r="A528">
        <v>70</v>
      </c>
      <c r="B528">
        <v>1</v>
      </c>
      <c r="D528">
        <v>16</v>
      </c>
      <c r="E528" t="s">
        <v>608</v>
      </c>
      <c r="F528" t="s">
        <v>609</v>
      </c>
      <c r="G528">
        <v>1</v>
      </c>
      <c r="H528">
        <v>0</v>
      </c>
      <c r="I528" t="s">
        <v>552</v>
      </c>
      <c r="J528">
        <v>0</v>
      </c>
      <c r="K528">
        <v>0</v>
      </c>
      <c r="L528" t="s">
        <v>6</v>
      </c>
      <c r="M528" t="s">
        <v>6</v>
      </c>
      <c r="N528">
        <v>0</v>
      </c>
      <c r="O528">
        <v>1</v>
      </c>
      <c r="P528" t="s">
        <v>609</v>
      </c>
      <c r="IF528">
        <v>-1</v>
      </c>
    </row>
    <row r="529" spans="1:240" x14ac:dyDescent="0.2">
      <c r="A529">
        <v>70</v>
      </c>
      <c r="B529">
        <v>1</v>
      </c>
      <c r="D529">
        <v>17</v>
      </c>
      <c r="E529" t="s">
        <v>610</v>
      </c>
      <c r="F529" t="s">
        <v>611</v>
      </c>
      <c r="G529">
        <v>1</v>
      </c>
      <c r="H529">
        <v>0</v>
      </c>
      <c r="I529" t="s">
        <v>552</v>
      </c>
      <c r="J529">
        <v>0</v>
      </c>
      <c r="K529">
        <v>0</v>
      </c>
      <c r="L529" t="s">
        <v>6</v>
      </c>
      <c r="M529" t="s">
        <v>6</v>
      </c>
      <c r="N529">
        <v>0</v>
      </c>
      <c r="O529">
        <v>1</v>
      </c>
      <c r="P529" t="s">
        <v>611</v>
      </c>
      <c r="IF529">
        <v>-1</v>
      </c>
    </row>
    <row r="530" spans="1:240" x14ac:dyDescent="0.2">
      <c r="A530">
        <v>70</v>
      </c>
      <c r="B530">
        <v>1</v>
      </c>
      <c r="D530">
        <v>18</v>
      </c>
      <c r="E530" t="s">
        <v>612</v>
      </c>
      <c r="F530" t="s">
        <v>613</v>
      </c>
      <c r="G530">
        <v>1</v>
      </c>
      <c r="H530">
        <v>0</v>
      </c>
      <c r="I530" t="s">
        <v>552</v>
      </c>
      <c r="J530">
        <v>0</v>
      </c>
      <c r="K530">
        <v>0</v>
      </c>
      <c r="L530" t="s">
        <v>6</v>
      </c>
      <c r="M530" t="s">
        <v>6</v>
      </c>
      <c r="N530">
        <v>0</v>
      </c>
      <c r="O530">
        <v>1</v>
      </c>
      <c r="P530" t="s">
        <v>613</v>
      </c>
      <c r="IF530">
        <v>-1</v>
      </c>
    </row>
    <row r="531" spans="1:240" x14ac:dyDescent="0.2">
      <c r="A531">
        <v>70</v>
      </c>
      <c r="B531">
        <v>1</v>
      </c>
      <c r="D531">
        <v>19</v>
      </c>
      <c r="E531" t="s">
        <v>614</v>
      </c>
      <c r="F531" t="s">
        <v>611</v>
      </c>
      <c r="G531">
        <v>1</v>
      </c>
      <c r="H531">
        <v>0</v>
      </c>
      <c r="I531" t="s">
        <v>552</v>
      </c>
      <c r="J531">
        <v>0</v>
      </c>
      <c r="K531">
        <v>0</v>
      </c>
      <c r="L531" t="s">
        <v>6</v>
      </c>
      <c r="M531" t="s">
        <v>6</v>
      </c>
      <c r="N531">
        <v>0</v>
      </c>
      <c r="O531">
        <v>1</v>
      </c>
      <c r="P531" t="s">
        <v>611</v>
      </c>
      <c r="IF531">
        <v>-1</v>
      </c>
    </row>
    <row r="532" spans="1:240" x14ac:dyDescent="0.2">
      <c r="A532">
        <v>70</v>
      </c>
      <c r="B532">
        <v>1</v>
      </c>
      <c r="D532">
        <v>20</v>
      </c>
      <c r="E532" t="s">
        <v>615</v>
      </c>
      <c r="F532" t="s">
        <v>613</v>
      </c>
      <c r="G532">
        <v>1</v>
      </c>
      <c r="H532">
        <v>0</v>
      </c>
      <c r="I532" t="s">
        <v>552</v>
      </c>
      <c r="J532">
        <v>0</v>
      </c>
      <c r="K532">
        <v>0</v>
      </c>
      <c r="L532" t="s">
        <v>6</v>
      </c>
      <c r="M532" t="s">
        <v>6</v>
      </c>
      <c r="N532">
        <v>0</v>
      </c>
      <c r="O532">
        <v>1</v>
      </c>
      <c r="P532" t="s">
        <v>613</v>
      </c>
      <c r="IF532">
        <v>-1</v>
      </c>
    </row>
    <row r="533" spans="1:240" x14ac:dyDescent="0.2">
      <c r="A533">
        <v>70</v>
      </c>
      <c r="B533">
        <v>1</v>
      </c>
      <c r="D533">
        <v>21</v>
      </c>
      <c r="E533" t="s">
        <v>616</v>
      </c>
      <c r="F533" t="s">
        <v>617</v>
      </c>
      <c r="G533">
        <v>0</v>
      </c>
      <c r="H533">
        <v>0</v>
      </c>
      <c r="I533" t="s">
        <v>552</v>
      </c>
      <c r="J533">
        <v>0</v>
      </c>
      <c r="K533">
        <v>0</v>
      </c>
      <c r="L533" t="s">
        <v>6</v>
      </c>
      <c r="M533" t="s">
        <v>6</v>
      </c>
      <c r="N533">
        <v>0</v>
      </c>
      <c r="O533">
        <v>0</v>
      </c>
      <c r="P533" t="s">
        <v>617</v>
      </c>
      <c r="IF533">
        <v>-1</v>
      </c>
    </row>
    <row r="534" spans="1:240" x14ac:dyDescent="0.2">
      <c r="IF534">
        <v>-1</v>
      </c>
    </row>
    <row r="535" spans="1:240" x14ac:dyDescent="0.2">
      <c r="A535">
        <v>-1</v>
      </c>
      <c r="IF535">
        <v>-1</v>
      </c>
    </row>
    <row r="536" spans="1:240" x14ac:dyDescent="0.2">
      <c r="IF536">
        <v>-1</v>
      </c>
    </row>
    <row r="537" spans="1:240" x14ac:dyDescent="0.2">
      <c r="A537" s="4">
        <v>75</v>
      </c>
      <c r="B537" s="4" t="s">
        <v>618</v>
      </c>
      <c r="C537" s="4">
        <v>2000</v>
      </c>
      <c r="D537" s="4">
        <v>0</v>
      </c>
      <c r="E537" s="4">
        <v>1</v>
      </c>
      <c r="F537" s="4"/>
      <c r="G537" s="4">
        <v>0</v>
      </c>
      <c r="H537" s="4">
        <v>1</v>
      </c>
      <c r="I537" s="4">
        <v>0</v>
      </c>
      <c r="J537" s="4">
        <v>4</v>
      </c>
      <c r="K537" s="4">
        <v>0</v>
      </c>
      <c r="L537" s="4">
        <v>0</v>
      </c>
      <c r="M537" s="4">
        <v>0</v>
      </c>
      <c r="N537" s="4">
        <v>86326987</v>
      </c>
      <c r="O537" s="4">
        <v>1</v>
      </c>
      <c r="IF537">
        <v>-1</v>
      </c>
    </row>
    <row r="538" spans="1:240" x14ac:dyDescent="0.2">
      <c r="A538" s="4">
        <v>75</v>
      </c>
      <c r="B538" s="4" t="s">
        <v>619</v>
      </c>
      <c r="C538" s="4">
        <v>2024</v>
      </c>
      <c r="D538" s="4">
        <v>1</v>
      </c>
      <c r="E538" s="4">
        <v>3</v>
      </c>
      <c r="F538" s="4"/>
      <c r="G538" s="4">
        <v>0</v>
      </c>
      <c r="H538" s="4">
        <v>2</v>
      </c>
      <c r="I538" s="4">
        <v>0</v>
      </c>
      <c r="J538" s="4">
        <v>3</v>
      </c>
      <c r="K538" s="4">
        <v>0</v>
      </c>
      <c r="L538" s="4">
        <v>0</v>
      </c>
      <c r="M538" s="4">
        <v>1</v>
      </c>
      <c r="N538" s="4">
        <v>86326988</v>
      </c>
      <c r="O538" s="4">
        <v>2</v>
      </c>
      <c r="IF538">
        <v>-1</v>
      </c>
    </row>
    <row r="539" spans="1:240" x14ac:dyDescent="0.2">
      <c r="A539" s="6">
        <v>1</v>
      </c>
      <c r="B539" s="6" t="s">
        <v>620</v>
      </c>
      <c r="C539" s="6" t="s">
        <v>621</v>
      </c>
      <c r="D539" s="6">
        <v>2024</v>
      </c>
      <c r="E539" s="6">
        <v>3</v>
      </c>
      <c r="F539" s="6">
        <v>1</v>
      </c>
      <c r="G539" s="6">
        <v>1</v>
      </c>
      <c r="H539" s="6">
        <v>0</v>
      </c>
      <c r="I539" s="6">
        <v>2</v>
      </c>
      <c r="J539" s="6">
        <v>1</v>
      </c>
      <c r="K539" s="6">
        <v>7.56</v>
      </c>
      <c r="L539" s="6">
        <v>4.83</v>
      </c>
      <c r="M539" s="6">
        <v>1</v>
      </c>
      <c r="N539" s="6">
        <v>1</v>
      </c>
      <c r="O539" s="6">
        <v>7.56</v>
      </c>
      <c r="P539" s="6">
        <v>4.83</v>
      </c>
      <c r="Q539" s="6">
        <v>1</v>
      </c>
      <c r="R539" s="6" t="s">
        <v>6</v>
      </c>
      <c r="S539" s="6" t="s">
        <v>6</v>
      </c>
      <c r="T539" s="6" t="s">
        <v>6</v>
      </c>
      <c r="U539" s="6" t="s">
        <v>6</v>
      </c>
      <c r="V539" s="6" t="s">
        <v>6</v>
      </c>
      <c r="W539" s="6" t="s">
        <v>6</v>
      </c>
      <c r="X539" s="6" t="s">
        <v>6</v>
      </c>
      <c r="Y539" s="6" t="s">
        <v>6</v>
      </c>
      <c r="Z539" s="6" t="s">
        <v>6</v>
      </c>
      <c r="AA539" s="6" t="s">
        <v>6</v>
      </c>
      <c r="AB539" s="6"/>
      <c r="AC539" s="6"/>
      <c r="AD539" s="6"/>
      <c r="AE539" s="6"/>
      <c r="AF539" s="6"/>
      <c r="AG539" s="6"/>
      <c r="AH539" s="6"/>
      <c r="AI539" s="6"/>
      <c r="AJ539" s="6"/>
      <c r="AK539" s="6"/>
      <c r="AL539" s="6"/>
      <c r="AM539" s="6"/>
      <c r="AN539" s="6">
        <v>86326989</v>
      </c>
      <c r="AO539" s="6"/>
      <c r="AP539" s="6"/>
      <c r="AQ539" s="6"/>
      <c r="AR539" s="6"/>
      <c r="AS539" s="6"/>
      <c r="AT539" s="6"/>
      <c r="AU539" s="6"/>
      <c r="AV539" s="6"/>
      <c r="AW539" s="6"/>
      <c r="AX539" s="6"/>
      <c r="IF539">
        <v>-1</v>
      </c>
    </row>
    <row r="540" spans="1:240" x14ac:dyDescent="0.2">
      <c r="IF540">
        <v>-1</v>
      </c>
    </row>
    <row r="541" spans="1:240" x14ac:dyDescent="0.2">
      <c r="IF541">
        <v>-1</v>
      </c>
    </row>
    <row r="542" spans="1:240" x14ac:dyDescent="0.2">
      <c r="IF542">
        <v>-1</v>
      </c>
    </row>
    <row r="543" spans="1:240" x14ac:dyDescent="0.2">
      <c r="A543">
        <v>65</v>
      </c>
      <c r="C543">
        <v>1</v>
      </c>
      <c r="D543">
        <v>0</v>
      </c>
      <c r="E543">
        <v>245</v>
      </c>
      <c r="IF543">
        <v>-1</v>
      </c>
    </row>
  </sheetData>
  <printOptions gridLines="1"/>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53"/>
  <sheetViews>
    <sheetView workbookViewId="0"/>
  </sheetViews>
  <sheetFormatPr defaultColWidth="9.140625" defaultRowHeight="12.75" x14ac:dyDescent="0.2"/>
  <cols>
    <col min="1" max="256" width="9.140625" customWidth="1"/>
  </cols>
  <sheetData>
    <row r="1" spans="1:133" x14ac:dyDescent="0.2">
      <c r="A1">
        <v>0</v>
      </c>
      <c r="B1" t="s">
        <v>0</v>
      </c>
      <c r="D1" t="s">
        <v>622</v>
      </c>
      <c r="F1">
        <v>0</v>
      </c>
      <c r="G1">
        <v>0</v>
      </c>
      <c r="H1">
        <v>0</v>
      </c>
      <c r="I1" t="s">
        <v>2</v>
      </c>
      <c r="J1" t="s">
        <v>3</v>
      </c>
      <c r="K1">
        <v>1</v>
      </c>
      <c r="L1">
        <v>10853</v>
      </c>
      <c r="M1">
        <v>52984312</v>
      </c>
      <c r="N1">
        <v>11</v>
      </c>
      <c r="O1">
        <v>9</v>
      </c>
      <c r="P1">
        <v>0</v>
      </c>
      <c r="Q1">
        <v>1</v>
      </c>
    </row>
    <row r="4" spans="1:133" x14ac:dyDescent="0.2">
      <c r="A4" s="1">
        <v>1</v>
      </c>
      <c r="B4" s="1">
        <v>1</v>
      </c>
      <c r="C4" s="1">
        <v>-1</v>
      </c>
      <c r="D4" s="1"/>
      <c r="E4" s="1"/>
      <c r="F4" s="1" t="s">
        <v>4</v>
      </c>
      <c r="G4" s="1" t="s">
        <v>5</v>
      </c>
      <c r="H4" s="1" t="s">
        <v>6</v>
      </c>
      <c r="I4" s="1" t="s">
        <v>6</v>
      </c>
      <c r="J4" s="1" t="s">
        <v>6</v>
      </c>
      <c r="K4" s="1" t="s">
        <v>6</v>
      </c>
      <c r="L4" s="1" t="s">
        <v>6</v>
      </c>
      <c r="M4" s="1" t="s">
        <v>6</v>
      </c>
      <c r="N4" s="1" t="s">
        <v>6</v>
      </c>
      <c r="O4" s="1" t="s">
        <v>6</v>
      </c>
      <c r="P4" s="1">
        <v>0</v>
      </c>
      <c r="Q4" s="1" t="s">
        <v>6</v>
      </c>
      <c r="R4" s="1"/>
      <c r="S4" s="1"/>
      <c r="T4" s="1"/>
      <c r="U4" s="1"/>
      <c r="V4" s="1"/>
      <c r="W4" s="1"/>
      <c r="X4" s="1"/>
      <c r="Y4" s="1"/>
      <c r="Z4" s="1"/>
      <c r="AA4" s="1"/>
      <c r="AB4" s="1"/>
      <c r="AC4" s="1"/>
      <c r="AD4" s="1"/>
      <c r="AE4" s="1">
        <v>0</v>
      </c>
      <c r="BH4" t="s">
        <v>6</v>
      </c>
      <c r="BI4" t="s">
        <v>6</v>
      </c>
      <c r="BJ4" t="s">
        <v>6</v>
      </c>
      <c r="BK4" t="s">
        <v>6</v>
      </c>
      <c r="BL4" t="s">
        <v>6</v>
      </c>
    </row>
    <row r="12" spans="1:133" x14ac:dyDescent="0.2">
      <c r="A12" s="1">
        <v>1</v>
      </c>
      <c r="B12" s="1">
        <v>51</v>
      </c>
      <c r="C12" s="1">
        <v>1</v>
      </c>
      <c r="D12" s="1"/>
      <c r="E12" s="1">
        <v>0</v>
      </c>
      <c r="F12" s="1" t="s">
        <v>7</v>
      </c>
      <c r="G12" s="1" t="s">
        <v>5</v>
      </c>
      <c r="H12" s="1" t="s">
        <v>6</v>
      </c>
      <c r="I12" s="1">
        <v>0</v>
      </c>
      <c r="J12" s="1" t="s">
        <v>8</v>
      </c>
      <c r="K12" s="1">
        <v>0</v>
      </c>
      <c r="L12" s="1">
        <v>0</v>
      </c>
      <c r="M12" s="1">
        <v>2</v>
      </c>
      <c r="N12" s="1"/>
      <c r="O12" s="1">
        <v>0</v>
      </c>
      <c r="P12" s="1">
        <v>0</v>
      </c>
      <c r="Q12" s="1">
        <v>2</v>
      </c>
      <c r="R12" s="1">
        <v>0</v>
      </c>
      <c r="S12" s="1">
        <v>0</v>
      </c>
      <c r="T12" s="1">
        <v>1</v>
      </c>
      <c r="U12" s="1" t="s">
        <v>8</v>
      </c>
      <c r="V12" s="1">
        <v>0</v>
      </c>
      <c r="W12" s="1" t="s">
        <v>6</v>
      </c>
      <c r="X12" s="1" t="s">
        <v>6</v>
      </c>
      <c r="Y12" s="1" t="s">
        <v>6</v>
      </c>
      <c r="Z12" s="1" t="s">
        <v>6</v>
      </c>
      <c r="AA12" s="1" t="s">
        <v>6</v>
      </c>
      <c r="AB12" s="1" t="s">
        <v>6</v>
      </c>
      <c r="AC12" s="1" t="s">
        <v>6</v>
      </c>
      <c r="AD12" s="1" t="s">
        <v>6</v>
      </c>
      <c r="AE12" s="1" t="s">
        <v>6</v>
      </c>
      <c r="AF12" s="1" t="s">
        <v>6</v>
      </c>
      <c r="AG12" s="1" t="s">
        <v>6</v>
      </c>
      <c r="AH12" s="1" t="s">
        <v>6</v>
      </c>
      <c r="AI12" s="1" t="s">
        <v>6</v>
      </c>
      <c r="AJ12" s="1" t="s">
        <v>6</v>
      </c>
      <c r="AK12" s="1"/>
      <c r="AL12" s="1" t="s">
        <v>6</v>
      </c>
      <c r="AM12" s="1" t="s">
        <v>6</v>
      </c>
      <c r="AN12" s="1" t="s">
        <v>6</v>
      </c>
      <c r="AO12" s="1"/>
      <c r="AP12" s="1" t="s">
        <v>6</v>
      </c>
      <c r="AQ12" s="1" t="s">
        <v>6</v>
      </c>
      <c r="AR12" s="1" t="s">
        <v>6</v>
      </c>
      <c r="AS12" s="1"/>
      <c r="AT12" s="1"/>
      <c r="AU12" s="1"/>
      <c r="AV12" s="1"/>
      <c r="AW12" s="1"/>
      <c r="AX12" s="1" t="s">
        <v>6</v>
      </c>
      <c r="AY12" s="1" t="s">
        <v>6</v>
      </c>
      <c r="AZ12" s="1" t="s">
        <v>6</v>
      </c>
      <c r="BA12" s="1"/>
      <c r="BB12" s="1">
        <v>0</v>
      </c>
      <c r="BC12" s="1"/>
      <c r="BD12" s="1"/>
      <c r="BE12" s="1"/>
      <c r="BF12" s="1"/>
      <c r="BG12" s="1"/>
      <c r="BH12" s="1" t="s">
        <v>9</v>
      </c>
      <c r="BI12" s="1" t="s">
        <v>10</v>
      </c>
      <c r="BJ12" s="1">
        <v>1</v>
      </c>
      <c r="BK12" s="1">
        <v>0</v>
      </c>
      <c r="BL12" s="1">
        <v>0</v>
      </c>
      <c r="BM12" s="1">
        <v>0</v>
      </c>
      <c r="BN12" s="1">
        <v>0</v>
      </c>
      <c r="BO12" s="1">
        <v>0</v>
      </c>
      <c r="BP12" s="1">
        <v>2</v>
      </c>
      <c r="BQ12" s="1">
        <v>0</v>
      </c>
      <c r="BR12" s="1">
        <v>1</v>
      </c>
      <c r="BS12" s="1">
        <v>1</v>
      </c>
      <c r="BT12" s="1">
        <v>0</v>
      </c>
      <c r="BU12" s="1">
        <v>0</v>
      </c>
      <c r="BV12" s="1">
        <v>1</v>
      </c>
      <c r="BW12" s="1">
        <v>0</v>
      </c>
      <c r="BX12" s="1">
        <v>0</v>
      </c>
      <c r="BY12" s="1" t="s">
        <v>6</v>
      </c>
      <c r="BZ12" s="1" t="s">
        <v>11</v>
      </c>
      <c r="CA12" s="1" t="s">
        <v>6</v>
      </c>
      <c r="CB12" s="1" t="s">
        <v>12</v>
      </c>
      <c r="CC12" s="1" t="s">
        <v>12</v>
      </c>
      <c r="CD12" s="1" t="s">
        <v>13</v>
      </c>
      <c r="CE12" s="1" t="s">
        <v>14</v>
      </c>
      <c r="CF12" s="1">
        <v>0</v>
      </c>
      <c r="CG12" s="1">
        <v>0</v>
      </c>
      <c r="CH12" s="1">
        <v>84451849</v>
      </c>
      <c r="CI12" s="1" t="s">
        <v>6</v>
      </c>
      <c r="CJ12" s="1" t="s">
        <v>6</v>
      </c>
      <c r="CK12" s="1">
        <v>0</v>
      </c>
      <c r="CL12" s="1"/>
      <c r="CM12" s="1"/>
      <c r="CN12" s="1"/>
      <c r="CO12" s="1"/>
      <c r="CP12" s="1"/>
      <c r="CQ12" s="1"/>
      <c r="CR12" s="1"/>
      <c r="CS12" s="1"/>
      <c r="CT12" s="1"/>
      <c r="CU12" s="1"/>
      <c r="CV12" s="1"/>
      <c r="CW12" s="1"/>
      <c r="CX12" s="1"/>
      <c r="CY12" s="1">
        <v>0</v>
      </c>
      <c r="CZ12" s="1" t="s">
        <v>6</v>
      </c>
      <c r="DA12" s="1" t="s">
        <v>6</v>
      </c>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v>0</v>
      </c>
    </row>
    <row r="14" spans="1:133" x14ac:dyDescent="0.2">
      <c r="A14" s="1">
        <v>22</v>
      </c>
      <c r="B14" s="1">
        <v>1</v>
      </c>
      <c r="C14" s="1">
        <v>0</v>
      </c>
      <c r="D14" s="1">
        <v>86326987</v>
      </c>
      <c r="E14" s="1">
        <v>86326988</v>
      </c>
      <c r="F14" s="1">
        <v>2</v>
      </c>
      <c r="G14" s="1">
        <v>1</v>
      </c>
      <c r="H14" s="1"/>
      <c r="I14" s="1"/>
      <c r="J14" s="1"/>
      <c r="K14" s="1"/>
      <c r="L14" s="1"/>
      <c r="M14" s="1"/>
      <c r="N14" s="1"/>
      <c r="O14" s="1"/>
    </row>
    <row r="16" spans="1:133" x14ac:dyDescent="0.2">
      <c r="A16" s="7">
        <v>3</v>
      </c>
      <c r="B16" s="7">
        <v>0</v>
      </c>
      <c r="C16" s="7" t="s">
        <v>15</v>
      </c>
      <c r="D16" s="7" t="s">
        <v>16</v>
      </c>
      <c r="E16" s="8" t="e">
        <f>ROUND((Source!F454)/1000,2)</f>
        <v>#REF!</v>
      </c>
      <c r="F16" s="8" t="e">
        <f>ROUND((Source!F455)/1000,2)</f>
        <v>#REF!</v>
      </c>
      <c r="G16" s="8">
        <f>ROUND((Source!F446)/1000,2)</f>
        <v>0</v>
      </c>
      <c r="H16" s="8" t="e">
        <f>ROUND((Source!F456)/1000+(Source!F457)/1000,2)</f>
        <v>#REF!</v>
      </c>
      <c r="I16" s="8" t="e">
        <f>E16+F16+G16+H16</f>
        <v>#REF!</v>
      </c>
      <c r="J16" s="8" t="e">
        <f>ROUND((Source!F452+Source!F451)/1000,2)</f>
        <v>#REF!</v>
      </c>
      <c r="T16" s="9" t="e">
        <f>ROUND((Source!P454)/1000,2)</f>
        <v>#REF!</v>
      </c>
      <c r="U16" s="9" t="e">
        <f>ROUND((Source!P455)/1000,2)</f>
        <v>#REF!</v>
      </c>
      <c r="V16" s="9">
        <f>ROUND((Source!P446)/1000,2)</f>
        <v>0</v>
      </c>
      <c r="W16" s="9" t="e">
        <f>ROUND((Source!P456)/1000+(Source!P457)/1000,2)</f>
        <v>#REF!</v>
      </c>
      <c r="X16" s="9" t="e">
        <f>T16+U16+V16+W16</f>
        <v>#REF!</v>
      </c>
      <c r="Y16" s="9" t="e">
        <f>ROUND((Source!P452+Source!P451)/1000,2)</f>
        <v>#REF!</v>
      </c>
      <c r="AI16" s="7">
        <v>0</v>
      </c>
      <c r="AJ16" s="7">
        <v>-1</v>
      </c>
      <c r="AK16" s="7" t="s">
        <v>6</v>
      </c>
      <c r="AL16" s="7" t="s">
        <v>6</v>
      </c>
      <c r="AM16" s="7" t="s">
        <v>6</v>
      </c>
      <c r="AN16" s="7">
        <v>0</v>
      </c>
      <c r="AO16" s="7" t="s">
        <v>6</v>
      </c>
      <c r="AP16" s="7" t="s">
        <v>6</v>
      </c>
      <c r="AT16" s="8">
        <v>1736301</v>
      </c>
      <c r="AU16" s="8">
        <v>1347195</v>
      </c>
      <c r="AW16" s="8">
        <v>0</v>
      </c>
      <c r="AX16" s="8">
        <v>0</v>
      </c>
      <c r="AY16" s="8">
        <v>253242</v>
      </c>
      <c r="AZ16" s="8">
        <v>31478</v>
      </c>
      <c r="BA16" s="8">
        <v>135864</v>
      </c>
      <c r="BB16" s="8">
        <v>1981558</v>
      </c>
      <c r="BC16" s="8">
        <v>18637</v>
      </c>
      <c r="BD16" s="8">
        <v>0</v>
      </c>
      <c r="BE16" s="8">
        <v>0</v>
      </c>
      <c r="BF16" s="8">
        <v>13385</v>
      </c>
      <c r="BG16" s="8">
        <v>2338</v>
      </c>
      <c r="BH16" s="8">
        <v>95</v>
      </c>
      <c r="BI16" s="8">
        <v>151436</v>
      </c>
      <c r="BJ16" s="8">
        <v>112458</v>
      </c>
      <c r="BK16" s="8">
        <v>2000195</v>
      </c>
      <c r="BR16" s="9">
        <v>18951086</v>
      </c>
      <c r="BS16" s="9">
        <v>12672093</v>
      </c>
      <c r="BU16" s="9">
        <v>0</v>
      </c>
      <c r="BV16" s="9">
        <v>0</v>
      </c>
      <c r="BW16" s="9">
        <v>2316801</v>
      </c>
      <c r="BX16" s="9">
        <v>623235</v>
      </c>
      <c r="BY16" s="9">
        <v>3962192</v>
      </c>
      <c r="BZ16" s="9">
        <v>25520406</v>
      </c>
      <c r="CA16" s="9">
        <v>135679</v>
      </c>
      <c r="CB16" s="9">
        <v>0</v>
      </c>
      <c r="CC16" s="9">
        <v>0</v>
      </c>
      <c r="CD16" s="9">
        <v>13385</v>
      </c>
      <c r="CE16" s="9">
        <v>2338</v>
      </c>
      <c r="CF16" s="9">
        <v>95</v>
      </c>
      <c r="CG16" s="9">
        <v>4059527</v>
      </c>
      <c r="CH16" s="9">
        <v>2645472</v>
      </c>
      <c r="CI16" s="9">
        <v>25656085</v>
      </c>
    </row>
    <row r="18" spans="1:40" x14ac:dyDescent="0.2">
      <c r="A18">
        <v>51</v>
      </c>
      <c r="E18" s="10" t="e">
        <f>SUMIF(A16:A17,3,E16:E17)</f>
        <v>#REF!</v>
      </c>
      <c r="F18" s="10" t="e">
        <f>SUMIF(A16:A17,3,F16:F17)</f>
        <v>#REF!</v>
      </c>
      <c r="G18" s="10">
        <f>SUMIF(A16:A17,3,G16:G17)</f>
        <v>0</v>
      </c>
      <c r="H18" s="10" t="e">
        <f>SUMIF(A16:A17,3,H16:H17)</f>
        <v>#REF!</v>
      </c>
      <c r="I18" s="10" t="e">
        <f>SUMIF(A16:A17,3,I16:I17)</f>
        <v>#REF!</v>
      </c>
      <c r="J18" s="10" t="e">
        <f>SUMIF(A16:A17,3,J16:J17)</f>
        <v>#REF!</v>
      </c>
      <c r="K18" s="10"/>
      <c r="L18" s="10"/>
      <c r="M18" s="10"/>
      <c r="N18" s="10"/>
      <c r="O18" s="10"/>
      <c r="P18" s="10"/>
      <c r="Q18" s="10"/>
      <c r="R18" s="10"/>
      <c r="S18" s="10"/>
      <c r="T18" s="3" t="e">
        <f>SUMIF(A16:A17,3,T16:T17)</f>
        <v>#REF!</v>
      </c>
      <c r="U18" s="3" t="e">
        <f>SUMIF(A16:A17,3,U16:U17)</f>
        <v>#REF!</v>
      </c>
      <c r="V18" s="3">
        <f>SUMIF(A16:A17,3,V16:V17)</f>
        <v>0</v>
      </c>
      <c r="W18" s="3" t="e">
        <f>SUMIF(A16:A17,3,W16:W17)</f>
        <v>#REF!</v>
      </c>
      <c r="X18" s="3" t="e">
        <f>SUMIF(A16:A17,3,X16:X17)</f>
        <v>#REF!</v>
      </c>
      <c r="Y18" s="3" t="e">
        <f>SUMIF(A16:A17,3,Y16:Y17)</f>
        <v>#REF!</v>
      </c>
      <c r="Z18" s="3"/>
      <c r="AA18" s="3"/>
      <c r="AB18" s="3"/>
      <c r="AC18" s="3"/>
      <c r="AD18" s="3"/>
      <c r="AE18" s="3"/>
      <c r="AF18" s="3"/>
      <c r="AG18" s="3"/>
      <c r="AH18" s="3"/>
      <c r="AI18" s="3"/>
      <c r="AJ18" s="3"/>
      <c r="AK18" s="3"/>
      <c r="AL18" s="3"/>
      <c r="AM18" s="3"/>
      <c r="AN18" s="3"/>
    </row>
    <row r="20" spans="1:40" x14ac:dyDescent="0.2">
      <c r="A20" s="5">
        <v>50</v>
      </c>
      <c r="B20" s="5">
        <v>0</v>
      </c>
      <c r="C20" s="5">
        <v>0</v>
      </c>
      <c r="D20" s="5">
        <v>1</v>
      </c>
      <c r="E20" s="5">
        <v>201</v>
      </c>
      <c r="F20" s="5">
        <v>1736301</v>
      </c>
      <c r="G20" s="5" t="s">
        <v>142</v>
      </c>
      <c r="H20" s="5" t="s">
        <v>143</v>
      </c>
      <c r="I20" s="5"/>
      <c r="J20" s="5"/>
      <c r="K20" s="5">
        <v>201</v>
      </c>
      <c r="L20" s="5">
        <v>1</v>
      </c>
      <c r="M20" s="5">
        <v>3</v>
      </c>
      <c r="N20" s="5" t="s">
        <v>6</v>
      </c>
      <c r="O20" s="5">
        <v>0</v>
      </c>
      <c r="P20" s="5">
        <v>18951086</v>
      </c>
    </row>
    <row r="21" spans="1:40" x14ac:dyDescent="0.2">
      <c r="A21" s="5">
        <v>50</v>
      </c>
      <c r="B21" s="5">
        <v>0</v>
      </c>
      <c r="C21" s="5">
        <v>0</v>
      </c>
      <c r="D21" s="5">
        <v>1</v>
      </c>
      <c r="E21" s="5">
        <v>202</v>
      </c>
      <c r="F21" s="5">
        <v>1347195</v>
      </c>
      <c r="G21" s="5" t="s">
        <v>144</v>
      </c>
      <c r="H21" s="5" t="s">
        <v>145</v>
      </c>
      <c r="I21" s="5"/>
      <c r="J21" s="5"/>
      <c r="K21" s="5">
        <v>202</v>
      </c>
      <c r="L21" s="5">
        <v>2</v>
      </c>
      <c r="M21" s="5">
        <v>3</v>
      </c>
      <c r="N21" s="5" t="s">
        <v>6</v>
      </c>
      <c r="O21" s="5">
        <v>0</v>
      </c>
      <c r="P21" s="5">
        <v>12672093</v>
      </c>
    </row>
    <row r="22" spans="1:40" x14ac:dyDescent="0.2">
      <c r="A22" s="5">
        <v>50</v>
      </c>
      <c r="B22" s="5">
        <v>0</v>
      </c>
      <c r="C22" s="5">
        <v>0</v>
      </c>
      <c r="D22" s="5">
        <v>1</v>
      </c>
      <c r="E22" s="5">
        <v>227</v>
      </c>
      <c r="F22" s="5">
        <v>0</v>
      </c>
      <c r="G22" s="5" t="s">
        <v>146</v>
      </c>
      <c r="H22" s="5" t="s">
        <v>147</v>
      </c>
      <c r="I22" s="5"/>
      <c r="J22" s="5"/>
      <c r="K22" s="5">
        <v>222</v>
      </c>
      <c r="L22" s="5">
        <v>3</v>
      </c>
      <c r="M22" s="5">
        <v>3</v>
      </c>
      <c r="N22" s="5" t="s">
        <v>6</v>
      </c>
      <c r="O22" s="5">
        <v>0</v>
      </c>
      <c r="P22" s="5">
        <v>0</v>
      </c>
    </row>
    <row r="23" spans="1:40" x14ac:dyDescent="0.2">
      <c r="A23" s="5">
        <v>50</v>
      </c>
      <c r="B23" s="5">
        <v>0</v>
      </c>
      <c r="C23" s="5">
        <v>0</v>
      </c>
      <c r="D23" s="5">
        <v>1</v>
      </c>
      <c r="E23" s="5">
        <v>225</v>
      </c>
      <c r="F23" s="5">
        <v>1347195</v>
      </c>
      <c r="G23" s="5" t="s">
        <v>148</v>
      </c>
      <c r="H23" s="5" t="s">
        <v>149</v>
      </c>
      <c r="I23" s="5"/>
      <c r="J23" s="5"/>
      <c r="K23" s="5">
        <v>225</v>
      </c>
      <c r="L23" s="5">
        <v>4</v>
      </c>
      <c r="M23" s="5">
        <v>3</v>
      </c>
      <c r="N23" s="5" t="s">
        <v>6</v>
      </c>
      <c r="O23" s="5">
        <v>0</v>
      </c>
      <c r="P23" s="5">
        <v>12672093</v>
      </c>
    </row>
    <row r="24" spans="1:40" x14ac:dyDescent="0.2">
      <c r="A24" s="5">
        <v>50</v>
      </c>
      <c r="B24" s="5">
        <v>0</v>
      </c>
      <c r="C24" s="5">
        <v>0</v>
      </c>
      <c r="D24" s="5">
        <v>1</v>
      </c>
      <c r="E24" s="5">
        <v>226</v>
      </c>
      <c r="F24" s="5">
        <v>1347195</v>
      </c>
      <c r="G24" s="5" t="s">
        <v>150</v>
      </c>
      <c r="H24" s="5" t="s">
        <v>151</v>
      </c>
      <c r="I24" s="5"/>
      <c r="J24" s="5"/>
      <c r="K24" s="5">
        <v>226</v>
      </c>
      <c r="L24" s="5">
        <v>5</v>
      </c>
      <c r="M24" s="5">
        <v>3</v>
      </c>
      <c r="N24" s="5" t="s">
        <v>6</v>
      </c>
      <c r="O24" s="5">
        <v>0</v>
      </c>
      <c r="P24" s="5">
        <v>12672093</v>
      </c>
    </row>
    <row r="25" spans="1:40" x14ac:dyDescent="0.2">
      <c r="A25" s="5">
        <v>50</v>
      </c>
      <c r="B25" s="5">
        <v>0</v>
      </c>
      <c r="C25" s="5">
        <v>0</v>
      </c>
      <c r="D25" s="5">
        <v>1</v>
      </c>
      <c r="E25" s="5">
        <v>0</v>
      </c>
      <c r="F25" s="5">
        <v>0</v>
      </c>
      <c r="G25" s="5" t="s">
        <v>152</v>
      </c>
      <c r="H25" s="5" t="s">
        <v>153</v>
      </c>
      <c r="I25" s="5"/>
      <c r="J25" s="5"/>
      <c r="K25" s="5">
        <v>227</v>
      </c>
      <c r="L25" s="5">
        <v>6</v>
      </c>
      <c r="M25" s="5">
        <v>3</v>
      </c>
      <c r="N25" s="5" t="s">
        <v>6</v>
      </c>
      <c r="O25" s="5">
        <v>0</v>
      </c>
      <c r="P25" s="5">
        <v>0</v>
      </c>
    </row>
    <row r="26" spans="1:40" x14ac:dyDescent="0.2">
      <c r="A26" s="5">
        <v>50</v>
      </c>
      <c r="B26" s="5">
        <v>0</v>
      </c>
      <c r="C26" s="5">
        <v>0</v>
      </c>
      <c r="D26" s="5">
        <v>1</v>
      </c>
      <c r="E26" s="5">
        <v>228</v>
      </c>
      <c r="F26" s="5">
        <v>1347195</v>
      </c>
      <c r="G26" s="5" t="s">
        <v>154</v>
      </c>
      <c r="H26" s="5" t="s">
        <v>155</v>
      </c>
      <c r="I26" s="5"/>
      <c r="J26" s="5"/>
      <c r="K26" s="5">
        <v>228</v>
      </c>
      <c r="L26" s="5">
        <v>7</v>
      </c>
      <c r="M26" s="5">
        <v>3</v>
      </c>
      <c r="N26" s="5" t="s">
        <v>6</v>
      </c>
      <c r="O26" s="5">
        <v>0</v>
      </c>
      <c r="P26" s="5">
        <v>12672093</v>
      </c>
    </row>
    <row r="27" spans="1:40" x14ac:dyDescent="0.2">
      <c r="A27" s="5">
        <v>50</v>
      </c>
      <c r="B27" s="5">
        <v>0</v>
      </c>
      <c r="C27" s="5">
        <v>0</v>
      </c>
      <c r="D27" s="5">
        <v>1</v>
      </c>
      <c r="E27" s="5">
        <v>216</v>
      </c>
      <c r="F27" s="5">
        <v>0</v>
      </c>
      <c r="G27" s="5" t="s">
        <v>156</v>
      </c>
      <c r="H27" s="5" t="s">
        <v>157</v>
      </c>
      <c r="I27" s="5"/>
      <c r="J27" s="5"/>
      <c r="K27" s="5">
        <v>216</v>
      </c>
      <c r="L27" s="5">
        <v>8</v>
      </c>
      <c r="M27" s="5">
        <v>3</v>
      </c>
      <c r="N27" s="5" t="s">
        <v>6</v>
      </c>
      <c r="O27" s="5">
        <v>0</v>
      </c>
      <c r="P27" s="5">
        <v>0</v>
      </c>
    </row>
    <row r="28" spans="1:40" x14ac:dyDescent="0.2">
      <c r="A28" s="5">
        <v>50</v>
      </c>
      <c r="B28" s="5">
        <v>0</v>
      </c>
      <c r="C28" s="5">
        <v>0</v>
      </c>
      <c r="D28" s="5">
        <v>1</v>
      </c>
      <c r="E28" s="5">
        <v>223</v>
      </c>
      <c r="F28" s="5">
        <v>0</v>
      </c>
      <c r="G28" s="5" t="s">
        <v>158</v>
      </c>
      <c r="H28" s="5" t="s">
        <v>159</v>
      </c>
      <c r="I28" s="5"/>
      <c r="J28" s="5"/>
      <c r="K28" s="5">
        <v>223</v>
      </c>
      <c r="L28" s="5">
        <v>9</v>
      </c>
      <c r="M28" s="5">
        <v>3</v>
      </c>
      <c r="N28" s="5" t="s">
        <v>6</v>
      </c>
      <c r="O28" s="5">
        <v>0</v>
      </c>
      <c r="P28" s="5">
        <v>0</v>
      </c>
    </row>
    <row r="29" spans="1:40" x14ac:dyDescent="0.2">
      <c r="A29" s="5">
        <v>50</v>
      </c>
      <c r="B29" s="5">
        <v>0</v>
      </c>
      <c r="C29" s="5">
        <v>0</v>
      </c>
      <c r="D29" s="5">
        <v>1</v>
      </c>
      <c r="E29" s="5">
        <v>229</v>
      </c>
      <c r="F29" s="5">
        <v>0</v>
      </c>
      <c r="G29" s="5" t="s">
        <v>160</v>
      </c>
      <c r="H29" s="5" t="s">
        <v>161</v>
      </c>
      <c r="I29" s="5"/>
      <c r="J29" s="5"/>
      <c r="K29" s="5">
        <v>229</v>
      </c>
      <c r="L29" s="5">
        <v>10</v>
      </c>
      <c r="M29" s="5">
        <v>3</v>
      </c>
      <c r="N29" s="5" t="s">
        <v>6</v>
      </c>
      <c r="O29" s="5">
        <v>0</v>
      </c>
      <c r="P29" s="5">
        <v>0</v>
      </c>
    </row>
    <row r="30" spans="1:40" x14ac:dyDescent="0.2">
      <c r="A30" s="5">
        <v>50</v>
      </c>
      <c r="B30" s="5">
        <v>0</v>
      </c>
      <c r="C30" s="5">
        <v>0</v>
      </c>
      <c r="D30" s="5">
        <v>1</v>
      </c>
      <c r="E30" s="5">
        <v>203</v>
      </c>
      <c r="F30" s="5">
        <v>253242</v>
      </c>
      <c r="G30" s="5" t="s">
        <v>162</v>
      </c>
      <c r="H30" s="5" t="s">
        <v>163</v>
      </c>
      <c r="I30" s="5"/>
      <c r="J30" s="5"/>
      <c r="K30" s="5">
        <v>203</v>
      </c>
      <c r="L30" s="5">
        <v>11</v>
      </c>
      <c r="M30" s="5">
        <v>3</v>
      </c>
      <c r="N30" s="5" t="s">
        <v>6</v>
      </c>
      <c r="O30" s="5">
        <v>0</v>
      </c>
      <c r="P30" s="5">
        <v>2316801</v>
      </c>
    </row>
    <row r="31" spans="1:40" x14ac:dyDescent="0.2">
      <c r="A31" s="5">
        <v>50</v>
      </c>
      <c r="B31" s="5">
        <v>0</v>
      </c>
      <c r="C31" s="5">
        <v>0</v>
      </c>
      <c r="D31" s="5">
        <v>1</v>
      </c>
      <c r="E31" s="5">
        <v>231</v>
      </c>
      <c r="F31" s="5">
        <v>0</v>
      </c>
      <c r="G31" s="5" t="s">
        <v>164</v>
      </c>
      <c r="H31" s="5" t="s">
        <v>165</v>
      </c>
      <c r="I31" s="5"/>
      <c r="J31" s="5"/>
      <c r="K31" s="5">
        <v>231</v>
      </c>
      <c r="L31" s="5">
        <v>12</v>
      </c>
      <c r="M31" s="5">
        <v>3</v>
      </c>
      <c r="N31" s="5" t="s">
        <v>6</v>
      </c>
      <c r="O31" s="5">
        <v>0</v>
      </c>
      <c r="P31" s="5">
        <v>0</v>
      </c>
    </row>
    <row r="32" spans="1:40" x14ac:dyDescent="0.2">
      <c r="A32" s="5">
        <v>50</v>
      </c>
      <c r="B32" s="5">
        <v>0</v>
      </c>
      <c r="C32" s="5">
        <v>0</v>
      </c>
      <c r="D32" s="5">
        <v>1</v>
      </c>
      <c r="E32" s="5">
        <v>204</v>
      </c>
      <c r="F32" s="5">
        <v>31478</v>
      </c>
      <c r="G32" s="5" t="s">
        <v>166</v>
      </c>
      <c r="H32" s="5" t="s">
        <v>167</v>
      </c>
      <c r="I32" s="5"/>
      <c r="J32" s="5"/>
      <c r="K32" s="5">
        <v>204</v>
      </c>
      <c r="L32" s="5">
        <v>13</v>
      </c>
      <c r="M32" s="5">
        <v>3</v>
      </c>
      <c r="N32" s="5" t="s">
        <v>6</v>
      </c>
      <c r="O32" s="5">
        <v>0</v>
      </c>
      <c r="P32" s="5">
        <v>623235</v>
      </c>
    </row>
    <row r="33" spans="1:16" x14ac:dyDescent="0.2">
      <c r="A33" s="5">
        <v>50</v>
      </c>
      <c r="B33" s="5">
        <v>0</v>
      </c>
      <c r="C33" s="5">
        <v>0</v>
      </c>
      <c r="D33" s="5">
        <v>1</v>
      </c>
      <c r="E33" s="5">
        <v>205</v>
      </c>
      <c r="F33" s="5">
        <v>135864</v>
      </c>
      <c r="G33" s="5" t="s">
        <v>168</v>
      </c>
      <c r="H33" s="5" t="s">
        <v>169</v>
      </c>
      <c r="I33" s="5"/>
      <c r="J33" s="5"/>
      <c r="K33" s="5">
        <v>205</v>
      </c>
      <c r="L33" s="5">
        <v>14</v>
      </c>
      <c r="M33" s="5">
        <v>3</v>
      </c>
      <c r="N33" s="5" t="s">
        <v>6</v>
      </c>
      <c r="O33" s="5">
        <v>0</v>
      </c>
      <c r="P33" s="5">
        <v>3962192</v>
      </c>
    </row>
    <row r="34" spans="1:16" x14ac:dyDescent="0.2">
      <c r="A34" s="5">
        <v>50</v>
      </c>
      <c r="B34" s="5">
        <v>0</v>
      </c>
      <c r="C34" s="5">
        <v>0</v>
      </c>
      <c r="D34" s="5">
        <v>1</v>
      </c>
      <c r="E34" s="5">
        <v>232</v>
      </c>
      <c r="F34" s="5">
        <v>0</v>
      </c>
      <c r="G34" s="5" t="s">
        <v>170</v>
      </c>
      <c r="H34" s="5" t="s">
        <v>171</v>
      </c>
      <c r="I34" s="5"/>
      <c r="J34" s="5"/>
      <c r="K34" s="5">
        <v>232</v>
      </c>
      <c r="L34" s="5">
        <v>15</v>
      </c>
      <c r="M34" s="5">
        <v>3</v>
      </c>
      <c r="N34" s="5" t="s">
        <v>6</v>
      </c>
      <c r="O34" s="5">
        <v>0</v>
      </c>
      <c r="P34" s="5">
        <v>0</v>
      </c>
    </row>
    <row r="35" spans="1:16" x14ac:dyDescent="0.2">
      <c r="A35" s="5">
        <v>50</v>
      </c>
      <c r="B35" s="5">
        <v>0</v>
      </c>
      <c r="C35" s="5">
        <v>0</v>
      </c>
      <c r="D35" s="5">
        <v>1</v>
      </c>
      <c r="E35" s="5">
        <v>214</v>
      </c>
      <c r="F35" s="5">
        <v>1981558</v>
      </c>
      <c r="G35" s="5" t="s">
        <v>172</v>
      </c>
      <c r="H35" s="5" t="s">
        <v>173</v>
      </c>
      <c r="I35" s="5"/>
      <c r="J35" s="5"/>
      <c r="K35" s="5">
        <v>214</v>
      </c>
      <c r="L35" s="5">
        <v>16</v>
      </c>
      <c r="M35" s="5">
        <v>3</v>
      </c>
      <c r="N35" s="5" t="s">
        <v>6</v>
      </c>
      <c r="O35" s="5">
        <v>0</v>
      </c>
      <c r="P35" s="5">
        <v>25520406</v>
      </c>
    </row>
    <row r="36" spans="1:16" x14ac:dyDescent="0.2">
      <c r="A36" s="5">
        <v>50</v>
      </c>
      <c r="B36" s="5">
        <v>0</v>
      </c>
      <c r="C36" s="5">
        <v>0</v>
      </c>
      <c r="D36" s="5">
        <v>1</v>
      </c>
      <c r="E36" s="5">
        <v>215</v>
      </c>
      <c r="F36" s="5">
        <v>18637</v>
      </c>
      <c r="G36" s="5" t="s">
        <v>174</v>
      </c>
      <c r="H36" s="5" t="s">
        <v>175</v>
      </c>
      <c r="I36" s="5"/>
      <c r="J36" s="5"/>
      <c r="K36" s="5">
        <v>215</v>
      </c>
      <c r="L36" s="5">
        <v>17</v>
      </c>
      <c r="M36" s="5">
        <v>3</v>
      </c>
      <c r="N36" s="5" t="s">
        <v>6</v>
      </c>
      <c r="O36" s="5">
        <v>0</v>
      </c>
      <c r="P36" s="5">
        <v>135679</v>
      </c>
    </row>
    <row r="37" spans="1:16" x14ac:dyDescent="0.2">
      <c r="A37" s="5">
        <v>50</v>
      </c>
      <c r="B37" s="5">
        <v>0</v>
      </c>
      <c r="C37" s="5">
        <v>0</v>
      </c>
      <c r="D37" s="5">
        <v>1</v>
      </c>
      <c r="E37" s="5">
        <v>217</v>
      </c>
      <c r="F37" s="5">
        <v>0</v>
      </c>
      <c r="G37" s="5" t="s">
        <v>176</v>
      </c>
      <c r="H37" s="5" t="s">
        <v>177</v>
      </c>
      <c r="I37" s="5"/>
      <c r="J37" s="5"/>
      <c r="K37" s="5">
        <v>217</v>
      </c>
      <c r="L37" s="5">
        <v>18</v>
      </c>
      <c r="M37" s="5">
        <v>3</v>
      </c>
      <c r="N37" s="5" t="s">
        <v>6</v>
      </c>
      <c r="O37" s="5">
        <v>0</v>
      </c>
      <c r="P37" s="5">
        <v>0</v>
      </c>
    </row>
    <row r="38" spans="1:16" x14ac:dyDescent="0.2">
      <c r="A38" s="5">
        <v>50</v>
      </c>
      <c r="B38" s="5">
        <v>0</v>
      </c>
      <c r="C38" s="5">
        <v>0</v>
      </c>
      <c r="D38" s="5">
        <v>1</v>
      </c>
      <c r="E38" s="5">
        <v>230</v>
      </c>
      <c r="F38" s="5">
        <v>0</v>
      </c>
      <c r="G38" s="5" t="s">
        <v>178</v>
      </c>
      <c r="H38" s="5" t="s">
        <v>179</v>
      </c>
      <c r="I38" s="5"/>
      <c r="J38" s="5"/>
      <c r="K38" s="5">
        <v>230</v>
      </c>
      <c r="L38" s="5">
        <v>19</v>
      </c>
      <c r="M38" s="5">
        <v>3</v>
      </c>
      <c r="N38" s="5" t="s">
        <v>6</v>
      </c>
      <c r="O38" s="5">
        <v>0</v>
      </c>
      <c r="P38" s="5">
        <v>0</v>
      </c>
    </row>
    <row r="39" spans="1:16" x14ac:dyDescent="0.2">
      <c r="A39" s="5">
        <v>50</v>
      </c>
      <c r="B39" s="5">
        <v>0</v>
      </c>
      <c r="C39" s="5">
        <v>0</v>
      </c>
      <c r="D39" s="5">
        <v>1</v>
      </c>
      <c r="E39" s="5">
        <v>206</v>
      </c>
      <c r="F39" s="5">
        <v>0</v>
      </c>
      <c r="G39" s="5" t="s">
        <v>180</v>
      </c>
      <c r="H39" s="5" t="s">
        <v>181</v>
      </c>
      <c r="I39" s="5"/>
      <c r="J39" s="5"/>
      <c r="K39" s="5">
        <v>206</v>
      </c>
      <c r="L39" s="5">
        <v>20</v>
      </c>
      <c r="M39" s="5">
        <v>3</v>
      </c>
      <c r="N39" s="5" t="s">
        <v>6</v>
      </c>
      <c r="O39" s="5">
        <v>0</v>
      </c>
      <c r="P39" s="5">
        <v>0</v>
      </c>
    </row>
    <row r="40" spans="1:16" x14ac:dyDescent="0.2">
      <c r="A40" s="5">
        <v>50</v>
      </c>
      <c r="B40" s="5">
        <v>0</v>
      </c>
      <c r="C40" s="5">
        <v>0</v>
      </c>
      <c r="D40" s="5">
        <v>1</v>
      </c>
      <c r="E40" s="5">
        <v>207</v>
      </c>
      <c r="F40" s="5">
        <v>13385</v>
      </c>
      <c r="G40" s="5" t="s">
        <v>182</v>
      </c>
      <c r="H40" s="5" t="s">
        <v>183</v>
      </c>
      <c r="I40" s="5"/>
      <c r="J40" s="5"/>
      <c r="K40" s="5">
        <v>207</v>
      </c>
      <c r="L40" s="5">
        <v>21</v>
      </c>
      <c r="M40" s="5">
        <v>3</v>
      </c>
      <c r="N40" s="5" t="s">
        <v>6</v>
      </c>
      <c r="O40" s="5">
        <v>0</v>
      </c>
      <c r="P40" s="5">
        <v>13385</v>
      </c>
    </row>
    <row r="41" spans="1:16" x14ac:dyDescent="0.2">
      <c r="A41" s="5">
        <v>50</v>
      </c>
      <c r="B41" s="5">
        <v>0</v>
      </c>
      <c r="C41" s="5">
        <v>0</v>
      </c>
      <c r="D41" s="5">
        <v>1</v>
      </c>
      <c r="E41" s="5">
        <v>208</v>
      </c>
      <c r="F41" s="5">
        <v>2338</v>
      </c>
      <c r="G41" s="5" t="s">
        <v>184</v>
      </c>
      <c r="H41" s="5" t="s">
        <v>185</v>
      </c>
      <c r="I41" s="5"/>
      <c r="J41" s="5"/>
      <c r="K41" s="5">
        <v>208</v>
      </c>
      <c r="L41" s="5">
        <v>22</v>
      </c>
      <c r="M41" s="5">
        <v>3</v>
      </c>
      <c r="N41" s="5" t="s">
        <v>6</v>
      </c>
      <c r="O41" s="5">
        <v>0</v>
      </c>
      <c r="P41" s="5">
        <v>2338</v>
      </c>
    </row>
    <row r="42" spans="1:16" x14ac:dyDescent="0.2">
      <c r="A42" s="5">
        <v>50</v>
      </c>
      <c r="B42" s="5">
        <v>0</v>
      </c>
      <c r="C42" s="5">
        <v>0</v>
      </c>
      <c r="D42" s="5">
        <v>1</v>
      </c>
      <c r="E42" s="5">
        <v>209</v>
      </c>
      <c r="F42" s="5">
        <v>95</v>
      </c>
      <c r="G42" s="5" t="s">
        <v>186</v>
      </c>
      <c r="H42" s="5" t="s">
        <v>187</v>
      </c>
      <c r="I42" s="5"/>
      <c r="J42" s="5"/>
      <c r="K42" s="5">
        <v>209</v>
      </c>
      <c r="L42" s="5">
        <v>23</v>
      </c>
      <c r="M42" s="5">
        <v>3</v>
      </c>
      <c r="N42" s="5" t="s">
        <v>6</v>
      </c>
      <c r="O42" s="5">
        <v>0</v>
      </c>
      <c r="P42" s="5">
        <v>95</v>
      </c>
    </row>
    <row r="43" spans="1:16" x14ac:dyDescent="0.2">
      <c r="A43" s="5">
        <v>50</v>
      </c>
      <c r="B43" s="5">
        <v>0</v>
      </c>
      <c r="C43" s="5">
        <v>0</v>
      </c>
      <c r="D43" s="5">
        <v>1</v>
      </c>
      <c r="E43" s="5">
        <v>233</v>
      </c>
      <c r="F43" s="5">
        <v>0</v>
      </c>
      <c r="G43" s="5" t="s">
        <v>188</v>
      </c>
      <c r="H43" s="5" t="s">
        <v>189</v>
      </c>
      <c r="I43" s="5"/>
      <c r="J43" s="5"/>
      <c r="K43" s="5">
        <v>233</v>
      </c>
      <c r="L43" s="5">
        <v>24</v>
      </c>
      <c r="M43" s="5">
        <v>3</v>
      </c>
      <c r="N43" s="5" t="s">
        <v>6</v>
      </c>
      <c r="O43" s="5">
        <v>0</v>
      </c>
      <c r="P43" s="5">
        <v>0</v>
      </c>
    </row>
    <row r="44" spans="1:16" x14ac:dyDescent="0.2">
      <c r="A44" s="5">
        <v>50</v>
      </c>
      <c r="B44" s="5">
        <v>0</v>
      </c>
      <c r="C44" s="5">
        <v>0</v>
      </c>
      <c r="D44" s="5">
        <v>1</v>
      </c>
      <c r="E44" s="5">
        <v>210</v>
      </c>
      <c r="F44" s="5">
        <v>151436</v>
      </c>
      <c r="G44" s="5" t="s">
        <v>190</v>
      </c>
      <c r="H44" s="5" t="s">
        <v>191</v>
      </c>
      <c r="I44" s="5"/>
      <c r="J44" s="5"/>
      <c r="K44" s="5">
        <v>210</v>
      </c>
      <c r="L44" s="5">
        <v>25</v>
      </c>
      <c r="M44" s="5">
        <v>3</v>
      </c>
      <c r="N44" s="5" t="s">
        <v>6</v>
      </c>
      <c r="O44" s="5">
        <v>0</v>
      </c>
      <c r="P44" s="5">
        <v>4059527</v>
      </c>
    </row>
    <row r="45" spans="1:16" x14ac:dyDescent="0.2">
      <c r="A45" s="5">
        <v>50</v>
      </c>
      <c r="B45" s="5">
        <v>0</v>
      </c>
      <c r="C45" s="5">
        <v>0</v>
      </c>
      <c r="D45" s="5">
        <v>1</v>
      </c>
      <c r="E45" s="5">
        <v>211</v>
      </c>
      <c r="F45" s="5">
        <v>112458</v>
      </c>
      <c r="G45" s="5" t="s">
        <v>192</v>
      </c>
      <c r="H45" s="5" t="s">
        <v>193</v>
      </c>
      <c r="I45" s="5"/>
      <c r="J45" s="5"/>
      <c r="K45" s="5">
        <v>211</v>
      </c>
      <c r="L45" s="5">
        <v>26</v>
      </c>
      <c r="M45" s="5">
        <v>3</v>
      </c>
      <c r="N45" s="5" t="s">
        <v>6</v>
      </c>
      <c r="O45" s="5">
        <v>0</v>
      </c>
      <c r="P45" s="5">
        <v>2645472</v>
      </c>
    </row>
    <row r="46" spans="1:16" x14ac:dyDescent="0.2">
      <c r="A46" s="5">
        <v>50</v>
      </c>
      <c r="B46" s="5">
        <v>0</v>
      </c>
      <c r="C46" s="5">
        <v>0</v>
      </c>
      <c r="D46" s="5">
        <v>1</v>
      </c>
      <c r="E46" s="5">
        <v>224</v>
      </c>
      <c r="F46" s="5">
        <v>2000195</v>
      </c>
      <c r="G46" s="5" t="s">
        <v>194</v>
      </c>
      <c r="H46" s="5" t="s">
        <v>195</v>
      </c>
      <c r="I46" s="5"/>
      <c r="J46" s="5"/>
      <c r="K46" s="5">
        <v>224</v>
      </c>
      <c r="L46" s="5">
        <v>27</v>
      </c>
      <c r="M46" s="5">
        <v>3</v>
      </c>
      <c r="N46" s="5" t="s">
        <v>6</v>
      </c>
      <c r="O46" s="5">
        <v>0</v>
      </c>
      <c r="P46" s="5">
        <v>25656085</v>
      </c>
    </row>
    <row r="48" spans="1:16" x14ac:dyDescent="0.2">
      <c r="A48">
        <v>-1</v>
      </c>
    </row>
    <row r="51" spans="1:50" x14ac:dyDescent="0.2">
      <c r="A51" s="4">
        <v>75</v>
      </c>
      <c r="B51" s="4" t="s">
        <v>618</v>
      </c>
      <c r="C51" s="4">
        <v>2000</v>
      </c>
      <c r="D51" s="4">
        <v>0</v>
      </c>
      <c r="E51" s="4">
        <v>1</v>
      </c>
      <c r="F51" s="4"/>
      <c r="G51" s="4">
        <v>0</v>
      </c>
      <c r="H51" s="4">
        <v>1</v>
      </c>
      <c r="I51" s="4">
        <v>0</v>
      </c>
      <c r="J51" s="4">
        <v>4</v>
      </c>
      <c r="K51" s="4">
        <v>0</v>
      </c>
      <c r="L51" s="4">
        <v>0</v>
      </c>
      <c r="M51" s="4">
        <v>0</v>
      </c>
      <c r="N51" s="4">
        <v>86326987</v>
      </c>
      <c r="O51" s="4">
        <v>1</v>
      </c>
    </row>
    <row r="52" spans="1:50" x14ac:dyDescent="0.2">
      <c r="A52" s="4">
        <v>75</v>
      </c>
      <c r="B52" s="4" t="s">
        <v>619</v>
      </c>
      <c r="C52" s="4">
        <v>2024</v>
      </c>
      <c r="D52" s="4">
        <v>1</v>
      </c>
      <c r="E52" s="4">
        <v>3</v>
      </c>
      <c r="F52" s="4"/>
      <c r="G52" s="4">
        <v>0</v>
      </c>
      <c r="H52" s="4">
        <v>2</v>
      </c>
      <c r="I52" s="4">
        <v>0</v>
      </c>
      <c r="J52" s="4">
        <v>3</v>
      </c>
      <c r="K52" s="4">
        <v>0</v>
      </c>
      <c r="L52" s="4">
        <v>0</v>
      </c>
      <c r="M52" s="4">
        <v>1</v>
      </c>
      <c r="N52" s="4">
        <v>86326988</v>
      </c>
      <c r="O52" s="4">
        <v>2</v>
      </c>
    </row>
    <row r="53" spans="1:50" x14ac:dyDescent="0.2">
      <c r="A53" s="6">
        <v>1</v>
      </c>
      <c r="B53" s="6" t="s">
        <v>620</v>
      </c>
      <c r="C53" s="6" t="s">
        <v>621</v>
      </c>
      <c r="D53" s="6">
        <v>2024</v>
      </c>
      <c r="E53" s="6">
        <v>3</v>
      </c>
      <c r="F53" s="6">
        <v>1</v>
      </c>
      <c r="G53" s="6">
        <v>1</v>
      </c>
      <c r="H53" s="6">
        <v>0</v>
      </c>
      <c r="I53" s="6">
        <v>2</v>
      </c>
      <c r="J53" s="6">
        <v>1</v>
      </c>
      <c r="K53" s="6">
        <v>7.56</v>
      </c>
      <c r="L53" s="6">
        <v>4.83</v>
      </c>
      <c r="M53" s="6">
        <v>1</v>
      </c>
      <c r="N53" s="6">
        <v>1</v>
      </c>
      <c r="O53" s="6">
        <v>7.56</v>
      </c>
      <c r="P53" s="6">
        <v>4.83</v>
      </c>
      <c r="Q53" s="6">
        <v>1</v>
      </c>
      <c r="R53" s="6" t="s">
        <v>6</v>
      </c>
      <c r="S53" s="6" t="s">
        <v>6</v>
      </c>
      <c r="T53" s="6" t="s">
        <v>6</v>
      </c>
      <c r="U53" s="6" t="s">
        <v>6</v>
      </c>
      <c r="V53" s="6" t="s">
        <v>6</v>
      </c>
      <c r="W53" s="6" t="s">
        <v>6</v>
      </c>
      <c r="X53" s="6" t="s">
        <v>6</v>
      </c>
      <c r="Y53" s="6" t="s">
        <v>6</v>
      </c>
      <c r="Z53" s="6" t="s">
        <v>6</v>
      </c>
      <c r="AA53" s="6" t="s">
        <v>6</v>
      </c>
      <c r="AB53" s="6"/>
      <c r="AC53" s="6"/>
      <c r="AD53" s="6"/>
      <c r="AE53" s="6"/>
      <c r="AF53" s="6"/>
      <c r="AG53" s="6"/>
      <c r="AH53" s="6"/>
      <c r="AI53" s="6"/>
      <c r="AJ53" s="6"/>
      <c r="AK53" s="6"/>
      <c r="AL53" s="6"/>
      <c r="AM53" s="6"/>
      <c r="AN53" s="6">
        <v>86326989</v>
      </c>
      <c r="AO53" s="6"/>
      <c r="AP53" s="6"/>
      <c r="AQ53" s="6"/>
      <c r="AR53" s="6"/>
      <c r="AS53" s="6"/>
      <c r="AT53" s="6"/>
      <c r="AU53" s="6"/>
      <c r="AV53" s="6"/>
      <c r="AW53" s="6"/>
      <c r="AX53" s="6"/>
    </row>
  </sheetData>
  <printOptions gridLines="1"/>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5.Ведомость_списания</vt:lpstr>
      <vt:lpstr>4.Ресурсный_расчет</vt:lpstr>
      <vt:lpstr>3.Материалы</vt:lpstr>
      <vt:lpstr>2.Лок.смета.и.Акт</vt:lpstr>
      <vt:lpstr>SourceOb.2</vt:lpstr>
      <vt:lpstr>1.Лок.смета.и.Акт</vt:lpstr>
      <vt:lpstr>SourceOb.1</vt:lpstr>
      <vt:lpstr>Source</vt:lpstr>
      <vt:lpstr>SourceObSm</vt:lpstr>
      <vt:lpstr>SmtRes</vt:lpstr>
      <vt:lpstr>EtalonRes</vt:lpstr>
      <vt:lpstr>SrcKA</vt:lpstr>
      <vt:lpstr>'1.Лок.смета.и.Акт'!Заголовки_для_печати</vt:lpstr>
      <vt:lpstr>'2.Лок.смета.и.Акт'!Заголовки_для_печати</vt:lpstr>
      <vt:lpstr>'3.Материалы'!Заголовки_для_печати</vt:lpstr>
      <vt:lpstr>'4.Ресурсный_расчет'!Заголовки_для_печати</vt:lpstr>
      <vt:lpstr>'5.Ведомость_списания'!Заголовки_для_печати</vt:lpstr>
      <vt:lpstr>'1.Лок.смета.и.Акт'!Область_печати</vt:lpstr>
      <vt:lpstr>'2.Лок.смета.и.Акт'!Область_печати</vt:lpstr>
      <vt:lpstr>'3.Материалы'!Область_печати</vt:lpstr>
      <vt:lpstr>'4.Ресурсный_расчет'!Область_печати</vt:lpstr>
      <vt:lpstr>'5.Ведомость_списания'!Область_печати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Ионова Елизавета Борисовна</dc:creator>
  <cp:lastModifiedBy>Дербина Екатерина Сергеевна</cp:lastModifiedBy>
  <dcterms:created xsi:type="dcterms:W3CDTF">2024-12-25T14:30:04Z</dcterms:created>
  <dcterms:modified xsi:type="dcterms:W3CDTF">2025-04-21T13:32:37Z</dcterms:modified>
</cp:coreProperties>
</file>